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omments1.xml" ContentType="application/vnd.openxmlformats-officedocument.spreadsheetml.comments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omments2.xml" ContentType="application/vnd.openxmlformats-officedocument.spreadsheetml.comments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3.xml" ContentType="application/vnd.openxmlformats-officedocument.spreadsheetml.comments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omments4.xml" ContentType="application/vnd.openxmlformats-officedocument.spreadsheetml.comments+xml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W:\Discovery\Kentucky\2017-00349 (2017 Kentucky Rate Case)\Staff Attachments\Staff_1-71 - Model Workpapers in Excel\Revenues\"/>
    </mc:Choice>
  </mc:AlternateContent>
  <bookViews>
    <workbookView xWindow="14385" yWindow="-15" windowWidth="14430" windowHeight="11760" tabRatio="868" activeTab="12"/>
  </bookViews>
  <sheets>
    <sheet name="Dashboard" sheetId="83" r:id="rId1"/>
    <sheet name="Summary of Rates" sheetId="108" r:id="rId2"/>
    <sheet name="Summary of Revenue" sheetId="72" r:id="rId3"/>
    <sheet name="Summary of Stats" sheetId="78" r:id="rId4"/>
    <sheet name="Bill Frequency" sheetId="20" r:id="rId5"/>
    <sheet name="Test Year Revenue Present" sheetId="76" r:id="rId6"/>
    <sheet name="Contract &amp; Vol Adj" sheetId="56" r:id="rId7"/>
    <sheet name="WNA Summary" sheetId="55" r:id="rId8"/>
    <sheet name="WNA" sheetId="113" r:id="rId9"/>
    <sheet name="Test Year Monthly - (Pres)" sheetId="65" r:id="rId10"/>
    <sheet name="Test Year Revenue Proposed" sheetId="91" r:id="rId11"/>
    <sheet name="Test Year Monthly - (Prop)" sheetId="115" r:id="rId12"/>
    <sheet name="Rate Design" sheetId="44" r:id="rId13"/>
    <sheet name="Monthly Forecast" sheetId="60" r:id="rId14"/>
    <sheet name="TBS Adjustments" sheetId="117" r:id="rId15"/>
    <sheet name="Peak Day Estimate" sheetId="81" r:id="rId16"/>
    <sheet name="Other Revenue" sheetId="64" r:id="rId17"/>
    <sheet name="HDDs" sheetId="82" r:id="rId18"/>
    <sheet name="Gas Cost Worksheet" sheetId="80" r:id="rId19"/>
    <sheet name="CCS Extract" sheetId="61" state="hidden" r:id="rId20"/>
  </sheets>
  <definedNames>
    <definedName name="__123Graph_A" hidden="1">#REF!</definedName>
    <definedName name="__123Graph_B" hidden="1">#REF!</definedName>
    <definedName name="__123Graph_X" hidden="1">#REF!</definedName>
    <definedName name="_Dist_Bin" localSheetId="18" hidden="1">#REF!</definedName>
    <definedName name="_Dist_Bin" hidden="1">#REF!</definedName>
    <definedName name="_Dist_Values" localSheetId="18" hidden="1">#REF!</definedName>
    <definedName name="_Dist_Values" hidden="1">#REF!</definedName>
    <definedName name="_Fill" localSheetId="18" hidden="1">#REF!</definedName>
    <definedName name="_Fill" localSheetId="3" hidden="1">#REF!</definedName>
    <definedName name="_Fill" localSheetId="11" hidden="1">#REF!</definedName>
    <definedName name="_Fill" localSheetId="10" hidden="1">#REF!</definedName>
    <definedName name="_Fill" localSheetId="8" hidden="1">#REF!</definedName>
    <definedName name="_Fill" hidden="1">#REF!</definedName>
    <definedName name="_xlnm._FilterDatabase" localSheetId="14" hidden="1">'TBS Adjustments'!$A$4:$P$90</definedName>
    <definedName name="_Order1" hidden="1">255</definedName>
    <definedName name="_Order2" hidden="1">255</definedName>
    <definedName name="_Regression_Out" localSheetId="3" hidden="1">#REF!</definedName>
    <definedName name="_Regression_Out" localSheetId="11" hidden="1">#REF!</definedName>
    <definedName name="_Regression_Out" localSheetId="10" hidden="1">#REF!</definedName>
    <definedName name="_Regression_Out" localSheetId="8" hidden="1">#REF!</definedName>
    <definedName name="_Regression_Out" hidden="1">#REF!</definedName>
    <definedName name="_Regression_Y" localSheetId="3" hidden="1">#REF!</definedName>
    <definedName name="_Regression_Y" localSheetId="11" hidden="1">#REF!</definedName>
    <definedName name="_Regression_Y" localSheetId="10" hidden="1">#REF!</definedName>
    <definedName name="_Regression_Y" localSheetId="8" hidden="1">#REF!</definedName>
    <definedName name="_Regression_Y" hidden="1">#REF!</definedName>
    <definedName name="_xlnm.Print_Area" localSheetId="4">'Bill Frequency'!$A$1:$R$86</definedName>
    <definedName name="_xlnm.Print_Area" localSheetId="6">'Contract &amp; Vol Adj'!$A$1:$R$84</definedName>
    <definedName name="_xlnm.Print_Area" localSheetId="17">HDDs!$A$1:$G$30</definedName>
    <definedName name="_xlnm.Print_Area" localSheetId="13">'Monthly Forecast'!$A$1:$CI$104</definedName>
    <definedName name="_xlnm.Print_Area" localSheetId="1">'Summary of Rates'!$A$1:$F$51</definedName>
    <definedName name="_xlnm.Print_Area" localSheetId="14">'TBS Adjustments'!$A$1:$P$192</definedName>
    <definedName name="_xlnm.Print_Area" localSheetId="9">'Test Year Monthly - (Pres)'!$A$1:$P$105</definedName>
    <definedName name="_xlnm.Print_Area" localSheetId="11">'Test Year Monthly - (Prop)'!$A$1:$P$104</definedName>
    <definedName name="_xlnm.Print_Area" localSheetId="5">'Test Year Revenue Present'!$A$1:$P$51</definedName>
    <definedName name="_xlnm.Print_Area" localSheetId="10">'Test Year Revenue Proposed'!$A$1:$P$51</definedName>
    <definedName name="_xlnm.Print_Area" localSheetId="8">WNA!$A$13:$N$95</definedName>
    <definedName name="_xlnm.Print_Area" localSheetId="7">'WNA Summary'!$A$1:$S$32</definedName>
    <definedName name="_xlnm.Print_Titles" localSheetId="6">'Contract &amp; Vol Adj'!$1:$11</definedName>
    <definedName name="_xlnm.Print_Titles" localSheetId="9">'Test Year Monthly - (Pres)'!$1:$11</definedName>
    <definedName name="_xlnm.Print_Titles" localSheetId="11">'Test Year Monthly - (Prop)'!$1:$11</definedName>
    <definedName name="_xlnm.Print_Titles" localSheetId="8">WNA!$A:$B,WNA!$3:$16</definedName>
  </definedNames>
  <calcPr calcId="152511"/>
</workbook>
</file>

<file path=xl/calcChain.xml><?xml version="1.0" encoding="utf-8"?>
<calcChain xmlns="http://schemas.openxmlformats.org/spreadsheetml/2006/main">
  <c r="K31" i="108" l="1"/>
  <c r="L31" i="108"/>
  <c r="K30" i="108"/>
  <c r="L30" i="108" s="1"/>
  <c r="K24" i="108"/>
  <c r="L24" i="108"/>
  <c r="K25" i="108"/>
  <c r="L25" i="108"/>
  <c r="L23" i="108"/>
  <c r="K23" i="108"/>
  <c r="L28" i="108"/>
  <c r="K28" i="108"/>
  <c r="K27" i="108"/>
  <c r="L27" i="108" s="1"/>
  <c r="K20" i="108"/>
  <c r="L20" i="108" s="1"/>
  <c r="K21" i="108"/>
  <c r="L21" i="108"/>
  <c r="L19" i="108"/>
  <c r="K19" i="108"/>
  <c r="H12" i="108"/>
  <c r="I12" i="108"/>
  <c r="H13" i="108"/>
  <c r="I13" i="108"/>
  <c r="H14" i="108"/>
  <c r="I14" i="108"/>
  <c r="H15" i="108"/>
  <c r="I15" i="108"/>
  <c r="I11" i="108"/>
  <c r="H11" i="108"/>
  <c r="J28" i="108"/>
  <c r="J27" i="108"/>
  <c r="I28" i="108"/>
  <c r="I27" i="108"/>
  <c r="H28" i="108"/>
  <c r="J20" i="108"/>
  <c r="J21" i="108"/>
  <c r="J19" i="108"/>
  <c r="H21" i="108"/>
  <c r="H20" i="108"/>
  <c r="I20" i="108"/>
  <c r="I21" i="108"/>
  <c r="I19" i="108"/>
  <c r="Z43" i="65"/>
  <c r="AA43" i="65" s="1"/>
  <c r="Y43" i="65"/>
  <c r="Z34" i="65"/>
  <c r="AA34" i="65" s="1"/>
  <c r="Y34" i="65"/>
  <c r="Z25" i="65"/>
  <c r="AA25" i="65" s="1"/>
  <c r="Y25" i="65"/>
  <c r="AA16" i="65"/>
  <c r="Z16" i="65"/>
  <c r="Y16" i="65"/>
  <c r="V45" i="65"/>
  <c r="W45" i="65" s="1"/>
  <c r="W36" i="65"/>
  <c r="W27" i="65"/>
  <c r="W18" i="65"/>
  <c r="V36" i="65"/>
  <c r="V27" i="65"/>
  <c r="W43" i="65"/>
  <c r="W35" i="65"/>
  <c r="W44" i="65" s="1"/>
  <c r="W34" i="65"/>
  <c r="W26" i="65"/>
  <c r="W25" i="65"/>
  <c r="V44" i="65"/>
  <c r="V43" i="65"/>
  <c r="V35" i="65"/>
  <c r="V34" i="65"/>
  <c r="V26" i="65"/>
  <c r="V25" i="65"/>
  <c r="D12" i="108"/>
  <c r="E12" i="108"/>
  <c r="D13" i="108"/>
  <c r="E13" i="108"/>
  <c r="W16" i="65"/>
  <c r="W17" i="65"/>
  <c r="V17" i="65"/>
  <c r="V16" i="65"/>
  <c r="U44" i="65"/>
  <c r="U35" i="65"/>
  <c r="U26" i="65"/>
  <c r="U17" i="65"/>
  <c r="H31" i="44" l="1"/>
  <c r="H30" i="44"/>
  <c r="H25" i="44"/>
  <c r="H24" i="44"/>
  <c r="H23" i="44"/>
  <c r="H16" i="44"/>
  <c r="H15" i="44"/>
  <c r="Q163" i="117" l="1"/>
  <c r="Q167" i="117"/>
  <c r="Q171" i="117"/>
  <c r="Q176" i="117"/>
  <c r="Q181" i="117"/>
  <c r="P183" i="117" l="1"/>
  <c r="O183" i="117"/>
  <c r="N183" i="117"/>
  <c r="M183" i="117"/>
  <c r="L183" i="117"/>
  <c r="K183" i="117"/>
  <c r="J183" i="117"/>
  <c r="I183" i="117"/>
  <c r="H183" i="117"/>
  <c r="G183" i="117"/>
  <c r="F183" i="117"/>
  <c r="E183" i="117"/>
  <c r="P182" i="117"/>
  <c r="O182" i="117"/>
  <c r="N182" i="117"/>
  <c r="M182" i="117"/>
  <c r="L182" i="117"/>
  <c r="K182" i="117"/>
  <c r="J182" i="117"/>
  <c r="I182" i="117"/>
  <c r="H182" i="117"/>
  <c r="G182" i="117"/>
  <c r="F182" i="117"/>
  <c r="E182" i="117"/>
  <c r="P180" i="117"/>
  <c r="O180" i="117"/>
  <c r="N180" i="117"/>
  <c r="M180" i="117"/>
  <c r="L180" i="117"/>
  <c r="K180" i="117"/>
  <c r="J180" i="117"/>
  <c r="I180" i="117"/>
  <c r="H180" i="117"/>
  <c r="G180" i="117"/>
  <c r="F180" i="117"/>
  <c r="E180" i="117"/>
  <c r="P179" i="117"/>
  <c r="O179" i="117"/>
  <c r="N179" i="117"/>
  <c r="M179" i="117"/>
  <c r="L179" i="117"/>
  <c r="K179" i="117"/>
  <c r="J179" i="117"/>
  <c r="I179" i="117"/>
  <c r="H179" i="117"/>
  <c r="G179" i="117"/>
  <c r="F179" i="117"/>
  <c r="E179" i="117"/>
  <c r="P178" i="117"/>
  <c r="O178" i="117"/>
  <c r="N178" i="117"/>
  <c r="M178" i="117"/>
  <c r="L178" i="117"/>
  <c r="K178" i="117"/>
  <c r="J178" i="117"/>
  <c r="I178" i="117"/>
  <c r="H178" i="117"/>
  <c r="G178" i="117"/>
  <c r="F178" i="117"/>
  <c r="E178" i="117"/>
  <c r="P177" i="117"/>
  <c r="O177" i="117"/>
  <c r="N177" i="117"/>
  <c r="M177" i="117"/>
  <c r="L177" i="117"/>
  <c r="K177" i="117"/>
  <c r="J177" i="117"/>
  <c r="I177" i="117"/>
  <c r="H177" i="117"/>
  <c r="G177" i="117"/>
  <c r="F177" i="117"/>
  <c r="E177" i="117"/>
  <c r="P175" i="117"/>
  <c r="O175" i="117"/>
  <c r="N175" i="117"/>
  <c r="M175" i="117"/>
  <c r="L175" i="117"/>
  <c r="K175" i="117"/>
  <c r="J175" i="117"/>
  <c r="I175" i="117"/>
  <c r="H175" i="117"/>
  <c r="G175" i="117"/>
  <c r="F175" i="117"/>
  <c r="E175" i="117"/>
  <c r="M174" i="117"/>
  <c r="K174" i="117"/>
  <c r="J174" i="117"/>
  <c r="G174" i="117"/>
  <c r="F174" i="117"/>
  <c r="E174" i="117"/>
  <c r="P172" i="117"/>
  <c r="P170" i="117"/>
  <c r="N170" i="117"/>
  <c r="M170" i="117"/>
  <c r="K170" i="117"/>
  <c r="H170" i="117"/>
  <c r="G170" i="117"/>
  <c r="F170" i="117"/>
  <c r="E170" i="117"/>
  <c r="P169" i="117"/>
  <c r="N169" i="117"/>
  <c r="M169" i="117"/>
  <c r="K169" i="117"/>
  <c r="H169" i="117"/>
  <c r="G169" i="117"/>
  <c r="F169" i="117"/>
  <c r="E169" i="117"/>
  <c r="P168" i="117"/>
  <c r="O168" i="117"/>
  <c r="N168" i="117"/>
  <c r="M168" i="117"/>
  <c r="L168" i="117"/>
  <c r="K168" i="117"/>
  <c r="J168" i="117"/>
  <c r="I168" i="117"/>
  <c r="H168" i="117"/>
  <c r="G168" i="117"/>
  <c r="F168" i="117"/>
  <c r="E168" i="117"/>
  <c r="P166" i="117"/>
  <c r="O166" i="117"/>
  <c r="N166" i="117"/>
  <c r="M166" i="117"/>
  <c r="L166" i="117"/>
  <c r="K166" i="117"/>
  <c r="J166" i="117"/>
  <c r="I166" i="117"/>
  <c r="H166" i="117"/>
  <c r="G166" i="117"/>
  <c r="F166" i="117"/>
  <c r="E166" i="117"/>
  <c r="P165" i="117"/>
  <c r="O165" i="117"/>
  <c r="N165" i="117"/>
  <c r="M165" i="117"/>
  <c r="L165" i="117"/>
  <c r="K165" i="117"/>
  <c r="J165" i="117"/>
  <c r="I165" i="117"/>
  <c r="H165" i="117"/>
  <c r="G165" i="117"/>
  <c r="F165" i="117"/>
  <c r="E165" i="117"/>
  <c r="P164" i="117"/>
  <c r="O164" i="117"/>
  <c r="N164" i="117"/>
  <c r="M164" i="117"/>
  <c r="L164" i="117"/>
  <c r="K164" i="117"/>
  <c r="J164" i="117"/>
  <c r="I164" i="117"/>
  <c r="H164" i="117"/>
  <c r="G164" i="117"/>
  <c r="F164" i="117"/>
  <c r="E164" i="117"/>
  <c r="P162" i="117"/>
  <c r="O162" i="117"/>
  <c r="N162" i="117"/>
  <c r="M162" i="117"/>
  <c r="L162" i="117"/>
  <c r="K162" i="117"/>
  <c r="J162" i="117"/>
  <c r="I162" i="117"/>
  <c r="H162" i="117"/>
  <c r="G162" i="117"/>
  <c r="F162" i="117"/>
  <c r="E162" i="117"/>
  <c r="P161" i="117"/>
  <c r="O161" i="117"/>
  <c r="N161" i="117"/>
  <c r="M161" i="117"/>
  <c r="L161" i="117"/>
  <c r="H161" i="117"/>
  <c r="G161" i="117"/>
  <c r="F161" i="117"/>
  <c r="E161" i="117"/>
  <c r="P141" i="117"/>
  <c r="P173" i="117" s="1"/>
  <c r="O141" i="117"/>
  <c r="O173" i="117" s="1"/>
  <c r="N141" i="117"/>
  <c r="N173" i="117" s="1"/>
  <c r="M141" i="117"/>
  <c r="M173" i="117" s="1"/>
  <c r="L141" i="117"/>
  <c r="L173" i="117" s="1"/>
  <c r="K141" i="117"/>
  <c r="K173" i="117" s="1"/>
  <c r="J141" i="117"/>
  <c r="J173" i="117" s="1"/>
  <c r="I141" i="117"/>
  <c r="I173" i="117" s="1"/>
  <c r="H141" i="117"/>
  <c r="H173" i="117" s="1"/>
  <c r="G141" i="117"/>
  <c r="G173" i="117" s="1"/>
  <c r="F141" i="117"/>
  <c r="F173" i="117" s="1"/>
  <c r="E141" i="117"/>
  <c r="E173" i="117" s="1"/>
  <c r="O140" i="117"/>
  <c r="O172" i="117" s="1"/>
  <c r="N140" i="117"/>
  <c r="N172" i="117" s="1"/>
  <c r="M140" i="117"/>
  <c r="M172" i="117" s="1"/>
  <c r="L140" i="117"/>
  <c r="L172" i="117" s="1"/>
  <c r="K140" i="117"/>
  <c r="K172" i="117" s="1"/>
  <c r="J140" i="117"/>
  <c r="J172" i="117" s="1"/>
  <c r="I140" i="117"/>
  <c r="I172" i="117" s="1"/>
  <c r="H140" i="117"/>
  <c r="H172" i="117" s="1"/>
  <c r="G140" i="117"/>
  <c r="G172" i="117" s="1"/>
  <c r="F140" i="117"/>
  <c r="F172" i="117" s="1"/>
  <c r="E140" i="117"/>
  <c r="E172" i="117" s="1"/>
  <c r="K130" i="117"/>
  <c r="K161" i="117" s="1"/>
  <c r="J130" i="117"/>
  <c r="J161" i="117" s="1"/>
  <c r="I130" i="117"/>
  <c r="I161" i="117" s="1"/>
  <c r="P129" i="117"/>
  <c r="O129" i="117"/>
  <c r="N129" i="117"/>
  <c r="M129" i="117"/>
  <c r="L129" i="117"/>
  <c r="K129" i="117"/>
  <c r="J129" i="117"/>
  <c r="I129" i="117"/>
  <c r="H129" i="117"/>
  <c r="G129" i="117"/>
  <c r="F129" i="117"/>
  <c r="E129" i="117"/>
  <c r="P128" i="117"/>
  <c r="P159" i="117" s="1"/>
  <c r="O128" i="117"/>
  <c r="O159" i="117" s="1"/>
  <c r="N128" i="117"/>
  <c r="N159" i="117" s="1"/>
  <c r="M128" i="117"/>
  <c r="M159" i="117" s="1"/>
  <c r="L128" i="117"/>
  <c r="L159" i="117" s="1"/>
  <c r="K128" i="117"/>
  <c r="K159" i="117" s="1"/>
  <c r="J128" i="117"/>
  <c r="J159" i="117" s="1"/>
  <c r="I128" i="117"/>
  <c r="I159" i="117" s="1"/>
  <c r="H128" i="117"/>
  <c r="H159" i="117" s="1"/>
  <c r="G128" i="117"/>
  <c r="G159" i="117" s="1"/>
  <c r="F128" i="117"/>
  <c r="F159" i="117" s="1"/>
  <c r="E128" i="117"/>
  <c r="E159" i="117" s="1"/>
  <c r="P117" i="117"/>
  <c r="P160" i="117" s="1"/>
  <c r="O117" i="117"/>
  <c r="O160" i="117" s="1"/>
  <c r="N117" i="117"/>
  <c r="N160" i="117" s="1"/>
  <c r="M117" i="117"/>
  <c r="M160" i="117" s="1"/>
  <c r="L117" i="117"/>
  <c r="L160" i="117" s="1"/>
  <c r="K117" i="117"/>
  <c r="K160" i="117" s="1"/>
  <c r="J117" i="117"/>
  <c r="J160" i="117" s="1"/>
  <c r="I117" i="117"/>
  <c r="I160" i="117" s="1"/>
  <c r="H117" i="117"/>
  <c r="H160" i="117" s="1"/>
  <c r="G117" i="117"/>
  <c r="G160" i="117" s="1"/>
  <c r="F117" i="117"/>
  <c r="F160" i="117" s="1"/>
  <c r="E117" i="117"/>
  <c r="E160" i="117" s="1"/>
  <c r="N185" i="117"/>
  <c r="J185" i="117"/>
  <c r="L184" i="117"/>
  <c r="E184" i="117"/>
  <c r="P185" i="117"/>
  <c r="O185" i="117"/>
  <c r="M185" i="117"/>
  <c r="K185" i="117"/>
  <c r="I185" i="117"/>
  <c r="H185" i="117"/>
  <c r="F185" i="117"/>
  <c r="O170" i="117"/>
  <c r="L170" i="117"/>
  <c r="J170" i="117"/>
  <c r="I170" i="117"/>
  <c r="P63" i="117"/>
  <c r="P174" i="117" s="1"/>
  <c r="O63" i="117"/>
  <c r="O174" i="117" s="1"/>
  <c r="N63" i="117"/>
  <c r="N174" i="117" s="1"/>
  <c r="L63" i="117"/>
  <c r="L174" i="117" s="1"/>
  <c r="I63" i="117"/>
  <c r="I174" i="117" s="1"/>
  <c r="H63" i="117"/>
  <c r="H174" i="117" s="1"/>
  <c r="Q162" i="117" l="1"/>
  <c r="Q164" i="117"/>
  <c r="Q165" i="117"/>
  <c r="Q166" i="117"/>
  <c r="Q168" i="117"/>
  <c r="Q172" i="117"/>
  <c r="Q173" i="117"/>
  <c r="Q161" i="117"/>
  <c r="Q175" i="117"/>
  <c r="Q177" i="117"/>
  <c r="Q178" i="117"/>
  <c r="Q179" i="117"/>
  <c r="Q180" i="117"/>
  <c r="Q182" i="117"/>
  <c r="Q183" i="117"/>
  <c r="Q160" i="117"/>
  <c r="Q159" i="117"/>
  <c r="Q174" i="117"/>
  <c r="Q170" i="117"/>
  <c r="J169" i="117"/>
  <c r="G185" i="117"/>
  <c r="F184" i="117"/>
  <c r="N184" i="117"/>
  <c r="K184" i="117"/>
  <c r="L185" i="117"/>
  <c r="L169" i="117"/>
  <c r="H184" i="117"/>
  <c r="P184" i="117"/>
  <c r="I169" i="117"/>
  <c r="I184" i="117"/>
  <c r="M184" i="117"/>
  <c r="E185" i="117"/>
  <c r="J184" i="117"/>
  <c r="O169" i="117"/>
  <c r="G184" i="117"/>
  <c r="O184" i="117"/>
  <c r="Q185" i="117" l="1"/>
  <c r="Q169" i="117"/>
  <c r="Q184" i="117"/>
  <c r="H34" i="44"/>
  <c r="R52" i="60" l="1"/>
  <c r="S52" i="60" s="1"/>
  <c r="R17" i="60"/>
  <c r="S17" i="60" s="1"/>
  <c r="CE42" i="80"/>
  <c r="CE47" i="80"/>
  <c r="X76" i="80" l="1"/>
  <c r="AJ76" i="80" s="1"/>
  <c r="AV76" i="80" s="1"/>
  <c r="I102" i="80"/>
  <c r="I97" i="80"/>
  <c r="I98" i="80" l="1"/>
  <c r="BH76" i="80"/>
  <c r="I103" i="80"/>
  <c r="BT76" i="80" l="1"/>
  <c r="D134" i="80" l="1"/>
  <c r="C134" i="80"/>
  <c r="D133" i="80"/>
  <c r="C133" i="80"/>
  <c r="C132" i="80"/>
  <c r="Z121" i="80"/>
  <c r="Y121" i="80"/>
  <c r="AK121" i="80" s="1"/>
  <c r="AW121" i="80" s="1"/>
  <c r="L133" i="80"/>
  <c r="Y122" i="80"/>
  <c r="AK122" i="80" s="1"/>
  <c r="AW122" i="80" s="1"/>
  <c r="BI122" i="80" s="1"/>
  <c r="BU122" i="80" s="1"/>
  <c r="Z122" i="80"/>
  <c r="AL122" i="80" s="1"/>
  <c r="AX122" i="80" s="1"/>
  <c r="BJ122" i="80" s="1"/>
  <c r="BV122" i="80" s="1"/>
  <c r="P133" i="80"/>
  <c r="AA122" i="80"/>
  <c r="AM122" i="80" s="1"/>
  <c r="AY122" i="80" s="1"/>
  <c r="BK122" i="80" s="1"/>
  <c r="BW122" i="80" s="1"/>
  <c r="X123" i="80"/>
  <c r="AJ123" i="80" s="1"/>
  <c r="AV123" i="80" s="1"/>
  <c r="BH123" i="80" s="1"/>
  <c r="BT123" i="80" s="1"/>
  <c r="CF123" i="80" s="1"/>
  <c r="M134" i="80"/>
  <c r="O134" i="80"/>
  <c r="AB123" i="80"/>
  <c r="AN123" i="80" s="1"/>
  <c r="AZ123" i="80" s="1"/>
  <c r="BL123" i="80" s="1"/>
  <c r="BX123" i="80" s="1"/>
  <c r="Y123" i="80"/>
  <c r="AA123" i="80"/>
  <c r="AM123" i="80" s="1"/>
  <c r="AY123" i="80" s="1"/>
  <c r="BK123" i="80" s="1"/>
  <c r="BW123" i="80" s="1"/>
  <c r="L132" i="80"/>
  <c r="M132" i="80"/>
  <c r="P132" i="80"/>
  <c r="P134" i="80"/>
  <c r="P135" i="80" l="1"/>
  <c r="M133" i="80"/>
  <c r="M135" i="80" s="1"/>
  <c r="M124" i="80"/>
  <c r="D124" i="80"/>
  <c r="AB122" i="80"/>
  <c r="AN122" i="80" s="1"/>
  <c r="AZ122" i="80" s="1"/>
  <c r="BL122" i="80" s="1"/>
  <c r="BX122" i="80" s="1"/>
  <c r="L134" i="80"/>
  <c r="L135" i="80"/>
  <c r="Q128" i="80"/>
  <c r="R128" i="80" s="1"/>
  <c r="X122" i="80"/>
  <c r="AJ122" i="80" s="1"/>
  <c r="AV122" i="80" s="1"/>
  <c r="BH122" i="80" s="1"/>
  <c r="BT122" i="80" s="1"/>
  <c r="CF122" i="80" s="1"/>
  <c r="Q126" i="80"/>
  <c r="Q137" i="80" s="1"/>
  <c r="N132" i="80"/>
  <c r="AA121" i="80"/>
  <c r="AM121" i="80" s="1"/>
  <c r="O132" i="80"/>
  <c r="O124" i="80"/>
  <c r="N133" i="80"/>
  <c r="C135" i="80"/>
  <c r="C124" i="80"/>
  <c r="D132" i="80"/>
  <c r="D135" i="80" s="1"/>
  <c r="AL121" i="80"/>
  <c r="Q127" i="80"/>
  <c r="BI121" i="80"/>
  <c r="O133" i="80"/>
  <c r="AK123" i="80"/>
  <c r="Y124" i="80"/>
  <c r="Z123" i="80"/>
  <c r="AL123" i="80" s="1"/>
  <c r="AX123" i="80" s="1"/>
  <c r="BJ123" i="80" s="1"/>
  <c r="BV123" i="80" s="1"/>
  <c r="N134" i="80"/>
  <c r="N124" i="80"/>
  <c r="R126" i="80"/>
  <c r="AB121" i="80"/>
  <c r="P124" i="80"/>
  <c r="X121" i="80"/>
  <c r="L124" i="80"/>
  <c r="N135" i="80" l="1"/>
  <c r="AC126" i="80"/>
  <c r="AO126" i="80" s="1"/>
  <c r="Q139" i="80"/>
  <c r="AA124" i="80"/>
  <c r="AC128" i="80"/>
  <c r="AO128" i="80" s="1"/>
  <c r="BA128" i="80" s="1"/>
  <c r="BM128" i="80" s="1"/>
  <c r="BY128" i="80" s="1"/>
  <c r="O135" i="80"/>
  <c r="Z124" i="80"/>
  <c r="R137" i="80"/>
  <c r="S126" i="80"/>
  <c r="AD126" i="80"/>
  <c r="AW123" i="80"/>
  <c r="AK124" i="80"/>
  <c r="BU121" i="80"/>
  <c r="S128" i="80"/>
  <c r="AD128" i="80"/>
  <c r="AP128" i="80" s="1"/>
  <c r="BB128" i="80" s="1"/>
  <c r="BN128" i="80" s="1"/>
  <c r="BZ128" i="80" s="1"/>
  <c r="R139" i="80"/>
  <c r="AN121" i="80"/>
  <c r="AB124" i="80"/>
  <c r="AC127" i="80"/>
  <c r="AO127" i="80" s="1"/>
  <c r="BA127" i="80" s="1"/>
  <c r="BM127" i="80" s="1"/>
  <c r="BY127" i="80" s="1"/>
  <c r="R127" i="80"/>
  <c r="Q138" i="80"/>
  <c r="Q129" i="80"/>
  <c r="AY121" i="80"/>
  <c r="AM124" i="80"/>
  <c r="AX121" i="80"/>
  <c r="AL124" i="80"/>
  <c r="AJ121" i="80"/>
  <c r="X124" i="80"/>
  <c r="Q140" i="80" l="1"/>
  <c r="AC129" i="80"/>
  <c r="BJ121" i="80"/>
  <c r="AX124" i="80"/>
  <c r="AZ121" i="80"/>
  <c r="AN124" i="80"/>
  <c r="AP126" i="80"/>
  <c r="S127" i="80"/>
  <c r="AD127" i="80"/>
  <c r="AP127" i="80" s="1"/>
  <c r="BB127" i="80" s="1"/>
  <c r="BN127" i="80" s="1"/>
  <c r="BZ127" i="80" s="1"/>
  <c r="R138" i="80"/>
  <c r="R140" i="80" s="1"/>
  <c r="R129" i="80"/>
  <c r="AJ124" i="80"/>
  <c r="AV121" i="80"/>
  <c r="BK121" i="80"/>
  <c r="AY124" i="80"/>
  <c r="AE126" i="80"/>
  <c r="S137" i="80"/>
  <c r="T126" i="80"/>
  <c r="BA126" i="80"/>
  <c r="AO129" i="80"/>
  <c r="AE128" i="80"/>
  <c r="AQ128" i="80" s="1"/>
  <c r="BC128" i="80" s="1"/>
  <c r="BO128" i="80" s="1"/>
  <c r="CA128" i="80" s="1"/>
  <c r="T128" i="80"/>
  <c r="S139" i="80"/>
  <c r="BI123" i="80"/>
  <c r="AW124" i="80"/>
  <c r="BM126" i="80" l="1"/>
  <c r="BA129" i="80"/>
  <c r="AQ126" i="80"/>
  <c r="AE129" i="80"/>
  <c r="T139" i="80"/>
  <c r="U128" i="80"/>
  <c r="I128" i="80" s="1"/>
  <c r="AF128" i="80"/>
  <c r="AR128" i="80" s="1"/>
  <c r="BD128" i="80" s="1"/>
  <c r="BP128" i="80" s="1"/>
  <c r="CB128" i="80" s="1"/>
  <c r="U126" i="80"/>
  <c r="I126" i="80" s="1"/>
  <c r="AF126" i="80"/>
  <c r="T137" i="80"/>
  <c r="T127" i="80"/>
  <c r="S138" i="80"/>
  <c r="S140" i="80" s="1"/>
  <c r="AE127" i="80"/>
  <c r="AQ127" i="80" s="1"/>
  <c r="BC127" i="80" s="1"/>
  <c r="BO127" i="80" s="1"/>
  <c r="CA127" i="80" s="1"/>
  <c r="BL121" i="80"/>
  <c r="AZ124" i="80"/>
  <c r="BK124" i="80"/>
  <c r="BW121" i="80"/>
  <c r="BW124" i="80" s="1"/>
  <c r="AP129" i="80"/>
  <c r="BB126" i="80"/>
  <c r="BU123" i="80"/>
  <c r="BU124" i="80" s="1"/>
  <c r="BI124" i="80"/>
  <c r="S129" i="80"/>
  <c r="AV124" i="80"/>
  <c r="BH121" i="80"/>
  <c r="AD129" i="80"/>
  <c r="BV121" i="80"/>
  <c r="BV124" i="80" s="1"/>
  <c r="BJ124" i="80"/>
  <c r="U127" i="80" l="1"/>
  <c r="T138" i="80"/>
  <c r="T140" i="80" s="1"/>
  <c r="AF127" i="80"/>
  <c r="AR127" i="80" s="1"/>
  <c r="BD127" i="80" s="1"/>
  <c r="BP127" i="80" s="1"/>
  <c r="CB127" i="80" s="1"/>
  <c r="T129" i="80"/>
  <c r="BX121" i="80"/>
  <c r="BX124" i="80" s="1"/>
  <c r="BL124" i="80"/>
  <c r="BC126" i="80"/>
  <c r="AQ129" i="80"/>
  <c r="BT121" i="80"/>
  <c r="BH124" i="80"/>
  <c r="AR126" i="80"/>
  <c r="V128" i="80"/>
  <c r="J128" i="80" s="1"/>
  <c r="J139" i="80" s="1"/>
  <c r="U139" i="80"/>
  <c r="AG128" i="80"/>
  <c r="AS128" i="80" s="1"/>
  <c r="BE128" i="80" s="1"/>
  <c r="BQ128" i="80" s="1"/>
  <c r="CC128" i="80" s="1"/>
  <c r="BN126" i="80"/>
  <c r="BB129" i="80"/>
  <c r="V126" i="80"/>
  <c r="J126" i="80" s="1"/>
  <c r="AG126" i="80"/>
  <c r="U137" i="80"/>
  <c r="BY126" i="80"/>
  <c r="BY129" i="80" s="1"/>
  <c r="BM129" i="80"/>
  <c r="J137" i="80" l="1"/>
  <c r="U129" i="80"/>
  <c r="I127" i="80"/>
  <c r="V137" i="80"/>
  <c r="W126" i="80"/>
  <c r="K126" i="80" s="1"/>
  <c r="AH126" i="80"/>
  <c r="AH128" i="80"/>
  <c r="AT128" i="80" s="1"/>
  <c r="BF128" i="80" s="1"/>
  <c r="BR128" i="80" s="1"/>
  <c r="CD128" i="80" s="1"/>
  <c r="V139" i="80"/>
  <c r="W128" i="80"/>
  <c r="K128" i="80" s="1"/>
  <c r="K139" i="80" s="1"/>
  <c r="BT124" i="80"/>
  <c r="CF121" i="80"/>
  <c r="CF124" i="80" s="1"/>
  <c r="BN129" i="80"/>
  <c r="BZ126" i="80"/>
  <c r="BZ129" i="80" s="1"/>
  <c r="AF129" i="80"/>
  <c r="AG127" i="80"/>
  <c r="AS127" i="80" s="1"/>
  <c r="BE127" i="80" s="1"/>
  <c r="BQ127" i="80" s="1"/>
  <c r="CC127" i="80" s="1"/>
  <c r="U138" i="80"/>
  <c r="U140" i="80" s="1"/>
  <c r="V127" i="80"/>
  <c r="J127" i="80" s="1"/>
  <c r="J138" i="80" s="1"/>
  <c r="AS126" i="80"/>
  <c r="BD126" i="80"/>
  <c r="AR129" i="80"/>
  <c r="BC129" i="80"/>
  <c r="BO126" i="80"/>
  <c r="J140" i="80" l="1"/>
  <c r="K137" i="80"/>
  <c r="J129" i="80"/>
  <c r="W127" i="80"/>
  <c r="AH127" i="80"/>
  <c r="AT127" i="80" s="1"/>
  <c r="BF127" i="80" s="1"/>
  <c r="BR127" i="80" s="1"/>
  <c r="CD127" i="80" s="1"/>
  <c r="V138" i="80"/>
  <c r="V140" i="80" s="1"/>
  <c r="V129" i="80"/>
  <c r="BD129" i="80"/>
  <c r="BP126" i="80"/>
  <c r="AI128" i="80"/>
  <c r="AU128" i="80" s="1"/>
  <c r="BG128" i="80" s="1"/>
  <c r="BS128" i="80" s="1"/>
  <c r="CE128" i="80" s="1"/>
  <c r="W139" i="80"/>
  <c r="AT126" i="80"/>
  <c r="CA126" i="80"/>
  <c r="CA129" i="80" s="1"/>
  <c r="BO129" i="80"/>
  <c r="BE126" i="80"/>
  <c r="AS129" i="80"/>
  <c r="AI126" i="80"/>
  <c r="W137" i="80"/>
  <c r="AG129" i="80"/>
  <c r="W129" i="80" l="1"/>
  <c r="K127" i="80"/>
  <c r="AH129" i="80"/>
  <c r="AU126" i="80"/>
  <c r="BP129" i="80"/>
  <c r="CB126" i="80"/>
  <c r="CB129" i="80" s="1"/>
  <c r="BQ126" i="80"/>
  <c r="BE129" i="80"/>
  <c r="AT129" i="80"/>
  <c r="BF126" i="80"/>
  <c r="W138" i="80"/>
  <c r="W140" i="80" s="1"/>
  <c r="AI127" i="80"/>
  <c r="AU127" i="80" s="1"/>
  <c r="BG127" i="80" s="1"/>
  <c r="BS127" i="80" s="1"/>
  <c r="CE127" i="80" s="1"/>
  <c r="K138" i="80" l="1"/>
  <c r="K140" i="80" s="1"/>
  <c r="K129" i="80"/>
  <c r="BG126" i="80"/>
  <c r="AU129" i="80"/>
  <c r="CC126" i="80"/>
  <c r="CC129" i="80" s="1"/>
  <c r="BQ129" i="80"/>
  <c r="AI129" i="80"/>
  <c r="BR126" i="80"/>
  <c r="BF129" i="80"/>
  <c r="CD126" i="80" l="1"/>
  <c r="CD129" i="80" s="1"/>
  <c r="BR129" i="80"/>
  <c r="BG129" i="80"/>
  <c r="BS126" i="80"/>
  <c r="CE126" i="80" l="1"/>
  <c r="CE129" i="80" s="1"/>
  <c r="BS129" i="80"/>
  <c r="G92" i="80" l="1"/>
  <c r="H92" i="80" s="1"/>
  <c r="J92" i="80"/>
  <c r="K92" i="80" s="1"/>
  <c r="G93" i="80"/>
  <c r="H93" i="80" s="1"/>
  <c r="J93" i="80"/>
  <c r="K93" i="80" s="1"/>
  <c r="F97" i="80"/>
  <c r="G97" i="80" s="1"/>
  <c r="H97" i="80" s="1"/>
  <c r="J94" i="80"/>
  <c r="K94" i="80" s="1"/>
  <c r="G95" i="80"/>
  <c r="H95" i="80"/>
  <c r="J95" i="80"/>
  <c r="K95" i="80" s="1"/>
  <c r="L95" i="80" s="1"/>
  <c r="M95" i="80" s="1"/>
  <c r="N95" i="80" s="1"/>
  <c r="O95" i="80" s="1"/>
  <c r="P95" i="80" s="1"/>
  <c r="Q95" i="80" s="1"/>
  <c r="R95" i="80" s="1"/>
  <c r="S95" i="80" s="1"/>
  <c r="T95" i="80" s="1"/>
  <c r="U95" i="80" s="1"/>
  <c r="V95" i="80" s="1"/>
  <c r="W95" i="80" s="1"/>
  <c r="X95" i="80" s="1"/>
  <c r="Y95" i="80" s="1"/>
  <c r="Z95" i="80" s="1"/>
  <c r="AA95" i="80" s="1"/>
  <c r="AB95" i="80" s="1"/>
  <c r="AC95" i="80" s="1"/>
  <c r="AD95" i="80" s="1"/>
  <c r="AE95" i="80" s="1"/>
  <c r="AF95" i="80" s="1"/>
  <c r="AG95" i="80" s="1"/>
  <c r="AH95" i="80" s="1"/>
  <c r="AI95" i="80" s="1"/>
  <c r="AJ95" i="80" s="1"/>
  <c r="AK95" i="80" s="1"/>
  <c r="AL95" i="80" s="1"/>
  <c r="AM95" i="80" s="1"/>
  <c r="AN95" i="80" s="1"/>
  <c r="AO95" i="80" s="1"/>
  <c r="AP95" i="80" s="1"/>
  <c r="AQ95" i="80" s="1"/>
  <c r="AR95" i="80" s="1"/>
  <c r="AS95" i="80" s="1"/>
  <c r="AT95" i="80" s="1"/>
  <c r="AU95" i="80" s="1"/>
  <c r="AV95" i="80" s="1"/>
  <c r="AW95" i="80" s="1"/>
  <c r="AX95" i="80" s="1"/>
  <c r="AY95" i="80" s="1"/>
  <c r="AZ95" i="80" s="1"/>
  <c r="BA95" i="80" s="1"/>
  <c r="BB95" i="80" s="1"/>
  <c r="BC95" i="80" s="1"/>
  <c r="BD95" i="80" s="1"/>
  <c r="BE95" i="80" s="1"/>
  <c r="BF95" i="80" s="1"/>
  <c r="BG95" i="80" s="1"/>
  <c r="BH95" i="80" s="1"/>
  <c r="BI95" i="80" s="1"/>
  <c r="BJ95" i="80" s="1"/>
  <c r="BK95" i="80" s="1"/>
  <c r="BL95" i="80" s="1"/>
  <c r="BM95" i="80" s="1"/>
  <c r="BN95" i="80" s="1"/>
  <c r="BO95" i="80" s="1"/>
  <c r="BP95" i="80" s="1"/>
  <c r="BQ95" i="80" s="1"/>
  <c r="BR95" i="80" s="1"/>
  <c r="BS95" i="80" s="1"/>
  <c r="BT95" i="80" s="1"/>
  <c r="BU95" i="80" s="1"/>
  <c r="BV95" i="80" s="1"/>
  <c r="BW95" i="80" s="1"/>
  <c r="BX95" i="80" s="1"/>
  <c r="BY95" i="80" s="1"/>
  <c r="BZ95" i="80" s="1"/>
  <c r="CA95" i="80" s="1"/>
  <c r="CB95" i="80" s="1"/>
  <c r="CC95" i="80" s="1"/>
  <c r="G96" i="80"/>
  <c r="H96" i="80" s="1"/>
  <c r="J96" i="80"/>
  <c r="K96" i="80" s="1"/>
  <c r="L96" i="80" s="1"/>
  <c r="M96" i="80" s="1"/>
  <c r="N96" i="80" s="1"/>
  <c r="O96" i="80" s="1"/>
  <c r="P96" i="80" s="1"/>
  <c r="Q96" i="80" s="1"/>
  <c r="R96" i="80" s="1"/>
  <c r="S96" i="80" s="1"/>
  <c r="T96" i="80" s="1"/>
  <c r="U96" i="80" s="1"/>
  <c r="V96" i="80" s="1"/>
  <c r="W96" i="80" s="1"/>
  <c r="X96" i="80" s="1"/>
  <c r="Y96" i="80" s="1"/>
  <c r="Z96" i="80" s="1"/>
  <c r="AA96" i="80" s="1"/>
  <c r="AB96" i="80" s="1"/>
  <c r="AC96" i="80" s="1"/>
  <c r="AD96" i="80" s="1"/>
  <c r="AE96" i="80" s="1"/>
  <c r="AF96" i="80" s="1"/>
  <c r="AG96" i="80" s="1"/>
  <c r="AH96" i="80" s="1"/>
  <c r="AI96" i="80" s="1"/>
  <c r="AJ96" i="80" s="1"/>
  <c r="AK96" i="80" s="1"/>
  <c r="AL96" i="80" s="1"/>
  <c r="AM96" i="80" s="1"/>
  <c r="AN96" i="80" s="1"/>
  <c r="AO96" i="80" s="1"/>
  <c r="AP96" i="80" s="1"/>
  <c r="AQ96" i="80" s="1"/>
  <c r="AR96" i="80" s="1"/>
  <c r="AS96" i="80" s="1"/>
  <c r="AT96" i="80" s="1"/>
  <c r="AU96" i="80" s="1"/>
  <c r="AV96" i="80" s="1"/>
  <c r="AW96" i="80" s="1"/>
  <c r="AX96" i="80" s="1"/>
  <c r="AY96" i="80" s="1"/>
  <c r="AZ96" i="80" s="1"/>
  <c r="BA96" i="80" s="1"/>
  <c r="BB96" i="80" s="1"/>
  <c r="BC96" i="80" s="1"/>
  <c r="BD96" i="80" s="1"/>
  <c r="BE96" i="80" s="1"/>
  <c r="BF96" i="80" s="1"/>
  <c r="BG96" i="80" s="1"/>
  <c r="BH96" i="80" s="1"/>
  <c r="BI96" i="80" s="1"/>
  <c r="BJ96" i="80" s="1"/>
  <c r="BK96" i="80" s="1"/>
  <c r="BL96" i="80" s="1"/>
  <c r="BM96" i="80" s="1"/>
  <c r="BN96" i="80" s="1"/>
  <c r="BO96" i="80" s="1"/>
  <c r="BP96" i="80" s="1"/>
  <c r="BQ96" i="80" s="1"/>
  <c r="BR96" i="80" s="1"/>
  <c r="BS96" i="80" s="1"/>
  <c r="BT96" i="80" s="1"/>
  <c r="BU96" i="80" s="1"/>
  <c r="BV96" i="80" s="1"/>
  <c r="BW96" i="80" s="1"/>
  <c r="BX96" i="80" s="1"/>
  <c r="BY96" i="80" s="1"/>
  <c r="BZ96" i="80" s="1"/>
  <c r="CA96" i="80" s="1"/>
  <c r="CB96" i="80" s="1"/>
  <c r="CC96" i="80" s="1"/>
  <c r="J97" i="80"/>
  <c r="K97" i="80" s="1"/>
  <c r="F98" i="80"/>
  <c r="G98" i="80" s="1"/>
  <c r="H98" i="80" s="1"/>
  <c r="G99" i="80"/>
  <c r="H99" i="80" s="1"/>
  <c r="J99" i="80"/>
  <c r="K99" i="80" s="1"/>
  <c r="L99" i="80" s="1"/>
  <c r="M99" i="80" s="1"/>
  <c r="N99" i="80" s="1"/>
  <c r="O99" i="80" s="1"/>
  <c r="P99" i="80" s="1"/>
  <c r="Q99" i="80" s="1"/>
  <c r="R99" i="80" s="1"/>
  <c r="S99" i="80" s="1"/>
  <c r="T99" i="80" s="1"/>
  <c r="U99" i="80" s="1"/>
  <c r="V99" i="80" s="1"/>
  <c r="W99" i="80" s="1"/>
  <c r="X99" i="80" s="1"/>
  <c r="Y99" i="80" s="1"/>
  <c r="Z99" i="80" s="1"/>
  <c r="AA99" i="80" s="1"/>
  <c r="AB99" i="80" s="1"/>
  <c r="AC99" i="80" s="1"/>
  <c r="AD99" i="80" s="1"/>
  <c r="AE99" i="80" s="1"/>
  <c r="AF99" i="80" s="1"/>
  <c r="AG99" i="80" s="1"/>
  <c r="AH99" i="80" s="1"/>
  <c r="AI99" i="80" s="1"/>
  <c r="AJ99" i="80" s="1"/>
  <c r="AK99" i="80" s="1"/>
  <c r="AL99" i="80" s="1"/>
  <c r="AM99" i="80" s="1"/>
  <c r="AN99" i="80" s="1"/>
  <c r="AO99" i="80" s="1"/>
  <c r="AP99" i="80" s="1"/>
  <c r="AQ99" i="80" s="1"/>
  <c r="AR99" i="80" s="1"/>
  <c r="AS99" i="80" s="1"/>
  <c r="AT99" i="80" s="1"/>
  <c r="AU99" i="80" s="1"/>
  <c r="AV99" i="80" s="1"/>
  <c r="AW99" i="80" s="1"/>
  <c r="AX99" i="80" s="1"/>
  <c r="AY99" i="80" s="1"/>
  <c r="AZ99" i="80" s="1"/>
  <c r="BA99" i="80" s="1"/>
  <c r="BB99" i="80" s="1"/>
  <c r="BC99" i="80" s="1"/>
  <c r="BD99" i="80" s="1"/>
  <c r="BE99" i="80" s="1"/>
  <c r="BF99" i="80" s="1"/>
  <c r="BG99" i="80" s="1"/>
  <c r="BH99" i="80" s="1"/>
  <c r="BI99" i="80" s="1"/>
  <c r="BJ99" i="80" s="1"/>
  <c r="BK99" i="80" s="1"/>
  <c r="BL99" i="80" s="1"/>
  <c r="BM99" i="80" s="1"/>
  <c r="BN99" i="80" s="1"/>
  <c r="BO99" i="80" s="1"/>
  <c r="BP99" i="80" s="1"/>
  <c r="BQ99" i="80" s="1"/>
  <c r="BR99" i="80" s="1"/>
  <c r="BS99" i="80" s="1"/>
  <c r="BT99" i="80" s="1"/>
  <c r="BU99" i="80" s="1"/>
  <c r="BV99" i="80" s="1"/>
  <c r="BW99" i="80" s="1"/>
  <c r="BX99" i="80" s="1"/>
  <c r="BY99" i="80" s="1"/>
  <c r="BZ99" i="80" s="1"/>
  <c r="CA99" i="80" s="1"/>
  <c r="CB99" i="80" s="1"/>
  <c r="CC99" i="80" s="1"/>
  <c r="G100" i="80"/>
  <c r="H100" i="80" s="1"/>
  <c r="J100" i="80"/>
  <c r="K100" i="80" s="1"/>
  <c r="G101" i="80"/>
  <c r="H101" i="80"/>
  <c r="J101" i="80"/>
  <c r="K101" i="80" s="1"/>
  <c r="L101" i="80" s="1"/>
  <c r="M101" i="80" s="1"/>
  <c r="N101" i="80" s="1"/>
  <c r="O101" i="80" s="1"/>
  <c r="P101" i="80" s="1"/>
  <c r="Q101" i="80" s="1"/>
  <c r="R101" i="80" s="1"/>
  <c r="S101" i="80" s="1"/>
  <c r="T101" i="80" s="1"/>
  <c r="U101" i="80" s="1"/>
  <c r="V101" i="80" s="1"/>
  <c r="W101" i="80" s="1"/>
  <c r="X101" i="80" s="1"/>
  <c r="Y101" i="80" s="1"/>
  <c r="Z101" i="80" s="1"/>
  <c r="AA101" i="80" s="1"/>
  <c r="AB101" i="80" s="1"/>
  <c r="AC101" i="80" s="1"/>
  <c r="AD101" i="80" s="1"/>
  <c r="AE101" i="80" s="1"/>
  <c r="AF101" i="80" s="1"/>
  <c r="AG101" i="80" s="1"/>
  <c r="AH101" i="80" s="1"/>
  <c r="AI101" i="80" s="1"/>
  <c r="AJ101" i="80" s="1"/>
  <c r="AK101" i="80" s="1"/>
  <c r="AL101" i="80" s="1"/>
  <c r="AM101" i="80" s="1"/>
  <c r="AN101" i="80" s="1"/>
  <c r="AO101" i="80" s="1"/>
  <c r="AP101" i="80" s="1"/>
  <c r="AQ101" i="80" s="1"/>
  <c r="AR101" i="80" s="1"/>
  <c r="AS101" i="80" s="1"/>
  <c r="AT101" i="80" s="1"/>
  <c r="AU101" i="80" s="1"/>
  <c r="AV101" i="80" s="1"/>
  <c r="AW101" i="80" s="1"/>
  <c r="AX101" i="80" s="1"/>
  <c r="AY101" i="80" s="1"/>
  <c r="AZ101" i="80" s="1"/>
  <c r="BA101" i="80" s="1"/>
  <c r="BB101" i="80" s="1"/>
  <c r="BC101" i="80" s="1"/>
  <c r="BD101" i="80" s="1"/>
  <c r="BE101" i="80" s="1"/>
  <c r="BF101" i="80" s="1"/>
  <c r="BG101" i="80" s="1"/>
  <c r="BH101" i="80" s="1"/>
  <c r="BI101" i="80" s="1"/>
  <c r="BJ101" i="80" s="1"/>
  <c r="BK101" i="80" s="1"/>
  <c r="BL101" i="80" s="1"/>
  <c r="BM101" i="80" s="1"/>
  <c r="BN101" i="80" s="1"/>
  <c r="BO101" i="80" s="1"/>
  <c r="BP101" i="80" s="1"/>
  <c r="BQ101" i="80" s="1"/>
  <c r="BR101" i="80" s="1"/>
  <c r="BS101" i="80" s="1"/>
  <c r="BT101" i="80" s="1"/>
  <c r="BU101" i="80" s="1"/>
  <c r="BV101" i="80" s="1"/>
  <c r="BW101" i="80" s="1"/>
  <c r="BX101" i="80" s="1"/>
  <c r="BY101" i="80" s="1"/>
  <c r="BZ101" i="80" s="1"/>
  <c r="CA101" i="80" s="1"/>
  <c r="CB101" i="80" s="1"/>
  <c r="CC101" i="80" s="1"/>
  <c r="F102" i="80"/>
  <c r="G102" i="80" s="1"/>
  <c r="H102" i="80" s="1"/>
  <c r="J102" i="80"/>
  <c r="K102" i="80" s="1"/>
  <c r="L102" i="80" s="1"/>
  <c r="M102" i="80" s="1"/>
  <c r="N102" i="80" s="1"/>
  <c r="O102" i="80" s="1"/>
  <c r="P102" i="80" s="1"/>
  <c r="Q102" i="80" s="1"/>
  <c r="R102" i="80" s="1"/>
  <c r="S102" i="80" s="1"/>
  <c r="T102" i="80" s="1"/>
  <c r="U102" i="80" s="1"/>
  <c r="V102" i="80" s="1"/>
  <c r="W102" i="80" s="1"/>
  <c r="X102" i="80" s="1"/>
  <c r="Y102" i="80" s="1"/>
  <c r="Z102" i="80" s="1"/>
  <c r="AA102" i="80" s="1"/>
  <c r="AB102" i="80" s="1"/>
  <c r="AC102" i="80" s="1"/>
  <c r="AD102" i="80" s="1"/>
  <c r="AE102" i="80" s="1"/>
  <c r="AF102" i="80" s="1"/>
  <c r="AG102" i="80" s="1"/>
  <c r="AH102" i="80" s="1"/>
  <c r="AI102" i="80" s="1"/>
  <c r="AJ102" i="80" s="1"/>
  <c r="AK102" i="80" s="1"/>
  <c r="AL102" i="80" s="1"/>
  <c r="AM102" i="80" s="1"/>
  <c r="AN102" i="80" s="1"/>
  <c r="AO102" i="80" s="1"/>
  <c r="AP102" i="80" s="1"/>
  <c r="AQ102" i="80" s="1"/>
  <c r="AR102" i="80" s="1"/>
  <c r="AS102" i="80" s="1"/>
  <c r="AT102" i="80" s="1"/>
  <c r="AU102" i="80" s="1"/>
  <c r="AV102" i="80" s="1"/>
  <c r="AW102" i="80" s="1"/>
  <c r="AX102" i="80" s="1"/>
  <c r="AY102" i="80" s="1"/>
  <c r="AZ102" i="80" s="1"/>
  <c r="BA102" i="80" s="1"/>
  <c r="BB102" i="80" s="1"/>
  <c r="BC102" i="80" s="1"/>
  <c r="BD102" i="80" s="1"/>
  <c r="BE102" i="80" s="1"/>
  <c r="BF102" i="80" s="1"/>
  <c r="BG102" i="80" s="1"/>
  <c r="BH102" i="80" s="1"/>
  <c r="BI102" i="80" s="1"/>
  <c r="BJ102" i="80" s="1"/>
  <c r="BK102" i="80" s="1"/>
  <c r="BL102" i="80" s="1"/>
  <c r="BM102" i="80" s="1"/>
  <c r="BN102" i="80" s="1"/>
  <c r="BO102" i="80" s="1"/>
  <c r="BP102" i="80" s="1"/>
  <c r="BQ102" i="80" s="1"/>
  <c r="BR102" i="80" s="1"/>
  <c r="BS102" i="80" s="1"/>
  <c r="BT102" i="80" s="1"/>
  <c r="BU102" i="80" s="1"/>
  <c r="BV102" i="80" s="1"/>
  <c r="BW102" i="80" s="1"/>
  <c r="BX102" i="80" s="1"/>
  <c r="BY102" i="80" s="1"/>
  <c r="BZ102" i="80" s="1"/>
  <c r="CA102" i="80" s="1"/>
  <c r="CB102" i="80" s="1"/>
  <c r="CC102" i="80" s="1"/>
  <c r="CC100" i="80"/>
  <c r="BZ100" i="80"/>
  <c r="CA100" i="80" s="1"/>
  <c r="CB100" i="80" s="1"/>
  <c r="BW100" i="80"/>
  <c r="BX100" i="80" s="1"/>
  <c r="BY100" i="80" s="1"/>
  <c r="BT100" i="80"/>
  <c r="BU100" i="80" s="1"/>
  <c r="BV100" i="80" s="1"/>
  <c r="BQ100" i="80"/>
  <c r="BR100" i="80" s="1"/>
  <c r="BS100" i="80" s="1"/>
  <c r="BN100" i="80"/>
  <c r="BO100" i="80" s="1"/>
  <c r="BP100" i="80" s="1"/>
  <c r="BK100" i="80"/>
  <c r="BL100" i="80" s="1"/>
  <c r="BM100" i="80" s="1"/>
  <c r="BH100" i="80"/>
  <c r="BI100" i="80" s="1"/>
  <c r="BJ100" i="80" s="1"/>
  <c r="BE100" i="80"/>
  <c r="BF100" i="80" s="1"/>
  <c r="BG100" i="80" s="1"/>
  <c r="BB100" i="80"/>
  <c r="BC100" i="80" s="1"/>
  <c r="BD100" i="80" s="1"/>
  <c r="AY100" i="80"/>
  <c r="AZ100" i="80" s="1"/>
  <c r="BA100" i="80" s="1"/>
  <c r="AV100" i="80"/>
  <c r="AW100" i="80" s="1"/>
  <c r="AX100" i="80" s="1"/>
  <c r="AS100" i="80"/>
  <c r="AT100" i="80" s="1"/>
  <c r="AU100" i="80" s="1"/>
  <c r="AP100" i="80"/>
  <c r="AQ100" i="80" s="1"/>
  <c r="AR100" i="80" s="1"/>
  <c r="AM100" i="80"/>
  <c r="AN100" i="80" s="1"/>
  <c r="AO100" i="80" s="1"/>
  <c r="AJ100" i="80"/>
  <c r="AK100" i="80" s="1"/>
  <c r="AL100" i="80" s="1"/>
  <c r="AG100" i="80"/>
  <c r="AH100" i="80" s="1"/>
  <c r="AI100" i="80" s="1"/>
  <c r="AD100" i="80"/>
  <c r="AE100" i="80" s="1"/>
  <c r="AF100" i="80" s="1"/>
  <c r="AA100" i="80"/>
  <c r="AB100" i="80" s="1"/>
  <c r="AC100" i="80" s="1"/>
  <c r="X100" i="80"/>
  <c r="Y100" i="80" s="1"/>
  <c r="Z100" i="80" s="1"/>
  <c r="U100" i="80"/>
  <c r="V100" i="80" s="1"/>
  <c r="W100" i="80" s="1"/>
  <c r="R100" i="80"/>
  <c r="S100" i="80" s="1"/>
  <c r="T100" i="80" s="1"/>
  <c r="O100" i="80"/>
  <c r="P100" i="80" s="1"/>
  <c r="Q100" i="80" s="1"/>
  <c r="L100" i="80"/>
  <c r="M100" i="80" s="1"/>
  <c r="N100" i="80" s="1"/>
  <c r="L88" i="80"/>
  <c r="M88" i="80" s="1"/>
  <c r="N88" i="80" s="1"/>
  <c r="O88" i="80" s="1"/>
  <c r="P88" i="80" s="1"/>
  <c r="Q88" i="80" s="1"/>
  <c r="R88" i="80" s="1"/>
  <c r="S88" i="80" s="1"/>
  <c r="T88" i="80" s="1"/>
  <c r="U88" i="80" s="1"/>
  <c r="V88" i="80" s="1"/>
  <c r="W88" i="80" s="1"/>
  <c r="X88" i="80" s="1"/>
  <c r="Y88" i="80" s="1"/>
  <c r="Z88" i="80" s="1"/>
  <c r="AA88" i="80" s="1"/>
  <c r="AB88" i="80" s="1"/>
  <c r="AC88" i="80" s="1"/>
  <c r="AD88" i="80" s="1"/>
  <c r="AE88" i="80" s="1"/>
  <c r="AF88" i="80" s="1"/>
  <c r="AG88" i="80" s="1"/>
  <c r="AH88" i="80" s="1"/>
  <c r="AI88" i="80" s="1"/>
  <c r="AJ88" i="80" s="1"/>
  <c r="AK88" i="80" s="1"/>
  <c r="AL88" i="80" s="1"/>
  <c r="AM88" i="80" s="1"/>
  <c r="AN88" i="80" s="1"/>
  <c r="AO88" i="80" s="1"/>
  <c r="AP88" i="80" s="1"/>
  <c r="AQ88" i="80" s="1"/>
  <c r="AR88" i="80" s="1"/>
  <c r="AS88" i="80" s="1"/>
  <c r="AT88" i="80" s="1"/>
  <c r="AU88" i="80" s="1"/>
  <c r="AV88" i="80" s="1"/>
  <c r="AW88" i="80" s="1"/>
  <c r="AX88" i="80" s="1"/>
  <c r="AY88" i="80" s="1"/>
  <c r="AZ88" i="80" s="1"/>
  <c r="BA88" i="80" s="1"/>
  <c r="BB88" i="80" s="1"/>
  <c r="BC88" i="80" s="1"/>
  <c r="BD88" i="80" s="1"/>
  <c r="BE88" i="80" s="1"/>
  <c r="BF88" i="80" s="1"/>
  <c r="BG88" i="80" s="1"/>
  <c r="BH88" i="80" s="1"/>
  <c r="BI88" i="80" s="1"/>
  <c r="BJ88" i="80" s="1"/>
  <c r="BK88" i="80" s="1"/>
  <c r="BL88" i="80" s="1"/>
  <c r="BM88" i="80" s="1"/>
  <c r="BN88" i="80" s="1"/>
  <c r="BO88" i="80" s="1"/>
  <c r="BP88" i="80" s="1"/>
  <c r="BQ88" i="80" s="1"/>
  <c r="BR88" i="80" s="1"/>
  <c r="BS88" i="80" s="1"/>
  <c r="BT88" i="80" s="1"/>
  <c r="BU88" i="80" s="1"/>
  <c r="BV88" i="80" s="1"/>
  <c r="BW88" i="80" s="1"/>
  <c r="BX88" i="80" s="1"/>
  <c r="BY88" i="80" s="1"/>
  <c r="BZ88" i="80" s="1"/>
  <c r="CA88" i="80" s="1"/>
  <c r="CB88" i="80" s="1"/>
  <c r="CC88" i="80" s="1"/>
  <c r="G94" i="80" l="1"/>
  <c r="H94" i="80" s="1"/>
  <c r="F103" i="80"/>
  <c r="G103" i="80" s="1"/>
  <c r="H103" i="80" s="1"/>
  <c r="J98" i="80"/>
  <c r="K98" i="80" s="1"/>
  <c r="J103" i="80" l="1"/>
  <c r="K103" i="80" s="1"/>
  <c r="D38" i="80"/>
  <c r="E38" i="80" s="1"/>
  <c r="F38" i="80" s="1"/>
  <c r="G38" i="80" s="1"/>
  <c r="H38" i="80" s="1"/>
  <c r="D37" i="80"/>
  <c r="E37" i="80" s="1"/>
  <c r="F37" i="80" s="1"/>
  <c r="G37" i="80" s="1"/>
  <c r="H37" i="80" s="1"/>
  <c r="D36" i="80"/>
  <c r="E36" i="80" s="1"/>
  <c r="F36" i="80" s="1"/>
  <c r="G36" i="80" s="1"/>
  <c r="H36" i="80" s="1"/>
  <c r="D66" i="20" l="1"/>
  <c r="E66" i="20"/>
  <c r="F66" i="20"/>
  <c r="G66" i="20"/>
  <c r="H66" i="20"/>
  <c r="I66" i="20"/>
  <c r="J66" i="20"/>
  <c r="K66" i="20"/>
  <c r="L66" i="20"/>
  <c r="M66" i="20"/>
  <c r="N66" i="20"/>
  <c r="C66" i="20"/>
  <c r="C75" i="20" l="1"/>
  <c r="M60" i="20"/>
  <c r="C60" i="20"/>
  <c r="J60" i="20"/>
  <c r="E60" i="20"/>
  <c r="G60" i="20"/>
  <c r="I60" i="20"/>
  <c r="L60" i="20"/>
  <c r="D60" i="20"/>
  <c r="F60" i="20"/>
  <c r="H60" i="20"/>
  <c r="K60" i="20"/>
  <c r="N60" i="20"/>
  <c r="N50" i="20" l="1"/>
  <c r="M50" i="20"/>
  <c r="D23" i="56"/>
  <c r="D22" i="56" s="1"/>
  <c r="E23" i="56"/>
  <c r="E22" i="56" s="1"/>
  <c r="F23" i="56"/>
  <c r="F22" i="56" s="1"/>
  <c r="G23" i="56"/>
  <c r="G22" i="56" s="1"/>
  <c r="H23" i="56"/>
  <c r="H22" i="56" s="1"/>
  <c r="I23" i="56"/>
  <c r="I22" i="56" s="1"/>
  <c r="J23" i="56"/>
  <c r="J22" i="56" s="1"/>
  <c r="K23" i="56"/>
  <c r="K22" i="56" s="1"/>
  <c r="L23" i="56"/>
  <c r="L22" i="56" s="1"/>
  <c r="M23" i="56"/>
  <c r="M22" i="56" s="1"/>
  <c r="N23" i="56"/>
  <c r="N22" i="56" s="1"/>
  <c r="C23" i="56"/>
  <c r="C22" i="56" s="1"/>
  <c r="K50" i="20" l="1"/>
  <c r="G50" i="20"/>
  <c r="M24" i="20"/>
  <c r="I24" i="20"/>
  <c r="E24" i="20"/>
  <c r="J50" i="20"/>
  <c r="F50" i="20"/>
  <c r="L24" i="20"/>
  <c r="H24" i="20"/>
  <c r="D24" i="20"/>
  <c r="C50" i="20"/>
  <c r="I50" i="20"/>
  <c r="E50" i="20"/>
  <c r="L50" i="20"/>
  <c r="H50" i="20"/>
  <c r="D50" i="20"/>
  <c r="C24" i="20"/>
  <c r="K24" i="20"/>
  <c r="G24" i="20"/>
  <c r="N24" i="20"/>
  <c r="J24" i="20"/>
  <c r="F24" i="20"/>
  <c r="E31" i="44" l="1"/>
  <c r="E30" i="44"/>
  <c r="E25" i="44"/>
  <c r="S25" i="44" s="1"/>
  <c r="T25" i="44" s="1"/>
  <c r="C77" i="115" s="1"/>
  <c r="E24" i="44"/>
  <c r="S24" i="44" s="1"/>
  <c r="T24" i="44" s="1"/>
  <c r="C76" i="115" s="1"/>
  <c r="E23" i="44"/>
  <c r="S23" i="44" s="1"/>
  <c r="T23" i="44" s="1"/>
  <c r="C75" i="115" s="1"/>
  <c r="G17" i="44"/>
  <c r="C459" i="82" l="1"/>
  <c r="E459" i="82"/>
  <c r="D459" i="82"/>
  <c r="G459" i="82"/>
  <c r="F459" i="82"/>
  <c r="I84" i="20" l="1"/>
  <c r="J84" i="20"/>
  <c r="K84" i="20"/>
  <c r="L84" i="20"/>
  <c r="M84" i="20"/>
  <c r="N84" i="20"/>
  <c r="H84" i="20"/>
  <c r="D84" i="20"/>
  <c r="E84" i="20"/>
  <c r="F84" i="20"/>
  <c r="G84" i="20"/>
  <c r="C84" i="20"/>
  <c r="G31" i="44" l="1"/>
  <c r="G30" i="44"/>
  <c r="G28" i="44"/>
  <c r="G27" i="44"/>
  <c r="G25" i="44"/>
  <c r="G24" i="44"/>
  <c r="G23" i="44"/>
  <c r="G20" i="44"/>
  <c r="G21" i="44"/>
  <c r="G19" i="44"/>
  <c r="G13" i="44"/>
  <c r="G14" i="44"/>
  <c r="G15" i="44"/>
  <c r="G16" i="44"/>
  <c r="G12" i="44"/>
  <c r="D40" i="108" l="1"/>
  <c r="E40" i="108"/>
  <c r="F40" i="108"/>
  <c r="D41" i="108"/>
  <c r="E41" i="108"/>
  <c r="F41" i="108"/>
  <c r="D42" i="108"/>
  <c r="E42" i="108"/>
  <c r="F42" i="108"/>
  <c r="D43" i="108"/>
  <c r="E43" i="108"/>
  <c r="F43" i="108"/>
  <c r="D44" i="108"/>
  <c r="E44" i="108"/>
  <c r="F44" i="108"/>
  <c r="D45" i="108"/>
  <c r="D46" i="108"/>
  <c r="E46" i="108"/>
  <c r="D47" i="108"/>
  <c r="E47" i="108"/>
  <c r="D50" i="108"/>
  <c r="D48" i="108"/>
  <c r="E48" i="108"/>
  <c r="D49" i="108"/>
  <c r="E49" i="108"/>
  <c r="C41" i="108"/>
  <c r="C42" i="108"/>
  <c r="C43" i="108"/>
  <c r="C44" i="108"/>
  <c r="C45" i="108"/>
  <c r="C46" i="108"/>
  <c r="C47" i="108"/>
  <c r="C50" i="108"/>
  <c r="C48" i="108"/>
  <c r="C49" i="108"/>
  <c r="C40" i="108"/>
  <c r="D35" i="108"/>
  <c r="E35" i="108"/>
  <c r="E19" i="108"/>
  <c r="E20" i="108"/>
  <c r="E21" i="108"/>
  <c r="E27" i="108"/>
  <c r="E28" i="108"/>
  <c r="E17" i="108"/>
  <c r="AA27" i="44" l="1"/>
  <c r="AA19" i="44"/>
  <c r="Y28" i="44"/>
  <c r="AA28" i="44" s="1"/>
  <c r="Y20" i="44"/>
  <c r="Y21" i="44" s="1"/>
  <c r="AA21" i="44" s="1"/>
  <c r="AA20" i="44" l="1"/>
  <c r="E110" i="44"/>
  <c r="F110" i="44" s="1"/>
  <c r="D106" i="44"/>
  <c r="D103" i="44"/>
  <c r="R94" i="65" l="1"/>
  <c r="D15" i="108"/>
  <c r="D14" i="108"/>
  <c r="D28" i="108"/>
  <c r="D27" i="108"/>
  <c r="Z23" i="44" l="1"/>
  <c r="D23" i="108"/>
  <c r="Z24" i="44"/>
  <c r="D24" i="108"/>
  <c r="Z30" i="44"/>
  <c r="D30" i="108"/>
  <c r="Z25" i="44"/>
  <c r="D25" i="108"/>
  <c r="Z31" i="44"/>
  <c r="D31" i="108"/>
  <c r="C102" i="44"/>
  <c r="D11" i="108"/>
  <c r="C28" i="44"/>
  <c r="Z28" i="44"/>
  <c r="AB28" i="44" s="1"/>
  <c r="C27" i="44"/>
  <c r="Z27" i="44"/>
  <c r="AB27" i="44" s="1"/>
  <c r="C76" i="65"/>
  <c r="C76" i="60"/>
  <c r="Q63" i="56"/>
  <c r="C77" i="65" l="1"/>
  <c r="O34" i="76"/>
  <c r="Q64" i="56"/>
  <c r="C74" i="60"/>
  <c r="Q65" i="20"/>
  <c r="Q65" i="56"/>
  <c r="Q63" i="20"/>
  <c r="O35" i="76"/>
  <c r="C75" i="65"/>
  <c r="C75" i="60"/>
  <c r="Q64" i="20"/>
  <c r="P64" i="20" l="1"/>
  <c r="E34" i="91" s="1"/>
  <c r="P63" i="20"/>
  <c r="D63" i="56"/>
  <c r="E74" i="60" s="1"/>
  <c r="E63" i="56"/>
  <c r="F74" i="60" s="1"/>
  <c r="R74" i="60" s="1"/>
  <c r="AD74" i="60" s="1"/>
  <c r="F63" i="56"/>
  <c r="G74" i="60" s="1"/>
  <c r="G63" i="56"/>
  <c r="H74" i="60" s="1"/>
  <c r="H63" i="56"/>
  <c r="I74" i="60" s="1"/>
  <c r="I63" i="56"/>
  <c r="J74" i="60" s="1"/>
  <c r="V74" i="60" s="1"/>
  <c r="AH74" i="60" s="1"/>
  <c r="J63" i="56"/>
  <c r="K63" i="56"/>
  <c r="L74" i="60" s="1"/>
  <c r="L63" i="56"/>
  <c r="M74" i="60" s="1"/>
  <c r="M63" i="56"/>
  <c r="N74" i="60" s="1"/>
  <c r="Z74" i="60" s="1"/>
  <c r="N63" i="56"/>
  <c r="D64" i="56"/>
  <c r="E75" i="60" s="1"/>
  <c r="Q75" i="60" s="1"/>
  <c r="AC75" i="60" s="1"/>
  <c r="J64" i="56"/>
  <c r="K75" i="60" s="1"/>
  <c r="W75" i="60" s="1"/>
  <c r="AI75" i="60" s="1"/>
  <c r="AU75" i="60" s="1"/>
  <c r="BG75" i="60" s="1"/>
  <c r="BS75" i="60" s="1"/>
  <c r="CE75" i="60" s="1"/>
  <c r="K64" i="56"/>
  <c r="L75" i="60" s="1"/>
  <c r="X75" i="60" s="1"/>
  <c r="AJ75" i="60" s="1"/>
  <c r="L64" i="56"/>
  <c r="M75" i="60" s="1"/>
  <c r="Y75" i="60" s="1"/>
  <c r="M64" i="56"/>
  <c r="N75" i="60" s="1"/>
  <c r="Z75" i="60" s="1"/>
  <c r="N64" i="56"/>
  <c r="O75" i="60" s="1"/>
  <c r="AA75" i="60" s="1"/>
  <c r="AM75" i="60" s="1"/>
  <c r="AY75" i="60" s="1"/>
  <c r="BK75" i="60" s="1"/>
  <c r="BW75" i="60" s="1"/>
  <c r="CI75" i="60" s="1"/>
  <c r="C64" i="56"/>
  <c r="D75" i="60" s="1"/>
  <c r="P75" i="60" s="1"/>
  <c r="AB75" i="60" s="1"/>
  <c r="C63" i="56"/>
  <c r="D74" i="60" s="1"/>
  <c r="I64" i="56"/>
  <c r="J75" i="60" s="1"/>
  <c r="V75" i="60" s="1"/>
  <c r="AH75" i="60" s="1"/>
  <c r="F64" i="56"/>
  <c r="G75" i="60" s="1"/>
  <c r="S75" i="60" s="1"/>
  <c r="AE75" i="60" s="1"/>
  <c r="AQ75" i="60" s="1"/>
  <c r="BC75" i="60" s="1"/>
  <c r="BO75" i="60" s="1"/>
  <c r="CA75" i="60" s="1"/>
  <c r="G64" i="56"/>
  <c r="H75" i="60" s="1"/>
  <c r="T75" i="60" s="1"/>
  <c r="AF75" i="60" s="1"/>
  <c r="H64" i="56"/>
  <c r="I75" i="60" s="1"/>
  <c r="U75" i="60" s="1"/>
  <c r="AG75" i="60" s="1"/>
  <c r="E64" i="56"/>
  <c r="F75" i="60" s="1"/>
  <c r="R75" i="60" s="1"/>
  <c r="AD75" i="60" s="1"/>
  <c r="D65" i="56"/>
  <c r="G65" i="56"/>
  <c r="I65" i="56"/>
  <c r="J65" i="56"/>
  <c r="K65" i="56"/>
  <c r="L65" i="56"/>
  <c r="M65" i="56"/>
  <c r="N65" i="56"/>
  <c r="C65" i="56"/>
  <c r="F65" i="56" l="1"/>
  <c r="F66" i="56" s="1"/>
  <c r="E65" i="56"/>
  <c r="F76" i="60" s="1"/>
  <c r="R76" i="60" s="1"/>
  <c r="AD76" i="60" s="1"/>
  <c r="AD77" i="60" s="1"/>
  <c r="H65" i="56"/>
  <c r="N66" i="56"/>
  <c r="K74" i="60"/>
  <c r="W74" i="60" s="1"/>
  <c r="J66" i="56"/>
  <c r="O76" i="60"/>
  <c r="AA76" i="60" s="1"/>
  <c r="F77" i="65" s="1"/>
  <c r="K76" i="60"/>
  <c r="W76" i="60" s="1"/>
  <c r="AI76" i="60" s="1"/>
  <c r="AU76" i="60" s="1"/>
  <c r="BG76" i="60" s="1"/>
  <c r="BS76" i="60" s="1"/>
  <c r="CE76" i="60" s="1"/>
  <c r="E34" i="76"/>
  <c r="D76" i="60"/>
  <c r="P76" i="60" s="1"/>
  <c r="AB76" i="60" s="1"/>
  <c r="AN76" i="60" s="1"/>
  <c r="AZ76" i="60" s="1"/>
  <c r="BL76" i="60" s="1"/>
  <c r="BX76" i="60" s="1"/>
  <c r="AP75" i="60"/>
  <c r="BB75" i="60" s="1"/>
  <c r="BN75" i="60" s="1"/>
  <c r="BZ75" i="60" s="1"/>
  <c r="I76" i="115"/>
  <c r="I76" i="65"/>
  <c r="AN75" i="60"/>
  <c r="AZ75" i="60" s="1"/>
  <c r="BL75" i="60" s="1"/>
  <c r="BX75" i="60" s="1"/>
  <c r="G76" i="115"/>
  <c r="G76" i="65"/>
  <c r="AL75" i="60"/>
  <c r="AX75" i="60" s="1"/>
  <c r="BJ75" i="60" s="1"/>
  <c r="BV75" i="60" s="1"/>
  <c r="CH75" i="60" s="1"/>
  <c r="E76" i="115"/>
  <c r="E76" i="65"/>
  <c r="AT75" i="60"/>
  <c r="BF75" i="60" s="1"/>
  <c r="BR75" i="60" s="1"/>
  <c r="CD75" i="60" s="1"/>
  <c r="M76" i="115"/>
  <c r="M76" i="65"/>
  <c r="AK75" i="60"/>
  <c r="AW75" i="60" s="1"/>
  <c r="BI75" i="60" s="1"/>
  <c r="BU75" i="60" s="1"/>
  <c r="CG75" i="60" s="1"/>
  <c r="D76" i="65"/>
  <c r="D76" i="115"/>
  <c r="AS75" i="60"/>
  <c r="BE75" i="60" s="1"/>
  <c r="BQ75" i="60" s="1"/>
  <c r="CC75" i="60" s="1"/>
  <c r="L76" i="65"/>
  <c r="L76" i="115"/>
  <c r="AO75" i="60"/>
  <c r="BA75" i="60" s="1"/>
  <c r="BM75" i="60" s="1"/>
  <c r="BY75" i="60" s="1"/>
  <c r="H76" i="65"/>
  <c r="H76" i="115"/>
  <c r="I75" i="65"/>
  <c r="I75" i="115"/>
  <c r="AV75" i="60"/>
  <c r="BH75" i="60" s="1"/>
  <c r="BT75" i="60" s="1"/>
  <c r="CF75" i="60" s="1"/>
  <c r="O76" i="115"/>
  <c r="O76" i="65"/>
  <c r="AR75" i="60"/>
  <c r="BD75" i="60" s="1"/>
  <c r="BP75" i="60" s="1"/>
  <c r="CB75" i="60" s="1"/>
  <c r="K76" i="115"/>
  <c r="K76" i="65"/>
  <c r="M75" i="115"/>
  <c r="M75" i="65"/>
  <c r="AL74" i="60"/>
  <c r="AX74" i="60" s="1"/>
  <c r="E75" i="115"/>
  <c r="E75" i="65"/>
  <c r="F76" i="115"/>
  <c r="J76" i="115"/>
  <c r="N76" i="115"/>
  <c r="O74" i="60"/>
  <c r="F76" i="65"/>
  <c r="J76" i="65"/>
  <c r="N76" i="65"/>
  <c r="M66" i="56"/>
  <c r="I66" i="56"/>
  <c r="L66" i="56"/>
  <c r="D66" i="56"/>
  <c r="K66" i="56"/>
  <c r="G66" i="56"/>
  <c r="H76" i="60"/>
  <c r="T76" i="60" s="1"/>
  <c r="AF76" i="60" s="1"/>
  <c r="L76" i="60"/>
  <c r="X76" i="60" s="1"/>
  <c r="AJ76" i="60" s="1"/>
  <c r="E76" i="60"/>
  <c r="Q76" i="60" s="1"/>
  <c r="AC76" i="60" s="1"/>
  <c r="M76" i="60"/>
  <c r="Y76" i="60" s="1"/>
  <c r="P65" i="20"/>
  <c r="J76" i="60"/>
  <c r="V76" i="60" s="1"/>
  <c r="N76" i="60"/>
  <c r="Z76" i="60" s="1"/>
  <c r="Z77" i="60" s="1"/>
  <c r="S74" i="60"/>
  <c r="P74" i="60"/>
  <c r="T74" i="60"/>
  <c r="X74" i="60"/>
  <c r="Q74" i="60"/>
  <c r="U74" i="60"/>
  <c r="Y74" i="60"/>
  <c r="AP74" i="60"/>
  <c r="AT74" i="60"/>
  <c r="P64" i="56"/>
  <c r="P63" i="56"/>
  <c r="C66" i="56"/>
  <c r="E66" i="56" l="1"/>
  <c r="N77" i="65"/>
  <c r="K77" i="60"/>
  <c r="P65" i="56"/>
  <c r="F35" i="91" s="1"/>
  <c r="G76" i="60"/>
  <c r="S76" i="60" s="1"/>
  <c r="AE76" i="60" s="1"/>
  <c r="J77" i="115" s="1"/>
  <c r="I76" i="60"/>
  <c r="U76" i="60" s="1"/>
  <c r="AG76" i="60" s="1"/>
  <c r="L77" i="65" s="1"/>
  <c r="E77" i="60"/>
  <c r="H66" i="56"/>
  <c r="T77" i="60"/>
  <c r="F77" i="115"/>
  <c r="AM76" i="60"/>
  <c r="AY76" i="60" s="1"/>
  <c r="BK76" i="60" s="1"/>
  <c r="BW76" i="60" s="1"/>
  <c r="CI76" i="60" s="1"/>
  <c r="O77" i="60"/>
  <c r="P77" i="60"/>
  <c r="G77" i="115"/>
  <c r="D77" i="60"/>
  <c r="G77" i="65"/>
  <c r="N77" i="115"/>
  <c r="P66" i="20"/>
  <c r="L77" i="60"/>
  <c r="H77" i="60"/>
  <c r="P76" i="115"/>
  <c r="P76" i="65"/>
  <c r="F34" i="76"/>
  <c r="F34" i="91"/>
  <c r="H34" i="91" s="1"/>
  <c r="M34" i="91" s="1"/>
  <c r="AA74" i="60"/>
  <c r="AB74" i="60"/>
  <c r="AN74" i="60" s="1"/>
  <c r="D75" i="65"/>
  <c r="D75" i="115"/>
  <c r="AR76" i="60"/>
  <c r="BD76" i="60" s="1"/>
  <c r="BP76" i="60" s="1"/>
  <c r="CB76" i="60" s="1"/>
  <c r="K77" i="115"/>
  <c r="K77" i="65"/>
  <c r="R77" i="60"/>
  <c r="E35" i="91"/>
  <c r="E35" i="76"/>
  <c r="AP76" i="60"/>
  <c r="BB76" i="60" s="1"/>
  <c r="BN76" i="60" s="1"/>
  <c r="BZ76" i="60" s="1"/>
  <c r="I77" i="65"/>
  <c r="I78" i="65" s="1"/>
  <c r="I77" i="115"/>
  <c r="F77" i="60"/>
  <c r="M77" i="60"/>
  <c r="AL76" i="60"/>
  <c r="E77" i="65"/>
  <c r="E78" i="65" s="1"/>
  <c r="E77" i="115"/>
  <c r="AO76" i="60"/>
  <c r="BA76" i="60" s="1"/>
  <c r="BM76" i="60" s="1"/>
  <c r="BY76" i="60" s="1"/>
  <c r="H77" i="65"/>
  <c r="H77" i="115"/>
  <c r="N77" i="60"/>
  <c r="AK76" i="60"/>
  <c r="AW76" i="60" s="1"/>
  <c r="BI76" i="60" s="1"/>
  <c r="BU76" i="60" s="1"/>
  <c r="CG76" i="60" s="1"/>
  <c r="D77" i="65"/>
  <c r="D77" i="115"/>
  <c r="AH76" i="60"/>
  <c r="V77" i="60"/>
  <c r="J77" i="60"/>
  <c r="AV76" i="60"/>
  <c r="BH76" i="60" s="1"/>
  <c r="BT76" i="60" s="1"/>
  <c r="CF76" i="60" s="1"/>
  <c r="O77" i="115"/>
  <c r="O77" i="65"/>
  <c r="AK74" i="60"/>
  <c r="Y77" i="60"/>
  <c r="AJ74" i="60"/>
  <c r="X77" i="60"/>
  <c r="AI74" i="60"/>
  <c r="W77" i="60"/>
  <c r="AG74" i="60"/>
  <c r="AE74" i="60"/>
  <c r="AF74" i="60"/>
  <c r="AR74" i="60" s="1"/>
  <c r="AC74" i="60"/>
  <c r="Q77" i="60"/>
  <c r="BF74" i="60"/>
  <c r="BJ74" i="60"/>
  <c r="BB74" i="60"/>
  <c r="AQ76" i="60" l="1"/>
  <c r="BC76" i="60" s="1"/>
  <c r="BO76" i="60" s="1"/>
  <c r="CA76" i="60" s="1"/>
  <c r="P66" i="56"/>
  <c r="S77" i="60"/>
  <c r="J77" i="65"/>
  <c r="G77" i="60"/>
  <c r="U77" i="60"/>
  <c r="AS76" i="60"/>
  <c r="BE76" i="60" s="1"/>
  <c r="BQ76" i="60" s="1"/>
  <c r="CC76" i="60" s="1"/>
  <c r="I77" i="60"/>
  <c r="F35" i="76"/>
  <c r="L77" i="115"/>
  <c r="AB77" i="60"/>
  <c r="H35" i="91"/>
  <c r="M35" i="91" s="1"/>
  <c r="H35" i="76"/>
  <c r="M35" i="76" s="1"/>
  <c r="I78" i="115"/>
  <c r="E78" i="115"/>
  <c r="J75" i="115"/>
  <c r="J75" i="65"/>
  <c r="F75" i="115"/>
  <c r="F75" i="65"/>
  <c r="F78" i="65" s="1"/>
  <c r="K75" i="115"/>
  <c r="K78" i="115" s="1"/>
  <c r="K75" i="65"/>
  <c r="K78" i="65" s="1"/>
  <c r="N75" i="115"/>
  <c r="N75" i="65"/>
  <c r="N78" i="65" s="1"/>
  <c r="AA77" i="60"/>
  <c r="AM74" i="60"/>
  <c r="AY74" i="60" s="1"/>
  <c r="L75" i="65"/>
  <c r="L78" i="65" s="1"/>
  <c r="L75" i="115"/>
  <c r="O75" i="115"/>
  <c r="O78" i="115" s="1"/>
  <c r="O75" i="65"/>
  <c r="O78" i="65" s="1"/>
  <c r="AF77" i="60"/>
  <c r="H75" i="115"/>
  <c r="H78" i="115" s="1"/>
  <c r="H75" i="65"/>
  <c r="H78" i="65" s="1"/>
  <c r="G75" i="115"/>
  <c r="G75" i="65"/>
  <c r="G78" i="65" s="1"/>
  <c r="AP77" i="60"/>
  <c r="D78" i="115"/>
  <c r="D78" i="65"/>
  <c r="AX76" i="60"/>
  <c r="AL77" i="60"/>
  <c r="AT76" i="60"/>
  <c r="M77" i="65"/>
  <c r="M78" i="65" s="1"/>
  <c r="M77" i="115"/>
  <c r="AH77" i="60"/>
  <c r="AG77" i="60"/>
  <c r="AS74" i="60"/>
  <c r="AV74" i="60"/>
  <c r="AJ77" i="60"/>
  <c r="AO74" i="60"/>
  <c r="AC77" i="60"/>
  <c r="AQ74" i="60"/>
  <c r="AE77" i="60"/>
  <c r="AI77" i="60"/>
  <c r="AU74" i="60"/>
  <c r="AK77" i="60"/>
  <c r="AW74" i="60"/>
  <c r="BD74" i="60"/>
  <c r="AR77" i="60"/>
  <c r="BB77" i="60"/>
  <c r="BN74" i="60"/>
  <c r="AN77" i="60"/>
  <c r="AZ74" i="60"/>
  <c r="BV74" i="60"/>
  <c r="BR74" i="60"/>
  <c r="J78" i="65" l="1"/>
  <c r="G78" i="115"/>
  <c r="L78" i="115"/>
  <c r="F78" i="115"/>
  <c r="P75" i="65"/>
  <c r="J78" i="115"/>
  <c r="N78" i="115"/>
  <c r="M78" i="115"/>
  <c r="AM77" i="60"/>
  <c r="P75" i="115"/>
  <c r="BF76" i="60"/>
  <c r="AT77" i="60"/>
  <c r="P77" i="65"/>
  <c r="BJ76" i="60"/>
  <c r="AX77" i="60"/>
  <c r="P77" i="115"/>
  <c r="BG74" i="60"/>
  <c r="AU77" i="60"/>
  <c r="BE74" i="60"/>
  <c r="AS77" i="60"/>
  <c r="BA74" i="60"/>
  <c r="AO77" i="60"/>
  <c r="BI74" i="60"/>
  <c r="AW77" i="60"/>
  <c r="BC74" i="60"/>
  <c r="AQ77" i="60"/>
  <c r="AV77" i="60"/>
  <c r="BH74" i="60"/>
  <c r="AY77" i="60"/>
  <c r="BK74" i="60"/>
  <c r="BZ74" i="60"/>
  <c r="BZ77" i="60" s="1"/>
  <c r="BN77" i="60"/>
  <c r="CH74" i="60"/>
  <c r="BP74" i="60"/>
  <c r="BD77" i="60"/>
  <c r="CD74" i="60"/>
  <c r="AZ77" i="60"/>
  <c r="BL74" i="60"/>
  <c r="P78" i="115" l="1"/>
  <c r="P78" i="65"/>
  <c r="BV76" i="60"/>
  <c r="BJ77" i="60"/>
  <c r="BR76" i="60"/>
  <c r="BF77" i="60"/>
  <c r="BT74" i="60"/>
  <c r="BH77" i="60"/>
  <c r="BQ74" i="60"/>
  <c r="BE77" i="60"/>
  <c r="BW74" i="60"/>
  <c r="BK77" i="60"/>
  <c r="BU74" i="60"/>
  <c r="BI77" i="60"/>
  <c r="BO74" i="60"/>
  <c r="BC77" i="60"/>
  <c r="BA77" i="60"/>
  <c r="BM74" i="60"/>
  <c r="BS74" i="60"/>
  <c r="BG77" i="60"/>
  <c r="BL77" i="60"/>
  <c r="BX74" i="60"/>
  <c r="BX77" i="60" s="1"/>
  <c r="BP77" i="60"/>
  <c r="CB74" i="60"/>
  <c r="CB77" i="60" s="1"/>
  <c r="CH76" i="60" l="1"/>
  <c r="CH77" i="60" s="1"/>
  <c r="BV77" i="60"/>
  <c r="CD76" i="60"/>
  <c r="CD77" i="60" s="1"/>
  <c r="BR77" i="60"/>
  <c r="BQ77" i="60"/>
  <c r="CC74" i="60"/>
  <c r="CC77" i="60" s="1"/>
  <c r="BM77" i="60"/>
  <c r="BY74" i="60"/>
  <c r="BY77" i="60" s="1"/>
  <c r="CG74" i="60"/>
  <c r="CG77" i="60" s="1"/>
  <c r="BU77" i="60"/>
  <c r="BS77" i="60"/>
  <c r="CE74" i="60"/>
  <c r="CE77" i="60" s="1"/>
  <c r="CA74" i="60"/>
  <c r="CA77" i="60" s="1"/>
  <c r="BO77" i="60"/>
  <c r="CI74" i="60"/>
  <c r="CI77" i="60" s="1"/>
  <c r="BW77" i="60"/>
  <c r="BT77" i="60"/>
  <c r="CF74" i="60"/>
  <c r="CF77" i="60" s="1"/>
  <c r="O38" i="113" l="1"/>
  <c r="O41" i="113" s="1"/>
  <c r="P38" i="113"/>
  <c r="P41" i="113" s="1"/>
  <c r="Q38" i="113"/>
  <c r="Q41" i="113" s="1"/>
  <c r="R38" i="113"/>
  <c r="R41" i="113" s="1"/>
  <c r="S38" i="113"/>
  <c r="T38" i="113"/>
  <c r="U38" i="113"/>
  <c r="U41" i="113" s="1"/>
  <c r="V38" i="113"/>
  <c r="V41" i="113" s="1"/>
  <c r="W38" i="113"/>
  <c r="X38" i="113"/>
  <c r="X41" i="113" s="1"/>
  <c r="Y38" i="113"/>
  <c r="Y41" i="113" s="1"/>
  <c r="Z38" i="113"/>
  <c r="Z41" i="113" s="1"/>
  <c r="AA38" i="113"/>
  <c r="AB38" i="113"/>
  <c r="AC38" i="113"/>
  <c r="AC41" i="113" s="1"/>
  <c r="AD38" i="113"/>
  <c r="AD41" i="113" s="1"/>
  <c r="AE38" i="113"/>
  <c r="AF38" i="113"/>
  <c r="AF41" i="113" s="1"/>
  <c r="AG38" i="113"/>
  <c r="AG41" i="113" s="1"/>
  <c r="AH38" i="113"/>
  <c r="AH41" i="113" s="1"/>
  <c r="AI38" i="113"/>
  <c r="AJ38" i="113"/>
  <c r="AK38" i="113"/>
  <c r="AK41" i="113" s="1"/>
  <c r="AL38" i="113"/>
  <c r="AL41" i="113" s="1"/>
  <c r="AM38" i="113"/>
  <c r="AN38" i="113"/>
  <c r="AN41" i="113" s="1"/>
  <c r="AO38" i="113"/>
  <c r="AO41" i="113" s="1"/>
  <c r="AP38" i="113"/>
  <c r="AP41" i="113" s="1"/>
  <c r="AQ38" i="113"/>
  <c r="AR38" i="113"/>
  <c r="AS38" i="113"/>
  <c r="AS41" i="113" s="1"/>
  <c r="AT38" i="113"/>
  <c r="AT41" i="113" s="1"/>
  <c r="AU38" i="113"/>
  <c r="AV38" i="113"/>
  <c r="AV41" i="113" s="1"/>
  <c r="AW38" i="113"/>
  <c r="AW41" i="113" s="1"/>
  <c r="AX38" i="113"/>
  <c r="AX41" i="113" s="1"/>
  <c r="AY38" i="113"/>
  <c r="AZ38" i="113"/>
  <c r="BA38" i="113"/>
  <c r="BA41" i="113" s="1"/>
  <c r="BB38" i="113"/>
  <c r="BB41" i="113" s="1"/>
  <c r="BC38" i="113"/>
  <c r="BD38" i="113"/>
  <c r="BD41" i="113" s="1"/>
  <c r="BE38" i="113"/>
  <c r="BE41" i="113" s="1"/>
  <c r="BF38" i="113"/>
  <c r="BF41" i="113" s="1"/>
  <c r="BG38" i="113"/>
  <c r="BH38" i="113"/>
  <c r="BI38" i="113"/>
  <c r="BI41" i="113" s="1"/>
  <c r="BJ38" i="113"/>
  <c r="BJ41" i="113" s="1"/>
  <c r="BK38" i="113"/>
  <c r="BL38" i="113"/>
  <c r="BL41" i="113" s="1"/>
  <c r="BM38" i="113"/>
  <c r="BM41" i="113" s="1"/>
  <c r="BN38" i="113"/>
  <c r="BN41" i="113" s="1"/>
  <c r="BO38" i="113"/>
  <c r="BP38" i="113"/>
  <c r="BQ38" i="113"/>
  <c r="BQ41" i="113" s="1"/>
  <c r="BR38" i="113"/>
  <c r="BR41" i="113" s="1"/>
  <c r="BS38" i="113"/>
  <c r="BT38" i="113"/>
  <c r="BT41" i="113" s="1"/>
  <c r="BU38" i="113"/>
  <c r="BU41" i="113" s="1"/>
  <c r="BV38" i="113"/>
  <c r="BV41" i="113" s="1"/>
  <c r="BW38" i="113"/>
  <c r="BX38" i="113"/>
  <c r="BY38" i="113"/>
  <c r="BY41" i="113" s="1"/>
  <c r="BZ38" i="113"/>
  <c r="BZ41" i="113" s="1"/>
  <c r="CA38" i="113"/>
  <c r="CB38" i="113"/>
  <c r="CB41" i="113" s="1"/>
  <c r="CC38" i="113"/>
  <c r="CC41" i="113" s="1"/>
  <c r="CD38" i="113"/>
  <c r="CD41" i="113" s="1"/>
  <c r="CE38" i="113"/>
  <c r="CF38" i="113"/>
  <c r="CG38" i="113"/>
  <c r="CG41" i="113" s="1"/>
  <c r="CH38" i="113"/>
  <c r="CH41" i="113" s="1"/>
  <c r="S41" i="113"/>
  <c r="T41" i="113"/>
  <c r="W41" i="113"/>
  <c r="AA41" i="113"/>
  <c r="AB41" i="113"/>
  <c r="AE41" i="113"/>
  <c r="AI41" i="113"/>
  <c r="AJ41" i="113"/>
  <c r="AM41" i="113"/>
  <c r="AQ41" i="113"/>
  <c r="AR41" i="113"/>
  <c r="AU41" i="113"/>
  <c r="AY41" i="113"/>
  <c r="AZ41" i="113"/>
  <c r="BC41" i="113"/>
  <c r="BG41" i="113"/>
  <c r="BH41" i="113"/>
  <c r="BK41" i="113"/>
  <c r="BO41" i="113"/>
  <c r="BP41" i="113"/>
  <c r="BS41" i="113"/>
  <c r="BW41" i="113"/>
  <c r="BX41" i="113"/>
  <c r="CA41" i="113"/>
  <c r="CE41" i="113"/>
  <c r="CF41" i="113"/>
  <c r="D99" i="60" l="1"/>
  <c r="H34" i="76" l="1"/>
  <c r="M34" i="76" s="1"/>
  <c r="H49" i="80"/>
  <c r="D47" i="80" l="1"/>
  <c r="E47" i="80"/>
  <c r="F47" i="80"/>
  <c r="G47" i="80"/>
  <c r="H47" i="80"/>
  <c r="D43" i="80" l="1"/>
  <c r="C51" i="80"/>
  <c r="E43" i="80" l="1"/>
  <c r="D51" i="80"/>
  <c r="F43" i="80" l="1"/>
  <c r="E51" i="80"/>
  <c r="G43" i="80" l="1"/>
  <c r="G51" i="80" s="1"/>
  <c r="F51" i="80"/>
  <c r="D24" i="80" l="1"/>
  <c r="E24" i="80" s="1"/>
  <c r="F24" i="80" s="1"/>
  <c r="G24" i="80" s="1"/>
  <c r="H24" i="80" s="1"/>
  <c r="I24" i="80" s="1"/>
  <c r="J24" i="80" s="1"/>
  <c r="K24" i="80" s="1"/>
  <c r="L24" i="80" s="1"/>
  <c r="M24" i="80" s="1"/>
  <c r="N24" i="80" s="1"/>
  <c r="O24" i="80" s="1"/>
  <c r="P24" i="80" s="1"/>
  <c r="Q24" i="80" s="1"/>
  <c r="R24" i="80" s="1"/>
  <c r="S24" i="80" s="1"/>
  <c r="T24" i="80" s="1"/>
  <c r="U24" i="80" s="1"/>
  <c r="V24" i="80" s="1"/>
  <c r="W24" i="80" s="1"/>
  <c r="X24" i="80" s="1"/>
  <c r="Y24" i="80" s="1"/>
  <c r="Z24" i="80" s="1"/>
  <c r="AA24" i="80" s="1"/>
  <c r="AB24" i="80" s="1"/>
  <c r="AC24" i="80" s="1"/>
  <c r="AD24" i="80" s="1"/>
  <c r="AE24" i="80" s="1"/>
  <c r="AF24" i="80" s="1"/>
  <c r="AG24" i="80" s="1"/>
  <c r="AH24" i="80" s="1"/>
  <c r="AI24" i="80" s="1"/>
  <c r="AJ24" i="80" s="1"/>
  <c r="AK24" i="80" s="1"/>
  <c r="AL24" i="80" s="1"/>
  <c r="AM24" i="80" s="1"/>
  <c r="AN24" i="80" s="1"/>
  <c r="AO24" i="80" s="1"/>
  <c r="AP24" i="80" s="1"/>
  <c r="AQ24" i="80" s="1"/>
  <c r="AR24" i="80" s="1"/>
  <c r="AS24" i="80" s="1"/>
  <c r="AT24" i="80" s="1"/>
  <c r="AU24" i="80" s="1"/>
  <c r="AV24" i="80" s="1"/>
  <c r="AW24" i="80" s="1"/>
  <c r="AX24" i="80" s="1"/>
  <c r="AY24" i="80" s="1"/>
  <c r="AZ24" i="80" s="1"/>
  <c r="BA24" i="80" s="1"/>
  <c r="BB24" i="80" s="1"/>
  <c r="BC24" i="80" s="1"/>
  <c r="BD24" i="80" s="1"/>
  <c r="BE24" i="80" s="1"/>
  <c r="BF24" i="80" s="1"/>
  <c r="BG24" i="80" s="1"/>
  <c r="BH24" i="80" s="1"/>
  <c r="BI24" i="80" s="1"/>
  <c r="BJ24" i="80" s="1"/>
  <c r="BK24" i="80" s="1"/>
  <c r="BL24" i="80" s="1"/>
  <c r="BM24" i="80" s="1"/>
  <c r="BN24" i="80" s="1"/>
  <c r="BO24" i="80" s="1"/>
  <c r="BP24" i="80" s="1"/>
  <c r="BQ24" i="80" s="1"/>
  <c r="BR24" i="80" s="1"/>
  <c r="BS24" i="80" s="1"/>
  <c r="BT24" i="80" s="1"/>
  <c r="BU24" i="80" s="1"/>
  <c r="BV24" i="80" s="1"/>
  <c r="BW24" i="80" s="1"/>
  <c r="BX24" i="80" s="1"/>
  <c r="BY24" i="80" s="1"/>
  <c r="BZ24" i="80" s="1"/>
  <c r="CA24" i="80" s="1"/>
  <c r="CB24" i="80" s="1"/>
  <c r="CC24" i="80" s="1"/>
  <c r="CD24" i="80" s="1"/>
  <c r="CB58" i="80" l="1"/>
  <c r="CD57" i="80"/>
  <c r="CD68" i="80" s="1"/>
  <c r="CC57" i="80"/>
  <c r="CC68" i="80" s="1"/>
  <c r="CB57" i="80"/>
  <c r="CB68" i="80" s="1"/>
  <c r="CD58" i="80"/>
  <c r="CC58" i="80"/>
  <c r="CD20" i="80"/>
  <c r="CD19" i="80"/>
  <c r="CD18" i="80"/>
  <c r="CC15" i="80"/>
  <c r="CB15" i="80"/>
  <c r="CC14" i="80"/>
  <c r="CB14" i="80"/>
  <c r="CC13" i="80"/>
  <c r="CB13" i="80"/>
  <c r="CC16" i="80" l="1"/>
  <c r="CC59" i="80" s="1"/>
  <c r="CB16" i="80"/>
  <c r="CB59" i="80" s="1"/>
  <c r="CD21" i="80"/>
  <c r="CD60" i="80" s="1"/>
  <c r="D78" i="56" l="1"/>
  <c r="E78" i="56"/>
  <c r="F78" i="56"/>
  <c r="G78" i="56"/>
  <c r="H78" i="56"/>
  <c r="I78" i="56"/>
  <c r="J78" i="56"/>
  <c r="K78" i="56"/>
  <c r="L78" i="56"/>
  <c r="M78" i="56"/>
  <c r="N78" i="56"/>
  <c r="C78" i="56"/>
  <c r="C80" i="56" s="1"/>
  <c r="D83" i="56"/>
  <c r="E83" i="56"/>
  <c r="F83" i="56"/>
  <c r="G83" i="56"/>
  <c r="H83" i="56"/>
  <c r="I83" i="56"/>
  <c r="J83" i="56"/>
  <c r="K83" i="56"/>
  <c r="L83" i="56"/>
  <c r="M83" i="56"/>
  <c r="N83" i="56"/>
  <c r="C83" i="56"/>
  <c r="N82" i="56"/>
  <c r="M82" i="56"/>
  <c r="L82" i="56"/>
  <c r="K82" i="56"/>
  <c r="J82" i="56"/>
  <c r="I82" i="56"/>
  <c r="H82" i="56"/>
  <c r="G82" i="56"/>
  <c r="F82" i="56"/>
  <c r="E82" i="56"/>
  <c r="D82" i="56"/>
  <c r="C82" i="56"/>
  <c r="N59" i="56"/>
  <c r="M59" i="56"/>
  <c r="L59" i="56"/>
  <c r="K59" i="56"/>
  <c r="J59" i="56"/>
  <c r="I59" i="56"/>
  <c r="H59" i="56"/>
  <c r="G59" i="56"/>
  <c r="F59" i="56"/>
  <c r="E59" i="56"/>
  <c r="D59" i="56"/>
  <c r="C59" i="56"/>
  <c r="N57" i="56"/>
  <c r="M57" i="56"/>
  <c r="L57" i="56"/>
  <c r="K57" i="56"/>
  <c r="J57" i="56"/>
  <c r="I57" i="56"/>
  <c r="H57" i="56"/>
  <c r="G57" i="56"/>
  <c r="F57" i="56"/>
  <c r="E57" i="56"/>
  <c r="N53" i="56"/>
  <c r="N55" i="56" s="1"/>
  <c r="M53" i="56"/>
  <c r="M55" i="56" s="1"/>
  <c r="L53" i="56"/>
  <c r="L55" i="56" s="1"/>
  <c r="K53" i="56"/>
  <c r="K55" i="56" s="1"/>
  <c r="J53" i="56"/>
  <c r="J55" i="56" s="1"/>
  <c r="I53" i="56"/>
  <c r="I55" i="56" s="1"/>
  <c r="H53" i="56"/>
  <c r="H55" i="56" s="1"/>
  <c r="G53" i="56"/>
  <c r="G55" i="56" s="1"/>
  <c r="F53" i="56"/>
  <c r="F55" i="56" s="1"/>
  <c r="E53" i="56"/>
  <c r="E55" i="56" s="1"/>
  <c r="N74" i="56"/>
  <c r="M74" i="56"/>
  <c r="L74" i="56"/>
  <c r="K74" i="56"/>
  <c r="J74" i="56"/>
  <c r="I74" i="56"/>
  <c r="H74" i="56"/>
  <c r="G74" i="56"/>
  <c r="F74" i="56"/>
  <c r="E74" i="56"/>
  <c r="D74" i="56"/>
  <c r="C74" i="56"/>
  <c r="N73" i="56"/>
  <c r="M73" i="56"/>
  <c r="L73" i="56"/>
  <c r="K73" i="56"/>
  <c r="J73" i="56"/>
  <c r="I73" i="56"/>
  <c r="H73" i="56"/>
  <c r="G73" i="56"/>
  <c r="F73" i="56"/>
  <c r="E73" i="56"/>
  <c r="D73" i="56"/>
  <c r="C73" i="56"/>
  <c r="N69" i="56"/>
  <c r="N71" i="56" s="1"/>
  <c r="M69" i="56"/>
  <c r="M71" i="56" s="1"/>
  <c r="L69" i="56"/>
  <c r="L71" i="56" s="1"/>
  <c r="K69" i="56"/>
  <c r="K71" i="56" s="1"/>
  <c r="J69" i="56"/>
  <c r="J71" i="56" s="1"/>
  <c r="I69" i="56"/>
  <c r="I71" i="56" s="1"/>
  <c r="H69" i="56"/>
  <c r="H71" i="56" s="1"/>
  <c r="G69" i="56"/>
  <c r="G71" i="56" s="1"/>
  <c r="F69" i="56"/>
  <c r="F71" i="56" s="1"/>
  <c r="E69" i="56"/>
  <c r="E71" i="56" s="1"/>
  <c r="D69" i="56"/>
  <c r="D71" i="56" s="1"/>
  <c r="C69" i="56"/>
  <c r="C71" i="56" s="1"/>
  <c r="N49" i="56"/>
  <c r="M49" i="56"/>
  <c r="L49" i="56"/>
  <c r="K49" i="56"/>
  <c r="J49" i="56"/>
  <c r="I49" i="56"/>
  <c r="H49" i="56"/>
  <c r="G49" i="56"/>
  <c r="F49" i="56"/>
  <c r="E49" i="56"/>
  <c r="D49" i="56"/>
  <c r="C49" i="56"/>
  <c r="N48" i="56"/>
  <c r="M48" i="56"/>
  <c r="L48" i="56"/>
  <c r="K48" i="56"/>
  <c r="J48" i="56"/>
  <c r="I48" i="56"/>
  <c r="H48" i="56"/>
  <c r="G48" i="56"/>
  <c r="F48" i="56"/>
  <c r="E48" i="56"/>
  <c r="D48" i="56"/>
  <c r="C48" i="56"/>
  <c r="N47" i="56"/>
  <c r="M47" i="56"/>
  <c r="L47" i="56"/>
  <c r="K47" i="56"/>
  <c r="J47" i="56"/>
  <c r="I47" i="56"/>
  <c r="H47" i="56"/>
  <c r="G47" i="56"/>
  <c r="F47" i="56"/>
  <c r="E47" i="56"/>
  <c r="D47" i="56"/>
  <c r="C47" i="56"/>
  <c r="N30" i="56"/>
  <c r="M30" i="56"/>
  <c r="L30" i="56"/>
  <c r="K30" i="56"/>
  <c r="J30" i="56"/>
  <c r="I30" i="56"/>
  <c r="H30" i="56"/>
  <c r="G30" i="56"/>
  <c r="F30" i="56"/>
  <c r="E30" i="56"/>
  <c r="D30" i="56"/>
  <c r="C30" i="56"/>
  <c r="N29" i="56"/>
  <c r="M29" i="56"/>
  <c r="L29" i="56"/>
  <c r="K29" i="56"/>
  <c r="J29" i="56"/>
  <c r="I29" i="56"/>
  <c r="H29" i="56"/>
  <c r="G29" i="56"/>
  <c r="F29" i="56"/>
  <c r="E29" i="56"/>
  <c r="D29" i="56"/>
  <c r="C29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D57" i="56"/>
  <c r="C57" i="56"/>
  <c r="D53" i="56"/>
  <c r="D55" i="56" s="1"/>
  <c r="C53" i="56"/>
  <c r="C55" i="56" s="1"/>
  <c r="N27" i="56"/>
  <c r="M27" i="56"/>
  <c r="L27" i="56"/>
  <c r="K27" i="56"/>
  <c r="J27" i="56"/>
  <c r="I27" i="56"/>
  <c r="H27" i="56"/>
  <c r="G27" i="56"/>
  <c r="F27" i="56"/>
  <c r="E27" i="56"/>
  <c r="D27" i="56"/>
  <c r="C27" i="56"/>
  <c r="N58" i="56"/>
  <c r="M58" i="56"/>
  <c r="L58" i="56"/>
  <c r="K58" i="56"/>
  <c r="J58" i="56"/>
  <c r="I58" i="56"/>
  <c r="H58" i="56"/>
  <c r="G58" i="56"/>
  <c r="F58" i="56"/>
  <c r="E58" i="56"/>
  <c r="D58" i="56"/>
  <c r="C58" i="56"/>
  <c r="C60" i="56" l="1"/>
  <c r="D60" i="56"/>
  <c r="G60" i="56"/>
  <c r="K60" i="56"/>
  <c r="H60" i="56"/>
  <c r="L60" i="56"/>
  <c r="E60" i="56"/>
  <c r="I60" i="56"/>
  <c r="M60" i="56"/>
  <c r="F60" i="56"/>
  <c r="J60" i="56"/>
  <c r="N60" i="56"/>
  <c r="D21" i="108" l="1"/>
  <c r="D20" i="108"/>
  <c r="D34" i="108" l="1"/>
  <c r="H33" i="44"/>
  <c r="E34" i="108" s="1"/>
  <c r="Z19" i="44"/>
  <c r="AB19" i="44" s="1"/>
  <c r="D19" i="108"/>
  <c r="C20" i="44"/>
  <c r="Z20" i="44"/>
  <c r="AB20" i="44" s="1"/>
  <c r="C21" i="44"/>
  <c r="Z21" i="44"/>
  <c r="AB21" i="44" s="1"/>
  <c r="C19" i="44"/>
  <c r="C103" i="44"/>
  <c r="CD15" i="80" l="1"/>
  <c r="CD14" i="80"/>
  <c r="G139" i="80"/>
  <c r="G138" i="80"/>
  <c r="F139" i="80"/>
  <c r="F138" i="80"/>
  <c r="E139" i="80"/>
  <c r="E138" i="80"/>
  <c r="G137" i="80" l="1"/>
  <c r="G140" i="80" s="1"/>
  <c r="F137" i="80"/>
  <c r="F140" i="80" s="1"/>
  <c r="E137" i="80"/>
  <c r="E140" i="80" s="1"/>
  <c r="G129" i="80" l="1"/>
  <c r="F129" i="80"/>
  <c r="E129" i="80"/>
  <c r="C13" i="80"/>
  <c r="D13" i="80"/>
  <c r="E13" i="80"/>
  <c r="F13" i="80"/>
  <c r="G13" i="80"/>
  <c r="C14" i="80"/>
  <c r="D14" i="80"/>
  <c r="E14" i="80"/>
  <c r="F14" i="80"/>
  <c r="G14" i="80"/>
  <c r="C15" i="80"/>
  <c r="D15" i="80"/>
  <c r="E15" i="80"/>
  <c r="F15" i="80"/>
  <c r="G15" i="80"/>
  <c r="C18" i="80"/>
  <c r="D18" i="80"/>
  <c r="E18" i="80"/>
  <c r="F18" i="80"/>
  <c r="G18" i="80"/>
  <c r="C19" i="80"/>
  <c r="D19" i="80"/>
  <c r="E19" i="80"/>
  <c r="F19" i="80"/>
  <c r="G19" i="80"/>
  <c r="C20" i="80"/>
  <c r="D20" i="80"/>
  <c r="E20" i="80"/>
  <c r="F20" i="80"/>
  <c r="G20" i="80"/>
  <c r="D16" i="80" l="1"/>
  <c r="C16" i="80"/>
  <c r="G16" i="80"/>
  <c r="E16" i="80"/>
  <c r="G21" i="80"/>
  <c r="C21" i="80"/>
  <c r="D21" i="80"/>
  <c r="E21" i="80"/>
  <c r="F21" i="80"/>
  <c r="F16" i="80"/>
  <c r="C35" i="80" l="1"/>
  <c r="G35" i="80"/>
  <c r="D35" i="80"/>
  <c r="E35" i="80"/>
  <c r="F35" i="80"/>
  <c r="CC35" i="80"/>
  <c r="CD35" i="80"/>
  <c r="CB35" i="80"/>
  <c r="CB19" i="80" l="1"/>
  <c r="CB20" i="80"/>
  <c r="BC18" i="80"/>
  <c r="BO20" i="80"/>
  <c r="BN20" i="80"/>
  <c r="BM20" i="80"/>
  <c r="BL20" i="80"/>
  <c r="BK20" i="80"/>
  <c r="BC20" i="80"/>
  <c r="BB20" i="80"/>
  <c r="BA20" i="80"/>
  <c r="AZ20" i="80"/>
  <c r="AY20" i="80"/>
  <c r="AQ20" i="80"/>
  <c r="AP20" i="80"/>
  <c r="AO20" i="80"/>
  <c r="AN20" i="80"/>
  <c r="AM20" i="80"/>
  <c r="AE20" i="80"/>
  <c r="AD20" i="80"/>
  <c r="AC20" i="80"/>
  <c r="AB20" i="80"/>
  <c r="AA20" i="80"/>
  <c r="BO19" i="80"/>
  <c r="BN19" i="80"/>
  <c r="BM19" i="80"/>
  <c r="BL19" i="80"/>
  <c r="BK19" i="80"/>
  <c r="BC19" i="80"/>
  <c r="BB19" i="80"/>
  <c r="BA19" i="80"/>
  <c r="AZ19" i="80"/>
  <c r="AY19" i="80"/>
  <c r="AQ19" i="80"/>
  <c r="AP19" i="80"/>
  <c r="AO19" i="80"/>
  <c r="AN19" i="80"/>
  <c r="AM19" i="80"/>
  <c r="AE19" i="80"/>
  <c r="AD19" i="80"/>
  <c r="AC19" i="80"/>
  <c r="AB19" i="80"/>
  <c r="AA19" i="80"/>
  <c r="BN18" i="80"/>
  <c r="BM18" i="80"/>
  <c r="BL18" i="80"/>
  <c r="BK18" i="80"/>
  <c r="BB18" i="80"/>
  <c r="BA18" i="80"/>
  <c r="AZ18" i="80"/>
  <c r="AY18" i="80"/>
  <c r="AQ18" i="80"/>
  <c r="AP18" i="80"/>
  <c r="AO18" i="80"/>
  <c r="AN18" i="80"/>
  <c r="AM18" i="80"/>
  <c r="AE18" i="80"/>
  <c r="AD18" i="80"/>
  <c r="AC18" i="80"/>
  <c r="AB18" i="80"/>
  <c r="AA18" i="80"/>
  <c r="BU15" i="80"/>
  <c r="BT15" i="80"/>
  <c r="BS15" i="80"/>
  <c r="BR15" i="80"/>
  <c r="BQ15" i="80"/>
  <c r="BP15" i="80"/>
  <c r="BJ15" i="80"/>
  <c r="BI15" i="80"/>
  <c r="BH15" i="80"/>
  <c r="BG15" i="80"/>
  <c r="BF15" i="80"/>
  <c r="BE15" i="80"/>
  <c r="BD15" i="80"/>
  <c r="AX15" i="80"/>
  <c r="AW15" i="80"/>
  <c r="AV15" i="80"/>
  <c r="AU15" i="80"/>
  <c r="AT15" i="80"/>
  <c r="AS15" i="80"/>
  <c r="AR15" i="80"/>
  <c r="AL15" i="80"/>
  <c r="AK15" i="80"/>
  <c r="AJ15" i="80"/>
  <c r="AI15" i="80"/>
  <c r="AH15" i="80"/>
  <c r="AG15" i="80"/>
  <c r="AF15" i="80"/>
  <c r="Z15" i="80"/>
  <c r="Y15" i="80"/>
  <c r="X15" i="80"/>
  <c r="W15" i="80"/>
  <c r="V15" i="80"/>
  <c r="U15" i="80"/>
  <c r="T15" i="80"/>
  <c r="BU14" i="80"/>
  <c r="BT14" i="80"/>
  <c r="BS14" i="80"/>
  <c r="BR14" i="80"/>
  <c r="BQ14" i="80"/>
  <c r="BP14" i="80"/>
  <c r="BJ14" i="80"/>
  <c r="BI14" i="80"/>
  <c r="BH14" i="80"/>
  <c r="BG14" i="80"/>
  <c r="BF14" i="80"/>
  <c r="BE14" i="80"/>
  <c r="BD14" i="80"/>
  <c r="AX14" i="80"/>
  <c r="AW14" i="80"/>
  <c r="AV14" i="80"/>
  <c r="AU14" i="80"/>
  <c r="AT14" i="80"/>
  <c r="AS14" i="80"/>
  <c r="AR14" i="80"/>
  <c r="AL14" i="80"/>
  <c r="AK14" i="80"/>
  <c r="AJ14" i="80"/>
  <c r="AI14" i="80"/>
  <c r="AH14" i="80"/>
  <c r="AG14" i="80"/>
  <c r="AF14" i="80"/>
  <c r="Z14" i="80"/>
  <c r="Y14" i="80"/>
  <c r="X14" i="80"/>
  <c r="W14" i="80"/>
  <c r="V14" i="80"/>
  <c r="U14" i="80"/>
  <c r="T14" i="80"/>
  <c r="BU13" i="80"/>
  <c r="BT13" i="80"/>
  <c r="BS13" i="80"/>
  <c r="BR13" i="80"/>
  <c r="BQ13" i="80"/>
  <c r="BP13" i="80"/>
  <c r="BJ13" i="80"/>
  <c r="BI13" i="80"/>
  <c r="BH13" i="80"/>
  <c r="BG13" i="80"/>
  <c r="BF13" i="80"/>
  <c r="BE13" i="80"/>
  <c r="BD13" i="80"/>
  <c r="AX13" i="80"/>
  <c r="AW13" i="80"/>
  <c r="AV13" i="80"/>
  <c r="AU13" i="80"/>
  <c r="AT13" i="80"/>
  <c r="AS13" i="80"/>
  <c r="AR13" i="80"/>
  <c r="AL13" i="80"/>
  <c r="AK13" i="80"/>
  <c r="AJ13" i="80"/>
  <c r="AI13" i="80"/>
  <c r="AH13" i="80"/>
  <c r="AG13" i="80"/>
  <c r="AF13" i="80"/>
  <c r="Z13" i="80"/>
  <c r="Y13" i="80"/>
  <c r="X13" i="80"/>
  <c r="W13" i="80"/>
  <c r="V13" i="80"/>
  <c r="U13" i="80"/>
  <c r="T13" i="80"/>
  <c r="S20" i="80"/>
  <c r="R20" i="80"/>
  <c r="Q20" i="80"/>
  <c r="P20" i="80"/>
  <c r="O20" i="80"/>
  <c r="S19" i="80"/>
  <c r="R19" i="80"/>
  <c r="Q19" i="80"/>
  <c r="P19" i="80"/>
  <c r="O19" i="80"/>
  <c r="S18" i="80"/>
  <c r="R18" i="80"/>
  <c r="Q18" i="80"/>
  <c r="P18" i="80"/>
  <c r="O18" i="80"/>
  <c r="I15" i="80"/>
  <c r="H15" i="80"/>
  <c r="I14" i="80"/>
  <c r="H14" i="80"/>
  <c r="I13" i="80"/>
  <c r="H13" i="80"/>
  <c r="N15" i="80"/>
  <c r="M15" i="80"/>
  <c r="L15" i="80"/>
  <c r="K15" i="80"/>
  <c r="J15" i="80"/>
  <c r="N14" i="80"/>
  <c r="M14" i="80"/>
  <c r="L14" i="80"/>
  <c r="K14" i="80"/>
  <c r="J14" i="80"/>
  <c r="N13" i="80"/>
  <c r="M13" i="80"/>
  <c r="L13" i="80"/>
  <c r="K13" i="80"/>
  <c r="J13" i="80"/>
  <c r="T16" i="80" l="1"/>
  <c r="X16" i="80"/>
  <c r="AG16" i="80"/>
  <c r="AA21" i="80"/>
  <c r="AE21" i="80"/>
  <c r="AP21" i="80"/>
  <c r="AD21" i="80"/>
  <c r="AO21" i="80"/>
  <c r="AZ21" i="80"/>
  <c r="BK21" i="80"/>
  <c r="BA21" i="80"/>
  <c r="CC19" i="80"/>
  <c r="CC20" i="80"/>
  <c r="BL21" i="80"/>
  <c r="K16" i="80"/>
  <c r="P21" i="80"/>
  <c r="M16" i="80"/>
  <c r="CD13" i="80"/>
  <c r="CD16" i="80" s="1"/>
  <c r="CD59" i="80" s="1"/>
  <c r="BT16" i="80"/>
  <c r="BG16" i="80"/>
  <c r="BP16" i="80"/>
  <c r="AX16" i="80"/>
  <c r="AT16" i="80"/>
  <c r="AK16" i="80"/>
  <c r="S21" i="80"/>
  <c r="O21" i="80"/>
  <c r="R21" i="80"/>
  <c r="Q21" i="80"/>
  <c r="Y16" i="80"/>
  <c r="AL16" i="80"/>
  <c r="BD16" i="80"/>
  <c r="BU16" i="80"/>
  <c r="J16" i="80"/>
  <c r="N16" i="80"/>
  <c r="L16" i="80"/>
  <c r="H16" i="80"/>
  <c r="V16" i="80"/>
  <c r="Z16" i="80"/>
  <c r="AI16" i="80"/>
  <c r="AR16" i="80"/>
  <c r="AV16" i="80"/>
  <c r="BE16" i="80"/>
  <c r="BI16" i="80"/>
  <c r="BR16" i="80"/>
  <c r="AB21" i="80"/>
  <c r="AM21" i="80"/>
  <c r="AQ21" i="80"/>
  <c r="BB21" i="80"/>
  <c r="BM21" i="80"/>
  <c r="U16" i="80"/>
  <c r="AH16" i="80"/>
  <c r="AU16" i="80"/>
  <c r="BH16" i="80"/>
  <c r="BQ16" i="80"/>
  <c r="I16" i="80"/>
  <c r="W16" i="80"/>
  <c r="AF16" i="80"/>
  <c r="AJ16" i="80"/>
  <c r="AS16" i="80"/>
  <c r="AW16" i="80"/>
  <c r="BF16" i="80"/>
  <c r="BJ16" i="80"/>
  <c r="BS16" i="80"/>
  <c r="AC21" i="80"/>
  <c r="AN21" i="80"/>
  <c r="AY21" i="80"/>
  <c r="BC21" i="80"/>
  <c r="BN21" i="80"/>
  <c r="BO18" i="80" l="1"/>
  <c r="F56" i="61"/>
  <c r="E51" i="61"/>
  <c r="E48" i="61"/>
  <c r="E41" i="61"/>
  <c r="E39" i="61"/>
  <c r="H38" i="61"/>
  <c r="E38" i="61"/>
  <c r="H27" i="61"/>
  <c r="H20" i="61"/>
  <c r="H12" i="61"/>
  <c r="BO21" i="80" l="1"/>
  <c r="C51" i="115"/>
  <c r="C59" i="115" s="1"/>
  <c r="C50" i="115"/>
  <c r="C58" i="115" s="1"/>
  <c r="C25" i="115"/>
  <c r="C34" i="115" s="1"/>
  <c r="C43" i="115" s="1"/>
  <c r="C24" i="115"/>
  <c r="C33" i="115" s="1"/>
  <c r="C42" i="115" s="1"/>
  <c r="C23" i="115"/>
  <c r="C32" i="115" s="1"/>
  <c r="C41" i="115" s="1"/>
  <c r="C16" i="115"/>
  <c r="C15" i="115"/>
  <c r="C14" i="115"/>
  <c r="G12" i="91"/>
  <c r="CB18" i="80" l="1"/>
  <c r="D26" i="60"/>
  <c r="E26" i="60"/>
  <c r="F26" i="60"/>
  <c r="G26" i="60"/>
  <c r="H26" i="60"/>
  <c r="I26" i="60"/>
  <c r="J26" i="60"/>
  <c r="K26" i="60"/>
  <c r="L26" i="60"/>
  <c r="M26" i="60"/>
  <c r="N26" i="60"/>
  <c r="O26" i="60"/>
  <c r="CB21" i="80" l="1"/>
  <c r="CB60" i="80" s="1"/>
  <c r="CC18" i="80"/>
  <c r="CC21" i="80" l="1"/>
  <c r="CC60" i="80" s="1"/>
  <c r="O21" i="60" l="1"/>
  <c r="N21" i="60"/>
  <c r="M21" i="60"/>
  <c r="L21" i="60"/>
  <c r="K21" i="60"/>
  <c r="J21" i="60"/>
  <c r="I21" i="60"/>
  <c r="H21" i="60"/>
  <c r="G21" i="60"/>
  <c r="F21" i="60"/>
  <c r="E21" i="60"/>
  <c r="D21" i="60"/>
  <c r="O12" i="60"/>
  <c r="N12" i="60"/>
  <c r="M12" i="60"/>
  <c r="L12" i="60"/>
  <c r="E11" i="78" s="1"/>
  <c r="K12" i="60"/>
  <c r="D11" i="78" s="1"/>
  <c r="J12" i="60"/>
  <c r="C11" i="78" s="1"/>
  <c r="I12" i="60"/>
  <c r="H12" i="60"/>
  <c r="G12" i="60"/>
  <c r="F12" i="60"/>
  <c r="E12" i="60"/>
  <c r="D12" i="60"/>
  <c r="AG7" i="78" l="1"/>
  <c r="AH7" i="78" s="1"/>
  <c r="AI7" i="78" s="1"/>
  <c r="AJ7" i="78" s="1"/>
  <c r="AK7" i="78" s="1"/>
  <c r="AL7" i="78" s="1"/>
  <c r="B12" i="82" l="1"/>
  <c r="F9" i="76" l="1"/>
  <c r="F9" i="91" s="1"/>
  <c r="I6" i="55" l="1"/>
  <c r="H30" i="83"/>
  <c r="H29" i="83" s="1"/>
  <c r="H28" i="83" s="1"/>
  <c r="H27" i="83" s="1"/>
  <c r="H26" i="83" s="1"/>
  <c r="H25" i="83" s="1"/>
  <c r="H24" i="83" s="1"/>
  <c r="H23" i="83" s="1"/>
  <c r="H22" i="83" s="1"/>
  <c r="I30" i="83"/>
  <c r="I29" i="83" s="1"/>
  <c r="I28" i="83" s="1"/>
  <c r="I27" i="83" s="1"/>
  <c r="I26" i="83" s="1"/>
  <c r="I25" i="83" s="1"/>
  <c r="I24" i="83" s="1"/>
  <c r="I23" i="83" s="1"/>
  <c r="I22" i="83" s="1"/>
  <c r="I6" i="56" l="1"/>
  <c r="I6" i="20" s="1"/>
  <c r="J5" i="64" s="1"/>
  <c r="D4" i="82" s="1"/>
  <c r="A6" i="113"/>
  <c r="P73" i="113" l="1"/>
  <c r="Q73" i="113" s="1"/>
  <c r="R73" i="113" s="1"/>
  <c r="S73" i="113" s="1"/>
  <c r="T73" i="113" s="1"/>
  <c r="P47" i="113"/>
  <c r="Q47" i="113" s="1"/>
  <c r="R47" i="113" s="1"/>
  <c r="S47" i="113" s="1"/>
  <c r="T47" i="113" s="1"/>
  <c r="U47" i="113" s="1"/>
  <c r="V47" i="113" s="1"/>
  <c r="W47" i="113" s="1"/>
  <c r="X47" i="113" s="1"/>
  <c r="Y47" i="113" s="1"/>
  <c r="Z47" i="113" s="1"/>
  <c r="AA47" i="113" s="1"/>
  <c r="AB47" i="113" s="1"/>
  <c r="AC47" i="113" s="1"/>
  <c r="AD47" i="113" s="1"/>
  <c r="AE47" i="113" s="1"/>
  <c r="AF47" i="113" s="1"/>
  <c r="AG47" i="113" s="1"/>
  <c r="AH47" i="113" s="1"/>
  <c r="AI47" i="113" s="1"/>
  <c r="AJ47" i="113" s="1"/>
  <c r="AK47" i="113" s="1"/>
  <c r="AL47" i="113" s="1"/>
  <c r="AM47" i="113" s="1"/>
  <c r="AN47" i="113" s="1"/>
  <c r="AO47" i="113" s="1"/>
  <c r="AP47" i="113" s="1"/>
  <c r="AQ47" i="113" s="1"/>
  <c r="AR47" i="113" s="1"/>
  <c r="AS47" i="113" s="1"/>
  <c r="AT47" i="113" s="1"/>
  <c r="AU47" i="113" s="1"/>
  <c r="AV47" i="113" s="1"/>
  <c r="AW47" i="113" s="1"/>
  <c r="AX47" i="113" s="1"/>
  <c r="AY47" i="113" s="1"/>
  <c r="AZ47" i="113" s="1"/>
  <c r="BA47" i="113" s="1"/>
  <c r="BB47" i="113" s="1"/>
  <c r="BC47" i="113" s="1"/>
  <c r="BD47" i="113" s="1"/>
  <c r="BE47" i="113" s="1"/>
  <c r="BF47" i="113" s="1"/>
  <c r="BG47" i="113" s="1"/>
  <c r="BH47" i="113" s="1"/>
  <c r="BI47" i="113" s="1"/>
  <c r="BJ47" i="113" s="1"/>
  <c r="BK47" i="113" s="1"/>
  <c r="BL47" i="113" s="1"/>
  <c r="BM47" i="113" s="1"/>
  <c r="BN47" i="113" s="1"/>
  <c r="BO47" i="113" s="1"/>
  <c r="BP47" i="113" s="1"/>
  <c r="BQ47" i="113" s="1"/>
  <c r="BR47" i="113" s="1"/>
  <c r="BS47" i="113" s="1"/>
  <c r="BT47" i="113" s="1"/>
  <c r="BU47" i="113" s="1"/>
  <c r="BV47" i="113" s="1"/>
  <c r="BW47" i="113" s="1"/>
  <c r="BX47" i="113" s="1"/>
  <c r="BY47" i="113" s="1"/>
  <c r="BZ47" i="113" s="1"/>
  <c r="CA47" i="113" s="1"/>
  <c r="CB47" i="113" s="1"/>
  <c r="CC47" i="113" s="1"/>
  <c r="CD47" i="113" s="1"/>
  <c r="CE47" i="113" s="1"/>
  <c r="CF47" i="113" s="1"/>
  <c r="CG47" i="113" s="1"/>
  <c r="CH47" i="113" s="1"/>
  <c r="P46" i="113"/>
  <c r="Q46" i="113" s="1"/>
  <c r="U73" i="113" l="1"/>
  <c r="V73" i="113" s="1"/>
  <c r="W73" i="113" s="1"/>
  <c r="X73" i="113" s="1"/>
  <c r="Y73" i="113" s="1"/>
  <c r="Z73" i="113" s="1"/>
  <c r="AA73" i="113" s="1"/>
  <c r="AB73" i="113" s="1"/>
  <c r="AC73" i="113" s="1"/>
  <c r="AD73" i="113" s="1"/>
  <c r="AE73" i="113" s="1"/>
  <c r="AF73" i="113" s="1"/>
  <c r="AG73" i="113" s="1"/>
  <c r="AH73" i="113" s="1"/>
  <c r="AI73" i="113" s="1"/>
  <c r="AJ73" i="113" s="1"/>
  <c r="AK73" i="113" s="1"/>
  <c r="AL73" i="113" s="1"/>
  <c r="AM73" i="113" s="1"/>
  <c r="AN73" i="113" s="1"/>
  <c r="AO73" i="113" s="1"/>
  <c r="AP73" i="113" s="1"/>
  <c r="AQ73" i="113" s="1"/>
  <c r="AR73" i="113" s="1"/>
  <c r="AS73" i="113" s="1"/>
  <c r="AT73" i="113" s="1"/>
  <c r="AU73" i="113" s="1"/>
  <c r="AV73" i="113" s="1"/>
  <c r="AW73" i="113" s="1"/>
  <c r="AX73" i="113" s="1"/>
  <c r="AY73" i="113" s="1"/>
  <c r="AZ73" i="113" s="1"/>
  <c r="BA73" i="113" s="1"/>
  <c r="BB73" i="113" s="1"/>
  <c r="BC73" i="113" s="1"/>
  <c r="BD73" i="113" s="1"/>
  <c r="BE73" i="113" s="1"/>
  <c r="BF73" i="113" s="1"/>
  <c r="BG73" i="113" s="1"/>
  <c r="BH73" i="113" s="1"/>
  <c r="BI73" i="113" s="1"/>
  <c r="BJ73" i="113" s="1"/>
  <c r="BK73" i="113" s="1"/>
  <c r="BL73" i="113" s="1"/>
  <c r="BM73" i="113" s="1"/>
  <c r="BN73" i="113" s="1"/>
  <c r="BO73" i="113" s="1"/>
  <c r="BP73" i="113" s="1"/>
  <c r="BQ73" i="113" s="1"/>
  <c r="BR73" i="113" s="1"/>
  <c r="BS73" i="113" s="1"/>
  <c r="BT73" i="113" s="1"/>
  <c r="BU73" i="113" s="1"/>
  <c r="BV73" i="113" s="1"/>
  <c r="BW73" i="113" s="1"/>
  <c r="BX73" i="113" s="1"/>
  <c r="BY73" i="113" s="1"/>
  <c r="BZ73" i="113" s="1"/>
  <c r="CA73" i="113" s="1"/>
  <c r="CB73" i="113" s="1"/>
  <c r="CC73" i="113" s="1"/>
  <c r="CD73" i="113" s="1"/>
  <c r="CE73" i="113" s="1"/>
  <c r="CF73" i="113" s="1"/>
  <c r="CG73" i="113" s="1"/>
  <c r="CH73" i="113" s="1"/>
  <c r="R46" i="113"/>
  <c r="S46" i="113" l="1"/>
  <c r="T46" i="113" l="1"/>
  <c r="C10" i="113"/>
  <c r="D10" i="113" s="1"/>
  <c r="D9" i="20" l="1"/>
  <c r="E10" i="113"/>
  <c r="D9" i="56"/>
  <c r="D9" i="55"/>
  <c r="C9" i="20"/>
  <c r="C9" i="56"/>
  <c r="D8" i="60"/>
  <c r="C9" i="55"/>
  <c r="U46" i="113"/>
  <c r="T9" i="20" l="1"/>
  <c r="E4" i="117"/>
  <c r="U9" i="20"/>
  <c r="F4" i="117"/>
  <c r="F10" i="113"/>
  <c r="E9" i="55"/>
  <c r="E9" i="20"/>
  <c r="E9" i="56"/>
  <c r="E8" i="60"/>
  <c r="V46" i="113"/>
  <c r="V9" i="20" l="1"/>
  <c r="G4" i="117"/>
  <c r="F9" i="56"/>
  <c r="G10" i="113"/>
  <c r="F9" i="20"/>
  <c r="F9" i="55"/>
  <c r="F8" i="60"/>
  <c r="W46" i="113"/>
  <c r="W9" i="20" l="1"/>
  <c r="H4" i="117"/>
  <c r="G9" i="55"/>
  <c r="G9" i="56"/>
  <c r="H10" i="113"/>
  <c r="G9" i="20"/>
  <c r="G8" i="60"/>
  <c r="X46" i="113"/>
  <c r="X9" i="20" l="1"/>
  <c r="I4" i="117"/>
  <c r="H9" i="20"/>
  <c r="H9" i="56"/>
  <c r="I10" i="113"/>
  <c r="H9" i="55"/>
  <c r="H8" i="60"/>
  <c r="Y46" i="113"/>
  <c r="Y9" i="20" l="1"/>
  <c r="J4" i="117"/>
  <c r="J10" i="113"/>
  <c r="I9" i="55"/>
  <c r="I9" i="20"/>
  <c r="I9" i="56"/>
  <c r="I8" i="60"/>
  <c r="Z46" i="113"/>
  <c r="Z9" i="20" l="1"/>
  <c r="K4" i="117"/>
  <c r="K10" i="113"/>
  <c r="J9" i="20"/>
  <c r="J9" i="55"/>
  <c r="J9" i="56"/>
  <c r="J8" i="60"/>
  <c r="AA46" i="113"/>
  <c r="AA9" i="20" l="1"/>
  <c r="L4" i="117"/>
  <c r="K9" i="55"/>
  <c r="L10" i="113"/>
  <c r="K9" i="20"/>
  <c r="K9" i="56"/>
  <c r="K8" i="60"/>
  <c r="C4" i="80" s="1"/>
  <c r="AB46" i="113"/>
  <c r="AB9" i="20" l="1"/>
  <c r="M4" i="117"/>
  <c r="L9" i="20"/>
  <c r="L9" i="56"/>
  <c r="M10" i="113"/>
  <c r="L9" i="55"/>
  <c r="L8" i="60"/>
  <c r="D4" i="80" s="1"/>
  <c r="AC46" i="113"/>
  <c r="D8" i="64"/>
  <c r="P19" i="113"/>
  <c r="Q19" i="113" s="1"/>
  <c r="R19" i="113" s="1"/>
  <c r="S19" i="113" s="1"/>
  <c r="T19" i="113" s="1"/>
  <c r="U19" i="113" s="1"/>
  <c r="V19" i="113" s="1"/>
  <c r="W19" i="113" s="1"/>
  <c r="X19" i="113" s="1"/>
  <c r="Y19" i="113" s="1"/>
  <c r="Z19" i="113" s="1"/>
  <c r="AA19" i="113" s="1"/>
  <c r="AB19" i="113" s="1"/>
  <c r="AC19" i="113" s="1"/>
  <c r="AD19" i="113" s="1"/>
  <c r="AE19" i="113" s="1"/>
  <c r="AF19" i="113" s="1"/>
  <c r="AG19" i="113" s="1"/>
  <c r="AH19" i="113" s="1"/>
  <c r="AI19" i="113" s="1"/>
  <c r="AJ19" i="113" s="1"/>
  <c r="AK19" i="113" s="1"/>
  <c r="AL19" i="113" s="1"/>
  <c r="AM19" i="113" s="1"/>
  <c r="AN19" i="113" s="1"/>
  <c r="AO19" i="113" s="1"/>
  <c r="AP19" i="113" s="1"/>
  <c r="AQ19" i="113" s="1"/>
  <c r="AR19" i="113" s="1"/>
  <c r="AS19" i="113" s="1"/>
  <c r="AT19" i="113" s="1"/>
  <c r="AU19" i="113" s="1"/>
  <c r="AV19" i="113" s="1"/>
  <c r="AW19" i="113" s="1"/>
  <c r="AX19" i="113" s="1"/>
  <c r="AY19" i="113" s="1"/>
  <c r="AZ19" i="113" s="1"/>
  <c r="BA19" i="113" s="1"/>
  <c r="BB19" i="113" s="1"/>
  <c r="BC19" i="113" s="1"/>
  <c r="BD19" i="113" s="1"/>
  <c r="BE19" i="113" s="1"/>
  <c r="BF19" i="113" s="1"/>
  <c r="BG19" i="113" s="1"/>
  <c r="BH19" i="113" s="1"/>
  <c r="BI19" i="113" s="1"/>
  <c r="BJ19" i="113" s="1"/>
  <c r="BK19" i="113" s="1"/>
  <c r="BL19" i="113" s="1"/>
  <c r="BM19" i="113" s="1"/>
  <c r="BN19" i="113" s="1"/>
  <c r="BO19" i="113" s="1"/>
  <c r="BP19" i="113" s="1"/>
  <c r="BQ19" i="113" s="1"/>
  <c r="BR19" i="113" s="1"/>
  <c r="BS19" i="113" s="1"/>
  <c r="BT19" i="113" s="1"/>
  <c r="BU19" i="113" s="1"/>
  <c r="BV19" i="113" s="1"/>
  <c r="BW19" i="113" s="1"/>
  <c r="BX19" i="113" s="1"/>
  <c r="BY19" i="113" s="1"/>
  <c r="BZ19" i="113" s="1"/>
  <c r="CA19" i="113" s="1"/>
  <c r="CB19" i="113" s="1"/>
  <c r="CC19" i="113" s="1"/>
  <c r="CD19" i="113" s="1"/>
  <c r="CE19" i="113" s="1"/>
  <c r="CF19" i="113" s="1"/>
  <c r="CG19" i="113" s="1"/>
  <c r="CH19" i="113" s="1"/>
  <c r="K459" i="82"/>
  <c r="L459" i="82"/>
  <c r="M459" i="82"/>
  <c r="N459" i="82"/>
  <c r="O459" i="82"/>
  <c r="E48" i="82"/>
  <c r="AC9" i="20" l="1"/>
  <c r="N4" i="117"/>
  <c r="M9" i="56"/>
  <c r="N10" i="113"/>
  <c r="M9" i="55"/>
  <c r="M9" i="20"/>
  <c r="M8" i="60"/>
  <c r="E4" i="80" s="1"/>
  <c r="K48" i="82"/>
  <c r="M48" i="82"/>
  <c r="B76" i="82"/>
  <c r="D48" i="82"/>
  <c r="AD46" i="113"/>
  <c r="AD9" i="20" l="1"/>
  <c r="O4" i="117"/>
  <c r="N9" i="56"/>
  <c r="N9" i="20"/>
  <c r="N9" i="55"/>
  <c r="N8" i="60"/>
  <c r="F4" i="80" s="1"/>
  <c r="F48" i="82"/>
  <c r="C49" i="82"/>
  <c r="B13" i="82" s="1"/>
  <c r="L48" i="82"/>
  <c r="J76" i="82"/>
  <c r="B77" i="82"/>
  <c r="AE46" i="113"/>
  <c r="C85" i="60"/>
  <c r="C86" i="65" s="1"/>
  <c r="C84" i="60"/>
  <c r="C85" i="65" s="1"/>
  <c r="E52" i="61" s="1"/>
  <c r="C70" i="60"/>
  <c r="C69" i="60"/>
  <c r="C80" i="60"/>
  <c r="C81" i="65" s="1"/>
  <c r="C64" i="60"/>
  <c r="C65" i="65" s="1"/>
  <c r="AE9" i="20" l="1"/>
  <c r="P4" i="117"/>
  <c r="C70" i="65"/>
  <c r="E50" i="61" s="1"/>
  <c r="C71" i="65"/>
  <c r="Q77" i="65" s="1"/>
  <c r="Q76" i="65"/>
  <c r="C89" i="60"/>
  <c r="C90" i="65" s="1"/>
  <c r="C90" i="115"/>
  <c r="O10" i="113"/>
  <c r="O8" i="60"/>
  <c r="G4" i="80" s="1"/>
  <c r="C68" i="60"/>
  <c r="K49" i="82"/>
  <c r="D49" i="82"/>
  <c r="B78" i="82"/>
  <c r="J77" i="82"/>
  <c r="N48" i="82"/>
  <c r="E49" i="82"/>
  <c r="M49" i="82" s="1"/>
  <c r="AF46" i="113"/>
  <c r="C69" i="65" l="1"/>
  <c r="E49" i="61" s="1"/>
  <c r="P10" i="113"/>
  <c r="P8" i="60"/>
  <c r="H4" i="80" s="1"/>
  <c r="B79" i="82"/>
  <c r="J78" i="82"/>
  <c r="C50" i="82"/>
  <c r="B14" i="82" s="1"/>
  <c r="F49" i="82"/>
  <c r="N49" i="82" s="1"/>
  <c r="L49" i="82"/>
  <c r="AG46" i="113"/>
  <c r="AH7" i="72"/>
  <c r="Q75" i="65" l="1"/>
  <c r="O74" i="65"/>
  <c r="K74" i="65"/>
  <c r="G74" i="65"/>
  <c r="N74" i="65"/>
  <c r="J74" i="65"/>
  <c r="F74" i="65"/>
  <c r="M74" i="65"/>
  <c r="I74" i="65"/>
  <c r="E74" i="65"/>
  <c r="L74" i="65"/>
  <c r="H74" i="65"/>
  <c r="D74" i="65"/>
  <c r="CG73" i="60"/>
  <c r="CC73" i="60"/>
  <c r="BY73" i="60"/>
  <c r="BU73" i="60"/>
  <c r="BQ73" i="60"/>
  <c r="BM73" i="60"/>
  <c r="BI73" i="60"/>
  <c r="BE73" i="60"/>
  <c r="BA73" i="60"/>
  <c r="AW73" i="60"/>
  <c r="AS73" i="60"/>
  <c r="AO73" i="60"/>
  <c r="AK73" i="60"/>
  <c r="AG73" i="60"/>
  <c r="AC73" i="60"/>
  <c r="Y73" i="60"/>
  <c r="U73" i="60"/>
  <c r="Q73" i="60"/>
  <c r="M73" i="60"/>
  <c r="I73" i="60"/>
  <c r="E73" i="60"/>
  <c r="CD73" i="60"/>
  <c r="BR73" i="60"/>
  <c r="BB73" i="60"/>
  <c r="AT73" i="60"/>
  <c r="AH73" i="60"/>
  <c r="V73" i="60"/>
  <c r="J73" i="60"/>
  <c r="CF73" i="60"/>
  <c r="CB73" i="60"/>
  <c r="BX73" i="60"/>
  <c r="BT73" i="60"/>
  <c r="BP73" i="60"/>
  <c r="BL73" i="60"/>
  <c r="BH73" i="60"/>
  <c r="BD73" i="60"/>
  <c r="AZ73" i="60"/>
  <c r="AV73" i="60"/>
  <c r="AR73" i="60"/>
  <c r="AN73" i="60"/>
  <c r="AJ73" i="60"/>
  <c r="AF73" i="60"/>
  <c r="AB73" i="60"/>
  <c r="X73" i="60"/>
  <c r="T73" i="60"/>
  <c r="P73" i="60"/>
  <c r="L73" i="60"/>
  <c r="H73" i="60"/>
  <c r="D73" i="60"/>
  <c r="CH73" i="60"/>
  <c r="BV73" i="60"/>
  <c r="BJ73" i="60"/>
  <c r="AX73" i="60"/>
  <c r="AL73" i="60"/>
  <c r="Z73" i="60"/>
  <c r="CI73" i="60"/>
  <c r="CE73" i="60"/>
  <c r="CA73" i="60"/>
  <c r="BW73" i="60"/>
  <c r="BS73" i="60"/>
  <c r="BO73" i="60"/>
  <c r="BK73" i="60"/>
  <c r="BG73" i="60"/>
  <c r="BC73" i="60"/>
  <c r="AY73" i="60"/>
  <c r="AU73" i="60"/>
  <c r="AQ73" i="60"/>
  <c r="AM73" i="60"/>
  <c r="AI73" i="60"/>
  <c r="AE73" i="60"/>
  <c r="AA73" i="60"/>
  <c r="W73" i="60"/>
  <c r="S73" i="60"/>
  <c r="O73" i="60"/>
  <c r="K73" i="60"/>
  <c r="G73" i="60"/>
  <c r="BZ73" i="60"/>
  <c r="BN73" i="60"/>
  <c r="BF73" i="60"/>
  <c r="AP73" i="60"/>
  <c r="AD73" i="60"/>
  <c r="N73" i="60"/>
  <c r="R73" i="60"/>
  <c r="F73" i="60"/>
  <c r="Q10" i="113"/>
  <c r="Q8" i="60"/>
  <c r="I4" i="80" s="1"/>
  <c r="D50" i="82"/>
  <c r="K50" i="82"/>
  <c r="B80" i="82"/>
  <c r="J79" i="82"/>
  <c r="AH46" i="113"/>
  <c r="Q78" i="65" l="1"/>
  <c r="P74" i="65"/>
  <c r="R10" i="113"/>
  <c r="R8" i="60"/>
  <c r="J4" i="80" s="1"/>
  <c r="B81" i="82"/>
  <c r="J80" i="82"/>
  <c r="C51" i="82"/>
  <c r="B15" i="82" s="1"/>
  <c r="F50" i="82"/>
  <c r="N50" i="82" s="1"/>
  <c r="L50" i="82"/>
  <c r="AI46" i="113"/>
  <c r="S10" i="113" l="1"/>
  <c r="S8" i="60"/>
  <c r="K4" i="80" s="1"/>
  <c r="D51" i="82"/>
  <c r="K51" i="82"/>
  <c r="B82" i="82"/>
  <c r="J81" i="82"/>
  <c r="AJ46" i="113"/>
  <c r="T10" i="113" l="1"/>
  <c r="T8" i="60"/>
  <c r="L4" i="80" s="1"/>
  <c r="B83" i="82"/>
  <c r="J82" i="82"/>
  <c r="C52" i="82"/>
  <c r="B16" i="82" s="1"/>
  <c r="F51" i="82"/>
  <c r="N51" i="82" s="1"/>
  <c r="L51" i="82"/>
  <c r="AK46" i="113"/>
  <c r="U10" i="113" l="1"/>
  <c r="U8" i="60"/>
  <c r="M4" i="80" s="1"/>
  <c r="D52" i="82"/>
  <c r="K52" i="82"/>
  <c r="B84" i="82"/>
  <c r="J83" i="82"/>
  <c r="AL46" i="113"/>
  <c r="V10" i="113" l="1"/>
  <c r="V8" i="60"/>
  <c r="N4" i="80" s="1"/>
  <c r="B85" i="82"/>
  <c r="J84" i="82"/>
  <c r="C53" i="82"/>
  <c r="B17" i="82" s="1"/>
  <c r="L52" i="82"/>
  <c r="F52" i="82"/>
  <c r="N52" i="82" s="1"/>
  <c r="AM46" i="113"/>
  <c r="W10" i="113" l="1"/>
  <c r="W8" i="60"/>
  <c r="O4" i="80" s="1"/>
  <c r="D53" i="82"/>
  <c r="K53" i="82"/>
  <c r="B86" i="82"/>
  <c r="J85" i="82"/>
  <c r="AN46" i="113"/>
  <c r="H17" i="44"/>
  <c r="X10" i="113" l="1"/>
  <c r="X8" i="60"/>
  <c r="P4" i="80" s="1"/>
  <c r="B87" i="82"/>
  <c r="J86" i="82"/>
  <c r="C54" i="82"/>
  <c r="B18" i="82" s="1"/>
  <c r="F53" i="82"/>
  <c r="N53" i="82" s="1"/>
  <c r="L53" i="82"/>
  <c r="AO46" i="113"/>
  <c r="C69" i="115" l="1"/>
  <c r="Q75" i="115" s="1"/>
  <c r="E23" i="108"/>
  <c r="AA23" i="44"/>
  <c r="AB23" i="44" s="1"/>
  <c r="Y10" i="113"/>
  <c r="Y8" i="60"/>
  <c r="D54" i="82"/>
  <c r="K54" i="82"/>
  <c r="B88" i="82"/>
  <c r="J87" i="82"/>
  <c r="AP46" i="113"/>
  <c r="U88" i="44"/>
  <c r="Q4" i="80" l="1"/>
  <c r="B9" i="83"/>
  <c r="T7" i="72" s="1"/>
  <c r="C3" i="81"/>
  <c r="Z10" i="113"/>
  <c r="Z8" i="60"/>
  <c r="R4" i="80" s="1"/>
  <c r="B89" i="82"/>
  <c r="J88" i="82"/>
  <c r="C55" i="82"/>
  <c r="B19" i="82" s="1"/>
  <c r="L54" i="82"/>
  <c r="F54" i="82"/>
  <c r="N54" i="82" s="1"/>
  <c r="AQ46" i="113"/>
  <c r="D9" i="115" l="1"/>
  <c r="R7" i="72"/>
  <c r="D9" i="65"/>
  <c r="U7" i="72"/>
  <c r="T7" i="78"/>
  <c r="D3" i="81"/>
  <c r="AA10" i="113"/>
  <c r="AA8" i="60"/>
  <c r="S4" i="80" s="1"/>
  <c r="D55" i="82"/>
  <c r="K55" i="82"/>
  <c r="B90" i="82"/>
  <c r="J89" i="82"/>
  <c r="AR46" i="113"/>
  <c r="Q7" i="72" l="1"/>
  <c r="R7" i="78"/>
  <c r="U7" i="78"/>
  <c r="E9" i="115"/>
  <c r="E9" i="65"/>
  <c r="V7" i="72"/>
  <c r="C85" i="115"/>
  <c r="E30" i="108"/>
  <c r="AA30" i="44"/>
  <c r="AB30" i="44" s="1"/>
  <c r="C86" i="115"/>
  <c r="E31" i="108"/>
  <c r="AA31" i="44"/>
  <c r="AB31" i="44" s="1"/>
  <c r="C71" i="115"/>
  <c r="Q77" i="115" s="1"/>
  <c r="E25" i="108"/>
  <c r="AA25" i="44"/>
  <c r="AB25" i="44" s="1"/>
  <c r="C70" i="115"/>
  <c r="E24" i="108"/>
  <c r="AA24" i="44"/>
  <c r="AB24" i="44" s="1"/>
  <c r="E3" i="81"/>
  <c r="AB10" i="113"/>
  <c r="AB8" i="60"/>
  <c r="T4" i="80" s="1"/>
  <c r="B91" i="82"/>
  <c r="J90" i="82"/>
  <c r="C56" i="82"/>
  <c r="B20" i="82" s="1"/>
  <c r="L55" i="82"/>
  <c r="F55" i="82"/>
  <c r="N55" i="82" s="1"/>
  <c r="AS46" i="113"/>
  <c r="W7" i="72" l="1"/>
  <c r="F9" i="65"/>
  <c r="F9" i="115"/>
  <c r="V7" i="78"/>
  <c r="Q7" i="78"/>
  <c r="P7" i="72"/>
  <c r="K74" i="115"/>
  <c r="E74" i="115"/>
  <c r="J74" i="115"/>
  <c r="I74" i="115"/>
  <c r="M74" i="115"/>
  <c r="F74" i="115"/>
  <c r="G74" i="115"/>
  <c r="Q76" i="115"/>
  <c r="Q78" i="115" s="1"/>
  <c r="O74" i="115"/>
  <c r="L74" i="115"/>
  <c r="H74" i="115"/>
  <c r="N74" i="115"/>
  <c r="D74" i="115"/>
  <c r="F3" i="81"/>
  <c r="AC10" i="113"/>
  <c r="AC8" i="60"/>
  <c r="U4" i="80" s="1"/>
  <c r="D56" i="82"/>
  <c r="K56" i="82"/>
  <c r="B92" i="82"/>
  <c r="J91" i="82"/>
  <c r="AT46" i="113"/>
  <c r="N7" i="72" l="1"/>
  <c r="P7" i="78"/>
  <c r="X7" i="72"/>
  <c r="W7" i="78"/>
  <c r="G9" i="65"/>
  <c r="G9" i="115"/>
  <c r="P74" i="115"/>
  <c r="G3" i="81"/>
  <c r="AD10" i="113"/>
  <c r="AD8" i="60"/>
  <c r="V4" i="80" s="1"/>
  <c r="B93" i="82"/>
  <c r="J92" i="82"/>
  <c r="C57" i="82"/>
  <c r="B21" i="82" s="1"/>
  <c r="F56" i="82"/>
  <c r="N56" i="82" s="1"/>
  <c r="L56" i="82"/>
  <c r="AU46" i="113"/>
  <c r="Y7" i="72" l="1"/>
  <c r="X7" i="78"/>
  <c r="H9" i="65"/>
  <c r="H9" i="115"/>
  <c r="M7" i="72"/>
  <c r="N7" i="78"/>
  <c r="H3" i="81"/>
  <c r="AE10" i="113"/>
  <c r="AE8" i="60"/>
  <c r="W4" i="80" s="1"/>
  <c r="D57" i="82"/>
  <c r="K57" i="82"/>
  <c r="B94" i="82"/>
  <c r="J93" i="82"/>
  <c r="AV46" i="113"/>
  <c r="L7" i="72" l="1"/>
  <c r="M7" i="78"/>
  <c r="Z7" i="72"/>
  <c r="Y7" i="78"/>
  <c r="I9" i="115"/>
  <c r="I9" i="65"/>
  <c r="I3" i="81"/>
  <c r="AF10" i="113"/>
  <c r="AF8" i="60"/>
  <c r="X4" i="80" s="1"/>
  <c r="B95" i="82"/>
  <c r="J94" i="82"/>
  <c r="C58" i="82"/>
  <c r="B22" i="82" s="1"/>
  <c r="F57" i="82"/>
  <c r="N57" i="82" s="1"/>
  <c r="L57" i="82"/>
  <c r="AW46" i="113"/>
  <c r="AA7" i="72" l="1"/>
  <c r="J9" i="115"/>
  <c r="Z7" i="78"/>
  <c r="J9" i="65"/>
  <c r="K7" i="72"/>
  <c r="L7" i="78"/>
  <c r="J3" i="81"/>
  <c r="AG10" i="113"/>
  <c r="AG8" i="60"/>
  <c r="Y4" i="80" s="1"/>
  <c r="D58" i="82"/>
  <c r="K58" i="82"/>
  <c r="B96" i="82"/>
  <c r="J95" i="82"/>
  <c r="AX46" i="113"/>
  <c r="A58" i="61"/>
  <c r="A59" i="61" s="1"/>
  <c r="A60" i="61" s="1"/>
  <c r="A61" i="61" s="1"/>
  <c r="J7" i="72" l="1"/>
  <c r="K7" i="78"/>
  <c r="AB7" i="72"/>
  <c r="K9" i="115"/>
  <c r="K9" i="65"/>
  <c r="AA7" i="78"/>
  <c r="K3" i="81"/>
  <c r="AH10" i="113"/>
  <c r="AH8" i="60"/>
  <c r="Z4" i="80" s="1"/>
  <c r="B97" i="82"/>
  <c r="J96" i="82"/>
  <c r="C59" i="82"/>
  <c r="B23" i="82" s="1"/>
  <c r="L58" i="82"/>
  <c r="F58" i="82"/>
  <c r="N58" i="82" s="1"/>
  <c r="AY46" i="113"/>
  <c r="A108" i="80"/>
  <c r="H118" i="80"/>
  <c r="AB7" i="78" l="1"/>
  <c r="L9" i="65"/>
  <c r="AC7" i="72"/>
  <c r="L9" i="115"/>
  <c r="J7" i="78"/>
  <c r="I7" i="72"/>
  <c r="M108" i="80"/>
  <c r="J108" i="80"/>
  <c r="N108" i="80"/>
  <c r="K108" i="80"/>
  <c r="L108" i="80"/>
  <c r="L3" i="81"/>
  <c r="AI10" i="113"/>
  <c r="AI8" i="60"/>
  <c r="AA4" i="80" s="1"/>
  <c r="D59" i="82"/>
  <c r="K59" i="82"/>
  <c r="B98" i="82"/>
  <c r="J97" i="82"/>
  <c r="AZ46" i="113"/>
  <c r="I38" i="80"/>
  <c r="J38" i="80" s="1"/>
  <c r="K38" i="80" s="1"/>
  <c r="L38" i="80" s="1"/>
  <c r="M38" i="80" s="1"/>
  <c r="N38" i="80" s="1"/>
  <c r="O38" i="80" s="1"/>
  <c r="P38" i="80" s="1"/>
  <c r="Q38" i="80" s="1"/>
  <c r="R38" i="80" s="1"/>
  <c r="S38" i="80" s="1"/>
  <c r="T38" i="80" s="1"/>
  <c r="U38" i="80" s="1"/>
  <c r="V38" i="80" s="1"/>
  <c r="W38" i="80" s="1"/>
  <c r="X38" i="80" s="1"/>
  <c r="Y38" i="80" s="1"/>
  <c r="Z38" i="80" s="1"/>
  <c r="AA38" i="80" s="1"/>
  <c r="AB38" i="80" s="1"/>
  <c r="AC38" i="80" s="1"/>
  <c r="AD38" i="80" s="1"/>
  <c r="AE38" i="80" s="1"/>
  <c r="AF38" i="80" s="1"/>
  <c r="AG38" i="80" s="1"/>
  <c r="AH38" i="80" s="1"/>
  <c r="AI38" i="80" s="1"/>
  <c r="AJ38" i="80" s="1"/>
  <c r="AK38" i="80" s="1"/>
  <c r="AL38" i="80" s="1"/>
  <c r="AM38" i="80" s="1"/>
  <c r="AN38" i="80" s="1"/>
  <c r="AO38" i="80" s="1"/>
  <c r="AP38" i="80" s="1"/>
  <c r="AQ38" i="80" s="1"/>
  <c r="AR38" i="80" s="1"/>
  <c r="AS38" i="80" s="1"/>
  <c r="AT38" i="80" s="1"/>
  <c r="AU38" i="80" s="1"/>
  <c r="AV38" i="80" s="1"/>
  <c r="AW38" i="80" s="1"/>
  <c r="AX38" i="80" s="1"/>
  <c r="AY38" i="80" s="1"/>
  <c r="AZ38" i="80" s="1"/>
  <c r="BA38" i="80" s="1"/>
  <c r="BB38" i="80" s="1"/>
  <c r="BC38" i="80" s="1"/>
  <c r="BD38" i="80" s="1"/>
  <c r="BE38" i="80" s="1"/>
  <c r="BF38" i="80" s="1"/>
  <c r="BG38" i="80" s="1"/>
  <c r="BH38" i="80" s="1"/>
  <c r="BI38" i="80" s="1"/>
  <c r="BJ38" i="80" s="1"/>
  <c r="BK38" i="80" s="1"/>
  <c r="BL38" i="80" s="1"/>
  <c r="BM38" i="80" s="1"/>
  <c r="BN38" i="80" s="1"/>
  <c r="BO38" i="80" s="1"/>
  <c r="BP38" i="80" s="1"/>
  <c r="BQ38" i="80" s="1"/>
  <c r="BR38" i="80" s="1"/>
  <c r="BS38" i="80" s="1"/>
  <c r="BT38" i="80" s="1"/>
  <c r="BU38" i="80" s="1"/>
  <c r="BV38" i="80" s="1"/>
  <c r="BW38" i="80" s="1"/>
  <c r="BX38" i="80" s="1"/>
  <c r="BY38" i="80" s="1"/>
  <c r="BZ38" i="80" s="1"/>
  <c r="CA38" i="80" s="1"/>
  <c r="CB38" i="80" s="1"/>
  <c r="I37" i="80"/>
  <c r="J37" i="80" s="1"/>
  <c r="K37" i="80" s="1"/>
  <c r="L37" i="80" s="1"/>
  <c r="M37" i="80" s="1"/>
  <c r="N37" i="80" s="1"/>
  <c r="O37" i="80" s="1"/>
  <c r="P37" i="80" s="1"/>
  <c r="Q37" i="80" s="1"/>
  <c r="R37" i="80" s="1"/>
  <c r="S37" i="80" s="1"/>
  <c r="T37" i="80" s="1"/>
  <c r="U37" i="80" s="1"/>
  <c r="V37" i="80" s="1"/>
  <c r="W37" i="80" s="1"/>
  <c r="X37" i="80" s="1"/>
  <c r="Y37" i="80" s="1"/>
  <c r="Z37" i="80" s="1"/>
  <c r="AA37" i="80" s="1"/>
  <c r="AB37" i="80" s="1"/>
  <c r="AC37" i="80" s="1"/>
  <c r="AD37" i="80" s="1"/>
  <c r="AE37" i="80" s="1"/>
  <c r="AF37" i="80" s="1"/>
  <c r="AG37" i="80" s="1"/>
  <c r="AH37" i="80" s="1"/>
  <c r="AI37" i="80" s="1"/>
  <c r="AJ37" i="80" s="1"/>
  <c r="AK37" i="80" s="1"/>
  <c r="AL37" i="80" s="1"/>
  <c r="AM37" i="80" s="1"/>
  <c r="AN37" i="80" s="1"/>
  <c r="AO37" i="80" s="1"/>
  <c r="AP37" i="80" s="1"/>
  <c r="AQ37" i="80" s="1"/>
  <c r="AR37" i="80" s="1"/>
  <c r="AS37" i="80" s="1"/>
  <c r="AT37" i="80" s="1"/>
  <c r="AU37" i="80" s="1"/>
  <c r="AV37" i="80" s="1"/>
  <c r="AW37" i="80" s="1"/>
  <c r="AX37" i="80" s="1"/>
  <c r="AY37" i="80" s="1"/>
  <c r="AZ37" i="80" s="1"/>
  <c r="BA37" i="80" s="1"/>
  <c r="BB37" i="80" s="1"/>
  <c r="BC37" i="80" s="1"/>
  <c r="BD37" i="80" s="1"/>
  <c r="BE37" i="80" s="1"/>
  <c r="BF37" i="80" s="1"/>
  <c r="BG37" i="80" s="1"/>
  <c r="BH37" i="80" s="1"/>
  <c r="BI37" i="80" s="1"/>
  <c r="BJ37" i="80" s="1"/>
  <c r="BK37" i="80" s="1"/>
  <c r="BL37" i="80" s="1"/>
  <c r="BM37" i="80" s="1"/>
  <c r="BN37" i="80" s="1"/>
  <c r="BO37" i="80" s="1"/>
  <c r="BP37" i="80" s="1"/>
  <c r="BQ37" i="80" s="1"/>
  <c r="BR37" i="80" s="1"/>
  <c r="BS37" i="80" s="1"/>
  <c r="BT37" i="80" s="1"/>
  <c r="BU37" i="80" s="1"/>
  <c r="BV37" i="80" s="1"/>
  <c r="BW37" i="80" s="1"/>
  <c r="BX37" i="80" s="1"/>
  <c r="BY37" i="80" s="1"/>
  <c r="BZ37" i="80" s="1"/>
  <c r="CA37" i="80" s="1"/>
  <c r="CB37" i="80" s="1"/>
  <c r="CC37" i="80" s="1"/>
  <c r="CD37" i="80" s="1"/>
  <c r="I36" i="80"/>
  <c r="J36" i="80" s="1"/>
  <c r="CA35" i="80"/>
  <c r="BZ35" i="80"/>
  <c r="BY35" i="80"/>
  <c r="BX35" i="80"/>
  <c r="BW35" i="80"/>
  <c r="BV35" i="80"/>
  <c r="BU35" i="80"/>
  <c r="BT35" i="80"/>
  <c r="BS35" i="80"/>
  <c r="BR35" i="80"/>
  <c r="BQ35" i="80"/>
  <c r="BP35" i="80"/>
  <c r="BO35" i="80"/>
  <c r="BN35" i="80"/>
  <c r="BM35" i="80"/>
  <c r="BL35" i="80"/>
  <c r="BK35" i="80"/>
  <c r="BJ35" i="80"/>
  <c r="BI35" i="80"/>
  <c r="BH35" i="80"/>
  <c r="BG35" i="80"/>
  <c r="BF35" i="80"/>
  <c r="BE35" i="80"/>
  <c r="BD35" i="80"/>
  <c r="BC35" i="80"/>
  <c r="BB35" i="80"/>
  <c r="BA35" i="80"/>
  <c r="AZ35" i="80"/>
  <c r="AY35" i="80"/>
  <c r="AX35" i="80"/>
  <c r="AW35" i="80"/>
  <c r="AV35" i="80"/>
  <c r="AU35" i="80"/>
  <c r="AT35" i="80"/>
  <c r="AS35" i="80"/>
  <c r="AR35" i="80"/>
  <c r="AQ35" i="80"/>
  <c r="AP35" i="80"/>
  <c r="AO35" i="80"/>
  <c r="AN35" i="80"/>
  <c r="AM35" i="80"/>
  <c r="AL35" i="80"/>
  <c r="AK35" i="80"/>
  <c r="AJ35" i="80"/>
  <c r="AI35" i="80"/>
  <c r="AH35" i="80"/>
  <c r="AG35" i="80"/>
  <c r="AF35" i="80"/>
  <c r="AE35" i="80"/>
  <c r="AD35" i="80"/>
  <c r="AC35" i="80"/>
  <c r="AB35" i="80"/>
  <c r="AA35" i="80"/>
  <c r="Z35" i="80"/>
  <c r="Y35" i="80"/>
  <c r="X35" i="80"/>
  <c r="W35" i="80"/>
  <c r="V35" i="80"/>
  <c r="U35" i="80"/>
  <c r="T35" i="80"/>
  <c r="S35" i="80"/>
  <c r="R35" i="80"/>
  <c r="Q35" i="80"/>
  <c r="P35" i="80"/>
  <c r="O35" i="80"/>
  <c r="N35" i="80"/>
  <c r="M35" i="80"/>
  <c r="L35" i="80"/>
  <c r="K35" i="80"/>
  <c r="J35" i="80"/>
  <c r="I35" i="80"/>
  <c r="H35" i="80"/>
  <c r="U20" i="80"/>
  <c r="U57" i="80"/>
  <c r="U68" i="80" s="1"/>
  <c r="U58" i="80"/>
  <c r="U59" i="80"/>
  <c r="M9" i="65" l="1"/>
  <c r="AD7" i="72"/>
  <c r="AC7" i="78"/>
  <c r="M9" i="115"/>
  <c r="I7" i="78"/>
  <c r="H7" i="72"/>
  <c r="CC38" i="80"/>
  <c r="K36" i="80"/>
  <c r="J110" i="80"/>
  <c r="J112" i="80" s="1"/>
  <c r="J114" i="80" s="1"/>
  <c r="AG18" i="80"/>
  <c r="U18" i="80"/>
  <c r="AH18" i="80"/>
  <c r="V18" i="80"/>
  <c r="X20" i="80"/>
  <c r="Y19" i="80"/>
  <c r="Y20" i="80"/>
  <c r="AI19" i="80"/>
  <c r="W19" i="80"/>
  <c r="AK18" i="80"/>
  <c r="Y18" i="80"/>
  <c r="W20" i="80"/>
  <c r="T19" i="80"/>
  <c r="T20" i="80"/>
  <c r="U19" i="80"/>
  <c r="W18" i="80"/>
  <c r="V19" i="80"/>
  <c r="T18" i="80"/>
  <c r="AJ18" i="80"/>
  <c r="X18" i="80"/>
  <c r="AL18" i="80"/>
  <c r="Z18" i="80"/>
  <c r="V20" i="80"/>
  <c r="Z20" i="80"/>
  <c r="AC13" i="80"/>
  <c r="AA15" i="80"/>
  <c r="AE15" i="80"/>
  <c r="AB14" i="80"/>
  <c r="AD13" i="80"/>
  <c r="AC14" i="80"/>
  <c r="AB15" i="80"/>
  <c r="AA13" i="80"/>
  <c r="AE13" i="80"/>
  <c r="AD14" i="80"/>
  <c r="AC15" i="80"/>
  <c r="AB13" i="80"/>
  <c r="AA14" i="80"/>
  <c r="AE14" i="80"/>
  <c r="AD15" i="80"/>
  <c r="M3" i="81"/>
  <c r="AJ10" i="113"/>
  <c r="AJ8" i="60"/>
  <c r="B99" i="82"/>
  <c r="J98" i="82"/>
  <c r="L59" i="82"/>
  <c r="F59" i="82"/>
  <c r="N59" i="82" s="1"/>
  <c r="BA46" i="113"/>
  <c r="AT18" i="80"/>
  <c r="AU19" i="80"/>
  <c r="I129" i="80"/>
  <c r="H129" i="80"/>
  <c r="AB4" i="80" l="1"/>
  <c r="B10" i="83"/>
  <c r="G6" i="76" s="1"/>
  <c r="N9" i="65"/>
  <c r="AD7" i="78"/>
  <c r="AE7" i="72"/>
  <c r="N9" i="115"/>
  <c r="H7" i="78"/>
  <c r="G7" i="72"/>
  <c r="W21" i="80"/>
  <c r="CD38" i="80"/>
  <c r="V21" i="80"/>
  <c r="T21" i="80"/>
  <c r="BE18" i="80"/>
  <c r="L36" i="80"/>
  <c r="K110" i="80"/>
  <c r="K112" i="80" s="1"/>
  <c r="K114" i="80" s="1"/>
  <c r="AV18" i="80"/>
  <c r="AI18" i="80"/>
  <c r="AI20" i="80"/>
  <c r="Y21" i="80"/>
  <c r="U21" i="80"/>
  <c r="AL20" i="80"/>
  <c r="AF18" i="80"/>
  <c r="AF20" i="80"/>
  <c r="AK19" i="80"/>
  <c r="AX18" i="80"/>
  <c r="X19" i="80"/>
  <c r="X21" i="80" s="1"/>
  <c r="AG20" i="80"/>
  <c r="Z19" i="80"/>
  <c r="Z21" i="80" s="1"/>
  <c r="AH20" i="80"/>
  <c r="AH19" i="80"/>
  <c r="AG19" i="80"/>
  <c r="AF19" i="80"/>
  <c r="AK20" i="80"/>
  <c r="AJ20" i="80"/>
  <c r="AQ14" i="80"/>
  <c r="AN13" i="80"/>
  <c r="AP14" i="80"/>
  <c r="AM13" i="80"/>
  <c r="AO14" i="80"/>
  <c r="AN14" i="80"/>
  <c r="AM15" i="80"/>
  <c r="AA16" i="80"/>
  <c r="AE16" i="80"/>
  <c r="AD16" i="80"/>
  <c r="AC16" i="80"/>
  <c r="AB16" i="80"/>
  <c r="AP15" i="80"/>
  <c r="AM14" i="80"/>
  <c r="AO15" i="80"/>
  <c r="AQ13" i="80"/>
  <c r="AN15" i="80"/>
  <c r="AP13" i="80"/>
  <c r="AQ15" i="80"/>
  <c r="AO13" i="80"/>
  <c r="N3" i="81"/>
  <c r="AK10" i="113"/>
  <c r="AK8" i="60"/>
  <c r="AC4" i="80" s="1"/>
  <c r="B100" i="82"/>
  <c r="J99" i="82"/>
  <c r="BB46" i="113"/>
  <c r="BG19" i="80"/>
  <c r="BF18" i="80"/>
  <c r="O17" i="91"/>
  <c r="O18" i="91"/>
  <c r="O19" i="91"/>
  <c r="O21" i="91"/>
  <c r="O22" i="91"/>
  <c r="O27" i="91"/>
  <c r="O28" i="91"/>
  <c r="O29" i="91"/>
  <c r="O33" i="91"/>
  <c r="O35" i="91" s="1"/>
  <c r="P35" i="91" s="1"/>
  <c r="O15" i="76"/>
  <c r="G7" i="78" l="1"/>
  <c r="F7" i="72"/>
  <c r="A3" i="108"/>
  <c r="G6" i="91"/>
  <c r="J5" i="60"/>
  <c r="H4" i="44" s="1"/>
  <c r="J6" i="65"/>
  <c r="J6" i="115"/>
  <c r="AE7" i="78"/>
  <c r="O9" i="65"/>
  <c r="O9" i="115"/>
  <c r="AK21" i="80"/>
  <c r="BH18" i="80"/>
  <c r="AW18" i="80"/>
  <c r="AS18" i="80"/>
  <c r="AO16" i="80"/>
  <c r="AP16" i="80"/>
  <c r="AQ16" i="80"/>
  <c r="BI18" i="80"/>
  <c r="BU18" i="80"/>
  <c r="BJ18" i="80"/>
  <c r="BQ18" i="80"/>
  <c r="M36" i="80"/>
  <c r="L110" i="80"/>
  <c r="L112" i="80" s="1"/>
  <c r="L114" i="80" s="1"/>
  <c r="AH21" i="80"/>
  <c r="AG21" i="80"/>
  <c r="AF21" i="80"/>
  <c r="AS19" i="80"/>
  <c r="AU18" i="80"/>
  <c r="AT20" i="80"/>
  <c r="AS20" i="80"/>
  <c r="AW19" i="80"/>
  <c r="AR19" i="80"/>
  <c r="AT19" i="80"/>
  <c r="AU20" i="80"/>
  <c r="AV20" i="80"/>
  <c r="AR18" i="80"/>
  <c r="AM16" i="80"/>
  <c r="AN16" i="80"/>
  <c r="AW20" i="80"/>
  <c r="AL19" i="80"/>
  <c r="AL21" i="80" s="1"/>
  <c r="AJ19" i="80"/>
  <c r="AJ21" i="80" s="1"/>
  <c r="AR20" i="80"/>
  <c r="AX20" i="80"/>
  <c r="AI21" i="80"/>
  <c r="BC15" i="80"/>
  <c r="AZ15" i="80"/>
  <c r="AZ14" i="80"/>
  <c r="AY13" i="80"/>
  <c r="AZ13" i="80"/>
  <c r="BB15" i="80"/>
  <c r="BC13" i="80"/>
  <c r="BA15" i="80"/>
  <c r="BA13" i="80"/>
  <c r="BB13" i="80"/>
  <c r="AY14" i="80"/>
  <c r="AY15" i="80"/>
  <c r="BA14" i="80"/>
  <c r="BB14" i="80"/>
  <c r="BC14" i="80"/>
  <c r="AL10" i="113"/>
  <c r="AL8" i="60"/>
  <c r="AD4" i="80" s="1"/>
  <c r="B101" i="82"/>
  <c r="J100" i="82"/>
  <c r="BC46" i="113"/>
  <c r="BV18" i="80"/>
  <c r="BT18" i="80"/>
  <c r="BS19" i="80"/>
  <c r="BR18" i="80"/>
  <c r="AI7" i="72"/>
  <c r="AJ7" i="72" s="1"/>
  <c r="AK7" i="72" s="1"/>
  <c r="AL7" i="72" s="1"/>
  <c r="F7" i="78" l="1"/>
  <c r="E7" i="72"/>
  <c r="AS21" i="80"/>
  <c r="AW21" i="80"/>
  <c r="AU21" i="80"/>
  <c r="N36" i="80"/>
  <c r="M110" i="80"/>
  <c r="M112" i="80" s="1"/>
  <c r="M114" i="80" s="1"/>
  <c r="BI19" i="80"/>
  <c r="BV20" i="80"/>
  <c r="BJ20" i="80"/>
  <c r="BR20" i="80"/>
  <c r="BF20" i="80"/>
  <c r="BS20" i="80"/>
  <c r="BG20" i="80"/>
  <c r="BE19" i="80"/>
  <c r="AX19" i="80"/>
  <c r="AX21" i="80" s="1"/>
  <c r="BR19" i="80"/>
  <c r="BF19" i="80"/>
  <c r="AY16" i="80"/>
  <c r="BT20" i="80"/>
  <c r="BH20" i="80"/>
  <c r="BS18" i="80"/>
  <c r="BG18" i="80"/>
  <c r="AV19" i="80"/>
  <c r="AV21" i="80" s="1"/>
  <c r="BU20" i="80"/>
  <c r="BI20" i="80"/>
  <c r="BD18" i="80"/>
  <c r="BP19" i="80"/>
  <c r="BD19" i="80"/>
  <c r="BP20" i="80"/>
  <c r="BD20" i="80"/>
  <c r="AR21" i="80"/>
  <c r="AT21" i="80"/>
  <c r="BQ20" i="80"/>
  <c r="BE20" i="80"/>
  <c r="BZ14" i="80"/>
  <c r="BN14" i="80"/>
  <c r="BW15" i="80"/>
  <c r="BK15" i="80"/>
  <c r="BZ13" i="80"/>
  <c r="BN13" i="80"/>
  <c r="BY15" i="80"/>
  <c r="BM15" i="80"/>
  <c r="BZ15" i="80"/>
  <c r="BN15" i="80"/>
  <c r="BW13" i="80"/>
  <c r="BK13" i="80"/>
  <c r="BX15" i="80"/>
  <c r="BL15" i="80"/>
  <c r="BA16" i="80"/>
  <c r="BC16" i="80"/>
  <c r="AZ16" i="80"/>
  <c r="BB16" i="80"/>
  <c r="CA14" i="80"/>
  <c r="BO14" i="80"/>
  <c r="BY14" i="80"/>
  <c r="BM14" i="80"/>
  <c r="BW14" i="80"/>
  <c r="BK14" i="80"/>
  <c r="BY13" i="80"/>
  <c r="BM13" i="80"/>
  <c r="CA13" i="80"/>
  <c r="BO13" i="80"/>
  <c r="BX13" i="80"/>
  <c r="BL13" i="80"/>
  <c r="BX14" i="80"/>
  <c r="BL14" i="80"/>
  <c r="CA15" i="80"/>
  <c r="BO15" i="80"/>
  <c r="AM10" i="113"/>
  <c r="AM8" i="60"/>
  <c r="AE4" i="80" s="1"/>
  <c r="B102" i="82"/>
  <c r="J101" i="82"/>
  <c r="BD46" i="113"/>
  <c r="D7" i="72" l="1"/>
  <c r="E7" i="78"/>
  <c r="BR21" i="80"/>
  <c r="BS21" i="80"/>
  <c r="BE21" i="80"/>
  <c r="O36" i="80"/>
  <c r="N110" i="80"/>
  <c r="N112" i="80" s="1"/>
  <c r="N114" i="80" s="1"/>
  <c r="BD21" i="80"/>
  <c r="CA16" i="80"/>
  <c r="BG21" i="80"/>
  <c r="BI21" i="80"/>
  <c r="BF21" i="80"/>
  <c r="BQ19" i="80"/>
  <c r="BP18" i="80"/>
  <c r="BJ19" i="80"/>
  <c r="BJ21" i="80" s="1"/>
  <c r="BO16" i="80"/>
  <c r="BH19" i="80"/>
  <c r="BH21" i="80" s="1"/>
  <c r="BU19" i="80"/>
  <c r="BU21" i="80" s="1"/>
  <c r="BW16" i="80"/>
  <c r="BL16" i="80"/>
  <c r="BM16" i="80"/>
  <c r="BN16" i="80"/>
  <c r="BK16" i="80"/>
  <c r="BX16" i="80"/>
  <c r="BY16" i="80"/>
  <c r="BZ16" i="80"/>
  <c r="AN10" i="113"/>
  <c r="AN8" i="60"/>
  <c r="AF4" i="80" s="1"/>
  <c r="B103" i="82"/>
  <c r="J102" i="82"/>
  <c r="BE46" i="113"/>
  <c r="BQ21" i="80" l="1"/>
  <c r="BP21" i="80"/>
  <c r="C7" i="72"/>
  <c r="C7" i="78" s="1"/>
  <c r="D7" i="78"/>
  <c r="P36" i="80"/>
  <c r="BT19" i="80"/>
  <c r="BT21" i="80" s="1"/>
  <c r="BV19" i="80"/>
  <c r="BV21" i="80" s="1"/>
  <c r="AO10" i="113"/>
  <c r="AO8" i="60"/>
  <c r="AG4" i="80" s="1"/>
  <c r="B104" i="82"/>
  <c r="J103" i="82"/>
  <c r="BF46" i="113"/>
  <c r="O27" i="76"/>
  <c r="O26" i="76"/>
  <c r="O25" i="76"/>
  <c r="O37" i="76"/>
  <c r="O36" i="76"/>
  <c r="O32" i="76"/>
  <c r="P34" i="76" s="1"/>
  <c r="O33" i="76"/>
  <c r="P35" i="76" s="1"/>
  <c r="O31" i="76"/>
  <c r="Q36" i="80" l="1"/>
  <c r="AP10" i="113"/>
  <c r="AP8" i="60"/>
  <c r="AH4" i="80" s="1"/>
  <c r="B105" i="82"/>
  <c r="J104" i="82"/>
  <c r="BG46" i="113"/>
  <c r="Q42" i="80" l="1"/>
  <c r="Q47" i="80"/>
  <c r="R36" i="80"/>
  <c r="Q70" i="80"/>
  <c r="AQ10" i="113"/>
  <c r="AQ8" i="60"/>
  <c r="AI4" i="80" s="1"/>
  <c r="B106" i="82"/>
  <c r="J105" i="82"/>
  <c r="BH46" i="113"/>
  <c r="O37" i="91"/>
  <c r="O36" i="91"/>
  <c r="O32" i="91"/>
  <c r="O34" i="91" s="1"/>
  <c r="P34" i="91" s="1"/>
  <c r="O31" i="91"/>
  <c r="R47" i="80" l="1"/>
  <c r="R42" i="80"/>
  <c r="R70" i="80" s="1"/>
  <c r="S36" i="80"/>
  <c r="AR10" i="113"/>
  <c r="AR8" i="60"/>
  <c r="AJ4" i="80" s="1"/>
  <c r="B107" i="82"/>
  <c r="J106" i="82"/>
  <c r="BI46" i="113"/>
  <c r="S42" i="80" l="1"/>
  <c r="S47" i="80"/>
  <c r="T36" i="80"/>
  <c r="AS10" i="113"/>
  <c r="AS8" i="60"/>
  <c r="AK4" i="80" s="1"/>
  <c r="B108" i="82"/>
  <c r="J107" i="82"/>
  <c r="BJ46" i="113"/>
  <c r="C49" i="64"/>
  <c r="C42" i="64"/>
  <c r="C37" i="64"/>
  <c r="C36" i="64"/>
  <c r="C31" i="64"/>
  <c r="C30" i="64"/>
  <c r="C25" i="64"/>
  <c r="C24" i="64"/>
  <c r="C19" i="64"/>
  <c r="C18" i="64"/>
  <c r="C13" i="64"/>
  <c r="C12" i="64"/>
  <c r="S70" i="80" l="1"/>
  <c r="T47" i="80"/>
  <c r="T42" i="80"/>
  <c r="T70" i="80" s="1"/>
  <c r="U36" i="80"/>
  <c r="AT10" i="113"/>
  <c r="AT8" i="60"/>
  <c r="AL4" i="80" s="1"/>
  <c r="B109" i="82"/>
  <c r="J108" i="82"/>
  <c r="BK46" i="113"/>
  <c r="M54" i="56"/>
  <c r="K54" i="56"/>
  <c r="I54" i="56"/>
  <c r="U42" i="80" l="1"/>
  <c r="U47" i="80"/>
  <c r="U66" i="80"/>
  <c r="V36" i="80"/>
  <c r="AU10" i="113"/>
  <c r="AU8" i="60"/>
  <c r="AM4" i="80" s="1"/>
  <c r="B110" i="82"/>
  <c r="J109" i="82"/>
  <c r="BL46" i="113"/>
  <c r="M70" i="56"/>
  <c r="I70" i="56"/>
  <c r="L70" i="56"/>
  <c r="H70" i="56"/>
  <c r="N70" i="56"/>
  <c r="J70" i="56"/>
  <c r="L54" i="56"/>
  <c r="N54" i="56"/>
  <c r="J54" i="56"/>
  <c r="K70" i="56"/>
  <c r="G70" i="56"/>
  <c r="H54" i="56"/>
  <c r="G54" i="56"/>
  <c r="F54" i="56"/>
  <c r="E54" i="56"/>
  <c r="U70" i="80" l="1"/>
  <c r="W36" i="80"/>
  <c r="V42" i="80"/>
  <c r="V47" i="80"/>
  <c r="D79" i="56"/>
  <c r="D80" i="56"/>
  <c r="E79" i="56"/>
  <c r="E80" i="56"/>
  <c r="AV10" i="113"/>
  <c r="AV8" i="60"/>
  <c r="AN4" i="80" s="1"/>
  <c r="B111" i="82"/>
  <c r="J110" i="82"/>
  <c r="BM46" i="113"/>
  <c r="D70" i="56"/>
  <c r="F70" i="56"/>
  <c r="E70" i="56"/>
  <c r="D54" i="56"/>
  <c r="X36" i="80" l="1"/>
  <c r="Y36" i="80" s="1"/>
  <c r="Z36" i="80" s="1"/>
  <c r="AA36" i="80" s="1"/>
  <c r="AB36" i="80" s="1"/>
  <c r="W42" i="80"/>
  <c r="W47" i="80"/>
  <c r="AC36" i="80"/>
  <c r="F79" i="56"/>
  <c r="F80" i="56"/>
  <c r="AW10" i="113"/>
  <c r="AW8" i="60"/>
  <c r="AO4" i="80" s="1"/>
  <c r="B112" i="82"/>
  <c r="J111" i="82"/>
  <c r="BN46" i="113"/>
  <c r="AC47" i="80" l="1"/>
  <c r="AC42" i="80"/>
  <c r="I49" i="80"/>
  <c r="K49" i="80"/>
  <c r="AD36" i="80"/>
  <c r="AC70" i="80"/>
  <c r="G79" i="56"/>
  <c r="G80" i="56"/>
  <c r="AX10" i="113"/>
  <c r="AX8" i="60"/>
  <c r="AP4" i="80" s="1"/>
  <c r="B113" i="82"/>
  <c r="J112" i="82"/>
  <c r="BO46" i="113"/>
  <c r="L47" i="80" l="1"/>
  <c r="N47" i="80"/>
  <c r="M47" i="80"/>
  <c r="AD42" i="80"/>
  <c r="AD70" i="80" s="1"/>
  <c r="AD47" i="80"/>
  <c r="AE36" i="80"/>
  <c r="H79" i="56"/>
  <c r="H80" i="56"/>
  <c r="AY10" i="113"/>
  <c r="AY8" i="60"/>
  <c r="AQ4" i="80" s="1"/>
  <c r="B114" i="82"/>
  <c r="J113" i="82"/>
  <c r="BP46" i="113"/>
  <c r="AE42" i="80" l="1"/>
  <c r="AE47" i="80"/>
  <c r="AF36" i="80"/>
  <c r="AE70" i="80"/>
  <c r="I79" i="56"/>
  <c r="I80" i="56"/>
  <c r="AZ10" i="113"/>
  <c r="AZ8" i="60"/>
  <c r="AR4" i="80" s="1"/>
  <c r="B115" i="82"/>
  <c r="J114" i="82"/>
  <c r="BQ46" i="113"/>
  <c r="AF47" i="80" l="1"/>
  <c r="AF42" i="80"/>
  <c r="AF70" i="80" s="1"/>
  <c r="AG36" i="80"/>
  <c r="J79" i="56"/>
  <c r="J80" i="56"/>
  <c r="BA10" i="113"/>
  <c r="BA8" i="60"/>
  <c r="AS4" i="80" s="1"/>
  <c r="B116" i="82"/>
  <c r="J115" i="82"/>
  <c r="BR46" i="113"/>
  <c r="AG42" i="80" l="1"/>
  <c r="AG47" i="80"/>
  <c r="AH36" i="80"/>
  <c r="AG70" i="80"/>
  <c r="K79" i="56"/>
  <c r="K80" i="56"/>
  <c r="BB10" i="113"/>
  <c r="BB8" i="60"/>
  <c r="AT4" i="80" s="1"/>
  <c r="B117" i="82"/>
  <c r="J116" i="82"/>
  <c r="BS46" i="113"/>
  <c r="AI36" i="80" l="1"/>
  <c r="AH42" i="80"/>
  <c r="AH47" i="80"/>
  <c r="L79" i="56"/>
  <c r="L80" i="56"/>
  <c r="BC10" i="113"/>
  <c r="BC8" i="60"/>
  <c r="AU4" i="80" s="1"/>
  <c r="B118" i="82"/>
  <c r="J117" i="82"/>
  <c r="BT46" i="113"/>
  <c r="AJ36" i="80" l="1"/>
  <c r="AK36" i="80" s="1"/>
  <c r="AL36" i="80" s="1"/>
  <c r="AM36" i="80" s="1"/>
  <c r="AN36" i="80" s="1"/>
  <c r="AI47" i="80"/>
  <c r="W49" i="80" s="1"/>
  <c r="AI42" i="80"/>
  <c r="AO36" i="80"/>
  <c r="M79" i="56"/>
  <c r="M80" i="56"/>
  <c r="BD10" i="113"/>
  <c r="BD8" i="60"/>
  <c r="AV4" i="80" s="1"/>
  <c r="B119" i="82"/>
  <c r="J118" i="82"/>
  <c r="BU46" i="113"/>
  <c r="AO47" i="80" l="1"/>
  <c r="AO42" i="80"/>
  <c r="AO70" i="80" s="1"/>
  <c r="Z47" i="80"/>
  <c r="Y47" i="80"/>
  <c r="AB47" i="80"/>
  <c r="AA47" i="80"/>
  <c r="X47" i="80"/>
  <c r="AP36" i="80"/>
  <c r="N79" i="56"/>
  <c r="N80" i="56"/>
  <c r="BE10" i="113"/>
  <c r="BE8" i="60"/>
  <c r="AW4" i="80" s="1"/>
  <c r="B120" i="82"/>
  <c r="J119" i="82"/>
  <c r="BV46" i="113"/>
  <c r="AP42" i="80" l="1"/>
  <c r="AP47" i="80"/>
  <c r="AP70" i="80" s="1"/>
  <c r="AQ36" i="80"/>
  <c r="BF10" i="113"/>
  <c r="BF8" i="60"/>
  <c r="AX4" i="80" s="1"/>
  <c r="B121" i="82"/>
  <c r="J120" i="82"/>
  <c r="BW46" i="113"/>
  <c r="Q78" i="20"/>
  <c r="Q78" i="56" s="1"/>
  <c r="Q74" i="20"/>
  <c r="Q74" i="56" s="1"/>
  <c r="Q73" i="20"/>
  <c r="Q73" i="56" s="1"/>
  <c r="Q69" i="20"/>
  <c r="Q69" i="56" s="1"/>
  <c r="Q58" i="20"/>
  <c r="Q59" i="20"/>
  <c r="Q57" i="20"/>
  <c r="Q53" i="20"/>
  <c r="Q53" i="56" s="1"/>
  <c r="Q14" i="20"/>
  <c r="AQ47" i="80" l="1"/>
  <c r="AQ42" i="80"/>
  <c r="AQ70" i="80" s="1"/>
  <c r="Q58" i="56"/>
  <c r="R64" i="56" s="1"/>
  <c r="R64" i="20"/>
  <c r="R76" i="65" s="1"/>
  <c r="Q57" i="56"/>
  <c r="R63" i="56" s="1"/>
  <c r="R63" i="20"/>
  <c r="R75" i="65" s="1"/>
  <c r="Q59" i="56"/>
  <c r="R65" i="56" s="1"/>
  <c r="R65" i="20"/>
  <c r="R77" i="65" s="1"/>
  <c r="AR36" i="80"/>
  <c r="BG10" i="113"/>
  <c r="BG8" i="60"/>
  <c r="AY4" i="80" s="1"/>
  <c r="B122" i="82"/>
  <c r="J121" i="82"/>
  <c r="BX46" i="113"/>
  <c r="Q14" i="55"/>
  <c r="AR47" i="80" l="1"/>
  <c r="AR42" i="80"/>
  <c r="R66" i="56"/>
  <c r="R66" i="20"/>
  <c r="R78" i="65" s="1"/>
  <c r="AS36" i="80"/>
  <c r="BH10" i="113"/>
  <c r="BH8" i="60"/>
  <c r="AZ4" i="80" s="1"/>
  <c r="B123" i="82"/>
  <c r="J122" i="82"/>
  <c r="BY46" i="113"/>
  <c r="Q14" i="56"/>
  <c r="AR70" i="80" l="1"/>
  <c r="AS47" i="80"/>
  <c r="AS42" i="80"/>
  <c r="AS70" i="80" s="1"/>
  <c r="AT36" i="80"/>
  <c r="BI10" i="113"/>
  <c r="BI8" i="60"/>
  <c r="BA4" i="80" s="1"/>
  <c r="B124" i="82"/>
  <c r="J123" i="82"/>
  <c r="BZ46" i="113"/>
  <c r="E40" i="61"/>
  <c r="E7" i="83"/>
  <c r="E6" i="83"/>
  <c r="D7" i="83"/>
  <c r="D6" i="83"/>
  <c r="C6" i="83"/>
  <c r="F6" i="83" s="1"/>
  <c r="C7" i="83"/>
  <c r="F7" i="83" s="1"/>
  <c r="A13" i="82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E59" i="82"/>
  <c r="M59" i="82" s="1"/>
  <c r="E58" i="82"/>
  <c r="M58" i="82" s="1"/>
  <c r="E57" i="82"/>
  <c r="M57" i="82" s="1"/>
  <c r="E56" i="82"/>
  <c r="M56" i="82" s="1"/>
  <c r="E55" i="82"/>
  <c r="M55" i="82" s="1"/>
  <c r="E54" i="82"/>
  <c r="M54" i="82" s="1"/>
  <c r="E53" i="82"/>
  <c r="M53" i="82" s="1"/>
  <c r="E52" i="82"/>
  <c r="M52" i="82" s="1"/>
  <c r="E51" i="82"/>
  <c r="M51" i="82" s="1"/>
  <c r="E50" i="82"/>
  <c r="M50" i="82" s="1"/>
  <c r="L14" i="56"/>
  <c r="P14" i="20"/>
  <c r="M49" i="60"/>
  <c r="N49" i="60"/>
  <c r="O49" i="60"/>
  <c r="D49" i="60"/>
  <c r="C44" i="56"/>
  <c r="E49" i="60"/>
  <c r="F49" i="60"/>
  <c r="G49" i="60"/>
  <c r="H49" i="60"/>
  <c r="T49" i="60" s="1"/>
  <c r="K49" i="60"/>
  <c r="K44" i="56"/>
  <c r="R66" i="80"/>
  <c r="R13" i="80"/>
  <c r="R14" i="80"/>
  <c r="R15" i="80"/>
  <c r="R60" i="80"/>
  <c r="H18" i="80"/>
  <c r="H20" i="80"/>
  <c r="H139" i="80"/>
  <c r="I139" i="80"/>
  <c r="H137" i="80"/>
  <c r="I137" i="80"/>
  <c r="I18" i="80"/>
  <c r="I20" i="80"/>
  <c r="J18" i="80"/>
  <c r="J20" i="80"/>
  <c r="K18" i="80"/>
  <c r="K20" i="80"/>
  <c r="L18" i="80"/>
  <c r="L20" i="80"/>
  <c r="M18" i="80"/>
  <c r="M20" i="80"/>
  <c r="N18" i="80"/>
  <c r="N20" i="80"/>
  <c r="S66" i="80"/>
  <c r="S13" i="80"/>
  <c r="S14" i="80"/>
  <c r="S15" i="80"/>
  <c r="S60" i="80"/>
  <c r="T66" i="80"/>
  <c r="T57" i="80"/>
  <c r="T68" i="80" s="1"/>
  <c r="C13" i="65"/>
  <c r="C14" i="65"/>
  <c r="C23" i="65" s="1"/>
  <c r="C32" i="65" s="1"/>
  <c r="C41" i="65" s="1"/>
  <c r="C15" i="65"/>
  <c r="C24" i="65" s="1"/>
  <c r="C33" i="65" s="1"/>
  <c r="C42" i="65" s="1"/>
  <c r="C16" i="65"/>
  <c r="C25" i="65" s="1"/>
  <c r="C34" i="65" s="1"/>
  <c r="C43" i="65" s="1"/>
  <c r="C22" i="65"/>
  <c r="C31" i="65" s="1"/>
  <c r="M14" i="56"/>
  <c r="V66" i="80"/>
  <c r="V57" i="80"/>
  <c r="V68" i="80" s="1"/>
  <c r="W66" i="80"/>
  <c r="W57" i="80"/>
  <c r="W68" i="80" s="1"/>
  <c r="N14" i="56"/>
  <c r="C14" i="56"/>
  <c r="D14" i="56"/>
  <c r="X66" i="80"/>
  <c r="X57" i="80"/>
  <c r="X68" i="80" s="1"/>
  <c r="Y66" i="80"/>
  <c r="Y57" i="80"/>
  <c r="Y68" i="80" s="1"/>
  <c r="E14" i="56"/>
  <c r="F14" i="56"/>
  <c r="G14" i="56"/>
  <c r="AA66" i="80"/>
  <c r="AA60" i="80"/>
  <c r="O13" i="80"/>
  <c r="O15" i="80"/>
  <c r="P13" i="80"/>
  <c r="P15" i="80"/>
  <c r="Q13" i="80"/>
  <c r="AB66" i="80"/>
  <c r="AB60" i="80"/>
  <c r="AC66" i="80"/>
  <c r="AC60" i="80"/>
  <c r="I14" i="56"/>
  <c r="J14" i="56"/>
  <c r="AD66" i="80"/>
  <c r="AD60" i="80"/>
  <c r="AE66" i="80"/>
  <c r="AE60" i="80"/>
  <c r="AF66" i="80"/>
  <c r="AF57" i="80"/>
  <c r="AF68" i="80" s="1"/>
  <c r="K14" i="56"/>
  <c r="N82" i="60"/>
  <c r="O82" i="60"/>
  <c r="G82" i="60"/>
  <c r="H82" i="60"/>
  <c r="J82" i="60"/>
  <c r="J81" i="60"/>
  <c r="L82" i="60"/>
  <c r="O66" i="60"/>
  <c r="AA66" i="60" s="1"/>
  <c r="M67" i="60"/>
  <c r="N67" i="60"/>
  <c r="O67" i="60"/>
  <c r="D67" i="60"/>
  <c r="P67" i="60" s="1"/>
  <c r="E67" i="60"/>
  <c r="Q67" i="60" s="1"/>
  <c r="F67" i="60"/>
  <c r="G67" i="60"/>
  <c r="H67" i="60"/>
  <c r="I67" i="60"/>
  <c r="U67" i="60" s="1"/>
  <c r="J67" i="60"/>
  <c r="K67" i="60"/>
  <c r="L67" i="60"/>
  <c r="M83" i="60"/>
  <c r="N83" i="60"/>
  <c r="O83" i="60"/>
  <c r="D83" i="60"/>
  <c r="E83" i="60"/>
  <c r="F83" i="60"/>
  <c r="G83" i="60"/>
  <c r="H83" i="60"/>
  <c r="I83" i="60"/>
  <c r="U83" i="60" s="1"/>
  <c r="J83" i="60"/>
  <c r="V83" i="60" s="1"/>
  <c r="K83" i="60"/>
  <c r="L83" i="60"/>
  <c r="O70" i="60"/>
  <c r="G70" i="60"/>
  <c r="S70" i="60" s="1"/>
  <c r="L70" i="60"/>
  <c r="C49" i="65"/>
  <c r="C50" i="65"/>
  <c r="C51" i="65"/>
  <c r="C59" i="65" s="1"/>
  <c r="E13" i="61"/>
  <c r="E21" i="61" s="1"/>
  <c r="E28" i="61" s="1"/>
  <c r="E31" i="61" s="1"/>
  <c r="E14" i="61"/>
  <c r="E15" i="61"/>
  <c r="E20" i="61"/>
  <c r="E27" i="61" s="1"/>
  <c r="E12" i="61"/>
  <c r="AH7" i="44"/>
  <c r="AH6" i="44"/>
  <c r="AH4" i="44"/>
  <c r="AH5" i="44"/>
  <c r="AH3" i="44"/>
  <c r="F39" i="44"/>
  <c r="F40" i="44"/>
  <c r="F42" i="44"/>
  <c r="P82" i="20"/>
  <c r="P57" i="20"/>
  <c r="P58" i="20"/>
  <c r="P59" i="20"/>
  <c r="P28" i="20"/>
  <c r="P29" i="20"/>
  <c r="Q41" i="20"/>
  <c r="Q41" i="56" s="1"/>
  <c r="Q42" i="20"/>
  <c r="Q42" i="56" s="1"/>
  <c r="Q43" i="20"/>
  <c r="Q43" i="56" s="1"/>
  <c r="R70" i="20"/>
  <c r="R71" i="20"/>
  <c r="R72" i="20"/>
  <c r="Q15" i="20"/>
  <c r="Q16" i="20"/>
  <c r="R54" i="20"/>
  <c r="R55" i="20"/>
  <c r="R56" i="20"/>
  <c r="Q20" i="20"/>
  <c r="H19" i="80"/>
  <c r="I19" i="80"/>
  <c r="J19" i="80"/>
  <c r="J47" i="80" s="1"/>
  <c r="K19" i="80"/>
  <c r="K47" i="80" s="1"/>
  <c r="L19" i="80"/>
  <c r="M19" i="80"/>
  <c r="N19" i="80"/>
  <c r="H138" i="80"/>
  <c r="I138" i="80"/>
  <c r="O14" i="80"/>
  <c r="O47" i="80" s="1"/>
  <c r="P14" i="80"/>
  <c r="P47" i="80" s="1"/>
  <c r="Q14" i="80"/>
  <c r="G30" i="81"/>
  <c r="H30" i="81" s="1"/>
  <c r="I30" i="81" s="1"/>
  <c r="O13" i="55"/>
  <c r="O17" i="55" s="1"/>
  <c r="P15" i="55"/>
  <c r="P21" i="20"/>
  <c r="P22" i="20"/>
  <c r="P23" i="20"/>
  <c r="O20" i="55"/>
  <c r="O24" i="55" s="1"/>
  <c r="P23" i="55"/>
  <c r="P35" i="20"/>
  <c r="P36" i="20"/>
  <c r="O27" i="55"/>
  <c r="O31" i="55" s="1"/>
  <c r="P30" i="55"/>
  <c r="G19" i="76" s="1"/>
  <c r="Q13" i="20"/>
  <c r="CA20" i="80"/>
  <c r="BZ20" i="80"/>
  <c r="BY20" i="80"/>
  <c r="BX20" i="80"/>
  <c r="BW20" i="80"/>
  <c r="CA19" i="80"/>
  <c r="BZ19" i="80"/>
  <c r="BY19" i="80"/>
  <c r="BX19" i="80"/>
  <c r="BW19" i="80"/>
  <c r="CA18" i="80"/>
  <c r="BZ18" i="80"/>
  <c r="BY18" i="80"/>
  <c r="BX18" i="80"/>
  <c r="BW18" i="80"/>
  <c r="BV15" i="80"/>
  <c r="BV14" i="80"/>
  <c r="BV13" i="80"/>
  <c r="O16" i="76"/>
  <c r="O17" i="76"/>
  <c r="O18" i="76"/>
  <c r="O20" i="76"/>
  <c r="O19" i="76"/>
  <c r="O21" i="76"/>
  <c r="O22" i="76"/>
  <c r="O28" i="76"/>
  <c r="R56" i="56"/>
  <c r="R72" i="56"/>
  <c r="R81" i="56"/>
  <c r="O29" i="76"/>
  <c r="BT57" i="80"/>
  <c r="BT68" i="80" s="1"/>
  <c r="BU57" i="80"/>
  <c r="BU68" i="80" s="1"/>
  <c r="BQ57" i="80"/>
  <c r="BQ68" i="80" s="1"/>
  <c r="BR57" i="80"/>
  <c r="BR68" i="80" s="1"/>
  <c r="BS57" i="80"/>
  <c r="BS68" i="80" s="1"/>
  <c r="BN60" i="80"/>
  <c r="BO60" i="80"/>
  <c r="BP57" i="80"/>
  <c r="BP68" i="80" s="1"/>
  <c r="BK60" i="80"/>
  <c r="BL60" i="80"/>
  <c r="BM60" i="80"/>
  <c r="BH57" i="80"/>
  <c r="BH68" i="80" s="1"/>
  <c r="BI57" i="80"/>
  <c r="BI68" i="80" s="1"/>
  <c r="BE57" i="80"/>
  <c r="BE68" i="80" s="1"/>
  <c r="BF57" i="80"/>
  <c r="BF68" i="80" s="1"/>
  <c r="BG57" i="80"/>
  <c r="BG68" i="80" s="1"/>
  <c r="BB60" i="80"/>
  <c r="BC60" i="80"/>
  <c r="BD57" i="80"/>
  <c r="BD68" i="80" s="1"/>
  <c r="AY60" i="80"/>
  <c r="AZ60" i="80"/>
  <c r="BA60" i="80"/>
  <c r="AV57" i="80"/>
  <c r="AV68" i="80" s="1"/>
  <c r="AW57" i="80"/>
  <c r="AW68" i="80" s="1"/>
  <c r="AS66" i="80"/>
  <c r="AS57" i="80"/>
  <c r="AS68" i="80" s="1"/>
  <c r="AT57" i="80"/>
  <c r="AT68" i="80" s="1"/>
  <c r="AU57" i="80"/>
  <c r="AU68" i="80" s="1"/>
  <c r="AP60" i="80"/>
  <c r="AP66" i="80"/>
  <c r="AQ60" i="80"/>
  <c r="AQ66" i="80"/>
  <c r="AR66" i="80"/>
  <c r="AR57" i="80"/>
  <c r="AR68" i="80" s="1"/>
  <c r="AM60" i="80"/>
  <c r="AM66" i="80"/>
  <c r="AN60" i="80"/>
  <c r="AN66" i="80"/>
  <c r="AO60" i="80"/>
  <c r="AO66" i="80"/>
  <c r="AJ66" i="80"/>
  <c r="AJ57" i="80"/>
  <c r="AJ68" i="80" s="1"/>
  <c r="AK66" i="80"/>
  <c r="AK57" i="80"/>
  <c r="AK68" i="80" s="1"/>
  <c r="AG66" i="80"/>
  <c r="AG57" i="80"/>
  <c r="AG68" i="80" s="1"/>
  <c r="AH66" i="80"/>
  <c r="AH57" i="80"/>
  <c r="AH68" i="80" s="1"/>
  <c r="AI66" i="80"/>
  <c r="AI57" i="80"/>
  <c r="AI68" i="80" s="1"/>
  <c r="I57" i="80"/>
  <c r="J57" i="80"/>
  <c r="J68" i="80" s="1"/>
  <c r="K57" i="80"/>
  <c r="K68" i="80" s="1"/>
  <c r="L57" i="80"/>
  <c r="L68" i="80" s="1"/>
  <c r="M57" i="80"/>
  <c r="M68" i="80" s="1"/>
  <c r="N57" i="80"/>
  <c r="N68" i="80" s="1"/>
  <c r="O57" i="80"/>
  <c r="O68" i="80" s="1"/>
  <c r="P57" i="80"/>
  <c r="P68" i="80" s="1"/>
  <c r="Q57" i="80"/>
  <c r="Q68" i="80" s="1"/>
  <c r="R57" i="80"/>
  <c r="R68" i="80" s="1"/>
  <c r="S57" i="80"/>
  <c r="S68" i="80" s="1"/>
  <c r="Z57" i="80"/>
  <c r="Z68" i="80" s="1"/>
  <c r="AA57" i="80"/>
  <c r="AA68" i="80" s="1"/>
  <c r="AB57" i="80"/>
  <c r="AB68" i="80" s="1"/>
  <c r="AC57" i="80"/>
  <c r="AC68" i="80" s="1"/>
  <c r="AD57" i="80"/>
  <c r="AD68" i="80" s="1"/>
  <c r="AE57" i="80"/>
  <c r="AE68" i="80" s="1"/>
  <c r="AL57" i="80"/>
  <c r="AL68" i="80" s="1"/>
  <c r="AM57" i="80"/>
  <c r="AM68" i="80" s="1"/>
  <c r="AN57" i="80"/>
  <c r="AN68" i="80" s="1"/>
  <c r="AO57" i="80"/>
  <c r="AO68" i="80" s="1"/>
  <c r="AP57" i="80"/>
  <c r="AP68" i="80" s="1"/>
  <c r="AQ57" i="80"/>
  <c r="AQ68" i="80" s="1"/>
  <c r="AX57" i="80"/>
  <c r="AX68" i="80" s="1"/>
  <c r="AY57" i="80"/>
  <c r="AY68" i="80" s="1"/>
  <c r="AZ57" i="80"/>
  <c r="AZ68" i="80" s="1"/>
  <c r="BA57" i="80"/>
  <c r="BA68" i="80" s="1"/>
  <c r="BB57" i="80"/>
  <c r="BB68" i="80" s="1"/>
  <c r="BC57" i="80"/>
  <c r="BC68" i="80" s="1"/>
  <c r="BJ57" i="80"/>
  <c r="BJ68" i="80" s="1"/>
  <c r="BK57" i="80"/>
  <c r="BK68" i="80" s="1"/>
  <c r="BL57" i="80"/>
  <c r="BL68" i="80" s="1"/>
  <c r="BM57" i="80"/>
  <c r="BM68" i="80" s="1"/>
  <c r="BN57" i="80"/>
  <c r="BN68" i="80" s="1"/>
  <c r="BO57" i="80"/>
  <c r="BO68" i="80" s="1"/>
  <c r="BV57" i="80"/>
  <c r="BV68" i="80" s="1"/>
  <c r="BW57" i="80"/>
  <c r="BW68" i="80" s="1"/>
  <c r="BX57" i="80"/>
  <c r="BX68" i="80" s="1"/>
  <c r="BY57" i="80"/>
  <c r="BY68" i="80" s="1"/>
  <c r="BZ57" i="80"/>
  <c r="BZ68" i="80" s="1"/>
  <c r="CA57" i="80"/>
  <c r="CA68" i="80" s="1"/>
  <c r="I58" i="80"/>
  <c r="J58" i="80"/>
  <c r="K58" i="80"/>
  <c r="L58" i="80"/>
  <c r="M58" i="80"/>
  <c r="N58" i="80"/>
  <c r="O58" i="80"/>
  <c r="P58" i="80"/>
  <c r="Q58" i="80"/>
  <c r="R58" i="80"/>
  <c r="S58" i="80"/>
  <c r="T58" i="80"/>
  <c r="V58" i="80"/>
  <c r="W58" i="80"/>
  <c r="X58" i="80"/>
  <c r="Y58" i="80"/>
  <c r="Z58" i="80"/>
  <c r="AA58" i="80"/>
  <c r="AB58" i="80"/>
  <c r="AC58" i="80"/>
  <c r="AD58" i="80"/>
  <c r="AE58" i="80"/>
  <c r="AF58" i="80"/>
  <c r="AG58" i="80"/>
  <c r="AH58" i="80"/>
  <c r="AI58" i="80"/>
  <c r="AJ58" i="80"/>
  <c r="AK58" i="80"/>
  <c r="AL58" i="80"/>
  <c r="AM58" i="80"/>
  <c r="AN58" i="80"/>
  <c r="AO58" i="80"/>
  <c r="AP58" i="80"/>
  <c r="AQ58" i="80"/>
  <c r="AR58" i="80"/>
  <c r="AS58" i="80"/>
  <c r="AT58" i="80"/>
  <c r="AU58" i="80"/>
  <c r="AV58" i="80"/>
  <c r="AW58" i="80"/>
  <c r="AX58" i="80"/>
  <c r="AY58" i="80"/>
  <c r="AZ58" i="80"/>
  <c r="BA58" i="80"/>
  <c r="BB58" i="80"/>
  <c r="BC58" i="80"/>
  <c r="BD58" i="80"/>
  <c r="BE58" i="80"/>
  <c r="BF58" i="80"/>
  <c r="BG58" i="80"/>
  <c r="BH58" i="80"/>
  <c r="BI58" i="80"/>
  <c r="BJ58" i="80"/>
  <c r="BK58" i="80"/>
  <c r="BL58" i="80"/>
  <c r="BM58" i="80"/>
  <c r="BN58" i="80"/>
  <c r="BO58" i="80"/>
  <c r="BP58" i="80"/>
  <c r="BQ58" i="80"/>
  <c r="BR58" i="80"/>
  <c r="BS58" i="80"/>
  <c r="BT58" i="80"/>
  <c r="BU58" i="80"/>
  <c r="BX58" i="80"/>
  <c r="I59" i="80"/>
  <c r="J59" i="80"/>
  <c r="K59" i="80"/>
  <c r="L59" i="80"/>
  <c r="M59" i="80"/>
  <c r="N59" i="80"/>
  <c r="T59" i="80"/>
  <c r="V59" i="80"/>
  <c r="W59" i="80"/>
  <c r="X59" i="80"/>
  <c r="Y59" i="80"/>
  <c r="Z59" i="80"/>
  <c r="AF59" i="80"/>
  <c r="AG59" i="80"/>
  <c r="AH59" i="80"/>
  <c r="AI59" i="80"/>
  <c r="AJ59" i="80"/>
  <c r="AK59" i="80"/>
  <c r="AL59" i="80"/>
  <c r="AR59" i="80"/>
  <c r="AS59" i="80"/>
  <c r="AT59" i="80"/>
  <c r="AU59" i="80"/>
  <c r="AV59" i="80"/>
  <c r="AW59" i="80"/>
  <c r="AX59" i="80"/>
  <c r="BD59" i="80"/>
  <c r="BE59" i="80"/>
  <c r="BF59" i="80"/>
  <c r="BG59" i="80"/>
  <c r="BH59" i="80"/>
  <c r="BI59" i="80"/>
  <c r="BJ59" i="80"/>
  <c r="BP59" i="80"/>
  <c r="BQ59" i="80"/>
  <c r="BR59" i="80"/>
  <c r="BS59" i="80"/>
  <c r="BT59" i="80"/>
  <c r="BU59" i="80"/>
  <c r="O60" i="80"/>
  <c r="P60" i="80"/>
  <c r="Q60" i="80"/>
  <c r="I66" i="80"/>
  <c r="J66" i="80"/>
  <c r="K66" i="80"/>
  <c r="L66" i="80"/>
  <c r="M66" i="80"/>
  <c r="N66" i="80"/>
  <c r="O66" i="80"/>
  <c r="P66" i="80"/>
  <c r="Q66" i="80"/>
  <c r="Z66" i="80"/>
  <c r="AL66" i="80"/>
  <c r="R26" i="60"/>
  <c r="O13" i="56"/>
  <c r="O17" i="56" s="1"/>
  <c r="C48" i="60"/>
  <c r="C56" i="60" s="1"/>
  <c r="C49" i="60"/>
  <c r="C57" i="60" s="1"/>
  <c r="C50" i="60"/>
  <c r="C58" i="60" s="1"/>
  <c r="C13" i="60"/>
  <c r="C22" i="60" s="1"/>
  <c r="C31" i="60" s="1"/>
  <c r="C40" i="60" s="1"/>
  <c r="C14" i="60"/>
  <c r="C23" i="60" s="1"/>
  <c r="C32" i="60" s="1"/>
  <c r="C41" i="60" s="1"/>
  <c r="C15" i="60"/>
  <c r="C24" i="60" s="1"/>
  <c r="C33" i="60" s="1"/>
  <c r="C42" i="60" s="1"/>
  <c r="C21" i="60"/>
  <c r="C30" i="60" s="1"/>
  <c r="C39" i="60" s="1"/>
  <c r="C12" i="60"/>
  <c r="AG7" i="44"/>
  <c r="AG6" i="44"/>
  <c r="AG5" i="44"/>
  <c r="AG4" i="44"/>
  <c r="AG3" i="44"/>
  <c r="R201" i="55"/>
  <c r="T201" i="55" s="1"/>
  <c r="T204" i="55"/>
  <c r="R205" i="55"/>
  <c r="R207" i="55" s="1"/>
  <c r="Q26" i="60"/>
  <c r="D60" i="60"/>
  <c r="E60" i="60"/>
  <c r="F60" i="60"/>
  <c r="H60" i="60"/>
  <c r="K60" i="60"/>
  <c r="N60" i="60"/>
  <c r="Q60" i="60"/>
  <c r="N1" i="44"/>
  <c r="A52" i="44"/>
  <c r="A53" i="44" s="1"/>
  <c r="A54" i="44" s="1"/>
  <c r="A55" i="44" s="1"/>
  <c r="A69" i="44" s="1"/>
  <c r="A70" i="44" s="1"/>
  <c r="AJ17" i="44"/>
  <c r="AH22" i="44"/>
  <c r="AO22" i="44" s="1"/>
  <c r="AH23" i="44"/>
  <c r="AO23" i="44" s="1"/>
  <c r="AH24" i="44"/>
  <c r="AO24" i="44" s="1"/>
  <c r="AH28" i="44"/>
  <c r="AO28" i="44" s="1"/>
  <c r="AH29" i="44"/>
  <c r="AO29" i="44" s="1"/>
  <c r="N17" i="44"/>
  <c r="E45" i="108" s="1"/>
  <c r="O17" i="44"/>
  <c r="F45" i="108" s="1"/>
  <c r="O18" i="44"/>
  <c r="F46" i="108" s="1"/>
  <c r="O19" i="44"/>
  <c r="F47" i="108" s="1"/>
  <c r="N20" i="44"/>
  <c r="E50" i="108" s="1"/>
  <c r="O20" i="44"/>
  <c r="F50" i="108" s="1"/>
  <c r="O21" i="44"/>
  <c r="F48" i="108" s="1"/>
  <c r="O22" i="44"/>
  <c r="F49" i="108" s="1"/>
  <c r="O65" i="60"/>
  <c r="E82" i="60"/>
  <c r="Q82" i="60" s="1"/>
  <c r="E66" i="60"/>
  <c r="BW58" i="80"/>
  <c r="M44" i="56"/>
  <c r="K70" i="60"/>
  <c r="J31" i="60"/>
  <c r="E68" i="60"/>
  <c r="G66" i="60"/>
  <c r="L32" i="60"/>
  <c r="K82" i="60"/>
  <c r="I82" i="60"/>
  <c r="M82" i="60"/>
  <c r="I66" i="60"/>
  <c r="O32" i="60"/>
  <c r="M66" i="60"/>
  <c r="H66" i="60"/>
  <c r="J49" i="60"/>
  <c r="F82" i="60"/>
  <c r="F81" i="60"/>
  <c r="H15" i="56"/>
  <c r="I14" i="60" s="1"/>
  <c r="U14" i="60" s="1"/>
  <c r="AG14" i="60" s="1"/>
  <c r="P15" i="20"/>
  <c r="O93" i="60"/>
  <c r="F70" i="60"/>
  <c r="N32" i="60"/>
  <c r="BY58" i="80"/>
  <c r="O60" i="60"/>
  <c r="M31" i="60"/>
  <c r="D70" i="60"/>
  <c r="I31" i="60"/>
  <c r="Q15" i="80"/>
  <c r="P26" i="60"/>
  <c r="M93" i="60"/>
  <c r="C79" i="56"/>
  <c r="D82" i="60"/>
  <c r="F66" i="60"/>
  <c r="D84" i="56"/>
  <c r="K66" i="60"/>
  <c r="N31" i="60"/>
  <c r="E81" i="60"/>
  <c r="J70" i="60"/>
  <c r="M81" i="60"/>
  <c r="P42" i="20"/>
  <c r="L66" i="60"/>
  <c r="X66" i="60" s="1"/>
  <c r="K32" i="60"/>
  <c r="W32" i="60" s="1"/>
  <c r="I70" i="60"/>
  <c r="CA58" i="80"/>
  <c r="BZ58" i="80"/>
  <c r="L31" i="60"/>
  <c r="X31" i="60" s="1"/>
  <c r="AJ31" i="60" s="1"/>
  <c r="N93" i="60"/>
  <c r="N95" i="60" s="1"/>
  <c r="G37" i="78" s="1"/>
  <c r="F68" i="60"/>
  <c r="O81" i="60"/>
  <c r="AA81" i="60" s="1"/>
  <c r="H31" i="60"/>
  <c r="J68" i="60"/>
  <c r="N66" i="60"/>
  <c r="N84" i="56"/>
  <c r="E32" i="60"/>
  <c r="H81" i="60"/>
  <c r="G81" i="60"/>
  <c r="H93" i="60"/>
  <c r="D31" i="60"/>
  <c r="E69" i="60"/>
  <c r="L93" i="60"/>
  <c r="J93" i="60"/>
  <c r="D84" i="60"/>
  <c r="G69" i="60"/>
  <c r="S69" i="60" s="1"/>
  <c r="J66" i="60"/>
  <c r="G68" i="60"/>
  <c r="D93" i="60"/>
  <c r="M68" i="60"/>
  <c r="J65" i="60"/>
  <c r="M32" i="60"/>
  <c r="J32" i="60"/>
  <c r="O69" i="60"/>
  <c r="AA69" i="60" s="1"/>
  <c r="K69" i="60"/>
  <c r="N81" i="60"/>
  <c r="L68" i="60"/>
  <c r="H69" i="60"/>
  <c r="I68" i="60"/>
  <c r="J69" i="60"/>
  <c r="N69" i="60"/>
  <c r="Z69" i="60" s="1"/>
  <c r="H32" i="60"/>
  <c r="F50" i="56"/>
  <c r="J84" i="56"/>
  <c r="K50" i="56"/>
  <c r="I65" i="60"/>
  <c r="K84" i="56"/>
  <c r="F32" i="60"/>
  <c r="K65" i="60"/>
  <c r="G31" i="60"/>
  <c r="F69" i="60"/>
  <c r="G32" i="60"/>
  <c r="D69" i="60"/>
  <c r="AU36" i="80" l="1"/>
  <c r="AT42" i="80"/>
  <c r="AT47" i="80"/>
  <c r="J42" i="80"/>
  <c r="I47" i="80"/>
  <c r="I48" i="80" s="1"/>
  <c r="I46" i="80"/>
  <c r="K42" i="80"/>
  <c r="I41" i="80"/>
  <c r="J41" i="80" s="1"/>
  <c r="K41" i="80" s="1"/>
  <c r="L41" i="80" s="1"/>
  <c r="M41" i="80" s="1"/>
  <c r="N41" i="80" s="1"/>
  <c r="O41" i="80" s="1"/>
  <c r="P41" i="80" s="1"/>
  <c r="Q41" i="80" s="1"/>
  <c r="R41" i="80" s="1"/>
  <c r="S41" i="80" s="1"/>
  <c r="T41" i="80" s="1"/>
  <c r="U41" i="80" s="1"/>
  <c r="V41" i="80" s="1"/>
  <c r="W41" i="80" s="1"/>
  <c r="X41" i="80" s="1"/>
  <c r="Y41" i="80" s="1"/>
  <c r="Z41" i="80" s="1"/>
  <c r="AA41" i="80" s="1"/>
  <c r="AB41" i="80" s="1"/>
  <c r="AC41" i="80" s="1"/>
  <c r="AD41" i="80" s="1"/>
  <c r="AE41" i="80" s="1"/>
  <c r="AF41" i="80" s="1"/>
  <c r="AG41" i="80" s="1"/>
  <c r="AH41" i="80" s="1"/>
  <c r="AI41" i="80" s="1"/>
  <c r="AJ41" i="80" s="1"/>
  <c r="AK41" i="80" s="1"/>
  <c r="AL41" i="80" s="1"/>
  <c r="AM41" i="80" s="1"/>
  <c r="AN41" i="80" s="1"/>
  <c r="AO41" i="80" s="1"/>
  <c r="AP41" i="80" s="1"/>
  <c r="AQ41" i="80" s="1"/>
  <c r="AR41" i="80" s="1"/>
  <c r="AS41" i="80" s="1"/>
  <c r="AT41" i="80" s="1"/>
  <c r="AU41" i="80" s="1"/>
  <c r="AV41" i="80" s="1"/>
  <c r="AW41" i="80" s="1"/>
  <c r="AX41" i="80" s="1"/>
  <c r="AY41" i="80" s="1"/>
  <c r="AZ41" i="80" s="1"/>
  <c r="BA41" i="80" s="1"/>
  <c r="BB41" i="80" s="1"/>
  <c r="BC41" i="80" s="1"/>
  <c r="BD41" i="80" s="1"/>
  <c r="BE41" i="80" s="1"/>
  <c r="BF41" i="80" s="1"/>
  <c r="BG41" i="80" s="1"/>
  <c r="BH41" i="80" s="1"/>
  <c r="BI41" i="80" s="1"/>
  <c r="BJ41" i="80" s="1"/>
  <c r="BK41" i="80" s="1"/>
  <c r="BL41" i="80" s="1"/>
  <c r="BM41" i="80" s="1"/>
  <c r="BN41" i="80" s="1"/>
  <c r="BO41" i="80" s="1"/>
  <c r="BP41" i="80" s="1"/>
  <c r="BQ41" i="80" s="1"/>
  <c r="BR41" i="80" s="1"/>
  <c r="BS41" i="80" s="1"/>
  <c r="BT41" i="80" s="1"/>
  <c r="BU41" i="80" s="1"/>
  <c r="BV41" i="80" s="1"/>
  <c r="BW41" i="80" s="1"/>
  <c r="BX41" i="80" s="1"/>
  <c r="BY41" i="80" s="1"/>
  <c r="BZ41" i="80" s="1"/>
  <c r="CA41" i="80" s="1"/>
  <c r="CB41" i="80" s="1"/>
  <c r="CC41" i="80" s="1"/>
  <c r="CD41" i="80" s="1"/>
  <c r="CE41" i="80" s="1"/>
  <c r="CF41" i="80" s="1"/>
  <c r="I42" i="80"/>
  <c r="T207" i="55"/>
  <c r="F71" i="60"/>
  <c r="G71" i="60"/>
  <c r="J71" i="60"/>
  <c r="J46" i="80"/>
  <c r="K46" i="80" s="1"/>
  <c r="L46" i="80" s="1"/>
  <c r="M46" i="80" s="1"/>
  <c r="N46" i="80" s="1"/>
  <c r="O46" i="80" s="1"/>
  <c r="P46" i="80" s="1"/>
  <c r="Q46" i="80" s="1"/>
  <c r="R46" i="80" s="1"/>
  <c r="S46" i="80" s="1"/>
  <c r="T46" i="80" s="1"/>
  <c r="U68" i="60"/>
  <c r="P60" i="20"/>
  <c r="S68" i="60"/>
  <c r="S71" i="60" s="1"/>
  <c r="AU66" i="80"/>
  <c r="AT66" i="80"/>
  <c r="B145" i="80"/>
  <c r="I68" i="80"/>
  <c r="B147" i="80"/>
  <c r="B143" i="80"/>
  <c r="BV16" i="80"/>
  <c r="BV59" i="80" s="1"/>
  <c r="BY21" i="80"/>
  <c r="BY60" i="80" s="1"/>
  <c r="BZ21" i="80"/>
  <c r="BZ60" i="80" s="1"/>
  <c r="BW21" i="80"/>
  <c r="BW60" i="80" s="1"/>
  <c r="CA21" i="80"/>
  <c r="CA60" i="80" s="1"/>
  <c r="BX21" i="80"/>
  <c r="BX60" i="80" s="1"/>
  <c r="C57" i="65"/>
  <c r="E46" i="61"/>
  <c r="C58" i="65"/>
  <c r="E47" i="61"/>
  <c r="F70" i="115"/>
  <c r="F70" i="65"/>
  <c r="E70" i="115"/>
  <c r="E70" i="65"/>
  <c r="F82" i="115"/>
  <c r="F82" i="65"/>
  <c r="O32" i="115"/>
  <c r="O32" i="65"/>
  <c r="AS14" i="60"/>
  <c r="BE14" i="60" s="1"/>
  <c r="BQ14" i="60" s="1"/>
  <c r="CC14" i="60" s="1"/>
  <c r="L15" i="115"/>
  <c r="L15" i="65"/>
  <c r="F67" i="115"/>
  <c r="F67" i="65"/>
  <c r="I35" i="60"/>
  <c r="I44" i="60" s="1"/>
  <c r="BJ10" i="113"/>
  <c r="BJ8" i="60"/>
  <c r="BB4" i="80" s="1"/>
  <c r="G7" i="83"/>
  <c r="U22" i="76"/>
  <c r="B125" i="82"/>
  <c r="J124" i="82"/>
  <c r="E35" i="60"/>
  <c r="F8" i="64"/>
  <c r="E8" i="64"/>
  <c r="CA46" i="113"/>
  <c r="E15" i="56"/>
  <c r="J15" i="56"/>
  <c r="I15" i="56"/>
  <c r="D15" i="56"/>
  <c r="N15" i="56"/>
  <c r="K15" i="56"/>
  <c r="G15" i="56"/>
  <c r="H14" i="60" s="1"/>
  <c r="T14" i="60" s="1"/>
  <c r="AF14" i="60" s="1"/>
  <c r="M15" i="56"/>
  <c r="L15" i="56"/>
  <c r="M14" i="60" s="1"/>
  <c r="Y14" i="60" s="1"/>
  <c r="G6" i="83"/>
  <c r="P84" i="20"/>
  <c r="R57" i="20"/>
  <c r="E32" i="76"/>
  <c r="E32" i="91" s="1"/>
  <c r="Q13" i="55"/>
  <c r="R13" i="55" s="1"/>
  <c r="G19" i="91"/>
  <c r="Q22" i="20"/>
  <c r="R22" i="20" s="1"/>
  <c r="Q15" i="55"/>
  <c r="Q27" i="20"/>
  <c r="Q34" i="20" s="1"/>
  <c r="Q20" i="55"/>
  <c r="Q23" i="20"/>
  <c r="Q16" i="55"/>
  <c r="R16" i="55" s="1"/>
  <c r="Q49" i="20"/>
  <c r="Q47" i="20"/>
  <c r="Q48" i="20"/>
  <c r="R35" i="60"/>
  <c r="Q35" i="60"/>
  <c r="P60" i="60"/>
  <c r="N35" i="60"/>
  <c r="P35" i="60"/>
  <c r="K35" i="60"/>
  <c r="L60" i="60"/>
  <c r="J35" i="60"/>
  <c r="H35" i="60"/>
  <c r="F35" i="60"/>
  <c r="D35" i="60"/>
  <c r="AY59" i="80"/>
  <c r="AF60" i="80"/>
  <c r="AB59" i="80"/>
  <c r="Y60" i="80"/>
  <c r="AP59" i="80"/>
  <c r="AN59" i="80"/>
  <c r="BM59" i="80"/>
  <c r="Q16" i="80"/>
  <c r="Q59" i="80" s="1"/>
  <c r="BV60" i="80"/>
  <c r="BT60" i="80"/>
  <c r="BO59" i="80"/>
  <c r="BI60" i="80"/>
  <c r="AX60" i="80"/>
  <c r="AV60" i="80"/>
  <c r="AE59" i="80"/>
  <c r="BN59" i="80"/>
  <c r="BW59" i="80"/>
  <c r="BU60" i="80"/>
  <c r="BL59" i="80"/>
  <c r="BH60" i="80"/>
  <c r="AW60" i="80"/>
  <c r="AC59" i="80"/>
  <c r="L21" i="80"/>
  <c r="L60" i="80" s="1"/>
  <c r="J21" i="80"/>
  <c r="J60" i="80" s="1"/>
  <c r="M21" i="80"/>
  <c r="M60" i="80" s="1"/>
  <c r="K21" i="80"/>
  <c r="K60" i="80" s="1"/>
  <c r="H140" i="80"/>
  <c r="BS60" i="80"/>
  <c r="BQ60" i="80"/>
  <c r="BF60" i="80"/>
  <c r="BD60" i="80"/>
  <c r="AU60" i="80"/>
  <c r="AS60" i="80"/>
  <c r="AK60" i="80"/>
  <c r="AI60" i="80"/>
  <c r="AG60" i="80"/>
  <c r="N21" i="80"/>
  <c r="N60" i="80" s="1"/>
  <c r="Z60" i="80"/>
  <c r="W60" i="80"/>
  <c r="I21" i="80"/>
  <c r="I60" i="80" s="1"/>
  <c r="H21" i="80"/>
  <c r="BJ60" i="80"/>
  <c r="CA59" i="80"/>
  <c r="BR60" i="80"/>
  <c r="BP60" i="80"/>
  <c r="BG60" i="80"/>
  <c r="BE60" i="80"/>
  <c r="BC59" i="80"/>
  <c r="AZ59" i="80"/>
  <c r="AT60" i="80"/>
  <c r="AR60" i="80"/>
  <c r="AL60" i="80"/>
  <c r="AJ60" i="80"/>
  <c r="AH60" i="80"/>
  <c r="BZ59" i="80"/>
  <c r="X60" i="80"/>
  <c r="V60" i="80"/>
  <c r="T60" i="80"/>
  <c r="I140" i="80"/>
  <c r="BX59" i="80"/>
  <c r="BK59" i="80"/>
  <c r="AQ59" i="80"/>
  <c r="AO59" i="80"/>
  <c r="AM59" i="80"/>
  <c r="AD59" i="80"/>
  <c r="AA59" i="80"/>
  <c r="S16" i="80"/>
  <c r="S59" i="80" s="1"/>
  <c r="O16" i="80"/>
  <c r="O59" i="80" s="1"/>
  <c r="P16" i="80"/>
  <c r="P59" i="80" s="1"/>
  <c r="R16" i="80"/>
  <c r="R59" i="80" s="1"/>
  <c r="F29" i="76"/>
  <c r="E18" i="76"/>
  <c r="H67" i="82"/>
  <c r="BV58" i="80"/>
  <c r="BY59" i="80"/>
  <c r="BB59" i="80"/>
  <c r="BA59" i="80"/>
  <c r="F68" i="82"/>
  <c r="E68" i="82"/>
  <c r="D68" i="82"/>
  <c r="J60" i="60"/>
  <c r="I60" i="60"/>
  <c r="Q83" i="60"/>
  <c r="R60" i="60"/>
  <c r="T69" i="60"/>
  <c r="AF69" i="60" s="1"/>
  <c r="Z83" i="60"/>
  <c r="Y83" i="60"/>
  <c r="I44" i="56"/>
  <c r="E75" i="56"/>
  <c r="Q69" i="60"/>
  <c r="AC69" i="60" s="1"/>
  <c r="R59" i="20"/>
  <c r="Y68" i="60"/>
  <c r="Y93" i="60"/>
  <c r="X82" i="60"/>
  <c r="AJ82" i="60" s="1"/>
  <c r="D44" i="56"/>
  <c r="E50" i="56"/>
  <c r="D75" i="56"/>
  <c r="E65" i="60"/>
  <c r="Q65" i="60" s="1"/>
  <c r="AC65" i="60" s="1"/>
  <c r="I84" i="56"/>
  <c r="T81" i="60"/>
  <c r="F75" i="56"/>
  <c r="G50" i="56"/>
  <c r="N65" i="60"/>
  <c r="Z65" i="60" s="1"/>
  <c r="W66" i="60"/>
  <c r="AI66" i="60" s="1"/>
  <c r="L50" i="56"/>
  <c r="L44" i="56"/>
  <c r="H50" i="56"/>
  <c r="M84" i="56"/>
  <c r="E44" i="56"/>
  <c r="W65" i="60"/>
  <c r="C84" i="56"/>
  <c r="AE70" i="60"/>
  <c r="R71" i="56"/>
  <c r="V49" i="60"/>
  <c r="AH49" i="60" s="1"/>
  <c r="K31" i="56"/>
  <c r="E31" i="56"/>
  <c r="R70" i="60"/>
  <c r="AD70" i="60" s="1"/>
  <c r="L49" i="60"/>
  <c r="G44" i="56"/>
  <c r="Z31" i="60"/>
  <c r="P58" i="56"/>
  <c r="R80" i="56"/>
  <c r="I49" i="60"/>
  <c r="H44" i="56"/>
  <c r="I38" i="56"/>
  <c r="K24" i="56"/>
  <c r="E93" i="60"/>
  <c r="D50" i="56"/>
  <c r="F31" i="60"/>
  <c r="J50" i="56"/>
  <c r="O68" i="60"/>
  <c r="O71" i="60" s="1"/>
  <c r="M50" i="56"/>
  <c r="O47" i="56"/>
  <c r="N50" i="56"/>
  <c r="AA32" i="60"/>
  <c r="N44" i="56"/>
  <c r="F84" i="56"/>
  <c r="G93" i="60"/>
  <c r="O78" i="56"/>
  <c r="P43" i="56"/>
  <c r="K68" i="60"/>
  <c r="K71" i="60" s="1"/>
  <c r="C50" i="56"/>
  <c r="P48" i="56"/>
  <c r="I93" i="60"/>
  <c r="H84" i="56"/>
  <c r="V68" i="60"/>
  <c r="O41" i="56"/>
  <c r="I75" i="56"/>
  <c r="P49" i="56"/>
  <c r="Q68" i="60"/>
  <c r="F44" i="56"/>
  <c r="J38" i="56"/>
  <c r="P29" i="56"/>
  <c r="T23" i="76" s="1"/>
  <c r="V32" i="60"/>
  <c r="AH32" i="60" s="1"/>
  <c r="G84" i="56"/>
  <c r="F24" i="56"/>
  <c r="N31" i="56"/>
  <c r="O31" i="60"/>
  <c r="AA31" i="60" s="1"/>
  <c r="Z66" i="60"/>
  <c r="R68" i="60"/>
  <c r="M75" i="56"/>
  <c r="I50" i="56"/>
  <c r="D68" i="60"/>
  <c r="D71" i="60" s="1"/>
  <c r="R66" i="60"/>
  <c r="AD66" i="60" s="1"/>
  <c r="P42" i="56"/>
  <c r="J44" i="56"/>
  <c r="Q81" i="60"/>
  <c r="K81" i="60"/>
  <c r="Y32" i="60"/>
  <c r="L69" i="60"/>
  <c r="L71" i="60" s="1"/>
  <c r="F38" i="56"/>
  <c r="N68" i="60"/>
  <c r="M31" i="56"/>
  <c r="C54" i="56"/>
  <c r="R83" i="56"/>
  <c r="N70" i="60"/>
  <c r="G31" i="56"/>
  <c r="I31" i="56"/>
  <c r="I69" i="60"/>
  <c r="I71" i="60" s="1"/>
  <c r="N38" i="56"/>
  <c r="U66" i="60"/>
  <c r="W70" i="60"/>
  <c r="AA65" i="60"/>
  <c r="X70" i="60"/>
  <c r="M70" i="60"/>
  <c r="Y70" i="60" s="1"/>
  <c r="M38" i="56"/>
  <c r="AJ66" i="60"/>
  <c r="H31" i="56"/>
  <c r="I32" i="60"/>
  <c r="Z82" i="60"/>
  <c r="AE69" i="60"/>
  <c r="L81" i="60"/>
  <c r="X81" i="60" s="1"/>
  <c r="V65" i="60"/>
  <c r="G24" i="56"/>
  <c r="K93" i="60"/>
  <c r="W93" i="60" s="1"/>
  <c r="L84" i="56"/>
  <c r="E38" i="56"/>
  <c r="L31" i="56"/>
  <c r="M65" i="60"/>
  <c r="T31" i="60"/>
  <c r="I24" i="56"/>
  <c r="P28" i="56"/>
  <c r="S23" i="76" s="1"/>
  <c r="D66" i="60"/>
  <c r="R55" i="56"/>
  <c r="P36" i="56"/>
  <c r="N75" i="56"/>
  <c r="X32" i="60"/>
  <c r="H70" i="60"/>
  <c r="T70" i="60" s="1"/>
  <c r="C31" i="56"/>
  <c r="D32" i="60"/>
  <c r="P32" i="60" s="1"/>
  <c r="P57" i="56"/>
  <c r="L38" i="56"/>
  <c r="S31" i="60"/>
  <c r="AE31" i="60" s="1"/>
  <c r="O95" i="60"/>
  <c r="H37" i="78" s="1"/>
  <c r="V69" i="60"/>
  <c r="R81" i="60"/>
  <c r="W67" i="60"/>
  <c r="S67" i="60"/>
  <c r="AM66" i="60"/>
  <c r="W69" i="60"/>
  <c r="AA93" i="60"/>
  <c r="M95" i="60"/>
  <c r="F37" i="78" s="1"/>
  <c r="D95" i="60"/>
  <c r="P93" i="60"/>
  <c r="Y81" i="60"/>
  <c r="Y82" i="60"/>
  <c r="R82" i="60"/>
  <c r="Z81" i="60"/>
  <c r="R83" i="60"/>
  <c r="AD83" i="60" s="1"/>
  <c r="V82" i="60"/>
  <c r="AG67" i="60"/>
  <c r="V66" i="60"/>
  <c r="T66" i="60"/>
  <c r="R58" i="20"/>
  <c r="E22" i="61"/>
  <c r="E29" i="61" s="1"/>
  <c r="E32" i="61" s="1"/>
  <c r="E23" i="61"/>
  <c r="E30" i="61" s="1"/>
  <c r="E33" i="61" s="1"/>
  <c r="R42" i="20"/>
  <c r="C40" i="65"/>
  <c r="F15" i="61"/>
  <c r="U70" i="60"/>
  <c r="Q32" i="60"/>
  <c r="P83" i="60"/>
  <c r="F15" i="56"/>
  <c r="G14" i="60" s="1"/>
  <c r="S14" i="60" s="1"/>
  <c r="AE14" i="60" s="1"/>
  <c r="P84" i="60"/>
  <c r="AM69" i="60"/>
  <c r="AL69" i="60"/>
  <c r="X93" i="60"/>
  <c r="L95" i="60"/>
  <c r="E37" i="78" s="1"/>
  <c r="T83" i="60"/>
  <c r="R67" i="60"/>
  <c r="AD67" i="60" s="1"/>
  <c r="P69" i="60"/>
  <c r="P31" i="60"/>
  <c r="S83" i="60"/>
  <c r="Z67" i="60"/>
  <c r="AA82" i="60"/>
  <c r="Q21" i="20"/>
  <c r="R14" i="20"/>
  <c r="AA83" i="60"/>
  <c r="T67" i="60"/>
  <c r="AV31" i="60"/>
  <c r="AM81" i="60"/>
  <c r="V70" i="60"/>
  <c r="X68" i="60"/>
  <c r="S81" i="60"/>
  <c r="U31" i="60"/>
  <c r="P82" i="60"/>
  <c r="AB82" i="60" s="1"/>
  <c r="V81" i="60"/>
  <c r="AC82" i="60"/>
  <c r="E31" i="76"/>
  <c r="E38" i="76"/>
  <c r="AH83" i="60"/>
  <c r="P70" i="60"/>
  <c r="AB70" i="60" s="1"/>
  <c r="AG83" i="60"/>
  <c r="S82" i="60"/>
  <c r="X83" i="60"/>
  <c r="R15" i="20"/>
  <c r="H95" i="60"/>
  <c r="T93" i="60"/>
  <c r="U65" i="60"/>
  <c r="R69" i="60"/>
  <c r="J95" i="60"/>
  <c r="C37" i="78" s="1"/>
  <c r="V93" i="60"/>
  <c r="V67" i="60"/>
  <c r="AF49" i="60"/>
  <c r="U82" i="60"/>
  <c r="Q66" i="60"/>
  <c r="AA70" i="60"/>
  <c r="AB67" i="60"/>
  <c r="Y67" i="60"/>
  <c r="Q49" i="60"/>
  <c r="P49" i="60"/>
  <c r="AB49" i="60" s="1"/>
  <c r="AA49" i="60"/>
  <c r="W83" i="60"/>
  <c r="X67" i="60"/>
  <c r="S66" i="60"/>
  <c r="E33" i="76"/>
  <c r="AC67" i="60"/>
  <c r="AA67" i="60"/>
  <c r="H65" i="82"/>
  <c r="H66" i="82"/>
  <c r="C68" i="82"/>
  <c r="C15" i="56"/>
  <c r="D14" i="60" s="1"/>
  <c r="P14" i="60" s="1"/>
  <c r="AB14" i="60" s="1"/>
  <c r="Z49" i="60"/>
  <c r="Y31" i="60"/>
  <c r="R49" i="60"/>
  <c r="AD49" i="60" s="1"/>
  <c r="G68" i="82"/>
  <c r="R32" i="60"/>
  <c r="T32" i="60"/>
  <c r="Z32" i="60"/>
  <c r="AI32" i="60"/>
  <c r="V31" i="60"/>
  <c r="S49" i="60"/>
  <c r="S32" i="60"/>
  <c r="D31" i="56"/>
  <c r="E31" i="60"/>
  <c r="Z93" i="60"/>
  <c r="Y66" i="60"/>
  <c r="W82" i="60"/>
  <c r="T82" i="60"/>
  <c r="W49" i="60"/>
  <c r="Y49" i="60"/>
  <c r="P24" i="20"/>
  <c r="E17" i="76"/>
  <c r="AV36" i="80" l="1"/>
  <c r="AU47" i="80"/>
  <c r="AI49" i="80" s="1"/>
  <c r="AU42" i="80"/>
  <c r="T45" i="80"/>
  <c r="U46" i="80"/>
  <c r="V46" i="80" s="1"/>
  <c r="W46" i="80" s="1"/>
  <c r="X46" i="80" s="1"/>
  <c r="Y46" i="80" s="1"/>
  <c r="Z46" i="80" s="1"/>
  <c r="AA46" i="80" s="1"/>
  <c r="AB46" i="80" s="1"/>
  <c r="AC46" i="80" s="1"/>
  <c r="AD46" i="80" s="1"/>
  <c r="AE46" i="80" s="1"/>
  <c r="AF46" i="80" s="1"/>
  <c r="AG46" i="80" s="1"/>
  <c r="AH46" i="80" s="1"/>
  <c r="AI46" i="80" s="1"/>
  <c r="AJ46" i="80" s="1"/>
  <c r="AK46" i="80" s="1"/>
  <c r="AL46" i="80" s="1"/>
  <c r="AM46" i="80" s="1"/>
  <c r="AN46" i="80" s="1"/>
  <c r="AO46" i="80" s="1"/>
  <c r="AP46" i="80" s="1"/>
  <c r="AQ46" i="80" s="1"/>
  <c r="AR46" i="80" s="1"/>
  <c r="AS46" i="80" s="1"/>
  <c r="AT46" i="80" s="1"/>
  <c r="AU46" i="80" s="1"/>
  <c r="AV46" i="80" s="1"/>
  <c r="AW46" i="80" s="1"/>
  <c r="AX46" i="80" s="1"/>
  <c r="AY46" i="80" s="1"/>
  <c r="AZ46" i="80" s="1"/>
  <c r="BA46" i="80" s="1"/>
  <c r="BB46" i="80" s="1"/>
  <c r="BC46" i="80" s="1"/>
  <c r="BD46" i="80" s="1"/>
  <c r="BE46" i="80" s="1"/>
  <c r="BF46" i="80" s="1"/>
  <c r="BG46" i="80" s="1"/>
  <c r="BH46" i="80" s="1"/>
  <c r="BI46" i="80" s="1"/>
  <c r="BJ46" i="80" s="1"/>
  <c r="BK46" i="80" s="1"/>
  <c r="BL46" i="80" s="1"/>
  <c r="BM46" i="80" s="1"/>
  <c r="BN46" i="80" s="1"/>
  <c r="BO46" i="80" s="1"/>
  <c r="BP46" i="80" s="1"/>
  <c r="BQ46" i="80" s="1"/>
  <c r="BR46" i="80" s="1"/>
  <c r="BS46" i="80" s="1"/>
  <c r="BT46" i="80" s="1"/>
  <c r="BU46" i="80" s="1"/>
  <c r="BV46" i="80" s="1"/>
  <c r="BW46" i="80" s="1"/>
  <c r="BX46" i="80" s="1"/>
  <c r="BY46" i="80" s="1"/>
  <c r="BZ46" i="80" s="1"/>
  <c r="CA46" i="80" s="1"/>
  <c r="CB46" i="80" s="1"/>
  <c r="CC46" i="80" s="1"/>
  <c r="CD46" i="80" s="1"/>
  <c r="CE46" i="80" s="1"/>
  <c r="CF46" i="80" s="1"/>
  <c r="N71" i="60"/>
  <c r="R71" i="60"/>
  <c r="AG68" i="60"/>
  <c r="L69" i="115" s="1"/>
  <c r="V71" i="60"/>
  <c r="I70" i="80"/>
  <c r="S26" i="60"/>
  <c r="S35" i="60" s="1"/>
  <c r="S44" i="60" s="1"/>
  <c r="S60" i="60"/>
  <c r="P68" i="60"/>
  <c r="P71" i="60" s="1"/>
  <c r="AD68" i="60"/>
  <c r="AE68" i="60"/>
  <c r="AE71" i="60" s="1"/>
  <c r="H43" i="80"/>
  <c r="F71" i="115"/>
  <c r="F71" i="65"/>
  <c r="L84" i="115"/>
  <c r="L84" i="65"/>
  <c r="J15" i="115"/>
  <c r="AQ14" i="60"/>
  <c r="BC14" i="60" s="1"/>
  <c r="BO14" i="60" s="1"/>
  <c r="CA14" i="60" s="1"/>
  <c r="J15" i="65"/>
  <c r="D83" i="115"/>
  <c r="D83" i="65"/>
  <c r="F94" i="115"/>
  <c r="F96" i="115" s="1"/>
  <c r="F94" i="65"/>
  <c r="D33" i="115"/>
  <c r="D33" i="65"/>
  <c r="F33" i="115"/>
  <c r="F33" i="65"/>
  <c r="E66" i="115"/>
  <c r="E66" i="65"/>
  <c r="D84" i="115"/>
  <c r="D84" i="65"/>
  <c r="K17" i="56"/>
  <c r="L14" i="60"/>
  <c r="X14" i="60" s="1"/>
  <c r="AJ14" i="60" s="1"/>
  <c r="D50" i="115"/>
  <c r="D50" i="65"/>
  <c r="D67" i="115"/>
  <c r="D67" i="65"/>
  <c r="H68" i="115"/>
  <c r="H68" i="65"/>
  <c r="G50" i="115"/>
  <c r="G50" i="65"/>
  <c r="G68" i="115"/>
  <c r="G68" i="65"/>
  <c r="N67" i="115"/>
  <c r="N67" i="65"/>
  <c r="N17" i="56"/>
  <c r="O14" i="60"/>
  <c r="AA14" i="60" s="1"/>
  <c r="E33" i="115"/>
  <c r="E33" i="65"/>
  <c r="F68" i="115"/>
  <c r="F68" i="65"/>
  <c r="F50" i="115"/>
  <c r="F50" i="65"/>
  <c r="H83" i="115"/>
  <c r="H83" i="65"/>
  <c r="J32" i="115"/>
  <c r="J32" i="65"/>
  <c r="E67" i="115"/>
  <c r="E67" i="65"/>
  <c r="O83" i="115"/>
  <c r="O83" i="65"/>
  <c r="D69" i="115"/>
  <c r="D69" i="65"/>
  <c r="H70" i="115"/>
  <c r="H70" i="65"/>
  <c r="M17" i="56"/>
  <c r="N14" i="60"/>
  <c r="Z14" i="60" s="1"/>
  <c r="D17" i="56"/>
  <c r="E14" i="60"/>
  <c r="Q14" i="60" s="1"/>
  <c r="AC14" i="60" s="1"/>
  <c r="E17" i="56"/>
  <c r="F14" i="60"/>
  <c r="R14" i="60" s="1"/>
  <c r="AD14" i="60" s="1"/>
  <c r="I50" i="115"/>
  <c r="I50" i="65"/>
  <c r="E50" i="115"/>
  <c r="E50" i="65"/>
  <c r="D68" i="115"/>
  <c r="D68" i="65"/>
  <c r="G83" i="115"/>
  <c r="G83" i="65"/>
  <c r="F83" i="115"/>
  <c r="F83" i="65"/>
  <c r="I68" i="115"/>
  <c r="I68" i="65"/>
  <c r="E82" i="115"/>
  <c r="E82" i="65"/>
  <c r="D82" i="115"/>
  <c r="D82" i="65"/>
  <c r="J70" i="115"/>
  <c r="J70" i="65"/>
  <c r="F32" i="115"/>
  <c r="F32" i="65"/>
  <c r="I71" i="115"/>
  <c r="I71" i="65"/>
  <c r="H66" i="115"/>
  <c r="H66" i="65"/>
  <c r="J17" i="56"/>
  <c r="K14" i="60"/>
  <c r="W14" i="60" s="1"/>
  <c r="AI14" i="60" s="1"/>
  <c r="N33" i="115"/>
  <c r="N33" i="65"/>
  <c r="K50" i="115"/>
  <c r="K50" i="65"/>
  <c r="O67" i="115"/>
  <c r="O67" i="65"/>
  <c r="I67" i="115"/>
  <c r="I67" i="65"/>
  <c r="J71" i="115"/>
  <c r="J71" i="65"/>
  <c r="E84" i="115"/>
  <c r="E84" i="65"/>
  <c r="K70" i="115"/>
  <c r="K70" i="65"/>
  <c r="D32" i="115"/>
  <c r="D32" i="65"/>
  <c r="L68" i="115"/>
  <c r="L68" i="65"/>
  <c r="E94" i="115"/>
  <c r="E96" i="115" s="1"/>
  <c r="E94" i="65"/>
  <c r="G15" i="115"/>
  <c r="G15" i="65"/>
  <c r="AN14" i="60"/>
  <c r="AZ14" i="60" s="1"/>
  <c r="BL14" i="60" s="1"/>
  <c r="BX14" i="60" s="1"/>
  <c r="G71" i="115"/>
  <c r="G71" i="65"/>
  <c r="M84" i="115"/>
  <c r="M84" i="65"/>
  <c r="F84" i="115"/>
  <c r="F84" i="65"/>
  <c r="E68" i="115"/>
  <c r="E68" i="65"/>
  <c r="AC83" i="60"/>
  <c r="AO83" i="60" s="1"/>
  <c r="I84" i="115"/>
  <c r="I84" i="65"/>
  <c r="AL83" i="60"/>
  <c r="E83" i="115"/>
  <c r="E83" i="65"/>
  <c r="D71" i="115"/>
  <c r="D71" i="65"/>
  <c r="F66" i="115"/>
  <c r="F66" i="65"/>
  <c r="M33" i="115"/>
  <c r="M33" i="65"/>
  <c r="AL31" i="60"/>
  <c r="E32" i="115"/>
  <c r="E32" i="65"/>
  <c r="M50" i="115"/>
  <c r="M50" i="65"/>
  <c r="AK93" i="60"/>
  <c r="AW93" i="60" s="1"/>
  <c r="BI93" i="60" s="1"/>
  <c r="BU93" i="60" s="1"/>
  <c r="D94" i="115"/>
  <c r="D94" i="65"/>
  <c r="D15" i="115"/>
  <c r="AK14" i="60"/>
  <c r="AW14" i="60" s="1"/>
  <c r="BI14" i="60" s="1"/>
  <c r="BU14" i="60" s="1"/>
  <c r="CG14" i="60" s="1"/>
  <c r="D15" i="65"/>
  <c r="K15" i="115"/>
  <c r="AR14" i="60"/>
  <c r="BD14" i="60" s="1"/>
  <c r="BP14" i="60" s="1"/>
  <c r="CB14" i="60" s="1"/>
  <c r="K15" i="65"/>
  <c r="I17" i="56"/>
  <c r="J14" i="60"/>
  <c r="V14" i="60" s="1"/>
  <c r="AH14" i="60" s="1"/>
  <c r="BK10" i="113"/>
  <c r="BK8" i="60"/>
  <c r="BC4" i="80" s="1"/>
  <c r="G8" i="64"/>
  <c r="B126" i="82"/>
  <c r="J125" i="82"/>
  <c r="I59" i="113"/>
  <c r="G59" i="113"/>
  <c r="E44" i="60"/>
  <c r="K59" i="113"/>
  <c r="M60" i="60"/>
  <c r="F59" i="113"/>
  <c r="CB46" i="113"/>
  <c r="G17" i="56"/>
  <c r="L17" i="56"/>
  <c r="Q49" i="56"/>
  <c r="R49" i="56" s="1"/>
  <c r="Q16" i="56"/>
  <c r="Q30" i="20"/>
  <c r="Q37" i="20" s="1"/>
  <c r="R20" i="55"/>
  <c r="Q13" i="56"/>
  <c r="R13" i="56" s="1"/>
  <c r="AO69" i="60"/>
  <c r="BA69" i="60" s="1"/>
  <c r="E33" i="91"/>
  <c r="E31" i="91"/>
  <c r="F29" i="91"/>
  <c r="E38" i="91"/>
  <c r="E17" i="91"/>
  <c r="E18" i="91"/>
  <c r="Q47" i="56"/>
  <c r="R47" i="56" s="1"/>
  <c r="Q28" i="20"/>
  <c r="Q21" i="55"/>
  <c r="R23" i="20"/>
  <c r="Q23" i="55"/>
  <c r="Q15" i="56"/>
  <c r="R15" i="55"/>
  <c r="Q20" i="56"/>
  <c r="Q27" i="56" s="1"/>
  <c r="Q22" i="55"/>
  <c r="Q29" i="20"/>
  <c r="O84" i="56"/>
  <c r="F27" i="76"/>
  <c r="Q44" i="60"/>
  <c r="R44" i="60"/>
  <c r="P44" i="60"/>
  <c r="O35" i="60"/>
  <c r="N44" i="60"/>
  <c r="L35" i="60"/>
  <c r="K44" i="60"/>
  <c r="H44" i="60"/>
  <c r="J44" i="60"/>
  <c r="F44" i="60"/>
  <c r="G60" i="60"/>
  <c r="D44" i="60"/>
  <c r="U60" i="80"/>
  <c r="B151" i="80"/>
  <c r="AU32" i="60"/>
  <c r="BG32" i="60" s="1"/>
  <c r="AM31" i="60"/>
  <c r="AM32" i="60"/>
  <c r="AB31" i="60"/>
  <c r="AR69" i="60"/>
  <c r="BD69" i="60" s="1"/>
  <c r="AI65" i="60"/>
  <c r="AK83" i="60"/>
  <c r="W68" i="60"/>
  <c r="W71" i="60" s="1"/>
  <c r="AL67" i="60"/>
  <c r="AX67" i="60" s="1"/>
  <c r="R31" i="60"/>
  <c r="AE67" i="60"/>
  <c r="AC68" i="60"/>
  <c r="AL82" i="60"/>
  <c r="Y95" i="60"/>
  <c r="T37" i="78" s="1"/>
  <c r="AU66" i="60"/>
  <c r="BG66" i="60" s="1"/>
  <c r="AK68" i="60"/>
  <c r="AM49" i="60"/>
  <c r="R78" i="56"/>
  <c r="AA68" i="60"/>
  <c r="AA71" i="60" s="1"/>
  <c r="AD82" i="60"/>
  <c r="K38" i="56"/>
  <c r="AF81" i="60"/>
  <c r="AC49" i="60"/>
  <c r="H24" i="56"/>
  <c r="X49" i="60"/>
  <c r="AQ70" i="60"/>
  <c r="AE82" i="60"/>
  <c r="AC81" i="60"/>
  <c r="AL66" i="60"/>
  <c r="R79" i="56"/>
  <c r="F22" i="76"/>
  <c r="O50" i="56"/>
  <c r="F32" i="76"/>
  <c r="N24" i="56"/>
  <c r="P59" i="56"/>
  <c r="P60" i="56" s="1"/>
  <c r="I95" i="60"/>
  <c r="U93" i="60"/>
  <c r="E95" i="60"/>
  <c r="Q93" i="60"/>
  <c r="Q95" i="60" s="1"/>
  <c r="J37" i="78" s="1"/>
  <c r="G38" i="56"/>
  <c r="AY66" i="60"/>
  <c r="BK66" i="60" s="1"/>
  <c r="AI93" i="60"/>
  <c r="W95" i="60"/>
  <c r="Q37" i="78" s="1"/>
  <c r="P73" i="56"/>
  <c r="F31" i="56"/>
  <c r="O53" i="56"/>
  <c r="P44" i="56"/>
  <c r="F21" i="76"/>
  <c r="AH68" i="60"/>
  <c r="P50" i="56"/>
  <c r="AL65" i="60"/>
  <c r="O44" i="56"/>
  <c r="F20" i="76"/>
  <c r="G95" i="60"/>
  <c r="S93" i="60"/>
  <c r="U49" i="60"/>
  <c r="F31" i="76"/>
  <c r="C24" i="56"/>
  <c r="H65" i="60"/>
  <c r="Y65" i="60"/>
  <c r="U69" i="60"/>
  <c r="U71" i="60" s="1"/>
  <c r="I81" i="60"/>
  <c r="J31" i="56"/>
  <c r="K31" i="60"/>
  <c r="AQ69" i="60"/>
  <c r="H75" i="56"/>
  <c r="AJ70" i="60"/>
  <c r="C70" i="56"/>
  <c r="O69" i="56"/>
  <c r="Z70" i="60"/>
  <c r="O27" i="56"/>
  <c r="L65" i="60"/>
  <c r="Z68" i="60"/>
  <c r="J75" i="56"/>
  <c r="P30" i="56"/>
  <c r="AJ32" i="60"/>
  <c r="G75" i="56"/>
  <c r="M69" i="60"/>
  <c r="M71" i="60" s="1"/>
  <c r="AV66" i="60"/>
  <c r="P37" i="56"/>
  <c r="H38" i="56"/>
  <c r="E70" i="60"/>
  <c r="E71" i="60" s="1"/>
  <c r="D24" i="56"/>
  <c r="F65" i="60"/>
  <c r="O34" i="56"/>
  <c r="E24" i="56"/>
  <c r="X69" i="60"/>
  <c r="X71" i="60" s="1"/>
  <c r="AT32" i="60"/>
  <c r="D38" i="56"/>
  <c r="P35" i="56"/>
  <c r="G65" i="60"/>
  <c r="K75" i="56"/>
  <c r="AM65" i="60"/>
  <c r="E84" i="56"/>
  <c r="F93" i="60"/>
  <c r="P82" i="56"/>
  <c r="D85" i="60"/>
  <c r="P74" i="56"/>
  <c r="C75" i="56"/>
  <c r="L75" i="56"/>
  <c r="K95" i="60"/>
  <c r="D37" i="78" s="1"/>
  <c r="AH65" i="60"/>
  <c r="W81" i="60"/>
  <c r="AF31" i="60"/>
  <c r="AK32" i="60"/>
  <c r="AG66" i="60"/>
  <c r="J24" i="56"/>
  <c r="P66" i="60"/>
  <c r="L24" i="56"/>
  <c r="U32" i="60"/>
  <c r="AI70" i="60"/>
  <c r="H68" i="60"/>
  <c r="H71" i="60" s="1"/>
  <c r="D65" i="60"/>
  <c r="M24" i="56"/>
  <c r="C38" i="56"/>
  <c r="AP70" i="60"/>
  <c r="AI69" i="60"/>
  <c r="AD81" i="60"/>
  <c r="AI67" i="60"/>
  <c r="AH69" i="60"/>
  <c r="AM93" i="60"/>
  <c r="AA95" i="60"/>
  <c r="V37" i="78" s="1"/>
  <c r="P95" i="60"/>
  <c r="I37" i="78" s="1"/>
  <c r="AB93" i="60"/>
  <c r="AH82" i="60"/>
  <c r="AT83" i="60"/>
  <c r="BF83" i="60" s="1"/>
  <c r="AJ81" i="60"/>
  <c r="AK82" i="60"/>
  <c r="AK81" i="60"/>
  <c r="AL81" i="60"/>
  <c r="AF66" i="60"/>
  <c r="AH66" i="60"/>
  <c r="AS67" i="60"/>
  <c r="R21" i="20"/>
  <c r="AY81" i="60"/>
  <c r="BH31" i="60"/>
  <c r="AE83" i="60"/>
  <c r="AB69" i="60"/>
  <c r="AY69" i="60"/>
  <c r="AG70" i="60"/>
  <c r="AS83" i="60"/>
  <c r="AJ68" i="60"/>
  <c r="AB83" i="60"/>
  <c r="P15" i="56"/>
  <c r="AJ83" i="60"/>
  <c r="AV82" i="60"/>
  <c r="AX69" i="60"/>
  <c r="AC32" i="60"/>
  <c r="AN70" i="60"/>
  <c r="AP66" i="60"/>
  <c r="AM83" i="60"/>
  <c r="AJ93" i="60"/>
  <c r="X95" i="60"/>
  <c r="R37" i="78" s="1"/>
  <c r="AO82" i="60"/>
  <c r="AG31" i="60"/>
  <c r="AF67" i="60"/>
  <c r="AH81" i="60"/>
  <c r="AO65" i="60"/>
  <c r="AE81" i="60"/>
  <c r="AH70" i="60"/>
  <c r="AM82" i="60"/>
  <c r="AF83" i="60"/>
  <c r="AB84" i="60"/>
  <c r="F17" i="56"/>
  <c r="AE66" i="60"/>
  <c r="AK67" i="60"/>
  <c r="AP67" i="60"/>
  <c r="AN82" i="60"/>
  <c r="V95" i="60"/>
  <c r="P37" i="78" s="1"/>
  <c r="AH93" i="60"/>
  <c r="AG65" i="60"/>
  <c r="T95" i="60"/>
  <c r="M37" i="78" s="1"/>
  <c r="AF93" i="60"/>
  <c r="AN67" i="60"/>
  <c r="AP83" i="60"/>
  <c r="AM67" i="60"/>
  <c r="AM70" i="60"/>
  <c r="AG82" i="60"/>
  <c r="AH67" i="60"/>
  <c r="AQ31" i="60"/>
  <c r="AJ67" i="60"/>
  <c r="AC66" i="60"/>
  <c r="AK70" i="60"/>
  <c r="AF70" i="60"/>
  <c r="AO67" i="60"/>
  <c r="AI83" i="60"/>
  <c r="AR49" i="60"/>
  <c r="AD69" i="60"/>
  <c r="AF32" i="60"/>
  <c r="H68" i="82"/>
  <c r="G70" i="82" s="1"/>
  <c r="AT49" i="60"/>
  <c r="AD32" i="60"/>
  <c r="AK31" i="60"/>
  <c r="AL32" i="60"/>
  <c r="AL49" i="60"/>
  <c r="AK49" i="60"/>
  <c r="AB32" i="60"/>
  <c r="C17" i="56"/>
  <c r="H8" i="64"/>
  <c r="AE49" i="60"/>
  <c r="AH31" i="60"/>
  <c r="AI49" i="60"/>
  <c r="AF82" i="60"/>
  <c r="AI82" i="60"/>
  <c r="Q31" i="60"/>
  <c r="AE32" i="60"/>
  <c r="AK66" i="60"/>
  <c r="AL93" i="60"/>
  <c r="Z95" i="60"/>
  <c r="U37" i="78" s="1"/>
  <c r="AP49" i="60"/>
  <c r="AN49" i="60"/>
  <c r="AJ47" i="80" l="1"/>
  <c r="AM47" i="80"/>
  <c r="AK47" i="80"/>
  <c r="AN47" i="80"/>
  <c r="AL47" i="80"/>
  <c r="AW36" i="80"/>
  <c r="AV66" i="80"/>
  <c r="H51" i="80"/>
  <c r="I32" i="72" s="1"/>
  <c r="I43" i="80"/>
  <c r="I44" i="80" s="1"/>
  <c r="L69" i="65"/>
  <c r="AS68" i="60"/>
  <c r="BE68" i="60" s="1"/>
  <c r="Z71" i="60"/>
  <c r="I69" i="65"/>
  <c r="AD71" i="60"/>
  <c r="AH71" i="60"/>
  <c r="I69" i="115"/>
  <c r="AB68" i="60"/>
  <c r="AN68" i="60" s="1"/>
  <c r="AP68" i="60"/>
  <c r="AI68" i="60"/>
  <c r="AI71" i="60" s="1"/>
  <c r="J69" i="65"/>
  <c r="AQ68" i="60"/>
  <c r="AQ71" i="60" s="1"/>
  <c r="J69" i="115"/>
  <c r="J72" i="115" s="1"/>
  <c r="AK95" i="60"/>
  <c r="AX31" i="60"/>
  <c r="D96" i="65"/>
  <c r="M32" i="115"/>
  <c r="M32" i="65"/>
  <c r="N84" i="115"/>
  <c r="N84" i="65"/>
  <c r="L32" i="115"/>
  <c r="L32" i="65"/>
  <c r="O94" i="115"/>
  <c r="O96" i="115" s="1"/>
  <c r="O94" i="65"/>
  <c r="F69" i="115"/>
  <c r="F72" i="115" s="1"/>
  <c r="F69" i="65"/>
  <c r="E15" i="115"/>
  <c r="E15" i="65"/>
  <c r="AL14" i="60"/>
  <c r="AX14" i="60" s="1"/>
  <c r="BJ14" i="60" s="1"/>
  <c r="BV14" i="60" s="1"/>
  <c r="CH14" i="60" s="1"/>
  <c r="N83" i="115"/>
  <c r="N83" i="65"/>
  <c r="K33" i="115"/>
  <c r="K33" i="65"/>
  <c r="L83" i="115"/>
  <c r="L83" i="65"/>
  <c r="M82" i="115"/>
  <c r="M82" i="65"/>
  <c r="K68" i="115"/>
  <c r="K68" i="65"/>
  <c r="M83" i="115"/>
  <c r="M83" i="65"/>
  <c r="M70" i="115"/>
  <c r="M70" i="65"/>
  <c r="K82" i="115"/>
  <c r="K82" i="65"/>
  <c r="J68" i="115"/>
  <c r="J68" i="65"/>
  <c r="G32" i="115"/>
  <c r="G32" i="65"/>
  <c r="J29" i="61" s="1"/>
  <c r="AX83" i="60"/>
  <c r="O15" i="115"/>
  <c r="O15" i="65"/>
  <c r="AV14" i="60"/>
  <c r="BH14" i="60" s="1"/>
  <c r="BT14" i="60" s="1"/>
  <c r="CF14" i="60" s="1"/>
  <c r="K83" i="115"/>
  <c r="K83" i="65"/>
  <c r="N50" i="115"/>
  <c r="N50" i="65"/>
  <c r="K71" i="115"/>
  <c r="K71" i="65"/>
  <c r="O68" i="115"/>
  <c r="O68" i="65"/>
  <c r="J48" i="61" s="1"/>
  <c r="M94" i="115"/>
  <c r="M96" i="115" s="1"/>
  <c r="M94" i="65"/>
  <c r="M96" i="65" s="1"/>
  <c r="J82" i="115"/>
  <c r="J82" i="65"/>
  <c r="G84" i="115"/>
  <c r="G84" i="65"/>
  <c r="G94" i="115"/>
  <c r="G96" i="115" s="1"/>
  <c r="G94" i="65"/>
  <c r="M66" i="115"/>
  <c r="M66" i="65"/>
  <c r="E69" i="115"/>
  <c r="E69" i="65"/>
  <c r="E71" i="115"/>
  <c r="E71" i="65"/>
  <c r="N94" i="115"/>
  <c r="N96" i="115" s="1"/>
  <c r="N94" i="65"/>
  <c r="J83" i="115"/>
  <c r="J83" i="65"/>
  <c r="H50" i="115"/>
  <c r="H50" i="65"/>
  <c r="D96" i="115"/>
  <c r="N15" i="65"/>
  <c r="AU14" i="60"/>
  <c r="BG14" i="60" s="1"/>
  <c r="BS14" i="60" s="1"/>
  <c r="CE14" i="60" s="1"/>
  <c r="N15" i="115"/>
  <c r="H15" i="115"/>
  <c r="H15" i="65"/>
  <c r="AO14" i="60"/>
  <c r="BA14" i="60" s="1"/>
  <c r="BM14" i="60" s="1"/>
  <c r="BY14" i="60" s="1"/>
  <c r="H67" i="115"/>
  <c r="H67" i="65"/>
  <c r="H33" i="115"/>
  <c r="H33" i="65"/>
  <c r="O84" i="115"/>
  <c r="O84" i="65"/>
  <c r="L71" i="115"/>
  <c r="L71" i="65"/>
  <c r="M67" i="115"/>
  <c r="M67" i="65"/>
  <c r="O33" i="115"/>
  <c r="O33" i="65"/>
  <c r="D66" i="115"/>
  <c r="D66" i="65"/>
  <c r="H69" i="115"/>
  <c r="H69" i="65"/>
  <c r="N66" i="115"/>
  <c r="N66" i="65"/>
  <c r="AP14" i="60"/>
  <c r="BB14" i="60" s="1"/>
  <c r="BN14" i="60" s="1"/>
  <c r="BZ14" i="60" s="1"/>
  <c r="I15" i="115"/>
  <c r="I15" i="65"/>
  <c r="J33" i="115"/>
  <c r="J33" i="65"/>
  <c r="K94" i="115"/>
  <c r="K96" i="115" s="1"/>
  <c r="K94" i="65"/>
  <c r="L66" i="115"/>
  <c r="L66" i="65"/>
  <c r="K84" i="115"/>
  <c r="K84" i="65"/>
  <c r="M71" i="115"/>
  <c r="M71" i="65"/>
  <c r="G70" i="115"/>
  <c r="G70" i="65"/>
  <c r="K67" i="115"/>
  <c r="K67" i="65"/>
  <c r="N71" i="115"/>
  <c r="N71" i="65"/>
  <c r="M69" i="115"/>
  <c r="M69" i="65"/>
  <c r="H82" i="115"/>
  <c r="H82" i="65"/>
  <c r="M15" i="115"/>
  <c r="M15" i="65"/>
  <c r="AT14" i="60"/>
  <c r="BF14" i="60" s="1"/>
  <c r="BR14" i="60" s="1"/>
  <c r="CD14" i="60" s="1"/>
  <c r="F15" i="115"/>
  <c r="F15" i="65"/>
  <c r="AM14" i="60"/>
  <c r="AY14" i="60" s="1"/>
  <c r="BK14" i="60" s="1"/>
  <c r="BW14" i="60" s="1"/>
  <c r="CI14" i="60" s="1"/>
  <c r="J50" i="115"/>
  <c r="J50" i="65"/>
  <c r="G33" i="115"/>
  <c r="G33" i="65"/>
  <c r="I33" i="115"/>
  <c r="I33" i="65"/>
  <c r="I70" i="115"/>
  <c r="I70" i="65"/>
  <c r="M68" i="115"/>
  <c r="M68" i="65"/>
  <c r="J67" i="115"/>
  <c r="J67" i="65"/>
  <c r="G85" i="115"/>
  <c r="G85" i="65"/>
  <c r="O69" i="115"/>
  <c r="O69" i="65"/>
  <c r="J84" i="115"/>
  <c r="J84" i="65"/>
  <c r="O82" i="115"/>
  <c r="O82" i="65"/>
  <c r="N68" i="115"/>
  <c r="N68" i="65"/>
  <c r="I82" i="115"/>
  <c r="I82" i="65"/>
  <c r="N70" i="115"/>
  <c r="N70" i="65"/>
  <c r="L67" i="115"/>
  <c r="L67" i="65"/>
  <c r="K32" i="115"/>
  <c r="K32" i="65"/>
  <c r="O71" i="115"/>
  <c r="O71" i="65"/>
  <c r="AP82" i="60"/>
  <c r="I83" i="115"/>
  <c r="I83" i="65"/>
  <c r="H84" i="115"/>
  <c r="H84" i="65"/>
  <c r="BL10" i="113"/>
  <c r="BL8" i="60"/>
  <c r="BD4" i="80" s="1"/>
  <c r="E59" i="113"/>
  <c r="N59" i="113"/>
  <c r="M35" i="60"/>
  <c r="M59" i="113"/>
  <c r="J59" i="113"/>
  <c r="D59" i="113"/>
  <c r="L59" i="113"/>
  <c r="C59" i="113"/>
  <c r="H59" i="113"/>
  <c r="B127" i="82"/>
  <c r="J126" i="82"/>
  <c r="CC46" i="113"/>
  <c r="R43" i="56"/>
  <c r="O75" i="56"/>
  <c r="F26" i="76"/>
  <c r="F33" i="76"/>
  <c r="H33" i="76" s="1"/>
  <c r="M33" i="76" s="1"/>
  <c r="P33" i="76" s="1"/>
  <c r="AO81" i="60"/>
  <c r="BA81" i="60" s="1"/>
  <c r="O60" i="56"/>
  <c r="F25" i="76"/>
  <c r="T21" i="76"/>
  <c r="H32" i="76"/>
  <c r="M32" i="76" s="1"/>
  <c r="P32" i="76" s="1"/>
  <c r="F32" i="91"/>
  <c r="H32" i="91" s="1"/>
  <c r="M32" i="91" s="1"/>
  <c r="P32" i="91" s="1"/>
  <c r="F21" i="91"/>
  <c r="F22" i="91"/>
  <c r="H31" i="76"/>
  <c r="M31" i="76" s="1"/>
  <c r="P31" i="76" s="1"/>
  <c r="F31" i="91"/>
  <c r="H31" i="91" s="1"/>
  <c r="M31" i="91" s="1"/>
  <c r="P31" i="91" s="1"/>
  <c r="F20" i="91"/>
  <c r="Q36" i="20"/>
  <c r="R36" i="20" s="1"/>
  <c r="R29" i="20"/>
  <c r="Q23" i="56"/>
  <c r="R23" i="55"/>
  <c r="Q21" i="56"/>
  <c r="Q22" i="56"/>
  <c r="Q35" i="20"/>
  <c r="R35" i="20" s="1"/>
  <c r="R28" i="20"/>
  <c r="Q48" i="56"/>
  <c r="R48" i="56" s="1"/>
  <c r="R50" i="56" s="1"/>
  <c r="R42" i="56"/>
  <c r="R41" i="56"/>
  <c r="Q27" i="55"/>
  <c r="R27" i="55" s="1"/>
  <c r="Q34" i="56"/>
  <c r="R34" i="56" s="1"/>
  <c r="F27" i="91"/>
  <c r="O44" i="60"/>
  <c r="L44" i="60"/>
  <c r="G35" i="60"/>
  <c r="F18" i="76"/>
  <c r="AY32" i="60"/>
  <c r="BK32" i="60" s="1"/>
  <c r="AW32" i="60"/>
  <c r="BI32" i="60" s="1"/>
  <c r="AN31" i="60"/>
  <c r="AO49" i="60"/>
  <c r="BA49" i="60" s="1"/>
  <c r="AY31" i="60"/>
  <c r="R15" i="56"/>
  <c r="AD31" i="60"/>
  <c r="AW83" i="60"/>
  <c r="AU65" i="60"/>
  <c r="BI95" i="60"/>
  <c r="AW95" i="60"/>
  <c r="AO68" i="60"/>
  <c r="AQ67" i="60"/>
  <c r="R59" i="56"/>
  <c r="P31" i="56"/>
  <c r="AC93" i="60"/>
  <c r="R84" i="56"/>
  <c r="AX82" i="60"/>
  <c r="BJ82" i="60" s="1"/>
  <c r="AY49" i="60"/>
  <c r="BM69" i="60"/>
  <c r="AW68" i="60"/>
  <c r="R53" i="56"/>
  <c r="AM68" i="60"/>
  <c r="AM71" i="60" s="1"/>
  <c r="AQ82" i="60"/>
  <c r="R73" i="56"/>
  <c r="AS66" i="60"/>
  <c r="BE66" i="60" s="1"/>
  <c r="R74" i="56"/>
  <c r="AR81" i="60"/>
  <c r="AU93" i="60"/>
  <c r="BG93" i="60" s="1"/>
  <c r="BC70" i="60"/>
  <c r="AI95" i="60"/>
  <c r="AD37" i="78" s="1"/>
  <c r="AJ49" i="60"/>
  <c r="F36" i="76"/>
  <c r="P75" i="56"/>
  <c r="AX65" i="60"/>
  <c r="AT68" i="60"/>
  <c r="AG93" i="60"/>
  <c r="U95" i="60"/>
  <c r="N37" i="78" s="1"/>
  <c r="AX66" i="60"/>
  <c r="AG49" i="60"/>
  <c r="R54" i="56"/>
  <c r="S95" i="60"/>
  <c r="L37" i="78" s="1"/>
  <c r="AE93" i="60"/>
  <c r="T65" i="60"/>
  <c r="AB66" i="60"/>
  <c r="AT65" i="60"/>
  <c r="F95" i="60"/>
  <c r="R93" i="60"/>
  <c r="R70" i="56"/>
  <c r="D81" i="60"/>
  <c r="AG69" i="60"/>
  <c r="AG71" i="60" s="1"/>
  <c r="AR31" i="60"/>
  <c r="BD31" i="60" s="1"/>
  <c r="F37" i="76"/>
  <c r="AJ69" i="60"/>
  <c r="AJ71" i="60" s="1"/>
  <c r="Q70" i="60"/>
  <c r="Q71" i="60" s="1"/>
  <c r="AV32" i="60"/>
  <c r="AV70" i="60"/>
  <c r="BC69" i="60"/>
  <c r="O24" i="56"/>
  <c r="F16" i="76"/>
  <c r="R20" i="56"/>
  <c r="AK65" i="60"/>
  <c r="P84" i="56"/>
  <c r="F38" i="76"/>
  <c r="S65" i="60"/>
  <c r="BH66" i="60"/>
  <c r="O31" i="56"/>
  <c r="U81" i="60"/>
  <c r="P24" i="56"/>
  <c r="P65" i="60"/>
  <c r="T68" i="60"/>
  <c r="T71" i="60" s="1"/>
  <c r="BS66" i="60"/>
  <c r="AL68" i="60"/>
  <c r="AL70" i="60"/>
  <c r="AU70" i="60"/>
  <c r="AG32" i="60"/>
  <c r="AI81" i="60"/>
  <c r="D86" i="60"/>
  <c r="P85" i="60"/>
  <c r="AY65" i="60"/>
  <c r="P38" i="56"/>
  <c r="BF32" i="60"/>
  <c r="O38" i="56"/>
  <c r="R65" i="60"/>
  <c r="Y69" i="60"/>
  <c r="Y71" i="60" s="1"/>
  <c r="X65" i="60"/>
  <c r="W31" i="60"/>
  <c r="R69" i="56"/>
  <c r="AU69" i="60"/>
  <c r="AP81" i="60"/>
  <c r="BB70" i="60"/>
  <c r="AT69" i="60"/>
  <c r="AU67" i="60"/>
  <c r="AY93" i="60"/>
  <c r="AM95" i="60"/>
  <c r="AN93" i="60"/>
  <c r="AB95" i="60"/>
  <c r="W37" i="78" s="1"/>
  <c r="AX81" i="60"/>
  <c r="AW82" i="60"/>
  <c r="AT82" i="60"/>
  <c r="AW81" i="60"/>
  <c r="BA83" i="60"/>
  <c r="AV81" i="60"/>
  <c r="BE67" i="60"/>
  <c r="AT66" i="60"/>
  <c r="AR66" i="60"/>
  <c r="AY83" i="60"/>
  <c r="AY82" i="60"/>
  <c r="AR67" i="60"/>
  <c r="AS31" i="60"/>
  <c r="BA65" i="60"/>
  <c r="AT81" i="60"/>
  <c r="BB66" i="60"/>
  <c r="BJ69" i="60"/>
  <c r="AV83" i="60"/>
  <c r="AN83" i="60"/>
  <c r="AT70" i="60"/>
  <c r="AV93" i="60"/>
  <c r="AJ95" i="60"/>
  <c r="AE37" i="78" s="1"/>
  <c r="BH82" i="60"/>
  <c r="AV68" i="60"/>
  <c r="AQ83" i="60"/>
  <c r="AN84" i="60"/>
  <c r="AQ81" i="60"/>
  <c r="BA82" i="60"/>
  <c r="AZ70" i="60"/>
  <c r="AO32" i="60"/>
  <c r="BE83" i="60"/>
  <c r="BT31" i="60"/>
  <c r="BK81" i="60"/>
  <c r="AR83" i="60"/>
  <c r="AS70" i="60"/>
  <c r="BK69" i="60"/>
  <c r="AN69" i="60"/>
  <c r="AU83" i="60"/>
  <c r="BA67" i="60"/>
  <c r="BJ67" i="60"/>
  <c r="AO66" i="60"/>
  <c r="BC31" i="60"/>
  <c r="AY70" i="60"/>
  <c r="BP69" i="60"/>
  <c r="BB67" i="60"/>
  <c r="BU95" i="60"/>
  <c r="CG93" i="60"/>
  <c r="AT67" i="60"/>
  <c r="AW49" i="60"/>
  <c r="AP69" i="60"/>
  <c r="BD49" i="60"/>
  <c r="AR70" i="60"/>
  <c r="AZ67" i="60"/>
  <c r="AR93" i="60"/>
  <c r="AF95" i="60"/>
  <c r="AA37" i="78" s="1"/>
  <c r="AQ66" i="60"/>
  <c r="AY67" i="60"/>
  <c r="AZ82" i="60"/>
  <c r="BW66" i="60"/>
  <c r="AW70" i="60"/>
  <c r="AV67" i="60"/>
  <c r="AS82" i="60"/>
  <c r="BR83" i="60"/>
  <c r="BB83" i="60"/>
  <c r="AS65" i="60"/>
  <c r="AH95" i="60"/>
  <c r="AC37" i="78" s="1"/>
  <c r="AT93" i="60"/>
  <c r="AW67" i="60"/>
  <c r="AN32" i="60"/>
  <c r="AW31" i="60"/>
  <c r="AP32" i="60"/>
  <c r="BF49" i="60"/>
  <c r="AR32" i="60"/>
  <c r="D70" i="82"/>
  <c r="F70" i="82"/>
  <c r="E70" i="82"/>
  <c r="AX32" i="60"/>
  <c r="AX49" i="60"/>
  <c r="C70" i="82"/>
  <c r="I8" i="64"/>
  <c r="BS32" i="60"/>
  <c r="AQ49" i="60"/>
  <c r="AT31" i="60"/>
  <c r="AL95" i="60"/>
  <c r="AX93" i="60"/>
  <c r="AW66" i="60"/>
  <c r="AQ32" i="60"/>
  <c r="AC31" i="60"/>
  <c r="AU82" i="60"/>
  <c r="AR82" i="60"/>
  <c r="AU49" i="60"/>
  <c r="BB49" i="60"/>
  <c r="AZ49" i="60"/>
  <c r="AX36" i="80" l="1"/>
  <c r="AW66" i="80"/>
  <c r="H446" i="82"/>
  <c r="H444" i="82"/>
  <c r="H449" i="82"/>
  <c r="H455" i="82"/>
  <c r="H441" i="82"/>
  <c r="H445" i="82"/>
  <c r="H451" i="82"/>
  <c r="H450" i="82"/>
  <c r="H447" i="82"/>
  <c r="H452" i="82"/>
  <c r="H454" i="82"/>
  <c r="H443" i="82"/>
  <c r="H448" i="82"/>
  <c r="H453" i="82"/>
  <c r="H442" i="82"/>
  <c r="AL71" i="60"/>
  <c r="AN71" i="60"/>
  <c r="AT71" i="60"/>
  <c r="G69" i="115"/>
  <c r="G72" i="115" s="1"/>
  <c r="AB71" i="60"/>
  <c r="BB68" i="60"/>
  <c r="BN68" i="60" s="1"/>
  <c r="AP71" i="60"/>
  <c r="I72" i="115"/>
  <c r="A49" i="80"/>
  <c r="G69" i="65"/>
  <c r="J49" i="61" s="1"/>
  <c r="N69" i="65"/>
  <c r="N69" i="115"/>
  <c r="N72" i="115" s="1"/>
  <c r="BC68" i="60"/>
  <c r="BC71" i="60" s="1"/>
  <c r="AU68" i="60"/>
  <c r="AU71" i="60" s="1"/>
  <c r="BQ68" i="60"/>
  <c r="BA68" i="60"/>
  <c r="R22" i="56"/>
  <c r="Q29" i="56"/>
  <c r="R23" i="56"/>
  <c r="Q30" i="56"/>
  <c r="R21" i="56"/>
  <c r="Q28" i="56"/>
  <c r="I51" i="80"/>
  <c r="J32" i="72" s="1"/>
  <c r="K70" i="80"/>
  <c r="J70" i="80"/>
  <c r="J51" i="61"/>
  <c r="J30" i="61"/>
  <c r="J15" i="61"/>
  <c r="K96" i="65"/>
  <c r="BG65" i="60"/>
  <c r="BS65" i="60" s="1"/>
  <c r="BB82" i="60"/>
  <c r="P83" i="115"/>
  <c r="Q83" i="115" s="1"/>
  <c r="P84" i="115"/>
  <c r="Q84" i="115" s="1"/>
  <c r="BJ31" i="60"/>
  <c r="BV31" i="60" s="1"/>
  <c r="P68" i="115"/>
  <c r="Q68" i="115" s="1"/>
  <c r="P68" i="65"/>
  <c r="D48" i="61" s="1"/>
  <c r="O96" i="65"/>
  <c r="N96" i="65"/>
  <c r="O70" i="115"/>
  <c r="O72" i="115" s="1"/>
  <c r="O70" i="65"/>
  <c r="L70" i="115"/>
  <c r="L70" i="65"/>
  <c r="I32" i="115"/>
  <c r="I32" i="65"/>
  <c r="N82" i="115"/>
  <c r="N82" i="65"/>
  <c r="L50" i="115"/>
  <c r="L50" i="65"/>
  <c r="M72" i="115"/>
  <c r="J94" i="115"/>
  <c r="J96" i="115" s="1"/>
  <c r="J94" i="65"/>
  <c r="H94" i="115"/>
  <c r="H94" i="65"/>
  <c r="H96" i="65" s="1"/>
  <c r="P15" i="115"/>
  <c r="Q15" i="115" s="1"/>
  <c r="L33" i="115"/>
  <c r="P33" i="115" s="1"/>
  <c r="Q33" i="115" s="1"/>
  <c r="L33" i="65"/>
  <c r="G67" i="115"/>
  <c r="P67" i="115" s="1"/>
  <c r="Q67" i="115" s="1"/>
  <c r="G67" i="65"/>
  <c r="L94" i="115"/>
  <c r="L96" i="115" s="1"/>
  <c r="L94" i="65"/>
  <c r="L96" i="65" s="1"/>
  <c r="O50" i="115"/>
  <c r="O50" i="65"/>
  <c r="H32" i="115"/>
  <c r="H32" i="65"/>
  <c r="D70" i="115"/>
  <c r="D70" i="65"/>
  <c r="BJ83" i="60"/>
  <c r="E72" i="115"/>
  <c r="BM10" i="113"/>
  <c r="BM8" i="60"/>
  <c r="BE4" i="80" s="1"/>
  <c r="B128" i="82"/>
  <c r="J127" i="82"/>
  <c r="M44" i="60"/>
  <c r="CD46" i="113"/>
  <c r="H77" i="82"/>
  <c r="H81" i="82"/>
  <c r="H85" i="82"/>
  <c r="H89" i="82"/>
  <c r="H93" i="82"/>
  <c r="H97" i="82"/>
  <c r="H101" i="82"/>
  <c r="H105" i="82"/>
  <c r="H109" i="82"/>
  <c r="H113" i="82"/>
  <c r="H117" i="82"/>
  <c r="H121" i="82"/>
  <c r="H125" i="82"/>
  <c r="H129" i="82"/>
  <c r="H133" i="82"/>
  <c r="H137" i="82"/>
  <c r="H141" i="82"/>
  <c r="H145" i="82"/>
  <c r="H149" i="82"/>
  <c r="H153" i="82"/>
  <c r="H157" i="82"/>
  <c r="H161" i="82"/>
  <c r="H165" i="82"/>
  <c r="H169" i="82"/>
  <c r="H173" i="82"/>
  <c r="H177" i="82"/>
  <c r="H181" i="82"/>
  <c r="H185" i="82"/>
  <c r="H189" i="82"/>
  <c r="H193" i="82"/>
  <c r="H197" i="82"/>
  <c r="H201" i="82"/>
  <c r="H205" i="82"/>
  <c r="H209" i="82"/>
  <c r="H213" i="82"/>
  <c r="H217" i="82"/>
  <c r="H221" i="82"/>
  <c r="H225" i="82"/>
  <c r="H229" i="82"/>
  <c r="H233" i="82"/>
  <c r="H237" i="82"/>
  <c r="H241" i="82"/>
  <c r="H245" i="82"/>
  <c r="H249" i="82"/>
  <c r="H253" i="82"/>
  <c r="H257" i="82"/>
  <c r="H261" i="82"/>
  <c r="H265" i="82"/>
  <c r="H269" i="82"/>
  <c r="H273" i="82"/>
  <c r="H277" i="82"/>
  <c r="H281" i="82"/>
  <c r="H285" i="82"/>
  <c r="H289" i="82"/>
  <c r="H293" i="82"/>
  <c r="H297" i="82"/>
  <c r="H301" i="82"/>
  <c r="H305" i="82"/>
  <c r="H309" i="82"/>
  <c r="H313" i="82"/>
  <c r="H317" i="82"/>
  <c r="H321" i="82"/>
  <c r="H325" i="82"/>
  <c r="H329" i="82"/>
  <c r="H333" i="82"/>
  <c r="H337" i="82"/>
  <c r="H341" i="82"/>
  <c r="H345" i="82"/>
  <c r="H349" i="82"/>
  <c r="H353" i="82"/>
  <c r="H357" i="82"/>
  <c r="H361" i="82"/>
  <c r="H365" i="82"/>
  <c r="H369" i="82"/>
  <c r="H373" i="82"/>
  <c r="H377" i="82"/>
  <c r="H381" i="82"/>
  <c r="H385" i="82"/>
  <c r="H389" i="82"/>
  <c r="H393" i="82"/>
  <c r="H397" i="82"/>
  <c r="H401" i="82"/>
  <c r="H78" i="82"/>
  <c r="H82" i="82"/>
  <c r="H86" i="82"/>
  <c r="H90" i="82"/>
  <c r="H94" i="82"/>
  <c r="H98" i="82"/>
  <c r="H102" i="82"/>
  <c r="H106" i="82"/>
  <c r="H110" i="82"/>
  <c r="H114" i="82"/>
  <c r="H118" i="82"/>
  <c r="H122" i="82"/>
  <c r="H126" i="82"/>
  <c r="H130" i="82"/>
  <c r="H134" i="82"/>
  <c r="H138" i="82"/>
  <c r="H142" i="82"/>
  <c r="H146" i="82"/>
  <c r="H150" i="82"/>
  <c r="H154" i="82"/>
  <c r="H158" i="82"/>
  <c r="H162" i="82"/>
  <c r="H166" i="82"/>
  <c r="H170" i="82"/>
  <c r="H174" i="82"/>
  <c r="H178" i="82"/>
  <c r="H182" i="82"/>
  <c r="H186" i="82"/>
  <c r="H190" i="82"/>
  <c r="H194" i="82"/>
  <c r="H198" i="82"/>
  <c r="H202" i="82"/>
  <c r="H206" i="82"/>
  <c r="H210" i="82"/>
  <c r="H214" i="82"/>
  <c r="H218" i="82"/>
  <c r="H222" i="82"/>
  <c r="H226" i="82"/>
  <c r="H230" i="82"/>
  <c r="H234" i="82"/>
  <c r="H238" i="82"/>
  <c r="H242" i="82"/>
  <c r="H246" i="82"/>
  <c r="H250" i="82"/>
  <c r="H254" i="82"/>
  <c r="H258" i="82"/>
  <c r="H262" i="82"/>
  <c r="H266" i="82"/>
  <c r="H270" i="82"/>
  <c r="H274" i="82"/>
  <c r="H278" i="82"/>
  <c r="H282" i="82"/>
  <c r="H286" i="82"/>
  <c r="H290" i="82"/>
  <c r="H294" i="82"/>
  <c r="H298" i="82"/>
  <c r="H302" i="82"/>
  <c r="H306" i="82"/>
  <c r="H310" i="82"/>
  <c r="H314" i="82"/>
  <c r="H318" i="82"/>
  <c r="H322" i="82"/>
  <c r="H326" i="82"/>
  <c r="H330" i="82"/>
  <c r="H334" i="82"/>
  <c r="H338" i="82"/>
  <c r="H342" i="82"/>
  <c r="H346" i="82"/>
  <c r="H350" i="82"/>
  <c r="H354" i="82"/>
  <c r="H358" i="82"/>
  <c r="H362" i="82"/>
  <c r="H366" i="82"/>
  <c r="H370" i="82"/>
  <c r="H374" i="82"/>
  <c r="H378" i="82"/>
  <c r="H382" i="82"/>
  <c r="H386" i="82"/>
  <c r="H390" i="82"/>
  <c r="H394" i="82"/>
  <c r="H398" i="82"/>
  <c r="H402" i="82"/>
  <c r="H406" i="82"/>
  <c r="H79" i="82"/>
  <c r="H83" i="82"/>
  <c r="H87" i="82"/>
  <c r="H91" i="82"/>
  <c r="H95" i="82"/>
  <c r="H99" i="82"/>
  <c r="H103" i="82"/>
  <c r="H107" i="82"/>
  <c r="H111" i="82"/>
  <c r="H115" i="82"/>
  <c r="H119" i="82"/>
  <c r="H123" i="82"/>
  <c r="H127" i="82"/>
  <c r="H131" i="82"/>
  <c r="H135" i="82"/>
  <c r="H139" i="82"/>
  <c r="H143" i="82"/>
  <c r="H147" i="82"/>
  <c r="H151" i="82"/>
  <c r="H155" i="82"/>
  <c r="H159" i="82"/>
  <c r="H163" i="82"/>
  <c r="H167" i="82"/>
  <c r="H171" i="82"/>
  <c r="H175" i="82"/>
  <c r="H179" i="82"/>
  <c r="H183" i="82"/>
  <c r="H187" i="82"/>
  <c r="H191" i="82"/>
  <c r="H195" i="82"/>
  <c r="H199" i="82"/>
  <c r="H203" i="82"/>
  <c r="H207" i="82"/>
  <c r="H211" i="82"/>
  <c r="H215" i="82"/>
  <c r="H219" i="82"/>
  <c r="H223" i="82"/>
  <c r="H227" i="82"/>
  <c r="H231" i="82"/>
  <c r="H235" i="82"/>
  <c r="H239" i="82"/>
  <c r="H243" i="82"/>
  <c r="H247" i="82"/>
  <c r="H251" i="82"/>
  <c r="H255" i="82"/>
  <c r="H259" i="82"/>
  <c r="H263" i="82"/>
  <c r="H267" i="82"/>
  <c r="H271" i="82"/>
  <c r="H275" i="82"/>
  <c r="H279" i="82"/>
  <c r="H283" i="82"/>
  <c r="H287" i="82"/>
  <c r="H291" i="82"/>
  <c r="H295" i="82"/>
  <c r="H299" i="82"/>
  <c r="H303" i="82"/>
  <c r="H307" i="82"/>
  <c r="H311" i="82"/>
  <c r="H315" i="82"/>
  <c r="H319" i="82"/>
  <c r="H323" i="82"/>
  <c r="H327" i="82"/>
  <c r="H331" i="82"/>
  <c r="H335" i="82"/>
  <c r="H339" i="82"/>
  <c r="H343" i="82"/>
  <c r="H347" i="82"/>
  <c r="H351" i="82"/>
  <c r="H355" i="82"/>
  <c r="H359" i="82"/>
  <c r="H363" i="82"/>
  <c r="H367" i="82"/>
  <c r="H371" i="82"/>
  <c r="H375" i="82"/>
  <c r="H379" i="82"/>
  <c r="H383" i="82"/>
  <c r="H387" i="82"/>
  <c r="H391" i="82"/>
  <c r="H395" i="82"/>
  <c r="H399" i="82"/>
  <c r="H403" i="82"/>
  <c r="H80" i="82"/>
  <c r="H84" i="82"/>
  <c r="H88" i="82"/>
  <c r="H92" i="82"/>
  <c r="H96" i="82"/>
  <c r="H100" i="82"/>
  <c r="H104" i="82"/>
  <c r="H108" i="82"/>
  <c r="H112" i="82"/>
  <c r="H116" i="82"/>
  <c r="H120" i="82"/>
  <c r="H124" i="82"/>
  <c r="H128" i="82"/>
  <c r="H132" i="82"/>
  <c r="H136" i="82"/>
  <c r="H140" i="82"/>
  <c r="H144" i="82"/>
  <c r="H148" i="82"/>
  <c r="H152" i="82"/>
  <c r="H156" i="82"/>
  <c r="H160" i="82"/>
  <c r="H164" i="82"/>
  <c r="H168" i="82"/>
  <c r="H172" i="82"/>
  <c r="H176" i="82"/>
  <c r="H180" i="82"/>
  <c r="H184" i="82"/>
  <c r="H188" i="82"/>
  <c r="H192" i="82"/>
  <c r="H196" i="82"/>
  <c r="H200" i="82"/>
  <c r="H204" i="82"/>
  <c r="H208" i="82"/>
  <c r="H212" i="82"/>
  <c r="H216" i="82"/>
  <c r="H220" i="82"/>
  <c r="H224" i="82"/>
  <c r="H228" i="82"/>
  <c r="H232" i="82"/>
  <c r="H236" i="82"/>
  <c r="H240" i="82"/>
  <c r="H244" i="82"/>
  <c r="H248" i="82"/>
  <c r="H252" i="82"/>
  <c r="H256" i="82"/>
  <c r="H260" i="82"/>
  <c r="H264" i="82"/>
  <c r="H268" i="82"/>
  <c r="H272" i="82"/>
  <c r="H276" i="82"/>
  <c r="H280" i="82"/>
  <c r="H284" i="82"/>
  <c r="H288" i="82"/>
  <c r="H292" i="82"/>
  <c r="H296" i="82"/>
  <c r="H300" i="82"/>
  <c r="H304" i="82"/>
  <c r="H308" i="82"/>
  <c r="H312" i="82"/>
  <c r="H316" i="82"/>
  <c r="H320" i="82"/>
  <c r="H324" i="82"/>
  <c r="H328" i="82"/>
  <c r="H332" i="82"/>
  <c r="H336" i="82"/>
  <c r="H340" i="82"/>
  <c r="H344" i="82"/>
  <c r="H348" i="82"/>
  <c r="H352" i="82"/>
  <c r="H356" i="82"/>
  <c r="H360" i="82"/>
  <c r="H364" i="82"/>
  <c r="H368" i="82"/>
  <c r="H372" i="82"/>
  <c r="H376" i="82"/>
  <c r="H380" i="82"/>
  <c r="H384" i="82"/>
  <c r="H388" i="82"/>
  <c r="H392" i="82"/>
  <c r="H396" i="82"/>
  <c r="H400" i="82"/>
  <c r="H404" i="82"/>
  <c r="H409" i="82"/>
  <c r="H413" i="82"/>
  <c r="H417" i="82"/>
  <c r="H405" i="82"/>
  <c r="H410" i="82"/>
  <c r="H414" i="82"/>
  <c r="H418" i="82"/>
  <c r="H407" i="82"/>
  <c r="H411" i="82"/>
  <c r="H415" i="82"/>
  <c r="H419" i="82"/>
  <c r="H423" i="82"/>
  <c r="H431" i="82"/>
  <c r="H435" i="82"/>
  <c r="H439" i="82"/>
  <c r="P78" i="82"/>
  <c r="P82" i="82"/>
  <c r="P86" i="82"/>
  <c r="P90" i="82"/>
  <c r="P94" i="82"/>
  <c r="P98" i="82"/>
  <c r="P102" i="82"/>
  <c r="P106" i="82"/>
  <c r="P110" i="82"/>
  <c r="P114" i="82"/>
  <c r="P118" i="82"/>
  <c r="P122" i="82"/>
  <c r="P126" i="82"/>
  <c r="P130" i="82"/>
  <c r="P134" i="82"/>
  <c r="P138" i="82"/>
  <c r="P142" i="82"/>
  <c r="P146" i="82"/>
  <c r="P150" i="82"/>
  <c r="P154" i="82"/>
  <c r="P158" i="82"/>
  <c r="P162" i="82"/>
  <c r="P166" i="82"/>
  <c r="P170" i="82"/>
  <c r="P174" i="82"/>
  <c r="P178" i="82"/>
  <c r="P182" i="82"/>
  <c r="P186" i="82"/>
  <c r="P190" i="82"/>
  <c r="P194" i="82"/>
  <c r="P198" i="82"/>
  <c r="P202" i="82"/>
  <c r="P206" i="82"/>
  <c r="P210" i="82"/>
  <c r="P214" i="82"/>
  <c r="P218" i="82"/>
  <c r="P222" i="82"/>
  <c r="P226" i="82"/>
  <c r="P230" i="82"/>
  <c r="P234" i="82"/>
  <c r="P238" i="82"/>
  <c r="P242" i="82"/>
  <c r="P246" i="82"/>
  <c r="P250" i="82"/>
  <c r="P254" i="82"/>
  <c r="P258" i="82"/>
  <c r="P262" i="82"/>
  <c r="P266" i="82"/>
  <c r="P270" i="82"/>
  <c r="P274" i="82"/>
  <c r="P278" i="82"/>
  <c r="P282" i="82"/>
  <c r="P286" i="82"/>
  <c r="P290" i="82"/>
  <c r="P294" i="82"/>
  <c r="P298" i="82"/>
  <c r="P302" i="82"/>
  <c r="P306" i="82"/>
  <c r="P310" i="82"/>
  <c r="P314" i="82"/>
  <c r="P318" i="82"/>
  <c r="P322" i="82"/>
  <c r="P326" i="82"/>
  <c r="P330" i="82"/>
  <c r="P334" i="82"/>
  <c r="P338" i="82"/>
  <c r="P342" i="82"/>
  <c r="P346" i="82"/>
  <c r="P350" i="82"/>
  <c r="P354" i="82"/>
  <c r="P358" i="82"/>
  <c r="P362" i="82"/>
  <c r="H408" i="82"/>
  <c r="H412" i="82"/>
  <c r="H416" i="82"/>
  <c r="H420" i="82"/>
  <c r="H424" i="82"/>
  <c r="H428" i="82"/>
  <c r="H432" i="82"/>
  <c r="H436" i="82"/>
  <c r="H440" i="82"/>
  <c r="P79" i="82"/>
  <c r="P83" i="82"/>
  <c r="P87" i="82"/>
  <c r="P91" i="82"/>
  <c r="P95" i="82"/>
  <c r="P99" i="82"/>
  <c r="P103" i="82"/>
  <c r="P107" i="82"/>
  <c r="P111" i="82"/>
  <c r="P115" i="82"/>
  <c r="P119" i="82"/>
  <c r="P123" i="82"/>
  <c r="P127" i="82"/>
  <c r="P131" i="82"/>
  <c r="P135" i="82"/>
  <c r="P139" i="82"/>
  <c r="P143" i="82"/>
  <c r="P147" i="82"/>
  <c r="P151" i="82"/>
  <c r="P155" i="82"/>
  <c r="P159" i="82"/>
  <c r="P163" i="82"/>
  <c r="P167" i="82"/>
  <c r="P171" i="82"/>
  <c r="P175" i="82"/>
  <c r="P179" i="82"/>
  <c r="P183" i="82"/>
  <c r="P187" i="82"/>
  <c r="P191" i="82"/>
  <c r="P195" i="82"/>
  <c r="P199" i="82"/>
  <c r="P203" i="82"/>
  <c r="P207" i="82"/>
  <c r="P211" i="82"/>
  <c r="P215" i="82"/>
  <c r="P219" i="82"/>
  <c r="P223" i="82"/>
  <c r="P227" i="82"/>
  <c r="P231" i="82"/>
  <c r="P235" i="82"/>
  <c r="P239" i="82"/>
  <c r="P243" i="82"/>
  <c r="P247" i="82"/>
  <c r="P251" i="82"/>
  <c r="P255" i="82"/>
  <c r="P259" i="82"/>
  <c r="P263" i="82"/>
  <c r="P267" i="82"/>
  <c r="P271" i="82"/>
  <c r="P275" i="82"/>
  <c r="P279" i="82"/>
  <c r="P283" i="82"/>
  <c r="P287" i="82"/>
  <c r="P291" i="82"/>
  <c r="P295" i="82"/>
  <c r="P299" i="82"/>
  <c r="P303" i="82"/>
  <c r="P307" i="82"/>
  <c r="P311" i="82"/>
  <c r="P315" i="82"/>
  <c r="P319" i="82"/>
  <c r="P323" i="82"/>
  <c r="P327" i="82"/>
  <c r="P331" i="82"/>
  <c r="P335" i="82"/>
  <c r="P339" i="82"/>
  <c r="P343" i="82"/>
  <c r="P347" i="82"/>
  <c r="P351" i="82"/>
  <c r="P355" i="82"/>
  <c r="P359" i="82"/>
  <c r="P363" i="82"/>
  <c r="H421" i="82"/>
  <c r="H429" i="82"/>
  <c r="H437" i="82"/>
  <c r="P80" i="82"/>
  <c r="P88" i="82"/>
  <c r="P96" i="82"/>
  <c r="P104" i="82"/>
  <c r="P112" i="82"/>
  <c r="P120" i="82"/>
  <c r="P128" i="82"/>
  <c r="P136" i="82"/>
  <c r="P144" i="82"/>
  <c r="P152" i="82"/>
  <c r="P160" i="82"/>
  <c r="P168" i="82"/>
  <c r="P176" i="82"/>
  <c r="P184" i="82"/>
  <c r="P192" i="82"/>
  <c r="P200" i="82"/>
  <c r="P208" i="82"/>
  <c r="P216" i="82"/>
  <c r="P224" i="82"/>
  <c r="P232" i="82"/>
  <c r="P240" i="82"/>
  <c r="P248" i="82"/>
  <c r="P256" i="82"/>
  <c r="P264" i="82"/>
  <c r="P272" i="82"/>
  <c r="P280" i="82"/>
  <c r="P288" i="82"/>
  <c r="P296" i="82"/>
  <c r="P304" i="82"/>
  <c r="P312" i="82"/>
  <c r="P320" i="82"/>
  <c r="P328" i="82"/>
  <c r="P336" i="82"/>
  <c r="P344" i="82"/>
  <c r="P352" i="82"/>
  <c r="P360" i="82"/>
  <c r="P366" i="82"/>
  <c r="P370" i="82"/>
  <c r="P374" i="82"/>
  <c r="P378" i="82"/>
  <c r="P382" i="82"/>
  <c r="P386" i="82"/>
  <c r="P390" i="82"/>
  <c r="P394" i="82"/>
  <c r="P398" i="82"/>
  <c r="P402" i="82"/>
  <c r="P406" i="82"/>
  <c r="P410" i="82"/>
  <c r="P414" i="82"/>
  <c r="P418" i="82"/>
  <c r="P422" i="82"/>
  <c r="P426" i="82"/>
  <c r="P430" i="82"/>
  <c r="P434" i="82"/>
  <c r="P438" i="82"/>
  <c r="H422" i="82"/>
  <c r="H430" i="82"/>
  <c r="H438" i="82"/>
  <c r="P81" i="82"/>
  <c r="P89" i="82"/>
  <c r="P97" i="82"/>
  <c r="P105" i="82"/>
  <c r="P113" i="82"/>
  <c r="P121" i="82"/>
  <c r="P129" i="82"/>
  <c r="P137" i="82"/>
  <c r="P145" i="82"/>
  <c r="P153" i="82"/>
  <c r="P161" i="82"/>
  <c r="P169" i="82"/>
  <c r="P177" i="82"/>
  <c r="P185" i="82"/>
  <c r="P193" i="82"/>
  <c r="P201" i="82"/>
  <c r="P209" i="82"/>
  <c r="P217" i="82"/>
  <c r="P225" i="82"/>
  <c r="P233" i="82"/>
  <c r="P241" i="82"/>
  <c r="P249" i="82"/>
  <c r="P257" i="82"/>
  <c r="P265" i="82"/>
  <c r="P273" i="82"/>
  <c r="P281" i="82"/>
  <c r="P289" i="82"/>
  <c r="P297" i="82"/>
  <c r="P305" i="82"/>
  <c r="P313" i="82"/>
  <c r="P321" i="82"/>
  <c r="P329" i="82"/>
  <c r="P337" i="82"/>
  <c r="P345" i="82"/>
  <c r="P353" i="82"/>
  <c r="P361" i="82"/>
  <c r="P367" i="82"/>
  <c r="P371" i="82"/>
  <c r="P375" i="82"/>
  <c r="P379" i="82"/>
  <c r="P383" i="82"/>
  <c r="P387" i="82"/>
  <c r="P391" i="82"/>
  <c r="P395" i="82"/>
  <c r="P399" i="82"/>
  <c r="P403" i="82"/>
  <c r="P407" i="82"/>
  <c r="P411" i="82"/>
  <c r="P415" i="82"/>
  <c r="P419" i="82"/>
  <c r="P423" i="82"/>
  <c r="P427" i="82"/>
  <c r="P431" i="82"/>
  <c r="P435" i="82"/>
  <c r="P439" i="82"/>
  <c r="H425" i="82"/>
  <c r="H433" i="82"/>
  <c r="P84" i="82"/>
  <c r="P92" i="82"/>
  <c r="P100" i="82"/>
  <c r="P108" i="82"/>
  <c r="P116" i="82"/>
  <c r="P124" i="82"/>
  <c r="P132" i="82"/>
  <c r="P140" i="82"/>
  <c r="P148" i="82"/>
  <c r="P156" i="82"/>
  <c r="P164" i="82"/>
  <c r="P172" i="82"/>
  <c r="P180" i="82"/>
  <c r="P188" i="82"/>
  <c r="P196" i="82"/>
  <c r="P204" i="82"/>
  <c r="P212" i="82"/>
  <c r="P220" i="82"/>
  <c r="P228" i="82"/>
  <c r="P236" i="82"/>
  <c r="P244" i="82"/>
  <c r="P252" i="82"/>
  <c r="P260" i="82"/>
  <c r="P268" i="82"/>
  <c r="P276" i="82"/>
  <c r="P284" i="82"/>
  <c r="P292" i="82"/>
  <c r="P300" i="82"/>
  <c r="P308" i="82"/>
  <c r="P316" i="82"/>
  <c r="P324" i="82"/>
  <c r="P332" i="82"/>
  <c r="P340" i="82"/>
  <c r="P348" i="82"/>
  <c r="P356" i="82"/>
  <c r="P364" i="82"/>
  <c r="P368" i="82"/>
  <c r="P372" i="82"/>
  <c r="P376" i="82"/>
  <c r="P380" i="82"/>
  <c r="P384" i="82"/>
  <c r="P388" i="82"/>
  <c r="P392" i="82"/>
  <c r="P396" i="82"/>
  <c r="P400" i="82"/>
  <c r="P404" i="82"/>
  <c r="P408" i="82"/>
  <c r="P412" i="82"/>
  <c r="P416" i="82"/>
  <c r="P420" i="82"/>
  <c r="P424" i="82"/>
  <c r="P428" i="82"/>
  <c r="P432" i="82"/>
  <c r="P436" i="82"/>
  <c r="P440" i="82"/>
  <c r="P76" i="82"/>
  <c r="H426" i="82"/>
  <c r="H434" i="82"/>
  <c r="P77" i="82"/>
  <c r="P85" i="82"/>
  <c r="P93" i="82"/>
  <c r="P101" i="82"/>
  <c r="P109" i="82"/>
  <c r="P117" i="82"/>
  <c r="P125" i="82"/>
  <c r="P133" i="82"/>
  <c r="P141" i="82"/>
  <c r="P149" i="82"/>
  <c r="P157" i="82"/>
  <c r="P165" i="82"/>
  <c r="P173" i="82"/>
  <c r="P181" i="82"/>
  <c r="P189" i="82"/>
  <c r="P197" i="82"/>
  <c r="P205" i="82"/>
  <c r="P213" i="82"/>
  <c r="P221" i="82"/>
  <c r="P229" i="82"/>
  <c r="P237" i="82"/>
  <c r="P245" i="82"/>
  <c r="P253" i="82"/>
  <c r="P261" i="82"/>
  <c r="P269" i="82"/>
  <c r="P277" i="82"/>
  <c r="P285" i="82"/>
  <c r="P293" i="82"/>
  <c r="P301" i="82"/>
  <c r="P309" i="82"/>
  <c r="P317" i="82"/>
  <c r="P325" i="82"/>
  <c r="P333" i="82"/>
  <c r="P341" i="82"/>
  <c r="P349" i="82"/>
  <c r="P357" i="82"/>
  <c r="P365" i="82"/>
  <c r="P369" i="82"/>
  <c r="P373" i="82"/>
  <c r="P377" i="82"/>
  <c r="P381" i="82"/>
  <c r="P385" i="82"/>
  <c r="P389" i="82"/>
  <c r="P393" i="82"/>
  <c r="P397" i="82"/>
  <c r="P401" i="82"/>
  <c r="P405" i="82"/>
  <c r="P409" i="82"/>
  <c r="P413" i="82"/>
  <c r="P417" i="82"/>
  <c r="P421" i="82"/>
  <c r="P425" i="82"/>
  <c r="P429" i="82"/>
  <c r="P433" i="82"/>
  <c r="P437" i="82"/>
  <c r="BI83" i="60"/>
  <c r="BU83" i="60" s="1"/>
  <c r="R44" i="56"/>
  <c r="H76" i="82"/>
  <c r="F33" i="91"/>
  <c r="H33" i="91" s="1"/>
  <c r="M33" i="91" s="1"/>
  <c r="P33" i="91" s="1"/>
  <c r="F28" i="76"/>
  <c r="F26" i="91"/>
  <c r="F25" i="91"/>
  <c r="F16" i="91"/>
  <c r="F36" i="91"/>
  <c r="F37" i="91"/>
  <c r="F18" i="91"/>
  <c r="R27" i="56"/>
  <c r="Q29" i="55"/>
  <c r="Q28" i="55"/>
  <c r="Q30" i="55"/>
  <c r="R30" i="55" s="1"/>
  <c r="H38" i="76"/>
  <c r="M38" i="76" s="1"/>
  <c r="F38" i="91"/>
  <c r="H38" i="91" s="1"/>
  <c r="M38" i="91" s="1"/>
  <c r="E96" i="65"/>
  <c r="G44" i="60"/>
  <c r="AZ31" i="60"/>
  <c r="BK31" i="60"/>
  <c r="AP31" i="60"/>
  <c r="BK49" i="60"/>
  <c r="AY68" i="60"/>
  <c r="AY71" i="60" s="1"/>
  <c r="E72" i="65"/>
  <c r="BC67" i="60"/>
  <c r="BI49" i="60"/>
  <c r="BU49" i="60" s="1"/>
  <c r="BC82" i="60"/>
  <c r="BO82" i="60" s="1"/>
  <c r="AC95" i="60"/>
  <c r="X37" i="78" s="1"/>
  <c r="AO93" i="60"/>
  <c r="AO95" i="60" s="1"/>
  <c r="BY69" i="60"/>
  <c r="BI68" i="60"/>
  <c r="BD81" i="60"/>
  <c r="AU95" i="60"/>
  <c r="AV49" i="60"/>
  <c r="BO70" i="60"/>
  <c r="BJ66" i="60"/>
  <c r="AG95" i="60"/>
  <c r="AB37" i="78" s="1"/>
  <c r="AS93" i="60"/>
  <c r="BJ65" i="60"/>
  <c r="R75" i="56"/>
  <c r="AQ93" i="60"/>
  <c r="AE95" i="60"/>
  <c r="Z37" i="78" s="1"/>
  <c r="AZ68" i="60"/>
  <c r="AS49" i="60"/>
  <c r="BF68" i="60"/>
  <c r="AD65" i="60"/>
  <c r="BR32" i="60"/>
  <c r="AN66" i="60"/>
  <c r="AX70" i="60"/>
  <c r="BO69" i="60"/>
  <c r="AV69" i="60"/>
  <c r="AV71" i="60" s="1"/>
  <c r="AJ65" i="60"/>
  <c r="P86" i="60"/>
  <c r="AB85" i="60"/>
  <c r="AU81" i="60"/>
  <c r="AS32" i="60"/>
  <c r="CE66" i="60"/>
  <c r="AB65" i="60"/>
  <c r="AE65" i="60"/>
  <c r="BH32" i="60"/>
  <c r="P81" i="60"/>
  <c r="AK69" i="60"/>
  <c r="AK71" i="60" s="1"/>
  <c r="AF68" i="60"/>
  <c r="AF71" i="60" s="1"/>
  <c r="BT66" i="60"/>
  <c r="BH70" i="60"/>
  <c r="AF65" i="60"/>
  <c r="BG70" i="60"/>
  <c r="AI31" i="60"/>
  <c r="BK65" i="60"/>
  <c r="AX68" i="60"/>
  <c r="AG81" i="60"/>
  <c r="AW65" i="60"/>
  <c r="AC70" i="60"/>
  <c r="AC71" i="60" s="1"/>
  <c r="AS69" i="60"/>
  <c r="AS71" i="60" s="1"/>
  <c r="R95" i="60"/>
  <c r="K37" i="78" s="1"/>
  <c r="AD93" i="60"/>
  <c r="BF65" i="60"/>
  <c r="BG67" i="60"/>
  <c r="BB81" i="60"/>
  <c r="BG69" i="60"/>
  <c r="BF69" i="60"/>
  <c r="BN70" i="60"/>
  <c r="BK93" i="60"/>
  <c r="AY95" i="60"/>
  <c r="AZ93" i="60"/>
  <c r="AN95" i="60"/>
  <c r="BI82" i="60"/>
  <c r="BM83" i="60"/>
  <c r="BI81" i="60"/>
  <c r="BF82" i="60"/>
  <c r="BJ81" i="60"/>
  <c r="BH81" i="60"/>
  <c r="BD66" i="60"/>
  <c r="BF66" i="60"/>
  <c r="BQ66" i="60"/>
  <c r="BQ67" i="60"/>
  <c r="R58" i="56"/>
  <c r="R57" i="56"/>
  <c r="BW69" i="60"/>
  <c r="BM82" i="60"/>
  <c r="BF81" i="60"/>
  <c r="BA32" i="60"/>
  <c r="BH83" i="60"/>
  <c r="AZ69" i="60"/>
  <c r="BE70" i="60"/>
  <c r="BU32" i="60"/>
  <c r="BW81" i="60"/>
  <c r="AZ84" i="60"/>
  <c r="BF70" i="60"/>
  <c r="BG95" i="60"/>
  <c r="BS93" i="60"/>
  <c r="BD67" i="60"/>
  <c r="CF31" i="60"/>
  <c r="AZ83" i="60"/>
  <c r="BN66" i="60"/>
  <c r="BM65" i="60"/>
  <c r="BK83" i="60"/>
  <c r="BH93" i="60"/>
  <c r="AV95" i="60"/>
  <c r="P84" i="65"/>
  <c r="BD83" i="60"/>
  <c r="BQ83" i="60"/>
  <c r="BL70" i="60"/>
  <c r="BC81" i="60"/>
  <c r="BC83" i="60"/>
  <c r="BH68" i="60"/>
  <c r="BT82" i="60"/>
  <c r="BV69" i="60"/>
  <c r="BE31" i="60"/>
  <c r="BK82" i="60"/>
  <c r="BM81" i="60"/>
  <c r="BF67" i="60"/>
  <c r="BI67" i="60"/>
  <c r="BF93" i="60"/>
  <c r="AT95" i="60"/>
  <c r="CD83" i="60"/>
  <c r="BE82" i="60"/>
  <c r="BH67" i="60"/>
  <c r="BI70" i="60"/>
  <c r="BK67" i="60"/>
  <c r="BP49" i="60"/>
  <c r="BK70" i="60"/>
  <c r="BA66" i="60"/>
  <c r="BG83" i="60"/>
  <c r="CG95" i="60"/>
  <c r="BM67" i="60"/>
  <c r="BE65" i="60"/>
  <c r="BC66" i="60"/>
  <c r="AR95" i="60"/>
  <c r="BD93" i="60"/>
  <c r="BL67" i="60"/>
  <c r="BV82" i="60"/>
  <c r="BB69" i="60"/>
  <c r="BN67" i="60"/>
  <c r="BO31" i="60"/>
  <c r="BN83" i="60"/>
  <c r="CI66" i="60"/>
  <c r="BL82" i="60"/>
  <c r="BD70" i="60"/>
  <c r="CB69" i="60"/>
  <c r="BV67" i="60"/>
  <c r="AZ32" i="60"/>
  <c r="BD32" i="60"/>
  <c r="BB32" i="60"/>
  <c r="BJ32" i="60"/>
  <c r="BR49" i="60"/>
  <c r="BP31" i="60"/>
  <c r="BI31" i="60"/>
  <c r="BJ49" i="60"/>
  <c r="BW32" i="60"/>
  <c r="J8" i="64"/>
  <c r="CE32" i="60"/>
  <c r="BF31" i="60"/>
  <c r="BC49" i="60"/>
  <c r="BG49" i="60"/>
  <c r="P83" i="65"/>
  <c r="BG82" i="60"/>
  <c r="AO31" i="60"/>
  <c r="BI66" i="60"/>
  <c r="BD82" i="60"/>
  <c r="BC32" i="60"/>
  <c r="BJ93" i="60"/>
  <c r="AX95" i="60"/>
  <c r="BM49" i="60"/>
  <c r="BN49" i="60"/>
  <c r="BL49" i="60"/>
  <c r="AY36" i="80" l="1"/>
  <c r="AX66" i="80"/>
  <c r="G72" i="65"/>
  <c r="AX71" i="60"/>
  <c r="I36" i="78"/>
  <c r="I38" i="78" s="1"/>
  <c r="CC68" i="60"/>
  <c r="BB71" i="60"/>
  <c r="BF71" i="60"/>
  <c r="AZ71" i="60"/>
  <c r="BM68" i="60"/>
  <c r="BY68" i="60" s="1"/>
  <c r="BG68" i="60"/>
  <c r="BG71" i="60" s="1"/>
  <c r="R24" i="56"/>
  <c r="BO68" i="60"/>
  <c r="BO71" i="60" s="1"/>
  <c r="J48" i="80"/>
  <c r="K48" i="80" s="1"/>
  <c r="L48" i="80" s="1"/>
  <c r="M48" i="80" s="1"/>
  <c r="N48" i="80" s="1"/>
  <c r="O48" i="80" s="1"/>
  <c r="P48" i="80" s="1"/>
  <c r="Q48" i="80" s="1"/>
  <c r="R48" i="80" s="1"/>
  <c r="S48" i="80" s="1"/>
  <c r="T48" i="80" s="1"/>
  <c r="U48" i="80" s="1"/>
  <c r="V48" i="80" s="1"/>
  <c r="W48" i="80" s="1"/>
  <c r="X48" i="80" s="1"/>
  <c r="Y48" i="80" s="1"/>
  <c r="Z48" i="80" s="1"/>
  <c r="AA48" i="80" s="1"/>
  <c r="AB48" i="80" s="1"/>
  <c r="AC48" i="80" s="1"/>
  <c r="AD48" i="80" s="1"/>
  <c r="AE48" i="80" s="1"/>
  <c r="AF48" i="80" s="1"/>
  <c r="AG48" i="80" s="1"/>
  <c r="AH48" i="80" s="1"/>
  <c r="AI48" i="80" s="1"/>
  <c r="AJ48" i="80" s="1"/>
  <c r="AK48" i="80" s="1"/>
  <c r="AL48" i="80" s="1"/>
  <c r="AM48" i="80" s="1"/>
  <c r="AN48" i="80" s="1"/>
  <c r="AO48" i="80" s="1"/>
  <c r="AP48" i="80" s="1"/>
  <c r="AQ48" i="80" s="1"/>
  <c r="AR48" i="80" s="1"/>
  <c r="AS48" i="80" s="1"/>
  <c r="AT48" i="80" s="1"/>
  <c r="AU48" i="80" s="1"/>
  <c r="O37" i="78"/>
  <c r="J43" i="80"/>
  <c r="K43" i="80" s="1"/>
  <c r="J50" i="61"/>
  <c r="Q84" i="65"/>
  <c r="R84" i="65" s="1"/>
  <c r="D51" i="61"/>
  <c r="BN82" i="60"/>
  <c r="BZ82" i="60" s="1"/>
  <c r="CH31" i="60"/>
  <c r="J96" i="65"/>
  <c r="Q68" i="65"/>
  <c r="R68" i="65" s="1"/>
  <c r="N32" i="115"/>
  <c r="N32" i="65"/>
  <c r="O66" i="115"/>
  <c r="O66" i="65"/>
  <c r="I66" i="115"/>
  <c r="I66" i="65"/>
  <c r="BK68" i="60"/>
  <c r="BK71" i="60" s="1"/>
  <c r="H71" i="115"/>
  <c r="H71" i="65"/>
  <c r="K66" i="115"/>
  <c r="K66" i="65"/>
  <c r="I72" i="65"/>
  <c r="K69" i="115"/>
  <c r="K69" i="65"/>
  <c r="BV83" i="60"/>
  <c r="P67" i="65"/>
  <c r="L72" i="115"/>
  <c r="L82" i="115"/>
  <c r="L82" i="65"/>
  <c r="J66" i="115"/>
  <c r="J66" i="65"/>
  <c r="P70" i="65"/>
  <c r="D50" i="61" s="1"/>
  <c r="H96" i="115"/>
  <c r="I94" i="65"/>
  <c r="I94" i="115"/>
  <c r="I96" i="115" s="1"/>
  <c r="D72" i="115"/>
  <c r="P70" i="115"/>
  <c r="Q70" i="115" s="1"/>
  <c r="G66" i="115"/>
  <c r="G66" i="65"/>
  <c r="G86" i="115"/>
  <c r="G86" i="65"/>
  <c r="P50" i="115"/>
  <c r="Q83" i="65"/>
  <c r="R83" i="65" s="1"/>
  <c r="BN10" i="113"/>
  <c r="BN8" i="60"/>
  <c r="BF4" i="80" s="1"/>
  <c r="B129" i="82"/>
  <c r="J128" i="82"/>
  <c r="CE46" i="113"/>
  <c r="P459" i="82"/>
  <c r="F28" i="91"/>
  <c r="O72" i="65"/>
  <c r="N72" i="65"/>
  <c r="M72" i="65"/>
  <c r="R29" i="56"/>
  <c r="Q36" i="56"/>
  <c r="R36" i="56" s="1"/>
  <c r="Q37" i="56"/>
  <c r="R37" i="56" s="1"/>
  <c r="R30" i="56"/>
  <c r="R28" i="56"/>
  <c r="Q35" i="56"/>
  <c r="R35" i="56" s="1"/>
  <c r="BL31" i="60"/>
  <c r="BX31" i="60" s="1"/>
  <c r="BW31" i="60"/>
  <c r="BB31" i="60"/>
  <c r="BW49" i="60"/>
  <c r="P33" i="65"/>
  <c r="D30" i="61" s="1"/>
  <c r="BA93" i="60"/>
  <c r="BO67" i="60"/>
  <c r="BU68" i="60"/>
  <c r="BP81" i="60"/>
  <c r="CA70" i="60"/>
  <c r="BH49" i="60"/>
  <c r="L72" i="65"/>
  <c r="BE49" i="60"/>
  <c r="BV66" i="60"/>
  <c r="BV65" i="60"/>
  <c r="BE93" i="60"/>
  <c r="AS95" i="60"/>
  <c r="BR68" i="60"/>
  <c r="BC93" i="60"/>
  <c r="AQ95" i="60"/>
  <c r="BZ68" i="60"/>
  <c r="P50" i="65"/>
  <c r="BL68" i="60"/>
  <c r="BE69" i="60"/>
  <c r="BE71" i="60" s="1"/>
  <c r="BG81" i="60"/>
  <c r="AB86" i="60"/>
  <c r="W36" i="78" s="1"/>
  <c r="AN85" i="60"/>
  <c r="AV65" i="60"/>
  <c r="BH69" i="60"/>
  <c r="BH71" i="60" s="1"/>
  <c r="BJ70" i="60"/>
  <c r="AO70" i="60"/>
  <c r="AO71" i="60" s="1"/>
  <c r="AR68" i="60"/>
  <c r="AR71" i="60" s="1"/>
  <c r="AW69" i="60"/>
  <c r="AW71" i="60" s="1"/>
  <c r="CD32" i="60"/>
  <c r="BR65" i="60"/>
  <c r="AD95" i="60"/>
  <c r="Y37" i="78" s="1"/>
  <c r="AP93" i="60"/>
  <c r="BI65" i="60"/>
  <c r="BJ68" i="60"/>
  <c r="BW65" i="60"/>
  <c r="BT70" i="60"/>
  <c r="AZ66" i="60"/>
  <c r="AU31" i="60"/>
  <c r="BS70" i="60"/>
  <c r="AR65" i="60"/>
  <c r="F31" i="61"/>
  <c r="AQ65" i="60"/>
  <c r="AB81" i="60"/>
  <c r="AN65" i="60"/>
  <c r="BE32" i="60"/>
  <c r="CA69" i="60"/>
  <c r="AS81" i="60"/>
  <c r="CF66" i="60"/>
  <c r="D72" i="65"/>
  <c r="BT32" i="60"/>
  <c r="AP65" i="60"/>
  <c r="BR69" i="60"/>
  <c r="BS69" i="60"/>
  <c r="BS67" i="60"/>
  <c r="BZ70" i="60"/>
  <c r="BN81" i="60"/>
  <c r="BK95" i="60"/>
  <c r="BW93" i="60"/>
  <c r="AZ95" i="60"/>
  <c r="BL93" i="60"/>
  <c r="BU81" i="60"/>
  <c r="BY83" i="60"/>
  <c r="CG83" i="60"/>
  <c r="BT81" i="60"/>
  <c r="BR82" i="60"/>
  <c r="BV81" i="60"/>
  <c r="BU82" i="60"/>
  <c r="CC67" i="60"/>
  <c r="BR66" i="60"/>
  <c r="BP66" i="60"/>
  <c r="CC66" i="60"/>
  <c r="R60" i="56"/>
  <c r="BO81" i="60"/>
  <c r="BP83" i="60"/>
  <c r="BL84" i="60"/>
  <c r="CI81" i="60"/>
  <c r="BY81" i="60"/>
  <c r="BQ31" i="60"/>
  <c r="CH69" i="60"/>
  <c r="BX70" i="60"/>
  <c r="BH95" i="60"/>
  <c r="BT93" i="60"/>
  <c r="BZ66" i="60"/>
  <c r="BP67" i="60"/>
  <c r="BR70" i="60"/>
  <c r="BQ70" i="60"/>
  <c r="CI69" i="60"/>
  <c r="BW82" i="60"/>
  <c r="BY65" i="60"/>
  <c r="CE93" i="60"/>
  <c r="BS95" i="60"/>
  <c r="BM32" i="60"/>
  <c r="BR81" i="60"/>
  <c r="BO83" i="60"/>
  <c r="CC83" i="60"/>
  <c r="BW83" i="60"/>
  <c r="BL69" i="60"/>
  <c r="CF82" i="60"/>
  <c r="BT68" i="60"/>
  <c r="BL83" i="60"/>
  <c r="CG32" i="60"/>
  <c r="BT83" i="60"/>
  <c r="BY82" i="60"/>
  <c r="BN69" i="60"/>
  <c r="BN71" i="60" s="1"/>
  <c r="BY67" i="60"/>
  <c r="BQ82" i="60"/>
  <c r="BR93" i="60"/>
  <c r="BF95" i="60"/>
  <c r="CA82" i="60"/>
  <c r="CA31" i="60"/>
  <c r="CE65" i="60"/>
  <c r="CB49" i="60"/>
  <c r="BW67" i="60"/>
  <c r="CH67" i="60"/>
  <c r="BP70" i="60"/>
  <c r="BZ67" i="60"/>
  <c r="BO66" i="60"/>
  <c r="BU70" i="60"/>
  <c r="BT67" i="60"/>
  <c r="BU67" i="60"/>
  <c r="BP93" i="60"/>
  <c r="BD95" i="60"/>
  <c r="BS83" i="60"/>
  <c r="BX82" i="60"/>
  <c r="BZ83" i="60"/>
  <c r="CH82" i="60"/>
  <c r="BX67" i="60"/>
  <c r="BQ65" i="60"/>
  <c r="BM66" i="60"/>
  <c r="BW70" i="60"/>
  <c r="BR67" i="60"/>
  <c r="BV49" i="60"/>
  <c r="CD49" i="60"/>
  <c r="BU31" i="60"/>
  <c r="CI32" i="60"/>
  <c r="CB31" i="60"/>
  <c r="BV32" i="60"/>
  <c r="BP32" i="60"/>
  <c r="BL32" i="60"/>
  <c r="BN32" i="60"/>
  <c r="K8" i="64"/>
  <c r="BR31" i="60"/>
  <c r="BO49" i="60"/>
  <c r="BU66" i="60"/>
  <c r="BJ95" i="60"/>
  <c r="BV93" i="60"/>
  <c r="BO32" i="60"/>
  <c r="F32" i="61"/>
  <c r="BP82" i="60"/>
  <c r="BA31" i="60"/>
  <c r="BS82" i="60"/>
  <c r="BS49" i="60"/>
  <c r="BZ49" i="60"/>
  <c r="BY49" i="60"/>
  <c r="CG49" i="60"/>
  <c r="BX49" i="60"/>
  <c r="AZ36" i="80" l="1"/>
  <c r="AY66" i="80"/>
  <c r="K44" i="80"/>
  <c r="W38" i="78"/>
  <c r="BR71" i="60"/>
  <c r="BJ71" i="60"/>
  <c r="BL71" i="60"/>
  <c r="BS68" i="60"/>
  <c r="BS71" i="60" s="1"/>
  <c r="CA68" i="60"/>
  <c r="CA71" i="60" s="1"/>
  <c r="J51" i="80"/>
  <c r="K32" i="72" s="1"/>
  <c r="AF37" i="78"/>
  <c r="AG37" i="78" s="1"/>
  <c r="F50" i="61"/>
  <c r="CH83" i="60"/>
  <c r="K72" i="115"/>
  <c r="P69" i="115"/>
  <c r="Q69" i="115" s="1"/>
  <c r="P32" i="65"/>
  <c r="BW68" i="60"/>
  <c r="BW71" i="60" s="1"/>
  <c r="P66" i="115"/>
  <c r="Q66" i="115" s="1"/>
  <c r="P71" i="115"/>
  <c r="Q71" i="115" s="1"/>
  <c r="H72" i="115"/>
  <c r="Q50" i="115"/>
  <c r="P66" i="65"/>
  <c r="P71" i="65"/>
  <c r="P32" i="115"/>
  <c r="G82" i="115"/>
  <c r="P82" i="115" s="1"/>
  <c r="Q82" i="115" s="1"/>
  <c r="G82" i="65"/>
  <c r="Q33" i="65"/>
  <c r="T30" i="76"/>
  <c r="T40" i="76" s="1"/>
  <c r="Q67" i="65"/>
  <c r="R67" i="65" s="1"/>
  <c r="G87" i="115"/>
  <c r="P94" i="115"/>
  <c r="P96" i="115" s="1"/>
  <c r="P69" i="65"/>
  <c r="D49" i="61" s="1"/>
  <c r="F49" i="61" s="1"/>
  <c r="BO10" i="113"/>
  <c r="BO8" i="60"/>
  <c r="BG4" i="80" s="1"/>
  <c r="B130" i="82"/>
  <c r="J129" i="82"/>
  <c r="CF46" i="113"/>
  <c r="F72" i="65"/>
  <c r="J72" i="65"/>
  <c r="R31" i="56"/>
  <c r="R38" i="56"/>
  <c r="BM93" i="60"/>
  <c r="BY93" i="60" s="1"/>
  <c r="F96" i="65"/>
  <c r="BA95" i="60"/>
  <c r="G96" i="65"/>
  <c r="BN31" i="60"/>
  <c r="Q50" i="65"/>
  <c r="CI49" i="60"/>
  <c r="CI31" i="60"/>
  <c r="CA67" i="60"/>
  <c r="CG68" i="60"/>
  <c r="CB81" i="60"/>
  <c r="BT49" i="60"/>
  <c r="CD68" i="60"/>
  <c r="BE95" i="60"/>
  <c r="BQ93" i="60"/>
  <c r="CH65" i="60"/>
  <c r="F51" i="61"/>
  <c r="BX68" i="60"/>
  <c r="BO93" i="60"/>
  <c r="BC95" i="60"/>
  <c r="CH66" i="60"/>
  <c r="BQ49" i="60"/>
  <c r="AZ65" i="60"/>
  <c r="BB65" i="60"/>
  <c r="CF32" i="60"/>
  <c r="F33" i="61"/>
  <c r="BL66" i="60"/>
  <c r="CF70" i="60"/>
  <c r="BV70" i="60"/>
  <c r="G87" i="65"/>
  <c r="BS81" i="60"/>
  <c r="BQ69" i="60"/>
  <c r="BQ71" i="60" s="1"/>
  <c r="BQ32" i="60"/>
  <c r="AN81" i="60"/>
  <c r="BV68" i="60"/>
  <c r="BB93" i="60"/>
  <c r="AP95" i="60"/>
  <c r="BI69" i="60"/>
  <c r="BI71" i="60" s="1"/>
  <c r="BD68" i="60"/>
  <c r="BD71" i="60" s="1"/>
  <c r="BA70" i="60"/>
  <c r="BA71" i="60" s="1"/>
  <c r="BD65" i="60"/>
  <c r="BG31" i="60"/>
  <c r="K72" i="65"/>
  <c r="BT69" i="60"/>
  <c r="BT71" i="60" s="1"/>
  <c r="BH65" i="60"/>
  <c r="BE81" i="60"/>
  <c r="BU65" i="60"/>
  <c r="BC65" i="60"/>
  <c r="CE70" i="60"/>
  <c r="CI65" i="60"/>
  <c r="I96" i="65"/>
  <c r="P94" i="65"/>
  <c r="CD65" i="60"/>
  <c r="H72" i="65"/>
  <c r="AN86" i="60"/>
  <c r="AZ85" i="60"/>
  <c r="CE69" i="60"/>
  <c r="BZ81" i="60"/>
  <c r="CE67" i="60"/>
  <c r="CD69" i="60"/>
  <c r="BW95" i="60"/>
  <c r="CI93" i="60"/>
  <c r="BL95" i="60"/>
  <c r="BX93" i="60"/>
  <c r="CG82" i="60"/>
  <c r="CD82" i="60"/>
  <c r="CF81" i="60"/>
  <c r="CG81" i="60"/>
  <c r="CH81" i="60"/>
  <c r="CD66" i="60"/>
  <c r="CB66" i="60"/>
  <c r="BX83" i="60"/>
  <c r="CF68" i="60"/>
  <c r="CI83" i="60"/>
  <c r="CA83" i="60"/>
  <c r="BY32" i="60"/>
  <c r="CE95" i="60"/>
  <c r="CC70" i="60"/>
  <c r="CD81" i="60"/>
  <c r="CD70" i="60"/>
  <c r="CB67" i="60"/>
  <c r="BX84" i="60"/>
  <c r="CA81" i="60"/>
  <c r="CF83" i="60"/>
  <c r="BX69" i="60"/>
  <c r="CI82" i="60"/>
  <c r="BT95" i="60"/>
  <c r="CF93" i="60"/>
  <c r="CC31" i="60"/>
  <c r="CB83" i="60"/>
  <c r="CE83" i="60"/>
  <c r="BP95" i="60"/>
  <c r="CB93" i="60"/>
  <c r="CG67" i="60"/>
  <c r="CI67" i="60"/>
  <c r="CC82" i="60"/>
  <c r="BZ69" i="60"/>
  <c r="BZ71" i="60" s="1"/>
  <c r="BR95" i="60"/>
  <c r="CD93" i="60"/>
  <c r="CD67" i="60"/>
  <c r="CI70" i="60"/>
  <c r="BY66" i="60"/>
  <c r="CG70" i="60"/>
  <c r="CC65" i="60"/>
  <c r="CF67" i="60"/>
  <c r="CA66" i="60"/>
  <c r="CB70" i="60"/>
  <c r="CH32" i="60"/>
  <c r="BZ32" i="60"/>
  <c r="CH49" i="60"/>
  <c r="CB32" i="60"/>
  <c r="BX32" i="60"/>
  <c r="CG31" i="60"/>
  <c r="L8" i="64"/>
  <c r="CA49" i="60"/>
  <c r="CD31" i="60"/>
  <c r="CE49" i="60"/>
  <c r="CE82" i="60"/>
  <c r="BM31" i="60"/>
  <c r="CB82" i="60"/>
  <c r="CA32" i="60"/>
  <c r="BV95" i="60"/>
  <c r="CH93" i="60"/>
  <c r="CG66" i="60"/>
  <c r="AZ66" i="80" l="1"/>
  <c r="BA36" i="80"/>
  <c r="L42" i="80"/>
  <c r="O42" i="80"/>
  <c r="O70" i="80" s="1"/>
  <c r="M42" i="80"/>
  <c r="M70" i="80" s="1"/>
  <c r="N42" i="80"/>
  <c r="N70" i="80" s="1"/>
  <c r="P42" i="80"/>
  <c r="P70" i="80" s="1"/>
  <c r="J49" i="44"/>
  <c r="BV71" i="60"/>
  <c r="BX71" i="60"/>
  <c r="CD71" i="60"/>
  <c r="CE68" i="60"/>
  <c r="CE71" i="60" s="1"/>
  <c r="K51" i="80"/>
  <c r="L32" i="72" s="1"/>
  <c r="AH37" i="78"/>
  <c r="P96" i="65"/>
  <c r="F53" i="61"/>
  <c r="S30" i="76"/>
  <c r="S40" i="76" s="1"/>
  <c r="D29" i="61"/>
  <c r="F29" i="61" s="1"/>
  <c r="Q66" i="65"/>
  <c r="Q32" i="65"/>
  <c r="CI68" i="60"/>
  <c r="CI71" i="60" s="1"/>
  <c r="G44" i="44"/>
  <c r="P72" i="115"/>
  <c r="P82" i="65"/>
  <c r="Q82" i="65" s="1"/>
  <c r="R82" i="65" s="1"/>
  <c r="Q32" i="115"/>
  <c r="BP10" i="113"/>
  <c r="BP8" i="60"/>
  <c r="BH4" i="80" s="1"/>
  <c r="B131" i="82"/>
  <c r="J130" i="82"/>
  <c r="CG46" i="113"/>
  <c r="P15" i="65"/>
  <c r="BM95" i="60"/>
  <c r="Q71" i="65"/>
  <c r="R71" i="65" s="1"/>
  <c r="Q70" i="65"/>
  <c r="R70" i="65" s="1"/>
  <c r="F48" i="61"/>
  <c r="BZ31" i="60"/>
  <c r="F30" i="61"/>
  <c r="CF49" i="60"/>
  <c r="P72" i="65"/>
  <c r="CC49" i="60"/>
  <c r="BO95" i="60"/>
  <c r="CA93" i="60"/>
  <c r="CC93" i="60"/>
  <c r="BQ95" i="60"/>
  <c r="CG65" i="60"/>
  <c r="BT65" i="60"/>
  <c r="AZ81" i="60"/>
  <c r="CE81" i="60"/>
  <c r="CH70" i="60"/>
  <c r="BP65" i="60"/>
  <c r="BM70" i="60"/>
  <c r="BM71" i="60" s="1"/>
  <c r="CH68" i="60"/>
  <c r="BN65" i="60"/>
  <c r="AZ86" i="60"/>
  <c r="BL85" i="60"/>
  <c r="BQ81" i="60"/>
  <c r="CF69" i="60"/>
  <c r="CF71" i="60" s="1"/>
  <c r="BU69" i="60"/>
  <c r="BU71" i="60" s="1"/>
  <c r="BN93" i="60"/>
  <c r="BB95" i="60"/>
  <c r="BL65" i="60"/>
  <c r="BO65" i="60"/>
  <c r="BP68" i="60"/>
  <c r="BP71" i="60" s="1"/>
  <c r="CC32" i="60"/>
  <c r="BS31" i="60"/>
  <c r="BX66" i="60"/>
  <c r="CC69" i="60"/>
  <c r="CC71" i="60" s="1"/>
  <c r="CI95" i="60"/>
  <c r="BY95" i="60"/>
  <c r="BX95" i="60"/>
  <c r="CF95" i="60"/>
  <c r="CD95" i="60"/>
  <c r="CB95" i="60"/>
  <c r="M8" i="64"/>
  <c r="BY31" i="60"/>
  <c r="CH95" i="60"/>
  <c r="BA47" i="80" l="1"/>
  <c r="BA42" i="80"/>
  <c r="BA66" i="80"/>
  <c r="BB36" i="80"/>
  <c r="L70" i="80"/>
  <c r="L43" i="80"/>
  <c r="M43" i="80" s="1"/>
  <c r="N43" i="80" s="1"/>
  <c r="O43" i="80" s="1"/>
  <c r="P43" i="80" s="1"/>
  <c r="Q43" i="80" s="1"/>
  <c r="R43" i="80" s="1"/>
  <c r="S43" i="80" s="1"/>
  <c r="T43" i="80" s="1"/>
  <c r="U43" i="80" s="1"/>
  <c r="V43" i="80" s="1"/>
  <c r="W43" i="80" s="1"/>
  <c r="W44" i="80" s="1"/>
  <c r="CH71" i="60"/>
  <c r="R66" i="65"/>
  <c r="T28" i="76"/>
  <c r="T37" i="76" s="1"/>
  <c r="AI37" i="78"/>
  <c r="F44" i="44"/>
  <c r="BQ10" i="113"/>
  <c r="BQ8" i="60"/>
  <c r="BI4" i="80" s="1"/>
  <c r="B132" i="82"/>
  <c r="J131" i="82"/>
  <c r="CH46" i="113"/>
  <c r="Q15" i="65"/>
  <c r="Q69" i="65"/>
  <c r="I49" i="44" s="1"/>
  <c r="K118" i="80"/>
  <c r="CC95" i="60"/>
  <c r="CA95" i="60"/>
  <c r="CA65" i="60"/>
  <c r="BL86" i="60"/>
  <c r="BX85" i="60"/>
  <c r="BL81" i="60"/>
  <c r="CE31" i="60"/>
  <c r="BN95" i="60"/>
  <c r="BZ93" i="60"/>
  <c r="BZ65" i="60"/>
  <c r="CB65" i="60"/>
  <c r="CB68" i="60"/>
  <c r="CB71" i="60" s="1"/>
  <c r="CF65" i="60"/>
  <c r="BX65" i="60"/>
  <c r="CG69" i="60"/>
  <c r="CG71" i="60" s="1"/>
  <c r="CC81" i="60"/>
  <c r="BY70" i="60"/>
  <c r="BY71" i="60" s="1"/>
  <c r="N8" i="64"/>
  <c r="BA70" i="80" l="1"/>
  <c r="BB47" i="80"/>
  <c r="BB42" i="80"/>
  <c r="BB70" i="80" s="1"/>
  <c r="BC36" i="80"/>
  <c r="BB66" i="80"/>
  <c r="Z42" i="80"/>
  <c r="X42" i="80"/>
  <c r="X43" i="80" s="1"/>
  <c r="AA42" i="80"/>
  <c r="AA70" i="80" s="1"/>
  <c r="Y42" i="80"/>
  <c r="AB42" i="80"/>
  <c r="AB70" i="80" s="1"/>
  <c r="R69" i="65"/>
  <c r="L51" i="80"/>
  <c r="AJ37" i="78"/>
  <c r="H44" i="44"/>
  <c r="BR10" i="113"/>
  <c r="BR8" i="60"/>
  <c r="BJ4" i="80" s="1"/>
  <c r="B133" i="82"/>
  <c r="J132" i="82"/>
  <c r="S87" i="44"/>
  <c r="U87" i="44" s="1"/>
  <c r="J118" i="80"/>
  <c r="BZ95" i="60"/>
  <c r="BX81" i="60"/>
  <c r="BX86" i="60"/>
  <c r="O8" i="64"/>
  <c r="BC42" i="80" l="1"/>
  <c r="BC47" i="80"/>
  <c r="BD36" i="80"/>
  <c r="BC66" i="80"/>
  <c r="Y43" i="80"/>
  <c r="Z43" i="80" s="1"/>
  <c r="AA43" i="80" s="1"/>
  <c r="AB43" i="80" s="1"/>
  <c r="AC43" i="80" s="1"/>
  <c r="AD43" i="80" s="1"/>
  <c r="AE43" i="80" s="1"/>
  <c r="AF43" i="80" s="1"/>
  <c r="AG43" i="80" s="1"/>
  <c r="AH43" i="80" s="1"/>
  <c r="AI43" i="80" s="1"/>
  <c r="AI44" i="80" s="1"/>
  <c r="L118" i="80"/>
  <c r="M32" i="72"/>
  <c r="M51" i="80"/>
  <c r="AK37" i="78"/>
  <c r="BS10" i="113"/>
  <c r="BS8" i="60"/>
  <c r="BK4" i="80" s="1"/>
  <c r="B134" i="82"/>
  <c r="J133" i="82"/>
  <c r="I118" i="80"/>
  <c r="P8" i="64"/>
  <c r="BD47" i="80" l="1"/>
  <c r="BD42" i="80"/>
  <c r="BD70" i="80" s="1"/>
  <c r="BE36" i="80"/>
  <c r="BD66" i="80"/>
  <c r="BC70" i="80"/>
  <c r="AL42" i="80"/>
  <c r="AN42" i="80"/>
  <c r="AN70" i="80" s="1"/>
  <c r="AM42" i="80"/>
  <c r="AM70" i="80" s="1"/>
  <c r="AK42" i="80"/>
  <c r="AJ42" i="80"/>
  <c r="AJ43" i="80" s="1"/>
  <c r="M118" i="80"/>
  <c r="N32" i="72"/>
  <c r="N51" i="80"/>
  <c r="AL37" i="78"/>
  <c r="BT10" i="113"/>
  <c r="BT8" i="60"/>
  <c r="BL4" i="80" s="1"/>
  <c r="B135" i="82"/>
  <c r="J134" i="82"/>
  <c r="Q8" i="64"/>
  <c r="BE47" i="80" l="1"/>
  <c r="BE42" i="80"/>
  <c r="BE70" i="80" s="1"/>
  <c r="BE66" i="80"/>
  <c r="BF36" i="80"/>
  <c r="AK43" i="80"/>
  <c r="AL43" i="80" s="1"/>
  <c r="AM43" i="80" s="1"/>
  <c r="AN43" i="80" s="1"/>
  <c r="AO43" i="80" s="1"/>
  <c r="AP43" i="80" s="1"/>
  <c r="AQ43" i="80" s="1"/>
  <c r="AR43" i="80" s="1"/>
  <c r="AS43" i="80" s="1"/>
  <c r="AT43" i="80" s="1"/>
  <c r="AU43" i="80" s="1"/>
  <c r="AU44" i="80" s="1"/>
  <c r="N118" i="80"/>
  <c r="P32" i="72"/>
  <c r="O51" i="80"/>
  <c r="BU10" i="113"/>
  <c r="BU8" i="60"/>
  <c r="BM4" i="80" s="1"/>
  <c r="B136" i="82"/>
  <c r="J135" i="82"/>
  <c r="P51" i="80"/>
  <c r="T118" i="80"/>
  <c r="R8" i="64"/>
  <c r="BF47" i="80" l="1"/>
  <c r="BF42" i="80"/>
  <c r="BG36" i="80"/>
  <c r="BF66" i="80"/>
  <c r="AX42" i="80"/>
  <c r="AV42" i="80"/>
  <c r="AV43" i="80" s="1"/>
  <c r="AY42" i="80"/>
  <c r="AW42" i="80"/>
  <c r="AZ42" i="80"/>
  <c r="O118" i="80"/>
  <c r="Q32" i="72"/>
  <c r="R32" i="72"/>
  <c r="BV10" i="113"/>
  <c r="BV8" i="60"/>
  <c r="BN4" i="80" s="1"/>
  <c r="B137" i="82"/>
  <c r="J136" i="82"/>
  <c r="P118" i="80"/>
  <c r="S8" i="64"/>
  <c r="BG47" i="80" l="1"/>
  <c r="AU49" i="80" s="1"/>
  <c r="BG42" i="80"/>
  <c r="BH36" i="80"/>
  <c r="BG66" i="80"/>
  <c r="AW43" i="80"/>
  <c r="AX43" i="80" s="1"/>
  <c r="AY43" i="80" s="1"/>
  <c r="AZ43" i="80" s="1"/>
  <c r="BA43" i="80" s="1"/>
  <c r="BB43" i="80" s="1"/>
  <c r="BC43" i="80" s="1"/>
  <c r="BD43" i="80" s="1"/>
  <c r="BE43" i="80" s="1"/>
  <c r="BF43" i="80" s="1"/>
  <c r="Q51" i="80"/>
  <c r="BW10" i="113"/>
  <c r="BW8" i="60"/>
  <c r="BO4" i="80" s="1"/>
  <c r="B138" i="82"/>
  <c r="J137" i="82"/>
  <c r="T8" i="64"/>
  <c r="BG43" i="80" l="1"/>
  <c r="BG44" i="80" s="1"/>
  <c r="AV47" i="80"/>
  <c r="AV48" i="80" s="1"/>
  <c r="AW47" i="80"/>
  <c r="AY47" i="80"/>
  <c r="AY70" i="80" s="1"/>
  <c r="AX47" i="80"/>
  <c r="AZ47" i="80"/>
  <c r="AZ70" i="80" s="1"/>
  <c r="BI36" i="80"/>
  <c r="BH66" i="80"/>
  <c r="BJ42" i="80"/>
  <c r="BL42" i="80"/>
  <c r="BK42" i="80"/>
  <c r="BI42" i="80"/>
  <c r="BH42" i="80"/>
  <c r="BH43" i="80" s="1"/>
  <c r="T32" i="72"/>
  <c r="Q118" i="80"/>
  <c r="R51" i="80"/>
  <c r="BX10" i="113"/>
  <c r="BX8" i="60"/>
  <c r="BP4" i="80" s="1"/>
  <c r="B139" i="82"/>
  <c r="J138" i="82"/>
  <c r="U8" i="64"/>
  <c r="AW48" i="80" l="1"/>
  <c r="AX48" i="80" s="1"/>
  <c r="AY48" i="80" s="1"/>
  <c r="AZ48" i="80" s="1"/>
  <c r="BA48" i="80" s="1"/>
  <c r="BB48" i="80" s="1"/>
  <c r="BC48" i="80" s="1"/>
  <c r="BD48" i="80" s="1"/>
  <c r="BE48" i="80" s="1"/>
  <c r="BF48" i="80" s="1"/>
  <c r="BG48" i="80" s="1"/>
  <c r="BI66" i="80"/>
  <c r="BJ36" i="80"/>
  <c r="BI43" i="80"/>
  <c r="BJ43" i="80" s="1"/>
  <c r="BK43" i="80" s="1"/>
  <c r="BL43" i="80" s="1"/>
  <c r="U32" i="72"/>
  <c r="R118" i="80"/>
  <c r="S51" i="80"/>
  <c r="BY10" i="113"/>
  <c r="BY8" i="60"/>
  <c r="BQ4" i="80" s="1"/>
  <c r="B140" i="82"/>
  <c r="J139" i="82"/>
  <c r="V8" i="64"/>
  <c r="BK36" i="80" l="1"/>
  <c r="BJ66" i="80"/>
  <c r="T51" i="80"/>
  <c r="V32" i="72"/>
  <c r="S118" i="80"/>
  <c r="BZ10" i="113"/>
  <c r="BZ8" i="60"/>
  <c r="BR4" i="80" s="1"/>
  <c r="B141" i="82"/>
  <c r="J140" i="82"/>
  <c r="W8" i="64"/>
  <c r="BL36" i="80" l="1"/>
  <c r="BK66" i="80"/>
  <c r="W32" i="72"/>
  <c r="V70" i="80"/>
  <c r="U51" i="80"/>
  <c r="CA10" i="113"/>
  <c r="CA8" i="60"/>
  <c r="BS4" i="80" s="1"/>
  <c r="B142" i="82"/>
  <c r="J141" i="82"/>
  <c r="X8" i="64"/>
  <c r="BM36" i="80" l="1"/>
  <c r="BL66" i="80"/>
  <c r="X32" i="72"/>
  <c r="X70" i="80"/>
  <c r="Y70" i="80"/>
  <c r="W70" i="80"/>
  <c r="Z70" i="80"/>
  <c r="CB10" i="113"/>
  <c r="CB8" i="60"/>
  <c r="BT4" i="80" s="1"/>
  <c r="B143" i="82"/>
  <c r="J142" i="82"/>
  <c r="Y8" i="64"/>
  <c r="BM47" i="80" l="1"/>
  <c r="BM42" i="80"/>
  <c r="BN36" i="80"/>
  <c r="BM66" i="80"/>
  <c r="V51" i="80"/>
  <c r="CC10" i="113"/>
  <c r="CC8" i="60"/>
  <c r="BU4" i="80" s="1"/>
  <c r="B144" i="82"/>
  <c r="J143" i="82"/>
  <c r="Z8" i="64"/>
  <c r="BM70" i="80" l="1"/>
  <c r="BM43" i="80"/>
  <c r="BN42" i="80"/>
  <c r="BN47" i="80"/>
  <c r="BO36" i="80"/>
  <c r="BN66" i="80"/>
  <c r="W51" i="80"/>
  <c r="Y32" i="72"/>
  <c r="CD10" i="113"/>
  <c r="CD8" i="60"/>
  <c r="BV4" i="80" s="1"/>
  <c r="B145" i="82"/>
  <c r="J144" i="82"/>
  <c r="AA8" i="64"/>
  <c r="BN43" i="80" l="1"/>
  <c r="BN70" i="80"/>
  <c r="BO42" i="80"/>
  <c r="BO47" i="80"/>
  <c r="BP36" i="80"/>
  <c r="BO66" i="80"/>
  <c r="Z32" i="72"/>
  <c r="X51" i="80"/>
  <c r="CE10" i="113"/>
  <c r="CE8" i="60"/>
  <c r="BW4" i="80" s="1"/>
  <c r="B146" i="82"/>
  <c r="J145" i="82"/>
  <c r="AB8" i="64"/>
  <c r="BO70" i="80" l="1"/>
  <c r="BP47" i="80"/>
  <c r="BP42" i="80"/>
  <c r="BP70" i="80" s="1"/>
  <c r="BP66" i="80"/>
  <c r="BQ36" i="80"/>
  <c r="BO43" i="80"/>
  <c r="AA32" i="72"/>
  <c r="Y51" i="80"/>
  <c r="CF10" i="113"/>
  <c r="CF8" i="60"/>
  <c r="BX4" i="80" s="1"/>
  <c r="B147" i="82"/>
  <c r="J146" i="82"/>
  <c r="AC8" i="64"/>
  <c r="BP43" i="80" l="1"/>
  <c r="BQ42" i="80"/>
  <c r="BQ47" i="80"/>
  <c r="BR36" i="80"/>
  <c r="BQ66" i="80"/>
  <c r="AB32" i="72"/>
  <c r="CG10" i="113"/>
  <c r="CG8" i="60"/>
  <c r="BY4" i="80" s="1"/>
  <c r="AD8" i="64"/>
  <c r="B148" i="82"/>
  <c r="J147" i="82"/>
  <c r="BR42" i="80" l="1"/>
  <c r="BR47" i="80"/>
  <c r="BS36" i="80"/>
  <c r="BR66" i="80"/>
  <c r="BQ70" i="80"/>
  <c r="BQ43" i="80"/>
  <c r="BR43" i="80" s="1"/>
  <c r="CH10" i="113"/>
  <c r="CI8" i="60" s="1"/>
  <c r="CA4" i="80" s="1"/>
  <c r="CB4" i="80" s="1"/>
  <c r="CC4" i="80" s="1"/>
  <c r="CD4" i="80" s="1"/>
  <c r="CH8" i="60"/>
  <c r="BZ4" i="80" s="1"/>
  <c r="AE8" i="64"/>
  <c r="B149" i="82"/>
  <c r="J148" i="82"/>
  <c r="BS47" i="80" l="1"/>
  <c r="BG49" i="80" s="1"/>
  <c r="BS42" i="80"/>
  <c r="BS43" i="80" s="1"/>
  <c r="BS44" i="80" s="1"/>
  <c r="BT36" i="80"/>
  <c r="BS66" i="80"/>
  <c r="AF8" i="64"/>
  <c r="B150" i="82"/>
  <c r="J149" i="82"/>
  <c r="BV42" i="80" l="1"/>
  <c r="BX42" i="80"/>
  <c r="BT42" i="80"/>
  <c r="BT43" i="80" s="1"/>
  <c r="BU43" i="80" s="1"/>
  <c r="BV43" i="80" s="1"/>
  <c r="BW42" i="80"/>
  <c r="BU42" i="80"/>
  <c r="BI47" i="80"/>
  <c r="BK47" i="80"/>
  <c r="BK70" i="80" s="1"/>
  <c r="BH47" i="80"/>
  <c r="BH48" i="80" s="1"/>
  <c r="BI48" i="80" s="1"/>
  <c r="BJ48" i="80" s="1"/>
  <c r="BK48" i="80" s="1"/>
  <c r="BL48" i="80" s="1"/>
  <c r="BM48" i="80" s="1"/>
  <c r="BN48" i="80" s="1"/>
  <c r="BO48" i="80" s="1"/>
  <c r="BP48" i="80" s="1"/>
  <c r="BQ48" i="80" s="1"/>
  <c r="BR48" i="80" s="1"/>
  <c r="BS48" i="80" s="1"/>
  <c r="BJ47" i="80"/>
  <c r="BL47" i="80"/>
  <c r="BL70" i="80" s="1"/>
  <c r="BU36" i="80"/>
  <c r="BT66" i="80"/>
  <c r="AG8" i="64"/>
  <c r="B151" i="82"/>
  <c r="J150" i="82"/>
  <c r="AH8" i="64"/>
  <c r="BV36" i="80" l="1"/>
  <c r="BU66" i="80"/>
  <c r="BW43" i="80"/>
  <c r="BX43" i="80" s="1"/>
  <c r="B152" i="82"/>
  <c r="J151" i="82"/>
  <c r="AI8" i="64"/>
  <c r="BW36" i="80" l="1"/>
  <c r="BV66" i="80"/>
  <c r="B153" i="82"/>
  <c r="J152" i="82"/>
  <c r="AJ8" i="64"/>
  <c r="BW66" i="80" l="1"/>
  <c r="BX36" i="80"/>
  <c r="B154" i="82"/>
  <c r="J153" i="82"/>
  <c r="AK8" i="64"/>
  <c r="BX66" i="80" l="1"/>
  <c r="BY36" i="80"/>
  <c r="B155" i="82"/>
  <c r="J154" i="82"/>
  <c r="AL8" i="64"/>
  <c r="BY47" i="80" l="1"/>
  <c r="BY42" i="80"/>
  <c r="BZ36" i="80"/>
  <c r="BY66" i="80"/>
  <c r="B156" i="82"/>
  <c r="J155" i="82"/>
  <c r="BY70" i="80" l="1"/>
  <c r="BY43" i="80"/>
  <c r="BZ47" i="80"/>
  <c r="BZ42" i="80"/>
  <c r="BZ70" i="80" s="1"/>
  <c r="BZ66" i="80"/>
  <c r="CA36" i="80"/>
  <c r="B157" i="82"/>
  <c r="J156" i="82"/>
  <c r="AN8" i="64"/>
  <c r="AM8" i="64"/>
  <c r="BZ43" i="80" l="1"/>
  <c r="CA47" i="80"/>
  <c r="CA42" i="80"/>
  <c r="CA70" i="80" s="1"/>
  <c r="CB36" i="80"/>
  <c r="CA66" i="80"/>
  <c r="AO8" i="64"/>
  <c r="B158" i="82"/>
  <c r="J157" i="82"/>
  <c r="AP8" i="64"/>
  <c r="CB47" i="80" l="1"/>
  <c r="CB42" i="80"/>
  <c r="CB70" i="80" s="1"/>
  <c r="CC36" i="80"/>
  <c r="CB66" i="80"/>
  <c r="CA43" i="80"/>
  <c r="B159" i="82"/>
  <c r="J158" i="82"/>
  <c r="AQ8" i="64"/>
  <c r="CB43" i="80" l="1"/>
  <c r="CC47" i="80"/>
  <c r="CC42" i="80"/>
  <c r="CD36" i="80"/>
  <c r="CC66" i="80"/>
  <c r="B160" i="82"/>
  <c r="J159" i="82"/>
  <c r="AR8" i="64"/>
  <c r="CD47" i="80" l="1"/>
  <c r="CE49" i="80" s="1"/>
  <c r="CF47" i="80" s="1"/>
  <c r="CD42" i="80"/>
  <c r="CD66" i="80"/>
  <c r="CC70" i="80"/>
  <c r="CC43" i="80"/>
  <c r="B161" i="82"/>
  <c r="J160" i="82"/>
  <c r="AS8" i="64"/>
  <c r="BS49" i="80" l="1"/>
  <c r="BU47" i="80"/>
  <c r="BT47" i="80"/>
  <c r="BT48" i="80" s="1"/>
  <c r="BU48" i="80" s="1"/>
  <c r="BW47" i="80"/>
  <c r="BW70" i="80" s="1"/>
  <c r="BV47" i="80"/>
  <c r="BX47" i="80"/>
  <c r="BX70" i="80" s="1"/>
  <c r="CD43" i="80"/>
  <c r="CE43" i="80" s="1"/>
  <c r="CE44" i="80" s="1"/>
  <c r="CF42" i="80" s="1"/>
  <c r="CF43" i="80" s="1"/>
  <c r="B162" i="82"/>
  <c r="J161" i="82"/>
  <c r="AT8" i="64"/>
  <c r="BV48" i="80" l="1"/>
  <c r="BW48" i="80" s="1"/>
  <c r="BX48" i="80" s="1"/>
  <c r="BY48" i="80" s="1"/>
  <c r="BZ48" i="80" s="1"/>
  <c r="CA48" i="80" s="1"/>
  <c r="CB48" i="80" s="1"/>
  <c r="CC48" i="80" s="1"/>
  <c r="CD48" i="80" s="1"/>
  <c r="CE48" i="80" s="1"/>
  <c r="CF48" i="80" s="1"/>
  <c r="B163" i="82"/>
  <c r="J162" i="82"/>
  <c r="AU8" i="64"/>
  <c r="B164" i="82" l="1"/>
  <c r="J163" i="82"/>
  <c r="AV8" i="64"/>
  <c r="B165" i="82" l="1"/>
  <c r="J164" i="82"/>
  <c r="AW8" i="64"/>
  <c r="B166" i="82" l="1"/>
  <c r="J165" i="82"/>
  <c r="AX8" i="64"/>
  <c r="B167" i="82" l="1"/>
  <c r="J166" i="82"/>
  <c r="AZ8" i="64" l="1"/>
  <c r="AY8" i="64"/>
  <c r="B168" i="82"/>
  <c r="J167" i="82"/>
  <c r="BA8" i="64"/>
  <c r="B169" i="82" l="1"/>
  <c r="J168" i="82"/>
  <c r="BB8" i="64"/>
  <c r="B170" i="82" l="1"/>
  <c r="J169" i="82"/>
  <c r="BC8" i="64"/>
  <c r="B171" i="82" l="1"/>
  <c r="J170" i="82"/>
  <c r="BD8" i="64"/>
  <c r="B172" i="82" l="1"/>
  <c r="J171" i="82"/>
  <c r="BE8" i="64"/>
  <c r="B173" i="82" l="1"/>
  <c r="J172" i="82"/>
  <c r="BF8" i="64"/>
  <c r="B174" i="82" l="1"/>
  <c r="J173" i="82"/>
  <c r="BG8" i="64"/>
  <c r="B175" i="82" l="1"/>
  <c r="J174" i="82"/>
  <c r="BH8" i="64"/>
  <c r="B176" i="82" l="1"/>
  <c r="J175" i="82"/>
  <c r="BI8" i="64"/>
  <c r="B177" i="82" l="1"/>
  <c r="J176" i="82"/>
  <c r="BJ8" i="64"/>
  <c r="B178" i="82" l="1"/>
  <c r="J177" i="82"/>
  <c r="BK8" i="64"/>
  <c r="B179" i="82" l="1"/>
  <c r="J178" i="82"/>
  <c r="BL8" i="64"/>
  <c r="B180" i="82" l="1"/>
  <c r="J179" i="82"/>
  <c r="BM8" i="64"/>
  <c r="B181" i="82" l="1"/>
  <c r="J180" i="82"/>
  <c r="BN8" i="64"/>
  <c r="B182" i="82" l="1"/>
  <c r="J181" i="82"/>
  <c r="BO8" i="64"/>
  <c r="B183" i="82" l="1"/>
  <c r="J182" i="82"/>
  <c r="BP8" i="64"/>
  <c r="B184" i="82" l="1"/>
  <c r="J183" i="82"/>
  <c r="BQ8" i="64"/>
  <c r="AH68" i="72"/>
  <c r="B185" i="82" l="1"/>
  <c r="J184" i="82"/>
  <c r="BR8" i="64"/>
  <c r="B186" i="82" l="1"/>
  <c r="J185" i="82"/>
  <c r="BS8" i="64"/>
  <c r="B187" i="82" l="1"/>
  <c r="J186" i="82"/>
  <c r="BT8" i="64"/>
  <c r="B188" i="82" l="1"/>
  <c r="J187" i="82"/>
  <c r="BU8" i="64"/>
  <c r="B189" i="82" l="1"/>
  <c r="J188" i="82"/>
  <c r="BV8" i="64"/>
  <c r="B190" i="82" l="1"/>
  <c r="J189" i="82"/>
  <c r="BW8" i="64"/>
  <c r="B191" i="82" l="1"/>
  <c r="J190" i="82"/>
  <c r="BX8" i="64"/>
  <c r="B192" i="82" l="1"/>
  <c r="J191" i="82"/>
  <c r="BY8" i="64"/>
  <c r="B193" i="82" l="1"/>
  <c r="J192" i="82"/>
  <c r="BZ8" i="64"/>
  <c r="B194" i="82" l="1"/>
  <c r="J193" i="82"/>
  <c r="CA8" i="64"/>
  <c r="B195" i="82" l="1"/>
  <c r="J194" i="82"/>
  <c r="CB8" i="64"/>
  <c r="B196" i="82" l="1"/>
  <c r="J195" i="82"/>
  <c r="CC8" i="64"/>
  <c r="AI68" i="72"/>
  <c r="B197" i="82" l="1"/>
  <c r="J196" i="82"/>
  <c r="CD8" i="64"/>
  <c r="B198" i="82" l="1"/>
  <c r="J197" i="82"/>
  <c r="CE8" i="64"/>
  <c r="B199" i="82" l="1"/>
  <c r="J198" i="82"/>
  <c r="CF8" i="64"/>
  <c r="B200" i="82" l="1"/>
  <c r="J199" i="82"/>
  <c r="CG8" i="64"/>
  <c r="B201" i="82" l="1"/>
  <c r="J200" i="82"/>
  <c r="CH8" i="64"/>
  <c r="B202" i="82" l="1"/>
  <c r="J201" i="82"/>
  <c r="CI8" i="64"/>
  <c r="B203" i="82" l="1"/>
  <c r="J202" i="82"/>
  <c r="AJ68" i="72"/>
  <c r="B204" i="82" l="1"/>
  <c r="J203" i="82"/>
  <c r="AK68" i="72"/>
  <c r="B205" i="82" l="1"/>
  <c r="J204" i="82"/>
  <c r="D57" i="113"/>
  <c r="E57" i="113"/>
  <c r="Q57" i="113" s="1"/>
  <c r="F57" i="113"/>
  <c r="G57" i="113"/>
  <c r="H57" i="113"/>
  <c r="T57" i="113" s="1"/>
  <c r="I57" i="113"/>
  <c r="U57" i="113" s="1"/>
  <c r="J57" i="113"/>
  <c r="V57" i="113" s="1"/>
  <c r="K57" i="113"/>
  <c r="W57" i="113" s="1"/>
  <c r="L57" i="113"/>
  <c r="X57" i="113" s="1"/>
  <c r="M57" i="113"/>
  <c r="N57" i="113"/>
  <c r="E30" i="60"/>
  <c r="F30" i="60"/>
  <c r="G30" i="60"/>
  <c r="H30" i="60"/>
  <c r="I30" i="60"/>
  <c r="J30" i="60"/>
  <c r="K30" i="60"/>
  <c r="L30" i="60"/>
  <c r="M30" i="60"/>
  <c r="N30" i="60"/>
  <c r="O30" i="60"/>
  <c r="D84" i="113"/>
  <c r="E84" i="113"/>
  <c r="F84" i="113"/>
  <c r="G84" i="113"/>
  <c r="H84" i="113"/>
  <c r="I84" i="113"/>
  <c r="J84" i="113"/>
  <c r="K84" i="113"/>
  <c r="L84" i="113"/>
  <c r="M84" i="113"/>
  <c r="N84" i="113"/>
  <c r="E48" i="60"/>
  <c r="F48" i="60"/>
  <c r="G48" i="60"/>
  <c r="H48" i="60"/>
  <c r="I48" i="60"/>
  <c r="J48" i="60"/>
  <c r="C12" i="78" s="1"/>
  <c r="K48" i="60"/>
  <c r="D12" i="78" s="1"/>
  <c r="L48" i="60"/>
  <c r="E12" i="78" s="1"/>
  <c r="M48" i="60"/>
  <c r="N48" i="60"/>
  <c r="O48" i="60"/>
  <c r="C57" i="113"/>
  <c r="C84" i="113"/>
  <c r="P57" i="113" l="1"/>
  <c r="Q21" i="60" s="1"/>
  <c r="C55" i="113"/>
  <c r="R57" i="113"/>
  <c r="AD57" i="113" s="1"/>
  <c r="Y57" i="113"/>
  <c r="Z21" i="60" s="1"/>
  <c r="N39" i="60"/>
  <c r="G14" i="78" s="1"/>
  <c r="Y84" i="113"/>
  <c r="J39" i="60"/>
  <c r="C14" i="78" s="1"/>
  <c r="U84" i="113"/>
  <c r="F39" i="60"/>
  <c r="Q84" i="113"/>
  <c r="X21" i="60"/>
  <c r="AI57" i="113"/>
  <c r="S57" i="113"/>
  <c r="O57" i="113"/>
  <c r="M39" i="60"/>
  <c r="F14" i="78" s="1"/>
  <c r="X84" i="113"/>
  <c r="I39" i="60"/>
  <c r="T84" i="113"/>
  <c r="E39" i="60"/>
  <c r="P84" i="113"/>
  <c r="Z57" i="113"/>
  <c r="W21" i="60"/>
  <c r="AH57" i="113"/>
  <c r="L39" i="60"/>
  <c r="E14" i="78" s="1"/>
  <c r="W84" i="113"/>
  <c r="H39" i="60"/>
  <c r="S84" i="113"/>
  <c r="V21" i="60"/>
  <c r="AG57" i="113"/>
  <c r="R21" i="60"/>
  <c r="AC57" i="113"/>
  <c r="D39" i="60"/>
  <c r="O84" i="113"/>
  <c r="O39" i="60"/>
  <c r="H14" i="78" s="1"/>
  <c r="Z84" i="113"/>
  <c r="K39" i="60"/>
  <c r="D14" i="78" s="1"/>
  <c r="V84" i="113"/>
  <c r="G39" i="60"/>
  <c r="R84" i="113"/>
  <c r="Y21" i="60"/>
  <c r="AJ57" i="113"/>
  <c r="U21" i="60"/>
  <c r="AF57" i="113"/>
  <c r="AB57" i="113"/>
  <c r="B206" i="82"/>
  <c r="J205" i="82"/>
  <c r="X48" i="60"/>
  <c r="T48" i="60"/>
  <c r="Z30" i="60"/>
  <c r="AA48" i="60"/>
  <c r="S48" i="60"/>
  <c r="Y30" i="60"/>
  <c r="Q30" i="60"/>
  <c r="O34" i="20"/>
  <c r="Z48" i="60"/>
  <c r="V48" i="60"/>
  <c r="R48" i="60"/>
  <c r="X30" i="60"/>
  <c r="T30" i="60"/>
  <c r="O20" i="20"/>
  <c r="V30" i="60"/>
  <c r="R30" i="60"/>
  <c r="W48" i="60"/>
  <c r="U30" i="60"/>
  <c r="Y48" i="60"/>
  <c r="U48" i="60"/>
  <c r="Q48" i="60"/>
  <c r="AA30" i="60"/>
  <c r="W30" i="60"/>
  <c r="S30" i="60"/>
  <c r="S21" i="60" l="1"/>
  <c r="L12" i="78" s="1"/>
  <c r="AK57" i="113"/>
  <c r="AW57" i="113" s="1"/>
  <c r="D49" i="115"/>
  <c r="D49" i="65"/>
  <c r="E49" i="115"/>
  <c r="E49" i="65"/>
  <c r="D13" i="81"/>
  <c r="E31" i="115"/>
  <c r="E31" i="65"/>
  <c r="E13" i="81"/>
  <c r="F31" i="115"/>
  <c r="F31" i="65"/>
  <c r="C13" i="81"/>
  <c r="D31" i="115"/>
  <c r="D31" i="65"/>
  <c r="F49" i="115"/>
  <c r="F49" i="65"/>
  <c r="E22" i="115"/>
  <c r="E22" i="65"/>
  <c r="D22" i="115"/>
  <c r="D22" i="65"/>
  <c r="N12" i="78"/>
  <c r="K12" i="78"/>
  <c r="U12" i="78"/>
  <c r="Q12" i="78"/>
  <c r="R12" i="78"/>
  <c r="J12" i="78"/>
  <c r="T12" i="78"/>
  <c r="P12" i="78"/>
  <c r="B207" i="82"/>
  <c r="J206" i="82"/>
  <c r="S39" i="60"/>
  <c r="L14" i="78" s="1"/>
  <c r="AD84" i="113"/>
  <c r="T39" i="60"/>
  <c r="M14" i="78" s="1"/>
  <c r="AE84" i="113"/>
  <c r="Q39" i="60"/>
  <c r="AB84" i="113"/>
  <c r="P21" i="60"/>
  <c r="AA57" i="113"/>
  <c r="AJ21" i="60"/>
  <c r="AU57" i="113"/>
  <c r="R39" i="60"/>
  <c r="K14" i="78" s="1"/>
  <c r="AC84" i="113"/>
  <c r="AC21" i="60"/>
  <c r="AN57" i="113"/>
  <c r="AK21" i="60"/>
  <c r="AV57" i="113"/>
  <c r="P39" i="60"/>
  <c r="I14" i="78" s="1"/>
  <c r="AA84" i="113"/>
  <c r="AH21" i="60"/>
  <c r="AS57" i="113"/>
  <c r="AE21" i="60"/>
  <c r="AP57" i="113"/>
  <c r="AA39" i="60"/>
  <c r="AL84" i="113"/>
  <c r="AA21" i="60"/>
  <c r="AL57" i="113"/>
  <c r="Y39" i="60"/>
  <c r="AJ84" i="113"/>
  <c r="D55" i="113"/>
  <c r="O55" i="113"/>
  <c r="C50" i="113"/>
  <c r="C51" i="113" s="1"/>
  <c r="C52" i="113" s="1"/>
  <c r="AK84" i="113"/>
  <c r="Z39" i="60"/>
  <c r="D9" i="81" s="1"/>
  <c r="AG21" i="60"/>
  <c r="AR57" i="113"/>
  <c r="AH84" i="113"/>
  <c r="W39" i="60"/>
  <c r="Q14" i="78" s="1"/>
  <c r="AD21" i="60"/>
  <c r="AO57" i="113"/>
  <c r="X39" i="60"/>
  <c r="R14" i="78" s="1"/>
  <c r="AI84" i="113"/>
  <c r="AI21" i="60"/>
  <c r="AT57" i="113"/>
  <c r="U39" i="60"/>
  <c r="N14" i="78" s="1"/>
  <c r="AF84" i="113"/>
  <c r="T21" i="60"/>
  <c r="M12" i="78" s="1"/>
  <c r="AE57" i="113"/>
  <c r="V39" i="60"/>
  <c r="P14" i="78" s="1"/>
  <c r="AG84" i="113"/>
  <c r="I30" i="113"/>
  <c r="D30" i="113"/>
  <c r="M30" i="113"/>
  <c r="K30" i="113"/>
  <c r="H30" i="113"/>
  <c r="F30" i="113"/>
  <c r="G30" i="113"/>
  <c r="C30" i="113"/>
  <c r="J30" i="113"/>
  <c r="L30" i="113"/>
  <c r="F11" i="78" s="1"/>
  <c r="E30" i="113"/>
  <c r="N30" i="113"/>
  <c r="H11" i="78" s="1"/>
  <c r="AC30" i="60"/>
  <c r="AI30" i="60"/>
  <c r="AK48" i="60"/>
  <c r="AF30" i="60"/>
  <c r="AL48" i="60"/>
  <c r="AK30" i="60"/>
  <c r="G12" i="78"/>
  <c r="AE30" i="60"/>
  <c r="AI48" i="60"/>
  <c r="AH30" i="60"/>
  <c r="AJ30" i="60"/>
  <c r="AH48" i="60"/>
  <c r="AL30" i="60"/>
  <c r="AD30" i="60"/>
  <c r="O38" i="20"/>
  <c r="R34" i="20"/>
  <c r="AF48" i="60"/>
  <c r="AG48" i="60"/>
  <c r="AM30" i="60"/>
  <c r="AC48" i="60"/>
  <c r="O27" i="20"/>
  <c r="D16" i="76" s="1"/>
  <c r="D30" i="60"/>
  <c r="O13" i="20"/>
  <c r="AG30" i="60"/>
  <c r="O24" i="20"/>
  <c r="R20" i="20"/>
  <c r="R24" i="20" s="1"/>
  <c r="H12" i="78"/>
  <c r="AD48" i="60"/>
  <c r="AE48" i="60"/>
  <c r="AM48" i="60"/>
  <c r="D48" i="60"/>
  <c r="O41" i="20"/>
  <c r="F12" i="78"/>
  <c r="AJ48" i="60"/>
  <c r="AL21" i="60" l="1"/>
  <c r="E9" i="81"/>
  <c r="I49" i="115"/>
  <c r="I49" i="65"/>
  <c r="J13" i="81"/>
  <c r="K31" i="115"/>
  <c r="K31" i="65"/>
  <c r="J49" i="115"/>
  <c r="J49" i="65"/>
  <c r="K49" i="115"/>
  <c r="K49" i="65"/>
  <c r="N49" i="115"/>
  <c r="N49" i="65"/>
  <c r="K13" i="81"/>
  <c r="L31" i="115"/>
  <c r="L31" i="65"/>
  <c r="N13" i="81"/>
  <c r="O31" i="115"/>
  <c r="O31" i="65"/>
  <c r="M13" i="81"/>
  <c r="N31" i="115"/>
  <c r="N31" i="65"/>
  <c r="I13" i="81"/>
  <c r="J31" i="115"/>
  <c r="J31" i="65"/>
  <c r="O49" i="115"/>
  <c r="O49" i="65"/>
  <c r="H49" i="115"/>
  <c r="H49" i="65"/>
  <c r="L49" i="115"/>
  <c r="L49" i="65"/>
  <c r="H13" i="81"/>
  <c r="I31" i="115"/>
  <c r="I31" i="65"/>
  <c r="M49" i="115"/>
  <c r="M49" i="65"/>
  <c r="L13" i="81"/>
  <c r="M31" i="115"/>
  <c r="M31" i="65"/>
  <c r="G13" i="81"/>
  <c r="H31" i="115"/>
  <c r="H31" i="65"/>
  <c r="R22" i="83"/>
  <c r="AG14" i="78"/>
  <c r="N22" i="115"/>
  <c r="N22" i="65"/>
  <c r="T14" i="78"/>
  <c r="D40" i="115"/>
  <c r="D40" i="65"/>
  <c r="V14" i="78"/>
  <c r="F40" i="115"/>
  <c r="F40" i="65"/>
  <c r="M22" i="115"/>
  <c r="M22" i="65"/>
  <c r="U14" i="78"/>
  <c r="E40" i="115"/>
  <c r="E40" i="65"/>
  <c r="V12" i="78"/>
  <c r="F22" i="115"/>
  <c r="F22" i="65"/>
  <c r="J22" i="115"/>
  <c r="J22" i="65"/>
  <c r="H22" i="115"/>
  <c r="H22" i="65"/>
  <c r="O22" i="115"/>
  <c r="O22" i="65"/>
  <c r="J14" i="78"/>
  <c r="O14" i="78" s="1"/>
  <c r="I22" i="115"/>
  <c r="I22" i="65"/>
  <c r="L22" i="115"/>
  <c r="L22" i="65"/>
  <c r="C9" i="81"/>
  <c r="Z12" i="78"/>
  <c r="X12" i="78"/>
  <c r="AE12" i="78"/>
  <c r="AD12" i="78"/>
  <c r="AC12" i="78"/>
  <c r="Y12" i="78"/>
  <c r="AB12" i="78"/>
  <c r="G11" i="78"/>
  <c r="AH39" i="60"/>
  <c r="L9" i="81" s="1"/>
  <c r="AS84" i="113"/>
  <c r="AU21" i="60"/>
  <c r="BF57" i="113"/>
  <c r="AX21" i="60"/>
  <c r="BI57" i="113"/>
  <c r="P55" i="113"/>
  <c r="D50" i="113"/>
  <c r="D51" i="113" s="1"/>
  <c r="D52" i="113" s="1"/>
  <c r="E55" i="113"/>
  <c r="AM21" i="60"/>
  <c r="AX57" i="113"/>
  <c r="AT21" i="60"/>
  <c r="BE57" i="113"/>
  <c r="AB39" i="60"/>
  <c r="AM84" i="113"/>
  <c r="AO21" i="60"/>
  <c r="AZ57" i="113"/>
  <c r="AD39" i="60"/>
  <c r="H9" i="81" s="1"/>
  <c r="AO84" i="113"/>
  <c r="AC39" i="60"/>
  <c r="G9" i="81" s="1"/>
  <c r="AN84" i="113"/>
  <c r="AF39" i="60"/>
  <c r="AQ84" i="113"/>
  <c r="AL39" i="60"/>
  <c r="AW84" i="113"/>
  <c r="AM39" i="60"/>
  <c r="AX84" i="113"/>
  <c r="AB21" i="60"/>
  <c r="AM57" i="113"/>
  <c r="AE39" i="60"/>
  <c r="I9" i="81" s="1"/>
  <c r="AP84" i="113"/>
  <c r="B208" i="82"/>
  <c r="J207" i="82"/>
  <c r="AF21" i="60"/>
  <c r="AQ57" i="113"/>
  <c r="AG39" i="60"/>
  <c r="K9" i="81" s="1"/>
  <c r="AR84" i="113"/>
  <c r="AP21" i="60"/>
  <c r="BA57" i="113"/>
  <c r="AI39" i="60"/>
  <c r="M9" i="81" s="1"/>
  <c r="AT84" i="113"/>
  <c r="AK39" i="60"/>
  <c r="AV84" i="113"/>
  <c r="AQ21" i="60"/>
  <c r="BB57" i="113"/>
  <c r="AW21" i="60"/>
  <c r="BH57" i="113"/>
  <c r="AV21" i="60"/>
  <c r="BG57" i="113"/>
  <c r="AJ39" i="60"/>
  <c r="N9" i="81" s="1"/>
  <c r="AU84" i="113"/>
  <c r="AS21" i="60"/>
  <c r="BD57" i="113"/>
  <c r="O50" i="113"/>
  <c r="AA55" i="113"/>
  <c r="R30" i="113"/>
  <c r="S12" i="60" s="1"/>
  <c r="L11" i="78" s="1"/>
  <c r="P30" i="113"/>
  <c r="Q12" i="60" s="1"/>
  <c r="V30" i="113"/>
  <c r="W12" i="60" s="1"/>
  <c r="Q11" i="78" s="1"/>
  <c r="Y30" i="113"/>
  <c r="Z12" i="60" s="1"/>
  <c r="Q30" i="113"/>
  <c r="R12" i="60" s="1"/>
  <c r="K11" i="78" s="1"/>
  <c r="T30" i="113"/>
  <c r="U12" i="60" s="1"/>
  <c r="N11" i="78" s="1"/>
  <c r="U30" i="113"/>
  <c r="V12" i="60" s="1"/>
  <c r="P11" i="78" s="1"/>
  <c r="Z30" i="113"/>
  <c r="AA12" i="60" s="1"/>
  <c r="O30" i="113"/>
  <c r="P12" i="60" s="1"/>
  <c r="X30" i="113"/>
  <c r="Y12" i="60" s="1"/>
  <c r="W30" i="113"/>
  <c r="X12" i="60" s="1"/>
  <c r="R11" i="78" s="1"/>
  <c r="S30" i="113"/>
  <c r="T12" i="60" s="1"/>
  <c r="M11" i="78" s="1"/>
  <c r="AO48" i="60"/>
  <c r="AT48" i="60"/>
  <c r="AW30" i="60"/>
  <c r="AV48" i="60"/>
  <c r="AY48" i="60"/>
  <c r="AQ48" i="60"/>
  <c r="AP48" i="60"/>
  <c r="AP30" i="60"/>
  <c r="AT30" i="60"/>
  <c r="AU48" i="60"/>
  <c r="AU30" i="60"/>
  <c r="AO30" i="60"/>
  <c r="P48" i="60"/>
  <c r="P22" i="83" s="1"/>
  <c r="P30" i="60"/>
  <c r="AS48" i="60"/>
  <c r="AX30" i="60"/>
  <c r="AV30" i="60"/>
  <c r="AX48" i="60"/>
  <c r="R13" i="20"/>
  <c r="O17" i="20"/>
  <c r="D15" i="76"/>
  <c r="AY30" i="60"/>
  <c r="O44" i="20"/>
  <c r="R41" i="20"/>
  <c r="D16" i="91"/>
  <c r="P16" i="76"/>
  <c r="AS30" i="60"/>
  <c r="O31" i="20"/>
  <c r="R27" i="20"/>
  <c r="AR48" i="60"/>
  <c r="AQ30" i="60"/>
  <c r="AR30" i="60"/>
  <c r="AW48" i="60"/>
  <c r="J9" i="81" l="1"/>
  <c r="AH14" i="78"/>
  <c r="Q16" i="91"/>
  <c r="AG12" i="78"/>
  <c r="F9" i="81"/>
  <c r="O9" i="81" s="1"/>
  <c r="AD14" i="78"/>
  <c r="N40" i="115"/>
  <c r="N40" i="65"/>
  <c r="I11" i="78"/>
  <c r="O22" i="83"/>
  <c r="AG11" i="78"/>
  <c r="AE14" i="78"/>
  <c r="O40" i="115"/>
  <c r="O40" i="65"/>
  <c r="AC14" i="78"/>
  <c r="M40" i="115"/>
  <c r="M40" i="65"/>
  <c r="D13" i="115"/>
  <c r="D13" i="65"/>
  <c r="J11" i="78"/>
  <c r="AA12" i="78"/>
  <c r="K22" i="115"/>
  <c r="K22" i="65"/>
  <c r="Z14" i="78"/>
  <c r="J40" i="115"/>
  <c r="J40" i="65"/>
  <c r="AA14" i="78"/>
  <c r="K40" i="115"/>
  <c r="K40" i="65"/>
  <c r="Y14" i="78"/>
  <c r="I40" i="115"/>
  <c r="I40" i="65"/>
  <c r="W14" i="78"/>
  <c r="G40" i="115"/>
  <c r="G40" i="65"/>
  <c r="F13" i="115"/>
  <c r="F13" i="65"/>
  <c r="E13" i="115"/>
  <c r="E13" i="65"/>
  <c r="AB14" i="78"/>
  <c r="L40" i="115"/>
  <c r="L40" i="65"/>
  <c r="G22" i="115"/>
  <c r="G22" i="65"/>
  <c r="J21" i="61" s="1"/>
  <c r="X14" i="78"/>
  <c r="H40" i="115"/>
  <c r="H40" i="65"/>
  <c r="R23" i="83"/>
  <c r="V11" i="78"/>
  <c r="E5" i="81"/>
  <c r="U11" i="78"/>
  <c r="D5" i="81"/>
  <c r="T11" i="78"/>
  <c r="C5" i="81"/>
  <c r="I12" i="78"/>
  <c r="BE21" i="60"/>
  <c r="BP57" i="113"/>
  <c r="AW39" i="60"/>
  <c r="BH84" i="113"/>
  <c r="AU39" i="60"/>
  <c r="BF84" i="113"/>
  <c r="AS39" i="60"/>
  <c r="BD84" i="113"/>
  <c r="AQ39" i="60"/>
  <c r="BB84" i="113"/>
  <c r="AY39" i="60"/>
  <c r="BJ84" i="113"/>
  <c r="AP39" i="60"/>
  <c r="BA84" i="113"/>
  <c r="BF21" i="60"/>
  <c r="BQ57" i="113"/>
  <c r="BH21" i="60"/>
  <c r="BS57" i="113"/>
  <c r="BC21" i="60"/>
  <c r="BN57" i="113"/>
  <c r="AO39" i="60"/>
  <c r="AZ84" i="113"/>
  <c r="F55" i="113"/>
  <c r="Q55" i="113"/>
  <c r="E50" i="113"/>
  <c r="E51" i="113" s="1"/>
  <c r="E52" i="113" s="1"/>
  <c r="BJ21" i="60"/>
  <c r="BU57" i="113"/>
  <c r="AM55" i="113"/>
  <c r="AA50" i="113"/>
  <c r="AV39" i="60"/>
  <c r="BG84" i="113"/>
  <c r="BB21" i="60"/>
  <c r="BM57" i="113"/>
  <c r="AR21" i="60"/>
  <c r="BC57" i="113"/>
  <c r="B209" i="82"/>
  <c r="J208" i="82"/>
  <c r="AR39" i="60"/>
  <c r="BC84" i="113"/>
  <c r="BA21" i="60"/>
  <c r="BL57" i="113"/>
  <c r="AN39" i="60"/>
  <c r="AY84" i="113"/>
  <c r="BI21" i="60"/>
  <c r="BT57" i="113"/>
  <c r="AN21" i="60"/>
  <c r="AY57" i="113"/>
  <c r="AX39" i="60"/>
  <c r="BI84" i="113"/>
  <c r="AY21" i="60"/>
  <c r="BJ57" i="113"/>
  <c r="P50" i="113"/>
  <c r="AB55" i="113"/>
  <c r="BG21" i="60"/>
  <c r="BR57" i="113"/>
  <c r="AT39" i="60"/>
  <c r="BE84" i="113"/>
  <c r="AJ30" i="113"/>
  <c r="AK12" i="60" s="1"/>
  <c r="AF30" i="113"/>
  <c r="AG12" i="60" s="1"/>
  <c r="AB30" i="113"/>
  <c r="AC12" i="60" s="1"/>
  <c r="AE30" i="113"/>
  <c r="AF12" i="60" s="1"/>
  <c r="AI30" i="113"/>
  <c r="AJ12" i="60" s="1"/>
  <c r="AA30" i="113"/>
  <c r="AB12" i="60" s="1"/>
  <c r="AG30" i="113"/>
  <c r="AH12" i="60" s="1"/>
  <c r="AC30" i="113"/>
  <c r="AD12" i="60" s="1"/>
  <c r="AH30" i="113"/>
  <c r="AI12" i="60" s="1"/>
  <c r="AD30" i="113"/>
  <c r="AE12" i="60" s="1"/>
  <c r="AL30" i="113"/>
  <c r="AM12" i="60" s="1"/>
  <c r="AK30" i="113"/>
  <c r="AL12" i="60" s="1"/>
  <c r="BE30" i="60"/>
  <c r="AB48" i="60"/>
  <c r="AH12" i="78" s="1"/>
  <c r="BJ30" i="60"/>
  <c r="BD30" i="60"/>
  <c r="BG30" i="60"/>
  <c r="BF30" i="60"/>
  <c r="BK48" i="60"/>
  <c r="BC30" i="60"/>
  <c r="BJ48" i="60"/>
  <c r="BH30" i="60"/>
  <c r="AB30" i="60"/>
  <c r="BC48" i="60"/>
  <c r="BA48" i="60"/>
  <c r="BD48" i="60"/>
  <c r="BB48" i="60"/>
  <c r="BI30" i="60"/>
  <c r="BB30" i="60"/>
  <c r="BI48" i="60"/>
  <c r="BK30" i="60"/>
  <c r="D15" i="91"/>
  <c r="BE48" i="60"/>
  <c r="BA30" i="60"/>
  <c r="BG48" i="60"/>
  <c r="BH48" i="60"/>
  <c r="BF48" i="60"/>
  <c r="AI14" i="78" l="1"/>
  <c r="O12" i="78"/>
  <c r="O11" i="78"/>
  <c r="P23" i="83"/>
  <c r="G31" i="115"/>
  <c r="G31" i="65"/>
  <c r="J28" i="61" s="1"/>
  <c r="J34" i="61" s="1"/>
  <c r="G49" i="115"/>
  <c r="G49" i="65"/>
  <c r="I13" i="115"/>
  <c r="I13" i="65"/>
  <c r="K13" i="115"/>
  <c r="K13" i="65"/>
  <c r="J13" i="115"/>
  <c r="J13" i="65"/>
  <c r="G13" i="115"/>
  <c r="G13" i="65"/>
  <c r="L13" i="115"/>
  <c r="L13" i="65"/>
  <c r="R24" i="83"/>
  <c r="P22" i="115"/>
  <c r="P40" i="115"/>
  <c r="M13" i="115"/>
  <c r="M13" i="65"/>
  <c r="H13" i="115"/>
  <c r="H13" i="65"/>
  <c r="O23" i="83"/>
  <c r="N13" i="115"/>
  <c r="N13" i="65"/>
  <c r="O13" i="115"/>
  <c r="O13" i="65"/>
  <c r="AH11" i="78"/>
  <c r="AA11" i="78"/>
  <c r="J5" i="81"/>
  <c r="F13" i="81"/>
  <c r="O13" i="81" s="1"/>
  <c r="W12" i="78"/>
  <c r="AC11" i="78"/>
  <c r="L5" i="81"/>
  <c r="X11" i="78"/>
  <c r="G5" i="81"/>
  <c r="Y11" i="78"/>
  <c r="H5" i="81"/>
  <c r="Z11" i="78"/>
  <c r="I5" i="81"/>
  <c r="W11" i="78"/>
  <c r="F5" i="81"/>
  <c r="AB11" i="78"/>
  <c r="K5" i="81"/>
  <c r="AD11" i="78"/>
  <c r="M5" i="81"/>
  <c r="AE11" i="78"/>
  <c r="N5" i="81"/>
  <c r="AN55" i="113"/>
  <c r="AB50" i="113"/>
  <c r="AZ21" i="60"/>
  <c r="BK57" i="113"/>
  <c r="AZ39" i="60"/>
  <c r="BK84" i="113"/>
  <c r="AY55" i="113"/>
  <c r="AM50" i="113"/>
  <c r="BA39" i="60"/>
  <c r="BL84" i="113"/>
  <c r="BO21" i="60"/>
  <c r="BZ57" i="113"/>
  <c r="CA21" i="60" s="1"/>
  <c r="BI39" i="60"/>
  <c r="BT84" i="113"/>
  <c r="BJ39" i="60"/>
  <c r="BU84" i="113"/>
  <c r="BD39" i="60"/>
  <c r="BO84" i="113"/>
  <c r="BD21" i="60"/>
  <c r="BO57" i="113"/>
  <c r="BH39" i="60"/>
  <c r="BS84" i="113"/>
  <c r="Q50" i="113"/>
  <c r="AC55" i="113"/>
  <c r="BK39" i="60"/>
  <c r="BV84" i="113"/>
  <c r="BC39" i="60"/>
  <c r="BN84" i="113"/>
  <c r="BG39" i="60"/>
  <c r="BR84" i="113"/>
  <c r="BF39" i="60"/>
  <c r="BQ84" i="113"/>
  <c r="B210" i="82"/>
  <c r="J209" i="82"/>
  <c r="BE39" i="60"/>
  <c r="BP84" i="113"/>
  <c r="BQ21" i="60"/>
  <c r="CB57" i="113"/>
  <c r="CC21" i="60" s="1"/>
  <c r="BS21" i="60"/>
  <c r="CD57" i="113"/>
  <c r="CE21" i="60" s="1"/>
  <c r="BK21" i="60"/>
  <c r="BV57" i="113"/>
  <c r="BU21" i="60"/>
  <c r="CF57" i="113"/>
  <c r="CG21" i="60" s="1"/>
  <c r="BM21" i="60"/>
  <c r="BX57" i="113"/>
  <c r="BY21" i="60" s="1"/>
  <c r="BN21" i="60"/>
  <c r="BY57" i="113"/>
  <c r="BZ21" i="60" s="1"/>
  <c r="BV21" i="60"/>
  <c r="CG57" i="113"/>
  <c r="CH21" i="60" s="1"/>
  <c r="F50" i="113"/>
  <c r="F51" i="113" s="1"/>
  <c r="F52" i="113" s="1"/>
  <c r="G55" i="113"/>
  <c r="R55" i="113"/>
  <c r="BT21" i="60"/>
  <c r="CE57" i="113"/>
  <c r="CF21" i="60" s="1"/>
  <c r="BB39" i="60"/>
  <c r="BM84" i="113"/>
  <c r="BR21" i="60"/>
  <c r="CC57" i="113"/>
  <c r="CD21" i="60" s="1"/>
  <c r="AP30" i="113"/>
  <c r="AQ12" i="60" s="1"/>
  <c r="AM30" i="113"/>
  <c r="AN12" i="60" s="1"/>
  <c r="AR30" i="113"/>
  <c r="AS12" i="60" s="1"/>
  <c r="AW30" i="113"/>
  <c r="AX12" i="60" s="1"/>
  <c r="AO30" i="113"/>
  <c r="AP12" i="60" s="1"/>
  <c r="AQ30" i="113"/>
  <c r="AR12" i="60" s="1"/>
  <c r="AX30" i="113"/>
  <c r="AY12" i="60" s="1"/>
  <c r="AT30" i="113"/>
  <c r="AU12" i="60" s="1"/>
  <c r="AS30" i="113"/>
  <c r="AT12" i="60" s="1"/>
  <c r="AU30" i="113"/>
  <c r="AV12" i="60" s="1"/>
  <c r="AN30" i="113"/>
  <c r="AO12" i="60" s="1"/>
  <c r="AV30" i="113"/>
  <c r="AW12" i="60" s="1"/>
  <c r="BN48" i="60"/>
  <c r="BP48" i="60"/>
  <c r="AN30" i="60"/>
  <c r="BS30" i="60"/>
  <c r="BP30" i="60"/>
  <c r="BM30" i="60"/>
  <c r="BW30" i="60"/>
  <c r="BN30" i="60"/>
  <c r="BM48" i="60"/>
  <c r="BO30" i="60"/>
  <c r="BW48" i="60"/>
  <c r="BV30" i="60"/>
  <c r="BQ30" i="60"/>
  <c r="BU48" i="60"/>
  <c r="BR48" i="60"/>
  <c r="BT30" i="60"/>
  <c r="BR30" i="60"/>
  <c r="AN48" i="60"/>
  <c r="AI12" i="78" s="1"/>
  <c r="BT48" i="60"/>
  <c r="BS48" i="60"/>
  <c r="BQ48" i="60"/>
  <c r="BU30" i="60"/>
  <c r="BO48" i="60"/>
  <c r="BV48" i="60"/>
  <c r="R25" i="83" l="1"/>
  <c r="O24" i="83"/>
  <c r="J13" i="61"/>
  <c r="P49" i="115"/>
  <c r="P24" i="83"/>
  <c r="AJ14" i="78"/>
  <c r="P31" i="115"/>
  <c r="AI11" i="78"/>
  <c r="P13" i="115"/>
  <c r="R50" i="113"/>
  <c r="AD55" i="113"/>
  <c r="G50" i="113"/>
  <c r="G51" i="113" s="1"/>
  <c r="G52" i="113" s="1"/>
  <c r="S55" i="113"/>
  <c r="H55" i="113"/>
  <c r="BW39" i="60"/>
  <c r="CH84" i="113"/>
  <c r="CI39" i="60" s="1"/>
  <c r="BP39" i="60"/>
  <c r="CA84" i="113"/>
  <c r="CB39" i="60" s="1"/>
  <c r="BU39" i="60"/>
  <c r="CF84" i="113"/>
  <c r="CG39" i="60" s="1"/>
  <c r="BK55" i="113"/>
  <c r="AY50" i="113"/>
  <c r="AZ55" i="113"/>
  <c r="AN50" i="113"/>
  <c r="BN39" i="60"/>
  <c r="BY84" i="113"/>
  <c r="BZ39" i="60" s="1"/>
  <c r="BQ39" i="60"/>
  <c r="CB84" i="113"/>
  <c r="CC39" i="60" s="1"/>
  <c r="BO39" i="60"/>
  <c r="BZ84" i="113"/>
  <c r="CA39" i="60" s="1"/>
  <c r="BT39" i="60"/>
  <c r="CE84" i="113"/>
  <c r="CF39" i="60" s="1"/>
  <c r="BP21" i="60"/>
  <c r="CA57" i="113"/>
  <c r="CB21" i="60" s="1"/>
  <c r="BV39" i="60"/>
  <c r="CG84" i="113"/>
  <c r="CH39" i="60" s="1"/>
  <c r="BM39" i="60"/>
  <c r="BX84" i="113"/>
  <c r="BY39" i="60" s="1"/>
  <c r="BL21" i="60"/>
  <c r="BW57" i="113"/>
  <c r="BW21" i="60"/>
  <c r="CH57" i="113"/>
  <c r="CI21" i="60" s="1"/>
  <c r="B211" i="82"/>
  <c r="J210" i="82"/>
  <c r="BR39" i="60"/>
  <c r="CC84" i="113"/>
  <c r="CD39" i="60" s="1"/>
  <c r="BS39" i="60"/>
  <c r="CD84" i="113"/>
  <c r="CE39" i="60" s="1"/>
  <c r="AO55" i="113"/>
  <c r="AC50" i="113"/>
  <c r="BL39" i="60"/>
  <c r="BW84" i="113"/>
  <c r="BG30" i="113"/>
  <c r="BH12" i="60" s="1"/>
  <c r="BC30" i="113"/>
  <c r="BD12" i="60" s="1"/>
  <c r="AY30" i="113"/>
  <c r="AZ12" i="60" s="1"/>
  <c r="BH30" i="113"/>
  <c r="BI12" i="60" s="1"/>
  <c r="BF30" i="113"/>
  <c r="BG12" i="60" s="1"/>
  <c r="BI30" i="113"/>
  <c r="BJ12" i="60" s="1"/>
  <c r="AZ30" i="113"/>
  <c r="BA12" i="60" s="1"/>
  <c r="BE30" i="113"/>
  <c r="BF12" i="60" s="1"/>
  <c r="BJ30" i="113"/>
  <c r="BK12" i="60" s="1"/>
  <c r="BA30" i="113"/>
  <c r="BB12" i="60" s="1"/>
  <c r="BD30" i="113"/>
  <c r="BE12" i="60" s="1"/>
  <c r="BB30" i="113"/>
  <c r="BC12" i="60" s="1"/>
  <c r="AF12" i="78"/>
  <c r="AF14" i="78"/>
  <c r="CF48" i="60"/>
  <c r="CA30" i="60"/>
  <c r="BY48" i="60"/>
  <c r="CE30" i="60"/>
  <c r="BZ48" i="60"/>
  <c r="CC48" i="60"/>
  <c r="CG48" i="60"/>
  <c r="CI48" i="60"/>
  <c r="CI30" i="60"/>
  <c r="BY30" i="60"/>
  <c r="CB30" i="60"/>
  <c r="CH48" i="60"/>
  <c r="AZ48" i="60"/>
  <c r="P25" i="83" s="1"/>
  <c r="CD30" i="60"/>
  <c r="CH30" i="60"/>
  <c r="BZ30" i="60"/>
  <c r="CA48" i="60"/>
  <c r="CG30" i="60"/>
  <c r="CE48" i="60"/>
  <c r="CF30" i="60"/>
  <c r="CD48" i="60"/>
  <c r="CC30" i="60"/>
  <c r="AZ30" i="60"/>
  <c r="CB48" i="60"/>
  <c r="AK14" i="78" l="1"/>
  <c r="O25" i="83"/>
  <c r="AJ12" i="78"/>
  <c r="AJ11" i="78"/>
  <c r="R26" i="83"/>
  <c r="AE55" i="113"/>
  <c r="S50" i="113"/>
  <c r="BX21" i="60"/>
  <c r="BW55" i="113"/>
  <c r="BW50" i="113" s="1"/>
  <c r="BK50" i="113"/>
  <c r="BX39" i="60"/>
  <c r="AL14" i="78" s="1"/>
  <c r="BA55" i="113"/>
  <c r="AO50" i="113"/>
  <c r="B212" i="82"/>
  <c r="J211" i="82"/>
  <c r="BL55" i="113"/>
  <c r="AZ50" i="113"/>
  <c r="I55" i="113"/>
  <c r="T55" i="113"/>
  <c r="H50" i="113"/>
  <c r="H51" i="113" s="1"/>
  <c r="H52" i="113" s="1"/>
  <c r="AP55" i="113"/>
  <c r="AD50" i="113"/>
  <c r="BM30" i="113"/>
  <c r="BN12" i="60" s="1"/>
  <c r="BU30" i="113"/>
  <c r="BV12" i="60" s="1"/>
  <c r="BT30" i="113"/>
  <c r="BU12" i="60" s="1"/>
  <c r="BN30" i="113"/>
  <c r="BO12" i="60" s="1"/>
  <c r="BQ30" i="113"/>
  <c r="BR12" i="60" s="1"/>
  <c r="BO30" i="113"/>
  <c r="BP12" i="60" s="1"/>
  <c r="BP30" i="113"/>
  <c r="BQ12" i="60" s="1"/>
  <c r="BV30" i="113"/>
  <c r="BW12" i="60" s="1"/>
  <c r="BL30" i="113"/>
  <c r="BM12" i="60" s="1"/>
  <c r="BR30" i="113"/>
  <c r="BS12" i="60" s="1"/>
  <c r="BK30" i="113"/>
  <c r="BL12" i="60" s="1"/>
  <c r="BS30" i="113"/>
  <c r="BT12" i="60" s="1"/>
  <c r="AF11" i="78"/>
  <c r="P22" i="65"/>
  <c r="BL30" i="60"/>
  <c r="BL48" i="60"/>
  <c r="P26" i="83" s="1"/>
  <c r="P40" i="65"/>
  <c r="P31" i="65"/>
  <c r="D28" i="61" s="1"/>
  <c r="P49" i="65"/>
  <c r="O26" i="83" l="1"/>
  <c r="D21" i="61"/>
  <c r="F28" i="61"/>
  <c r="D34" i="61"/>
  <c r="AK12" i="78"/>
  <c r="AK11" i="78"/>
  <c r="R27" i="83"/>
  <c r="BX55" i="113"/>
  <c r="BX50" i="113" s="1"/>
  <c r="BL50" i="113"/>
  <c r="BM55" i="113"/>
  <c r="BA50" i="113"/>
  <c r="BB55" i="113"/>
  <c r="AP50" i="113"/>
  <c r="AQ55" i="113"/>
  <c r="AE50" i="113"/>
  <c r="AF55" i="113"/>
  <c r="T50" i="113"/>
  <c r="J55" i="113"/>
  <c r="U55" i="113"/>
  <c r="I50" i="113"/>
  <c r="I51" i="113" s="1"/>
  <c r="I52" i="113" s="1"/>
  <c r="B213" i="82"/>
  <c r="J212" i="82"/>
  <c r="CD30" i="113"/>
  <c r="CE12" i="60" s="1"/>
  <c r="CA30" i="113"/>
  <c r="CB12" i="60" s="1"/>
  <c r="CG30" i="113"/>
  <c r="CH12" i="60" s="1"/>
  <c r="BX30" i="113"/>
  <c r="BY12" i="60" s="1"/>
  <c r="CE30" i="113"/>
  <c r="CF12" i="60" s="1"/>
  <c r="CH30" i="113"/>
  <c r="CI12" i="60" s="1"/>
  <c r="BZ30" i="113"/>
  <c r="CA12" i="60" s="1"/>
  <c r="BW30" i="113"/>
  <c r="BX12" i="60" s="1"/>
  <c r="CB30" i="113"/>
  <c r="CC12" i="60" s="1"/>
  <c r="CC30" i="113"/>
  <c r="CD12" i="60" s="1"/>
  <c r="CF30" i="113"/>
  <c r="CG12" i="60" s="1"/>
  <c r="BY30" i="113"/>
  <c r="BZ12" i="60" s="1"/>
  <c r="G82" i="44"/>
  <c r="L82" i="44" s="1"/>
  <c r="Q22" i="65"/>
  <c r="C40" i="44" s="1"/>
  <c r="S83" i="44"/>
  <c r="U83" i="44" s="1"/>
  <c r="P13" i="65"/>
  <c r="D13" i="61" s="1"/>
  <c r="Q49" i="65"/>
  <c r="G83" i="44"/>
  <c r="S86" i="44"/>
  <c r="U86" i="44" s="1"/>
  <c r="O5" i="81"/>
  <c r="Q31" i="65"/>
  <c r="S84" i="44"/>
  <c r="U84" i="44" s="1"/>
  <c r="G85" i="44"/>
  <c r="S85" i="44"/>
  <c r="U85" i="44" s="1"/>
  <c r="Q40" i="65"/>
  <c r="G88" i="44"/>
  <c r="L84" i="44" s="1"/>
  <c r="BX30" i="60"/>
  <c r="BX48" i="60"/>
  <c r="AL12" i="78" s="1"/>
  <c r="O27" i="83" l="1"/>
  <c r="AL11" i="78"/>
  <c r="P27" i="83"/>
  <c r="Q13" i="65"/>
  <c r="J15" i="76"/>
  <c r="B214" i="82"/>
  <c r="J213" i="82"/>
  <c r="AR55" i="113"/>
  <c r="AF50" i="113"/>
  <c r="BN55" i="113"/>
  <c r="BB50" i="113"/>
  <c r="K55" i="113"/>
  <c r="J50" i="113"/>
  <c r="J51" i="113" s="1"/>
  <c r="J52" i="113" s="1"/>
  <c r="V55" i="113"/>
  <c r="U50" i="113"/>
  <c r="AG55" i="113"/>
  <c r="BC55" i="113"/>
  <c r="AQ50" i="113"/>
  <c r="BY55" i="113"/>
  <c r="BY50" i="113" s="1"/>
  <c r="BM50" i="113"/>
  <c r="G81" i="44"/>
  <c r="L81" i="44" s="1"/>
  <c r="S82" i="44"/>
  <c r="U82" i="44" s="1"/>
  <c r="U89" i="44" s="1"/>
  <c r="G84" i="44"/>
  <c r="G96" i="44" s="1"/>
  <c r="C42" i="44"/>
  <c r="C41" i="44"/>
  <c r="L83" i="44"/>
  <c r="P15" i="76" l="1"/>
  <c r="J15" i="91"/>
  <c r="C39" i="44"/>
  <c r="BO55" i="113"/>
  <c r="BC50" i="113"/>
  <c r="B215" i="82"/>
  <c r="J214" i="82"/>
  <c r="AH55" i="113"/>
  <c r="V50" i="113"/>
  <c r="BD55" i="113"/>
  <c r="AR50" i="113"/>
  <c r="BZ55" i="113"/>
  <c r="BZ50" i="113" s="1"/>
  <c r="BN50" i="113"/>
  <c r="AS55" i="113"/>
  <c r="AG50" i="113"/>
  <c r="W55" i="113"/>
  <c r="L55" i="113"/>
  <c r="K50" i="113"/>
  <c r="K51" i="113" s="1"/>
  <c r="K52" i="113" s="1"/>
  <c r="G94" i="44"/>
  <c r="Q15" i="91" l="1"/>
  <c r="AI55" i="113"/>
  <c r="W50" i="113"/>
  <c r="BE55" i="113"/>
  <c r="AS50" i="113"/>
  <c r="BP55" i="113"/>
  <c r="BD50" i="113"/>
  <c r="X55" i="113"/>
  <c r="L50" i="113"/>
  <c r="L51" i="113" s="1"/>
  <c r="L52" i="113" s="1"/>
  <c r="M55" i="113"/>
  <c r="AT55" i="113"/>
  <c r="AH50" i="113"/>
  <c r="B216" i="82"/>
  <c r="J215" i="82"/>
  <c r="CA55" i="113"/>
  <c r="CA50" i="113" s="1"/>
  <c r="BO50" i="113"/>
  <c r="X50" i="113" l="1"/>
  <c r="AJ55" i="113"/>
  <c r="CB55" i="113"/>
  <c r="CB50" i="113" s="1"/>
  <c r="BP50" i="113"/>
  <c r="AU55" i="113"/>
  <c r="AI50" i="113"/>
  <c r="BF55" i="113"/>
  <c r="AT50" i="113"/>
  <c r="Y55" i="113"/>
  <c r="N55" i="113"/>
  <c r="M50" i="113"/>
  <c r="M51" i="113" s="1"/>
  <c r="M52" i="113" s="1"/>
  <c r="BQ55" i="113"/>
  <c r="BE50" i="113"/>
  <c r="B217" i="82"/>
  <c r="J216" i="82"/>
  <c r="B218" i="82" l="1"/>
  <c r="J217" i="82"/>
  <c r="CC55" i="113"/>
  <c r="CC50" i="113" s="1"/>
  <c r="BQ50" i="113"/>
  <c r="Z55" i="113"/>
  <c r="N50" i="113"/>
  <c r="N51" i="113" s="1"/>
  <c r="N52" i="113" s="1"/>
  <c r="AV55" i="113"/>
  <c r="AJ50" i="113"/>
  <c r="Y50" i="113"/>
  <c r="AK55" i="113"/>
  <c r="BR55" i="113"/>
  <c r="BF50" i="113"/>
  <c r="BG55" i="113"/>
  <c r="AU50" i="113"/>
  <c r="CD55" i="113" l="1"/>
  <c r="CD50" i="113" s="1"/>
  <c r="BR50" i="113"/>
  <c r="AL55" i="113"/>
  <c r="Z50" i="113"/>
  <c r="B219" i="82"/>
  <c r="J218" i="82"/>
  <c r="AW55" i="113"/>
  <c r="AK50" i="113"/>
  <c r="BS55" i="113"/>
  <c r="BG50" i="113"/>
  <c r="BH55" i="113"/>
  <c r="AV50" i="113"/>
  <c r="BT55" i="113" l="1"/>
  <c r="BH50" i="113"/>
  <c r="CE55" i="113"/>
  <c r="CE50" i="113" s="1"/>
  <c r="BS50" i="113"/>
  <c r="BI55" i="113"/>
  <c r="AW50" i="113"/>
  <c r="AX55" i="113"/>
  <c r="AL50" i="113"/>
  <c r="B220" i="82"/>
  <c r="J219" i="82"/>
  <c r="B221" i="82" l="1"/>
  <c r="J220" i="82"/>
  <c r="BJ55" i="113"/>
  <c r="AX50" i="113"/>
  <c r="BU55" i="113"/>
  <c r="BI50" i="113"/>
  <c r="CF55" i="113"/>
  <c r="CF50" i="113" s="1"/>
  <c r="BT50" i="113"/>
  <c r="CG55" i="113" l="1"/>
  <c r="CG50" i="113" s="1"/>
  <c r="BU50" i="113"/>
  <c r="B222" i="82"/>
  <c r="J221" i="82"/>
  <c r="BV55" i="113"/>
  <c r="BJ50" i="113"/>
  <c r="B223" i="82" l="1"/>
  <c r="J222" i="82"/>
  <c r="CH55" i="113"/>
  <c r="CH50" i="113" s="1"/>
  <c r="BV50" i="113"/>
  <c r="B224" i="82" l="1"/>
  <c r="J223" i="82"/>
  <c r="B225" i="82" l="1"/>
  <c r="J224" i="82"/>
  <c r="B226" i="82" l="1"/>
  <c r="J225" i="82"/>
  <c r="B227" i="82" l="1"/>
  <c r="J226" i="82"/>
  <c r="B228" i="82" l="1"/>
  <c r="J227" i="82"/>
  <c r="B229" i="82" l="1"/>
  <c r="J228" i="82"/>
  <c r="B230" i="82" l="1"/>
  <c r="J229" i="82"/>
  <c r="B231" i="82" l="1"/>
  <c r="J230" i="82"/>
  <c r="B232" i="82" l="1"/>
  <c r="J231" i="82"/>
  <c r="B233" i="82" l="1"/>
  <c r="J232" i="82"/>
  <c r="B234" i="82" l="1"/>
  <c r="J233" i="82"/>
  <c r="B235" i="82" l="1"/>
  <c r="J234" i="82"/>
  <c r="B236" i="82" l="1"/>
  <c r="J235" i="82"/>
  <c r="B237" i="82" l="1"/>
  <c r="J236" i="82"/>
  <c r="B238" i="82" l="1"/>
  <c r="J237" i="82"/>
  <c r="B239" i="82" l="1"/>
  <c r="J238" i="82"/>
  <c r="B240" i="82" l="1"/>
  <c r="J239" i="82"/>
  <c r="B241" i="82" l="1"/>
  <c r="J240" i="82"/>
  <c r="B242" i="82" l="1"/>
  <c r="J241" i="82"/>
  <c r="B243" i="82" l="1"/>
  <c r="J242" i="82"/>
  <c r="B244" i="82" l="1"/>
  <c r="J243" i="82"/>
  <c r="B245" i="82" l="1"/>
  <c r="J244" i="82"/>
  <c r="B246" i="82" l="1"/>
  <c r="J245" i="82"/>
  <c r="B247" i="82" l="1"/>
  <c r="J246" i="82"/>
  <c r="B248" i="82" l="1"/>
  <c r="J247" i="82"/>
  <c r="B249" i="82" l="1"/>
  <c r="J248" i="82"/>
  <c r="B250" i="82" l="1"/>
  <c r="J249" i="82"/>
  <c r="B251" i="82" l="1"/>
  <c r="J250" i="82"/>
  <c r="B252" i="82" l="1"/>
  <c r="J251" i="82"/>
  <c r="B253" i="82" l="1"/>
  <c r="J252" i="82"/>
  <c r="B254" i="82" l="1"/>
  <c r="J253" i="82"/>
  <c r="B255" i="82" l="1"/>
  <c r="J254" i="82"/>
  <c r="B256" i="82" l="1"/>
  <c r="J255" i="82"/>
  <c r="B257" i="82" l="1"/>
  <c r="J256" i="82"/>
  <c r="B258" i="82" l="1"/>
  <c r="J257" i="82"/>
  <c r="B259" i="82" l="1"/>
  <c r="J258" i="82"/>
  <c r="B260" i="82" l="1"/>
  <c r="J259" i="82"/>
  <c r="B261" i="82" l="1"/>
  <c r="J260" i="82"/>
  <c r="B262" i="82" l="1"/>
  <c r="J261" i="82"/>
  <c r="B263" i="82" l="1"/>
  <c r="J262" i="82"/>
  <c r="B264" i="82" l="1"/>
  <c r="J263" i="82"/>
  <c r="B265" i="82" l="1"/>
  <c r="J264" i="82"/>
  <c r="B266" i="82" l="1"/>
  <c r="J265" i="82"/>
  <c r="B267" i="82" l="1"/>
  <c r="J266" i="82"/>
  <c r="B268" i="82" l="1"/>
  <c r="J267" i="82"/>
  <c r="B269" i="82" l="1"/>
  <c r="J268" i="82"/>
  <c r="B270" i="82" l="1"/>
  <c r="J269" i="82"/>
  <c r="B271" i="82" l="1"/>
  <c r="J270" i="82"/>
  <c r="B272" i="82" l="1"/>
  <c r="J271" i="82"/>
  <c r="B273" i="82" l="1"/>
  <c r="J272" i="82"/>
  <c r="B274" i="82" l="1"/>
  <c r="J273" i="82"/>
  <c r="B275" i="82" l="1"/>
  <c r="J274" i="82"/>
  <c r="B276" i="82" l="1"/>
  <c r="J275" i="82"/>
  <c r="B277" i="82" l="1"/>
  <c r="J276" i="82"/>
  <c r="B278" i="82" l="1"/>
  <c r="J277" i="82"/>
  <c r="B279" i="82" l="1"/>
  <c r="J278" i="82"/>
  <c r="B280" i="82" l="1"/>
  <c r="J279" i="82"/>
  <c r="B281" i="82" l="1"/>
  <c r="J280" i="82"/>
  <c r="B282" i="82" l="1"/>
  <c r="J281" i="82"/>
  <c r="B283" i="82" l="1"/>
  <c r="J282" i="82"/>
  <c r="B284" i="82" l="1"/>
  <c r="J283" i="82"/>
  <c r="B285" i="82" l="1"/>
  <c r="J284" i="82"/>
  <c r="B286" i="82" l="1"/>
  <c r="J285" i="82"/>
  <c r="B287" i="82" l="1"/>
  <c r="J286" i="82"/>
  <c r="B288" i="82" l="1"/>
  <c r="J287" i="82"/>
  <c r="B289" i="82" l="1"/>
  <c r="J288" i="82"/>
  <c r="B290" i="82" l="1"/>
  <c r="J289" i="82"/>
  <c r="B291" i="82" l="1"/>
  <c r="J290" i="82"/>
  <c r="B292" i="82" l="1"/>
  <c r="J291" i="82"/>
  <c r="B293" i="82" l="1"/>
  <c r="J292" i="82"/>
  <c r="B294" i="82" l="1"/>
  <c r="J293" i="82"/>
  <c r="B295" i="82" l="1"/>
  <c r="J294" i="82"/>
  <c r="B296" i="82" l="1"/>
  <c r="J295" i="82"/>
  <c r="B297" i="82" l="1"/>
  <c r="J296" i="82"/>
  <c r="B298" i="82" l="1"/>
  <c r="J297" i="82"/>
  <c r="B299" i="82" l="1"/>
  <c r="J298" i="82"/>
  <c r="B300" i="82" l="1"/>
  <c r="J299" i="82"/>
  <c r="B301" i="82" l="1"/>
  <c r="J300" i="82"/>
  <c r="B302" i="82" l="1"/>
  <c r="J301" i="82"/>
  <c r="B303" i="82" l="1"/>
  <c r="J302" i="82"/>
  <c r="B304" i="82" l="1"/>
  <c r="J303" i="82"/>
  <c r="B305" i="82" l="1"/>
  <c r="J304" i="82"/>
  <c r="B306" i="82" l="1"/>
  <c r="J305" i="82"/>
  <c r="B307" i="82" l="1"/>
  <c r="J306" i="82"/>
  <c r="Q13" i="64"/>
  <c r="AC13" i="64" s="1"/>
  <c r="AO13" i="64" s="1"/>
  <c r="BA13" i="64" s="1"/>
  <c r="BM13" i="64" s="1"/>
  <c r="BY13" i="64" s="1"/>
  <c r="S13" i="64"/>
  <c r="AE13" i="64" s="1"/>
  <c r="AQ13" i="64" s="1"/>
  <c r="BC13" i="64" s="1"/>
  <c r="BO13" i="64" s="1"/>
  <c r="CA13" i="64" s="1"/>
  <c r="U13" i="64"/>
  <c r="AG13" i="64" s="1"/>
  <c r="AS13" i="64" s="1"/>
  <c r="BE13" i="64" s="1"/>
  <c r="BQ13" i="64" s="1"/>
  <c r="CC13" i="64" s="1"/>
  <c r="W13" i="64"/>
  <c r="AI13" i="64" s="1"/>
  <c r="AU13" i="64" s="1"/>
  <c r="BG13" i="64" s="1"/>
  <c r="BS13" i="64" s="1"/>
  <c r="CE13" i="64" s="1"/>
  <c r="Y13" i="64"/>
  <c r="AK13" i="64" s="1"/>
  <c r="AW13" i="64" s="1"/>
  <c r="BI13" i="64" s="1"/>
  <c r="BU13" i="64" s="1"/>
  <c r="CG13" i="64" s="1"/>
  <c r="AA13" i="64"/>
  <c r="AM13" i="64" s="1"/>
  <c r="Q19" i="64"/>
  <c r="AC19" i="64" s="1"/>
  <c r="AO19" i="64" s="1"/>
  <c r="BA19" i="64" s="1"/>
  <c r="BM19" i="64" s="1"/>
  <c r="BY19" i="64" s="1"/>
  <c r="S19" i="64"/>
  <c r="AE19" i="64" s="1"/>
  <c r="AQ19" i="64" s="1"/>
  <c r="BC19" i="64" s="1"/>
  <c r="BO19" i="64" s="1"/>
  <c r="CA19" i="64" s="1"/>
  <c r="U19" i="64"/>
  <c r="AG19" i="64" s="1"/>
  <c r="AS19" i="64" s="1"/>
  <c r="BE19" i="64" s="1"/>
  <c r="BQ19" i="64" s="1"/>
  <c r="CC19" i="64" s="1"/>
  <c r="W19" i="64"/>
  <c r="AI19" i="64" s="1"/>
  <c r="AU19" i="64" s="1"/>
  <c r="BG19" i="64" s="1"/>
  <c r="BS19" i="64" s="1"/>
  <c r="CE19" i="64" s="1"/>
  <c r="Y19" i="64"/>
  <c r="AK19" i="64" s="1"/>
  <c r="AW19" i="64" s="1"/>
  <c r="BI19" i="64" s="1"/>
  <c r="BU19" i="64" s="1"/>
  <c r="CG19" i="64" s="1"/>
  <c r="AA19" i="64"/>
  <c r="AM19" i="64" s="1"/>
  <c r="AY19" i="64" s="1"/>
  <c r="BK19" i="64" s="1"/>
  <c r="BW19" i="64" s="1"/>
  <c r="CI19" i="64" s="1"/>
  <c r="Q25" i="64"/>
  <c r="AC25" i="64" s="1"/>
  <c r="AO25" i="64" s="1"/>
  <c r="BA25" i="64" s="1"/>
  <c r="BM25" i="64" s="1"/>
  <c r="BY25" i="64" s="1"/>
  <c r="S25" i="64"/>
  <c r="AE25" i="64" s="1"/>
  <c r="AQ25" i="64" s="1"/>
  <c r="BC25" i="64" s="1"/>
  <c r="BO25" i="64" s="1"/>
  <c r="CA25" i="64" s="1"/>
  <c r="U25" i="64"/>
  <c r="AG25" i="64" s="1"/>
  <c r="AS25" i="64" s="1"/>
  <c r="BE25" i="64" s="1"/>
  <c r="BQ25" i="64" s="1"/>
  <c r="CC25" i="64" s="1"/>
  <c r="W25" i="64"/>
  <c r="AI25" i="64" s="1"/>
  <c r="AU25" i="64" s="1"/>
  <c r="BG25" i="64" s="1"/>
  <c r="BS25" i="64" s="1"/>
  <c r="CE25" i="64" s="1"/>
  <c r="Y25" i="64"/>
  <c r="AK25" i="64" s="1"/>
  <c r="AW25" i="64" s="1"/>
  <c r="BI25" i="64" s="1"/>
  <c r="BU25" i="64" s="1"/>
  <c r="CG25" i="64" s="1"/>
  <c r="AA25" i="64"/>
  <c r="AM25" i="64" s="1"/>
  <c r="AY25" i="64" s="1"/>
  <c r="BK25" i="64" s="1"/>
  <c r="Q31" i="64"/>
  <c r="AC31" i="64" s="1"/>
  <c r="AO31" i="64" s="1"/>
  <c r="BA31" i="64" s="1"/>
  <c r="BM31" i="64" s="1"/>
  <c r="BY31" i="64" s="1"/>
  <c r="S31" i="64"/>
  <c r="AE31" i="64" s="1"/>
  <c r="AQ31" i="64" s="1"/>
  <c r="BC31" i="64" s="1"/>
  <c r="BO31" i="64" s="1"/>
  <c r="CA31" i="64" s="1"/>
  <c r="U31" i="64"/>
  <c r="AG31" i="64" s="1"/>
  <c r="AS31" i="64" s="1"/>
  <c r="BE31" i="64" s="1"/>
  <c r="BQ31" i="64" s="1"/>
  <c r="CC31" i="64" s="1"/>
  <c r="W31" i="64"/>
  <c r="AI31" i="64" s="1"/>
  <c r="AU31" i="64" s="1"/>
  <c r="BG31" i="64" s="1"/>
  <c r="BS31" i="64" s="1"/>
  <c r="CE31" i="64" s="1"/>
  <c r="Y31" i="64"/>
  <c r="AK31" i="64" s="1"/>
  <c r="AW31" i="64" s="1"/>
  <c r="BI31" i="64" s="1"/>
  <c r="BU31" i="64" s="1"/>
  <c r="CG31" i="64" s="1"/>
  <c r="AA31" i="64"/>
  <c r="AM31" i="64" s="1"/>
  <c r="AY31" i="64" s="1"/>
  <c r="BK31" i="64" s="1"/>
  <c r="BW31" i="64" s="1"/>
  <c r="CI31" i="64" s="1"/>
  <c r="Q37" i="64"/>
  <c r="AC37" i="64" s="1"/>
  <c r="AO37" i="64" s="1"/>
  <c r="BA37" i="64" s="1"/>
  <c r="BM37" i="64" s="1"/>
  <c r="BY37" i="64" s="1"/>
  <c r="S37" i="64"/>
  <c r="AE37" i="64" s="1"/>
  <c r="AQ37" i="64" s="1"/>
  <c r="BC37" i="64" s="1"/>
  <c r="BO37" i="64" s="1"/>
  <c r="CA37" i="64" s="1"/>
  <c r="U37" i="64"/>
  <c r="AG37" i="64" s="1"/>
  <c r="AS37" i="64" s="1"/>
  <c r="BE37" i="64" s="1"/>
  <c r="BQ37" i="64" s="1"/>
  <c r="CC37" i="64" s="1"/>
  <c r="W37" i="64"/>
  <c r="AI37" i="64" s="1"/>
  <c r="AU37" i="64" s="1"/>
  <c r="BG37" i="64" s="1"/>
  <c r="BS37" i="64" s="1"/>
  <c r="CE37" i="64" s="1"/>
  <c r="Y37" i="64"/>
  <c r="AK37" i="64" s="1"/>
  <c r="AW37" i="64" s="1"/>
  <c r="BI37" i="64" s="1"/>
  <c r="BU37" i="64" s="1"/>
  <c r="CG37" i="64" s="1"/>
  <c r="AA37" i="64"/>
  <c r="AM37" i="64" s="1"/>
  <c r="AY37" i="64" s="1"/>
  <c r="BK37" i="64" s="1"/>
  <c r="BW37" i="64" s="1"/>
  <c r="CI37" i="64" s="1"/>
  <c r="Q43" i="64"/>
  <c r="AC43" i="64" s="1"/>
  <c r="AO43" i="64" s="1"/>
  <c r="BA43" i="64" s="1"/>
  <c r="BM43" i="64" s="1"/>
  <c r="BY43" i="64" s="1"/>
  <c r="S43" i="64"/>
  <c r="AE43" i="64" s="1"/>
  <c r="AQ43" i="64" s="1"/>
  <c r="BC43" i="64" s="1"/>
  <c r="BO43" i="64" s="1"/>
  <c r="CA43" i="64" s="1"/>
  <c r="U43" i="64"/>
  <c r="AG43" i="64" s="1"/>
  <c r="AS43" i="64" s="1"/>
  <c r="BE43" i="64" s="1"/>
  <c r="BQ43" i="64" s="1"/>
  <c r="CC43" i="64" s="1"/>
  <c r="W43" i="64"/>
  <c r="AI43" i="64" s="1"/>
  <c r="AU43" i="64" s="1"/>
  <c r="BG43" i="64" s="1"/>
  <c r="BS43" i="64" s="1"/>
  <c r="CE43" i="64" s="1"/>
  <c r="Y43" i="64"/>
  <c r="AK43" i="64" s="1"/>
  <c r="AW43" i="64" s="1"/>
  <c r="BI43" i="64" s="1"/>
  <c r="BU43" i="64" s="1"/>
  <c r="CG43" i="64" s="1"/>
  <c r="AA43" i="64"/>
  <c r="AM43" i="64" s="1"/>
  <c r="AY43" i="64" s="1"/>
  <c r="BK43" i="64" s="1"/>
  <c r="BW43" i="64" s="1"/>
  <c r="CI43" i="64" s="1"/>
  <c r="R13" i="64"/>
  <c r="AD13" i="64" s="1"/>
  <c r="AP13" i="64" s="1"/>
  <c r="BB13" i="64" s="1"/>
  <c r="BN13" i="64" s="1"/>
  <c r="BZ13" i="64" s="1"/>
  <c r="V13" i="64"/>
  <c r="AH13" i="64" s="1"/>
  <c r="AT13" i="64" s="1"/>
  <c r="BF13" i="64" s="1"/>
  <c r="BR13" i="64" s="1"/>
  <c r="CD13" i="64" s="1"/>
  <c r="Z13" i="64"/>
  <c r="AL13" i="64" s="1"/>
  <c r="AX13" i="64" s="1"/>
  <c r="BJ13" i="64" s="1"/>
  <c r="BV13" i="64" s="1"/>
  <c r="CH13" i="64" s="1"/>
  <c r="R19" i="64"/>
  <c r="AD19" i="64" s="1"/>
  <c r="AP19" i="64" s="1"/>
  <c r="BB19" i="64" s="1"/>
  <c r="BN19" i="64" s="1"/>
  <c r="BZ19" i="64" s="1"/>
  <c r="V19" i="64"/>
  <c r="AH19" i="64" s="1"/>
  <c r="AT19" i="64" s="1"/>
  <c r="BF19" i="64" s="1"/>
  <c r="BR19" i="64" s="1"/>
  <c r="CD19" i="64" s="1"/>
  <c r="Z19" i="64"/>
  <c r="AL19" i="64" s="1"/>
  <c r="AX19" i="64" s="1"/>
  <c r="BJ19" i="64" s="1"/>
  <c r="BV19" i="64" s="1"/>
  <c r="CH19" i="64" s="1"/>
  <c r="R25" i="64"/>
  <c r="AD25" i="64" s="1"/>
  <c r="AP25" i="64" s="1"/>
  <c r="BB25" i="64" s="1"/>
  <c r="BN25" i="64" s="1"/>
  <c r="BZ25" i="64" s="1"/>
  <c r="V25" i="64"/>
  <c r="AH25" i="64" s="1"/>
  <c r="AT25" i="64" s="1"/>
  <c r="BF25" i="64" s="1"/>
  <c r="BR25" i="64" s="1"/>
  <c r="CD25" i="64" s="1"/>
  <c r="Z25" i="64"/>
  <c r="AL25" i="64" s="1"/>
  <c r="AX25" i="64" s="1"/>
  <c r="BJ25" i="64" s="1"/>
  <c r="BV25" i="64" s="1"/>
  <c r="CH25" i="64" s="1"/>
  <c r="R31" i="64"/>
  <c r="AD31" i="64" s="1"/>
  <c r="AP31" i="64" s="1"/>
  <c r="BB31" i="64" s="1"/>
  <c r="BN31" i="64" s="1"/>
  <c r="BZ31" i="64" s="1"/>
  <c r="V31" i="64"/>
  <c r="AH31" i="64" s="1"/>
  <c r="AT31" i="64" s="1"/>
  <c r="BF31" i="64" s="1"/>
  <c r="BR31" i="64" s="1"/>
  <c r="CD31" i="64" s="1"/>
  <c r="Z31" i="64"/>
  <c r="AL31" i="64" s="1"/>
  <c r="AX31" i="64" s="1"/>
  <c r="BJ31" i="64" s="1"/>
  <c r="BV31" i="64" s="1"/>
  <c r="CH31" i="64" s="1"/>
  <c r="R37" i="64"/>
  <c r="AD37" i="64" s="1"/>
  <c r="AP37" i="64" s="1"/>
  <c r="BB37" i="64" s="1"/>
  <c r="BN37" i="64" s="1"/>
  <c r="BZ37" i="64" s="1"/>
  <c r="V37" i="64"/>
  <c r="AH37" i="64" s="1"/>
  <c r="AT37" i="64" s="1"/>
  <c r="BF37" i="64" s="1"/>
  <c r="BR37" i="64" s="1"/>
  <c r="CD37" i="64" s="1"/>
  <c r="Z37" i="64"/>
  <c r="AL37" i="64" s="1"/>
  <c r="AX37" i="64" s="1"/>
  <c r="BJ37" i="64" s="1"/>
  <c r="BV37" i="64" s="1"/>
  <c r="CH37" i="64" s="1"/>
  <c r="R43" i="64"/>
  <c r="AD43" i="64" s="1"/>
  <c r="AP43" i="64" s="1"/>
  <c r="BB43" i="64" s="1"/>
  <c r="BN43" i="64" s="1"/>
  <c r="BZ43" i="64" s="1"/>
  <c r="V43" i="64"/>
  <c r="AH43" i="64" s="1"/>
  <c r="AT43" i="64" s="1"/>
  <c r="BF43" i="64" s="1"/>
  <c r="BR43" i="64" s="1"/>
  <c r="CD43" i="64" s="1"/>
  <c r="Z43" i="64"/>
  <c r="AL43" i="64" s="1"/>
  <c r="AX43" i="64" s="1"/>
  <c r="BJ43" i="64" s="1"/>
  <c r="BV43" i="64" s="1"/>
  <c r="CH43" i="64" s="1"/>
  <c r="R50" i="64"/>
  <c r="AD50" i="64" s="1"/>
  <c r="AP50" i="64" s="1"/>
  <c r="BB50" i="64" s="1"/>
  <c r="BN50" i="64" s="1"/>
  <c r="BZ50" i="64" s="1"/>
  <c r="T50" i="64"/>
  <c r="AF50" i="64" s="1"/>
  <c r="AR50" i="64" s="1"/>
  <c r="BD50" i="64" s="1"/>
  <c r="BP50" i="64" s="1"/>
  <c r="CB50" i="64" s="1"/>
  <c r="V50" i="64"/>
  <c r="AH50" i="64" s="1"/>
  <c r="AT50" i="64" s="1"/>
  <c r="BF50" i="64" s="1"/>
  <c r="BR50" i="64" s="1"/>
  <c r="CD50" i="64" s="1"/>
  <c r="X50" i="64"/>
  <c r="AJ50" i="64" s="1"/>
  <c r="AV50" i="64" s="1"/>
  <c r="BH50" i="64" s="1"/>
  <c r="BT50" i="64" s="1"/>
  <c r="CF50" i="64" s="1"/>
  <c r="Z50" i="64"/>
  <c r="AL50" i="64" s="1"/>
  <c r="AX50" i="64" s="1"/>
  <c r="BJ50" i="64" s="1"/>
  <c r="BV50" i="64" s="1"/>
  <c r="CH50" i="64" s="1"/>
  <c r="T13" i="64"/>
  <c r="AF13" i="64" s="1"/>
  <c r="AR13" i="64" s="1"/>
  <c r="BD13" i="64" s="1"/>
  <c r="BP13" i="64" s="1"/>
  <c r="CB13" i="64" s="1"/>
  <c r="X13" i="64"/>
  <c r="AJ13" i="64" s="1"/>
  <c r="AV13" i="64" s="1"/>
  <c r="BH13" i="64" s="1"/>
  <c r="BT13" i="64" s="1"/>
  <c r="CF13" i="64" s="1"/>
  <c r="T19" i="64"/>
  <c r="AF19" i="64" s="1"/>
  <c r="AR19" i="64" s="1"/>
  <c r="BD19" i="64" s="1"/>
  <c r="BP19" i="64" s="1"/>
  <c r="CB19" i="64" s="1"/>
  <c r="X19" i="64"/>
  <c r="AJ19" i="64" s="1"/>
  <c r="AV19" i="64" s="1"/>
  <c r="BH19" i="64" s="1"/>
  <c r="BT19" i="64" s="1"/>
  <c r="CF19" i="64" s="1"/>
  <c r="T25" i="64"/>
  <c r="AF25" i="64" s="1"/>
  <c r="AR25" i="64" s="1"/>
  <c r="BD25" i="64" s="1"/>
  <c r="BP25" i="64" s="1"/>
  <c r="CB25" i="64" s="1"/>
  <c r="X25" i="64"/>
  <c r="AJ25" i="64" s="1"/>
  <c r="AV25" i="64" s="1"/>
  <c r="BH25" i="64" s="1"/>
  <c r="BT25" i="64" s="1"/>
  <c r="CF25" i="64" s="1"/>
  <c r="T31" i="64"/>
  <c r="AF31" i="64" s="1"/>
  <c r="AR31" i="64" s="1"/>
  <c r="BD31" i="64" s="1"/>
  <c r="BP31" i="64" s="1"/>
  <c r="CB31" i="64" s="1"/>
  <c r="X31" i="64"/>
  <c r="AJ31" i="64" s="1"/>
  <c r="AV31" i="64" s="1"/>
  <c r="BH31" i="64" s="1"/>
  <c r="BT31" i="64" s="1"/>
  <c r="CF31" i="64" s="1"/>
  <c r="T37" i="64"/>
  <c r="AF37" i="64" s="1"/>
  <c r="AR37" i="64" s="1"/>
  <c r="BD37" i="64" s="1"/>
  <c r="BP37" i="64" s="1"/>
  <c r="CB37" i="64" s="1"/>
  <c r="X37" i="64"/>
  <c r="AJ37" i="64" s="1"/>
  <c r="AV37" i="64" s="1"/>
  <c r="BH37" i="64" s="1"/>
  <c r="BT37" i="64" s="1"/>
  <c r="CF37" i="64" s="1"/>
  <c r="T43" i="64"/>
  <c r="AF43" i="64" s="1"/>
  <c r="AR43" i="64" s="1"/>
  <c r="BD43" i="64" s="1"/>
  <c r="BP43" i="64" s="1"/>
  <c r="CB43" i="64" s="1"/>
  <c r="X43" i="64"/>
  <c r="AJ43" i="64" s="1"/>
  <c r="AV43" i="64" s="1"/>
  <c r="BH43" i="64" s="1"/>
  <c r="BT43" i="64" s="1"/>
  <c r="CF43" i="64" s="1"/>
  <c r="Q50" i="64"/>
  <c r="AC50" i="64" s="1"/>
  <c r="AO50" i="64" s="1"/>
  <c r="BA50" i="64" s="1"/>
  <c r="BM50" i="64" s="1"/>
  <c r="BY50" i="64" s="1"/>
  <c r="S50" i="64"/>
  <c r="AE50" i="64" s="1"/>
  <c r="AQ50" i="64" s="1"/>
  <c r="BC50" i="64" s="1"/>
  <c r="BO50" i="64" s="1"/>
  <c r="CA50" i="64" s="1"/>
  <c r="U50" i="64"/>
  <c r="AG50" i="64" s="1"/>
  <c r="AS50" i="64" s="1"/>
  <c r="BE50" i="64" s="1"/>
  <c r="BQ50" i="64" s="1"/>
  <c r="CC50" i="64" s="1"/>
  <c r="W50" i="64"/>
  <c r="AI50" i="64" s="1"/>
  <c r="AU50" i="64" s="1"/>
  <c r="BG50" i="64" s="1"/>
  <c r="BS50" i="64" s="1"/>
  <c r="CE50" i="64" s="1"/>
  <c r="Y50" i="64"/>
  <c r="AK50" i="64" s="1"/>
  <c r="AW50" i="64" s="1"/>
  <c r="BI50" i="64" s="1"/>
  <c r="BU50" i="64" s="1"/>
  <c r="CG50" i="64" s="1"/>
  <c r="AA50" i="64"/>
  <c r="AM50" i="64" s="1"/>
  <c r="AY50" i="64" s="1"/>
  <c r="BK50" i="64" s="1"/>
  <c r="BW50" i="64" s="1"/>
  <c r="CI50" i="64" s="1"/>
  <c r="P50" i="64"/>
  <c r="AB50" i="64" s="1"/>
  <c r="AN50" i="64" s="1"/>
  <c r="AZ50" i="64" s="1"/>
  <c r="BL50" i="64" s="1"/>
  <c r="BX50" i="64" s="1"/>
  <c r="P43" i="64"/>
  <c r="AB43" i="64" s="1"/>
  <c r="AN43" i="64" s="1"/>
  <c r="AZ43" i="64" s="1"/>
  <c r="BL43" i="64" s="1"/>
  <c r="BX43" i="64" s="1"/>
  <c r="P37" i="64"/>
  <c r="AB37" i="64" s="1"/>
  <c r="AN37" i="64" s="1"/>
  <c r="AZ37" i="64" s="1"/>
  <c r="BL37" i="64" s="1"/>
  <c r="BX37" i="64" s="1"/>
  <c r="P31" i="64"/>
  <c r="AB31" i="64" s="1"/>
  <c r="AN31" i="64" s="1"/>
  <c r="AZ31" i="64" s="1"/>
  <c r="BL31" i="64" s="1"/>
  <c r="BX31" i="64" s="1"/>
  <c r="P25" i="64"/>
  <c r="AB25" i="64" s="1"/>
  <c r="AN25" i="64" s="1"/>
  <c r="AZ25" i="64" s="1"/>
  <c r="BL25" i="64" s="1"/>
  <c r="BX25" i="64" s="1"/>
  <c r="P19" i="64"/>
  <c r="AB19" i="64" s="1"/>
  <c r="AN19" i="64" s="1"/>
  <c r="AZ19" i="64" s="1"/>
  <c r="BL19" i="64" s="1"/>
  <c r="BX19" i="64" s="1"/>
  <c r="P13" i="64"/>
  <c r="AB13" i="64" s="1"/>
  <c r="AN13" i="64" s="1"/>
  <c r="AZ13" i="64" s="1"/>
  <c r="BL13" i="64" s="1"/>
  <c r="BX13" i="64" s="1"/>
  <c r="B308" i="82" l="1"/>
  <c r="J307" i="82"/>
  <c r="L44" i="64"/>
  <c r="X42" i="64"/>
  <c r="L45" i="64"/>
  <c r="D44" i="64"/>
  <c r="P42" i="64"/>
  <c r="D45" i="64"/>
  <c r="F45" i="64"/>
  <c r="R42" i="64"/>
  <c r="F44" i="64"/>
  <c r="AA42" i="64"/>
  <c r="O45" i="64"/>
  <c r="O44" i="64"/>
  <c r="S42" i="64"/>
  <c r="G45" i="64"/>
  <c r="G44" i="64"/>
  <c r="H44" i="64"/>
  <c r="T42" i="64"/>
  <c r="H45" i="64"/>
  <c r="Y42" i="64"/>
  <c r="M45" i="64"/>
  <c r="M44" i="64"/>
  <c r="Q42" i="64"/>
  <c r="E45" i="64"/>
  <c r="E44" i="64"/>
  <c r="N45" i="64"/>
  <c r="Z42" i="64"/>
  <c r="N44" i="64"/>
  <c r="W42" i="64"/>
  <c r="K45" i="64"/>
  <c r="K44" i="64"/>
  <c r="BW25" i="64"/>
  <c r="AY13" i="64"/>
  <c r="BK13" i="64" s="1"/>
  <c r="BW13" i="64" s="1"/>
  <c r="CI13" i="64" s="1"/>
  <c r="J45" i="64"/>
  <c r="V42" i="64"/>
  <c r="J44" i="64"/>
  <c r="U42" i="64"/>
  <c r="I45" i="64"/>
  <c r="I44" i="64"/>
  <c r="B309" i="82" l="1"/>
  <c r="J308" i="82"/>
  <c r="M15" i="64"/>
  <c r="M14" i="64"/>
  <c r="Y12" i="64"/>
  <c r="E26" i="64"/>
  <c r="Q24" i="64"/>
  <c r="E27" i="64"/>
  <c r="U30" i="64"/>
  <c r="I32" i="64"/>
  <c r="I33" i="64"/>
  <c r="M39" i="64"/>
  <c r="M38" i="64"/>
  <c r="Y36" i="64"/>
  <c r="V24" i="64"/>
  <c r="J27" i="64"/>
  <c r="J26" i="64"/>
  <c r="X49" i="64"/>
  <c r="L51" i="64"/>
  <c r="L52" i="64"/>
  <c r="L33" i="64"/>
  <c r="L32" i="64"/>
  <c r="X30" i="64"/>
  <c r="S18" i="64"/>
  <c r="G21" i="64"/>
  <c r="G20" i="64"/>
  <c r="N21" i="64"/>
  <c r="Z18" i="64"/>
  <c r="N20" i="64"/>
  <c r="H33" i="64"/>
  <c r="H32" i="64"/>
  <c r="T30" i="64"/>
  <c r="K27" i="64"/>
  <c r="W24" i="64"/>
  <c r="K26" i="64"/>
  <c r="R12" i="64"/>
  <c r="F14" i="64"/>
  <c r="F15" i="64"/>
  <c r="V49" i="64"/>
  <c r="J52" i="64"/>
  <c r="J51" i="64"/>
  <c r="O27" i="64"/>
  <c r="AA24" i="64"/>
  <c r="O26" i="64"/>
  <c r="Z12" i="64"/>
  <c r="N14" i="64"/>
  <c r="N15" i="64"/>
  <c r="R49" i="64"/>
  <c r="F52" i="64"/>
  <c r="F51" i="64"/>
  <c r="V45" i="64"/>
  <c r="V44" i="64"/>
  <c r="AH42" i="64"/>
  <c r="CI25" i="64"/>
  <c r="AI42" i="64"/>
  <c r="W45" i="64"/>
  <c r="W44" i="64"/>
  <c r="R44" i="64"/>
  <c r="AD42" i="64"/>
  <c r="R45" i="64"/>
  <c r="D33" i="64"/>
  <c r="D32" i="64"/>
  <c r="P30" i="64"/>
  <c r="Q18" i="64"/>
  <c r="E21" i="64"/>
  <c r="E20" i="64"/>
  <c r="I26" i="64"/>
  <c r="U24" i="64"/>
  <c r="I27" i="64"/>
  <c r="Y30" i="64"/>
  <c r="M32" i="64"/>
  <c r="M33" i="64"/>
  <c r="E51" i="64"/>
  <c r="Q49" i="64"/>
  <c r="E52" i="64"/>
  <c r="V30" i="64"/>
  <c r="J33" i="64"/>
  <c r="J32" i="64"/>
  <c r="X12" i="64"/>
  <c r="L14" i="64"/>
  <c r="L15" i="64"/>
  <c r="X36" i="64"/>
  <c r="L38" i="64"/>
  <c r="L39" i="64"/>
  <c r="W18" i="64"/>
  <c r="K21" i="64"/>
  <c r="K20" i="64"/>
  <c r="T12" i="64"/>
  <c r="H14" i="64"/>
  <c r="H15" i="64"/>
  <c r="T36" i="64"/>
  <c r="H38" i="64"/>
  <c r="H39" i="64"/>
  <c r="S30" i="64"/>
  <c r="G33" i="64"/>
  <c r="G32" i="64"/>
  <c r="R24" i="64"/>
  <c r="F27" i="64"/>
  <c r="F26" i="64"/>
  <c r="K52" i="64"/>
  <c r="W49" i="64"/>
  <c r="K51" i="64"/>
  <c r="W30" i="64"/>
  <c r="K33" i="64"/>
  <c r="K32" i="64"/>
  <c r="Z24" i="64"/>
  <c r="N27" i="64"/>
  <c r="N26" i="64"/>
  <c r="Z49" i="64"/>
  <c r="N52" i="64"/>
  <c r="N51" i="64"/>
  <c r="Y44" i="64"/>
  <c r="AK42" i="64"/>
  <c r="Y45" i="64"/>
  <c r="P36" i="64"/>
  <c r="D38" i="64"/>
  <c r="D39" i="64"/>
  <c r="E15" i="64"/>
  <c r="E14" i="64"/>
  <c r="Q12" i="64"/>
  <c r="U18" i="64"/>
  <c r="I21" i="64"/>
  <c r="I20" i="64"/>
  <c r="M26" i="64"/>
  <c r="Y24" i="64"/>
  <c r="M27" i="64"/>
  <c r="E39" i="64"/>
  <c r="E38" i="64"/>
  <c r="Q36" i="64"/>
  <c r="V12" i="64"/>
  <c r="J14" i="64"/>
  <c r="J15" i="64"/>
  <c r="V36" i="64"/>
  <c r="J38" i="64"/>
  <c r="J39" i="64"/>
  <c r="L20" i="64"/>
  <c r="X18" i="64"/>
  <c r="L21" i="64"/>
  <c r="I51" i="64"/>
  <c r="U49" i="64"/>
  <c r="I52" i="64"/>
  <c r="AA18" i="64"/>
  <c r="O21" i="64"/>
  <c r="O20" i="64"/>
  <c r="H20" i="64"/>
  <c r="T18" i="64"/>
  <c r="H21" i="64"/>
  <c r="S12" i="64"/>
  <c r="G15" i="64"/>
  <c r="G14" i="64"/>
  <c r="AA30" i="64"/>
  <c r="O33" i="64"/>
  <c r="O32" i="64"/>
  <c r="Z30" i="64"/>
  <c r="N33" i="64"/>
  <c r="N32" i="64"/>
  <c r="W12" i="64"/>
  <c r="K15" i="64"/>
  <c r="K14" i="64"/>
  <c r="S36" i="64"/>
  <c r="G39" i="64"/>
  <c r="G38" i="64"/>
  <c r="R30" i="64"/>
  <c r="F33" i="64"/>
  <c r="F32" i="64"/>
  <c r="G52" i="64"/>
  <c r="S49" i="64"/>
  <c r="G51" i="64"/>
  <c r="AG42" i="64"/>
  <c r="U45" i="64"/>
  <c r="U44" i="64"/>
  <c r="AL42" i="64"/>
  <c r="Z44" i="64"/>
  <c r="Z45" i="64"/>
  <c r="AC42" i="64"/>
  <c r="Q44" i="64"/>
  <c r="Q45" i="64"/>
  <c r="AM42" i="64"/>
  <c r="AA45" i="64"/>
  <c r="AA44" i="64"/>
  <c r="AJ42" i="64"/>
  <c r="X45" i="64"/>
  <c r="X44" i="64"/>
  <c r="P12" i="64"/>
  <c r="D14" i="64"/>
  <c r="D15" i="64"/>
  <c r="I15" i="64"/>
  <c r="I14" i="64"/>
  <c r="U12" i="64"/>
  <c r="Y18" i="64"/>
  <c r="M21" i="64"/>
  <c r="M20" i="64"/>
  <c r="Q30" i="64"/>
  <c r="E32" i="64"/>
  <c r="E33" i="64"/>
  <c r="I39" i="64"/>
  <c r="I38" i="64"/>
  <c r="U36" i="64"/>
  <c r="J21" i="64"/>
  <c r="V18" i="64"/>
  <c r="J20" i="64"/>
  <c r="T49" i="64"/>
  <c r="H51" i="64"/>
  <c r="H52" i="64"/>
  <c r="X24" i="64"/>
  <c r="L26" i="64"/>
  <c r="L27" i="64"/>
  <c r="M51" i="64"/>
  <c r="Y49" i="64"/>
  <c r="M52" i="64"/>
  <c r="F21" i="64"/>
  <c r="R18" i="64"/>
  <c r="F20" i="64"/>
  <c r="T24" i="64"/>
  <c r="H26" i="64"/>
  <c r="H27" i="64"/>
  <c r="AA12" i="64"/>
  <c r="O15" i="64"/>
  <c r="O14" i="64"/>
  <c r="W36" i="64"/>
  <c r="K39" i="64"/>
  <c r="K38" i="64"/>
  <c r="R36" i="64"/>
  <c r="F38" i="64"/>
  <c r="F39" i="64"/>
  <c r="G27" i="64"/>
  <c r="S24" i="64"/>
  <c r="G26" i="64"/>
  <c r="AA36" i="64"/>
  <c r="O39" i="64"/>
  <c r="O38" i="64"/>
  <c r="Z36" i="64"/>
  <c r="N38" i="64"/>
  <c r="N39" i="64"/>
  <c r="O52" i="64"/>
  <c r="AA49" i="64"/>
  <c r="O51" i="64"/>
  <c r="AF42" i="64"/>
  <c r="T44" i="64"/>
  <c r="T45" i="64"/>
  <c r="AE42" i="64"/>
  <c r="S45" i="64"/>
  <c r="S44" i="64"/>
  <c r="AB42" i="64"/>
  <c r="P44" i="64"/>
  <c r="P45" i="64"/>
  <c r="B310" i="82" l="1"/>
  <c r="J309" i="82"/>
  <c r="AE44" i="64"/>
  <c r="AE45" i="64"/>
  <c r="AQ42" i="64"/>
  <c r="AM36" i="64"/>
  <c r="AA39" i="64"/>
  <c r="AA38" i="64"/>
  <c r="AM12" i="64"/>
  <c r="AA15" i="64"/>
  <c r="AA14" i="64"/>
  <c r="Y52" i="64"/>
  <c r="AK49" i="64"/>
  <c r="Y51" i="64"/>
  <c r="AJ24" i="64"/>
  <c r="X27" i="64"/>
  <c r="X26" i="64"/>
  <c r="AC30" i="64"/>
  <c r="Q33" i="64"/>
  <c r="Q32" i="64"/>
  <c r="AG12" i="64"/>
  <c r="U15" i="64"/>
  <c r="U14" i="64"/>
  <c r="AJ45" i="64"/>
  <c r="AJ44" i="64"/>
  <c r="AV42" i="64"/>
  <c r="AS42" i="64"/>
  <c r="AG45" i="64"/>
  <c r="AG44" i="64"/>
  <c r="AI12" i="64"/>
  <c r="W15" i="64"/>
  <c r="W14" i="64"/>
  <c r="G54" i="64"/>
  <c r="X21" i="64"/>
  <c r="X20" i="64"/>
  <c r="AJ18" i="64"/>
  <c r="AH36" i="64"/>
  <c r="V39" i="64"/>
  <c r="V38" i="64"/>
  <c r="AC36" i="64"/>
  <c r="Q38" i="64"/>
  <c r="Q39" i="64"/>
  <c r="AK24" i="64"/>
  <c r="Y26" i="64"/>
  <c r="Y27" i="64"/>
  <c r="U20" i="64"/>
  <c r="U21" i="64"/>
  <c r="AG18" i="64"/>
  <c r="AK45" i="64"/>
  <c r="AW42" i="64"/>
  <c r="AK44" i="64"/>
  <c r="AL49" i="64"/>
  <c r="Z51" i="64"/>
  <c r="Z52" i="64"/>
  <c r="W52" i="64"/>
  <c r="AI49" i="64"/>
  <c r="W51" i="64"/>
  <c r="AD24" i="64"/>
  <c r="R27" i="64"/>
  <c r="R26" i="64"/>
  <c r="AI18" i="64"/>
  <c r="W21" i="64"/>
  <c r="W20" i="64"/>
  <c r="L54" i="64"/>
  <c r="F54" i="64"/>
  <c r="AI24" i="64"/>
  <c r="W27" i="64"/>
  <c r="W26" i="64"/>
  <c r="AJ49" i="64"/>
  <c r="X52" i="64"/>
  <c r="X51" i="64"/>
  <c r="AK36" i="64"/>
  <c r="Y39" i="64"/>
  <c r="Y38" i="64"/>
  <c r="D20" i="64"/>
  <c r="P18" i="64"/>
  <c r="D21" i="64"/>
  <c r="AN42" i="64"/>
  <c r="AB44" i="64"/>
  <c r="AB45" i="64"/>
  <c r="AA51" i="64"/>
  <c r="AM49" i="64"/>
  <c r="AA52" i="64"/>
  <c r="AL36" i="64"/>
  <c r="Z38" i="64"/>
  <c r="Z39" i="64"/>
  <c r="AI36" i="64"/>
  <c r="W38" i="64"/>
  <c r="W39" i="64"/>
  <c r="AD18" i="64"/>
  <c r="R21" i="64"/>
  <c r="R20" i="64"/>
  <c r="V21" i="64"/>
  <c r="V20" i="64"/>
  <c r="AH18" i="64"/>
  <c r="AB12" i="64"/>
  <c r="P15" i="64"/>
  <c r="P14" i="64"/>
  <c r="AL44" i="64"/>
  <c r="AX42" i="64"/>
  <c r="AL45" i="64"/>
  <c r="AE36" i="64"/>
  <c r="S38" i="64"/>
  <c r="S39" i="64"/>
  <c r="S15" i="64"/>
  <c r="AE12" i="64"/>
  <c r="S14" i="64"/>
  <c r="AG49" i="64"/>
  <c r="U51" i="64"/>
  <c r="U52" i="64"/>
  <c r="J54" i="64"/>
  <c r="Q14" i="64"/>
  <c r="AC12" i="64"/>
  <c r="Q15" i="64"/>
  <c r="AF12" i="64"/>
  <c r="T14" i="64"/>
  <c r="T15" i="64"/>
  <c r="AH30" i="64"/>
  <c r="V33" i="64"/>
  <c r="V32" i="64"/>
  <c r="AG24" i="64"/>
  <c r="U26" i="64"/>
  <c r="U27" i="64"/>
  <c r="Q21" i="64"/>
  <c r="Q20" i="64"/>
  <c r="AC18" i="64"/>
  <c r="AH44" i="64"/>
  <c r="AT42" i="64"/>
  <c r="AH45" i="64"/>
  <c r="Z14" i="64"/>
  <c r="Z15" i="64"/>
  <c r="AL12" i="64"/>
  <c r="AG30" i="64"/>
  <c r="U33" i="64"/>
  <c r="U32" i="64"/>
  <c r="Y15" i="64"/>
  <c r="Y14" i="64"/>
  <c r="AK12" i="64"/>
  <c r="P49" i="64"/>
  <c r="D51" i="64"/>
  <c r="D52" i="64"/>
  <c r="AE24" i="64"/>
  <c r="S27" i="64"/>
  <c r="S26" i="64"/>
  <c r="AD36" i="64"/>
  <c r="R38" i="64"/>
  <c r="R39" i="64"/>
  <c r="I54" i="64"/>
  <c r="AC45" i="64"/>
  <c r="AC44" i="64"/>
  <c r="AO42" i="64"/>
  <c r="AE49" i="64"/>
  <c r="S51" i="64"/>
  <c r="S52" i="64"/>
  <c r="AD30" i="64"/>
  <c r="R33" i="64"/>
  <c r="R32" i="64"/>
  <c r="AM30" i="64"/>
  <c r="AA32" i="64"/>
  <c r="AA33" i="64"/>
  <c r="AB36" i="64"/>
  <c r="P38" i="64"/>
  <c r="P39" i="64"/>
  <c r="AI30" i="64"/>
  <c r="W33" i="64"/>
  <c r="W32" i="64"/>
  <c r="AF36" i="64"/>
  <c r="T39" i="64"/>
  <c r="T38" i="64"/>
  <c r="AJ12" i="64"/>
  <c r="X15" i="64"/>
  <c r="X14" i="64"/>
  <c r="AB30" i="64"/>
  <c r="P33" i="64"/>
  <c r="P32" i="64"/>
  <c r="AP42" i="64"/>
  <c r="AD45" i="64"/>
  <c r="AD44" i="64"/>
  <c r="AI44" i="64"/>
  <c r="AU42" i="64"/>
  <c r="AI45" i="64"/>
  <c r="AD49" i="64"/>
  <c r="R52" i="64"/>
  <c r="R51" i="64"/>
  <c r="AD12" i="64"/>
  <c r="R15" i="64"/>
  <c r="R14" i="64"/>
  <c r="AF30" i="64"/>
  <c r="T33" i="64"/>
  <c r="T32" i="64"/>
  <c r="AL18" i="64"/>
  <c r="Z21" i="64"/>
  <c r="Z20" i="64"/>
  <c r="AE18" i="64"/>
  <c r="S20" i="64"/>
  <c r="S21" i="64"/>
  <c r="P24" i="64"/>
  <c r="D26" i="64"/>
  <c r="D27" i="64"/>
  <c r="AR42" i="64"/>
  <c r="AF45" i="64"/>
  <c r="AF44" i="64"/>
  <c r="O54" i="64"/>
  <c r="AF24" i="64"/>
  <c r="T26" i="64"/>
  <c r="T27" i="64"/>
  <c r="AF49" i="64"/>
  <c r="T52" i="64"/>
  <c r="T51" i="64"/>
  <c r="AG36" i="64"/>
  <c r="U39" i="64"/>
  <c r="U38" i="64"/>
  <c r="AK18" i="64"/>
  <c r="Y20" i="64"/>
  <c r="Y21" i="64"/>
  <c r="AY42" i="64"/>
  <c r="AM44" i="64"/>
  <c r="AM45" i="64"/>
  <c r="K54" i="64"/>
  <c r="AL30" i="64"/>
  <c r="Z33" i="64"/>
  <c r="Z32" i="64"/>
  <c r="AF18" i="64"/>
  <c r="T20" i="64"/>
  <c r="T21" i="64"/>
  <c r="AM18" i="64"/>
  <c r="AA21" i="64"/>
  <c r="AA20" i="64"/>
  <c r="V15" i="64"/>
  <c r="AH12" i="64"/>
  <c r="V14" i="64"/>
  <c r="E54" i="64"/>
  <c r="AL24" i="64"/>
  <c r="Z27" i="64"/>
  <c r="Z26" i="64"/>
  <c r="S32" i="64"/>
  <c r="AE30" i="64"/>
  <c r="S33" i="64"/>
  <c r="H54" i="64"/>
  <c r="AJ36" i="64"/>
  <c r="X38" i="64"/>
  <c r="X39" i="64"/>
  <c r="AC49" i="64"/>
  <c r="Q52" i="64"/>
  <c r="Q51" i="64"/>
  <c r="AK30" i="64"/>
  <c r="Y32" i="64"/>
  <c r="Y33" i="64"/>
  <c r="N54" i="64"/>
  <c r="AM24" i="64"/>
  <c r="AA26" i="64"/>
  <c r="AA27" i="64"/>
  <c r="AH49" i="64"/>
  <c r="V52" i="64"/>
  <c r="V51" i="64"/>
  <c r="AJ30" i="64"/>
  <c r="X32" i="64"/>
  <c r="X33" i="64"/>
  <c r="V26" i="64"/>
  <c r="AH24" i="64"/>
  <c r="V27" i="64"/>
  <c r="AC24" i="64"/>
  <c r="Q27" i="64"/>
  <c r="Q26" i="64"/>
  <c r="M54" i="64"/>
  <c r="B311" i="82" l="1"/>
  <c r="J310" i="82"/>
  <c r="D54" i="64"/>
  <c r="V54" i="64"/>
  <c r="V98" i="60" s="1"/>
  <c r="P19" i="72" s="1"/>
  <c r="R54" i="64"/>
  <c r="AV30" i="64"/>
  <c r="AJ32" i="64"/>
  <c r="AJ33" i="64"/>
  <c r="AE32" i="64"/>
  <c r="AQ30" i="64"/>
  <c r="AE33" i="64"/>
  <c r="AL26" i="64"/>
  <c r="AL27" i="64"/>
  <c r="AX24" i="64"/>
  <c r="AS36" i="64"/>
  <c r="AG38" i="64"/>
  <c r="AG39" i="64"/>
  <c r="AQ18" i="64"/>
  <c r="AE20" i="64"/>
  <c r="AE21" i="64"/>
  <c r="AD52" i="64"/>
  <c r="AP49" i="64"/>
  <c r="AD51" i="64"/>
  <c r="AV12" i="64"/>
  <c r="AJ15" i="64"/>
  <c r="AJ14" i="64"/>
  <c r="AY30" i="64"/>
  <c r="AM32" i="64"/>
  <c r="AM33" i="64"/>
  <c r="AQ24" i="64"/>
  <c r="AE26" i="64"/>
  <c r="AE27" i="64"/>
  <c r="AW12" i="64"/>
  <c r="AK15" i="64"/>
  <c r="AK14" i="64"/>
  <c r="AC21" i="64"/>
  <c r="AO18" i="64"/>
  <c r="AC20" i="64"/>
  <c r="AT30" i="64"/>
  <c r="AH33" i="64"/>
  <c r="AH32" i="64"/>
  <c r="Q54" i="64"/>
  <c r="AE14" i="64"/>
  <c r="AQ12" i="64"/>
  <c r="AE15" i="64"/>
  <c r="AQ36" i="64"/>
  <c r="AE39" i="64"/>
  <c r="AE38" i="64"/>
  <c r="AP18" i="64"/>
  <c r="AD20" i="64"/>
  <c r="AD21" i="64"/>
  <c r="AY49" i="64"/>
  <c r="AM52" i="64"/>
  <c r="AM51" i="64"/>
  <c r="AN45" i="64"/>
  <c r="AZ42" i="64"/>
  <c r="AN44" i="64"/>
  <c r="AI26" i="64"/>
  <c r="AI27" i="64"/>
  <c r="AU24" i="64"/>
  <c r="AD26" i="64"/>
  <c r="AD27" i="64"/>
  <c r="AP24" i="64"/>
  <c r="AW44" i="64"/>
  <c r="AW45" i="64"/>
  <c r="BI42" i="64"/>
  <c r="AI15" i="64"/>
  <c r="AU12" i="64"/>
  <c r="AI14" i="64"/>
  <c r="AV44" i="64"/>
  <c r="BH42" i="64"/>
  <c r="AV45" i="64"/>
  <c r="U54" i="64"/>
  <c r="AO30" i="64"/>
  <c r="AC33" i="64"/>
  <c r="AC32" i="64"/>
  <c r="AA54" i="64"/>
  <c r="AY36" i="64"/>
  <c r="AM39" i="64"/>
  <c r="AM38" i="64"/>
  <c r="E98" i="60"/>
  <c r="AX30" i="64"/>
  <c r="AL33" i="64"/>
  <c r="AL32" i="64"/>
  <c r="AY45" i="64"/>
  <c r="BK42" i="64"/>
  <c r="AY44" i="64"/>
  <c r="AW18" i="64"/>
  <c r="AK21" i="64"/>
  <c r="AK20" i="64"/>
  <c r="AB24" i="64"/>
  <c r="P27" i="64"/>
  <c r="P26" i="64"/>
  <c r="AP12" i="64"/>
  <c r="AD14" i="64"/>
  <c r="AD15" i="64"/>
  <c r="AN30" i="64"/>
  <c r="AB32" i="64"/>
  <c r="AB33" i="64"/>
  <c r="AN36" i="64"/>
  <c r="AB38" i="64"/>
  <c r="AB39" i="64"/>
  <c r="AD38" i="64"/>
  <c r="AD39" i="64"/>
  <c r="AP36" i="64"/>
  <c r="AG33" i="64"/>
  <c r="AS30" i="64"/>
  <c r="AG32" i="64"/>
  <c r="AS24" i="64"/>
  <c r="AG26" i="64"/>
  <c r="AG27" i="64"/>
  <c r="T54" i="64"/>
  <c r="AO12" i="64"/>
  <c r="AC15" i="64"/>
  <c r="AC14" i="64"/>
  <c r="S54" i="64"/>
  <c r="AJ51" i="64"/>
  <c r="AV49" i="64"/>
  <c r="AJ52" i="64"/>
  <c r="F98" i="60"/>
  <c r="AI21" i="64"/>
  <c r="AI20" i="64"/>
  <c r="AU18" i="64"/>
  <c r="AT36" i="64"/>
  <c r="AH39" i="64"/>
  <c r="AH38" i="64"/>
  <c r="G98" i="60"/>
  <c r="AS12" i="64"/>
  <c r="AG14" i="64"/>
  <c r="AG15" i="64"/>
  <c r="AK51" i="64"/>
  <c r="AK52" i="64"/>
  <c r="AW49" i="64"/>
  <c r="AY12" i="64"/>
  <c r="AM14" i="64"/>
  <c r="AM15" i="64"/>
  <c r="AQ44" i="64"/>
  <c r="AQ45" i="64"/>
  <c r="BC42" i="64"/>
  <c r="AH27" i="64"/>
  <c r="AH26" i="64"/>
  <c r="AT24" i="64"/>
  <c r="AO24" i="64"/>
  <c r="AC27" i="64"/>
  <c r="AC26" i="64"/>
  <c r="AY24" i="64"/>
  <c r="AM26" i="64"/>
  <c r="AM27" i="64"/>
  <c r="AO49" i="64"/>
  <c r="AC51" i="64"/>
  <c r="AC52" i="64"/>
  <c r="H98" i="60"/>
  <c r="AF21" i="64"/>
  <c r="AF20" i="64"/>
  <c r="AR18" i="64"/>
  <c r="K98" i="60"/>
  <c r="D19" i="72" s="1"/>
  <c r="AR24" i="64"/>
  <c r="AF26" i="64"/>
  <c r="AF27" i="64"/>
  <c r="BD42" i="64"/>
  <c r="AR45" i="64"/>
  <c r="AR44" i="64"/>
  <c r="AR30" i="64"/>
  <c r="AF32" i="64"/>
  <c r="AF33" i="64"/>
  <c r="AU45" i="64"/>
  <c r="AU44" i="64"/>
  <c r="BG42" i="64"/>
  <c r="BB42" i="64"/>
  <c r="AP44" i="64"/>
  <c r="AP45" i="64"/>
  <c r="AU30" i="64"/>
  <c r="AI33" i="64"/>
  <c r="AI32" i="64"/>
  <c r="AE52" i="64"/>
  <c r="AQ49" i="64"/>
  <c r="AE51" i="64"/>
  <c r="I98" i="60"/>
  <c r="Y54" i="64"/>
  <c r="AX12" i="64"/>
  <c r="AL14" i="64"/>
  <c r="AL15" i="64"/>
  <c r="AT45" i="64"/>
  <c r="BF42" i="64"/>
  <c r="AT44" i="64"/>
  <c r="AS49" i="64"/>
  <c r="AG51" i="64"/>
  <c r="AG52" i="64"/>
  <c r="AX45" i="64"/>
  <c r="BJ42" i="64"/>
  <c r="AX44" i="64"/>
  <c r="AB14" i="64"/>
  <c r="AN12" i="64"/>
  <c r="AB15" i="64"/>
  <c r="AX36" i="64"/>
  <c r="AL39" i="64"/>
  <c r="AL38" i="64"/>
  <c r="P21" i="64"/>
  <c r="P20" i="64"/>
  <c r="AB18" i="64"/>
  <c r="AK38" i="64"/>
  <c r="AK39" i="64"/>
  <c r="AW36" i="64"/>
  <c r="L98" i="60"/>
  <c r="E19" i="72" s="1"/>
  <c r="AI51" i="64"/>
  <c r="AU49" i="64"/>
  <c r="AI52" i="64"/>
  <c r="AX49" i="64"/>
  <c r="AL52" i="64"/>
  <c r="AL51" i="64"/>
  <c r="AS18" i="64"/>
  <c r="AG20" i="64"/>
  <c r="AG21" i="64"/>
  <c r="AC39" i="64"/>
  <c r="AC38" i="64"/>
  <c r="AO36" i="64"/>
  <c r="AV18" i="64"/>
  <c r="AJ21" i="64"/>
  <c r="AJ20" i="64"/>
  <c r="AJ39" i="64"/>
  <c r="AJ38" i="64"/>
  <c r="AV36" i="64"/>
  <c r="M98" i="60"/>
  <c r="F19" i="72" s="1"/>
  <c r="AT49" i="64"/>
  <c r="AH52" i="64"/>
  <c r="AH51" i="64"/>
  <c r="N98" i="60"/>
  <c r="G19" i="72" s="1"/>
  <c r="AK32" i="64"/>
  <c r="AK33" i="64"/>
  <c r="AW30" i="64"/>
  <c r="AT12" i="64"/>
  <c r="AH14" i="64"/>
  <c r="AH15" i="64"/>
  <c r="AM21" i="64"/>
  <c r="AM20" i="64"/>
  <c r="AY18" i="64"/>
  <c r="AR49" i="64"/>
  <c r="AF52" i="64"/>
  <c r="AF51" i="64"/>
  <c r="O98" i="60"/>
  <c r="H19" i="72" s="1"/>
  <c r="AL20" i="64"/>
  <c r="AL21" i="64"/>
  <c r="AX18" i="64"/>
  <c r="X54" i="64"/>
  <c r="AR36" i="64"/>
  <c r="AF38" i="64"/>
  <c r="AF39" i="64"/>
  <c r="AD32" i="64"/>
  <c r="AP30" i="64"/>
  <c r="AD33" i="64"/>
  <c r="AO44" i="64"/>
  <c r="BA42" i="64"/>
  <c r="AO45" i="64"/>
  <c r="P51" i="64"/>
  <c r="P52" i="64"/>
  <c r="AB49" i="64"/>
  <c r="Z54" i="64"/>
  <c r="AR12" i="64"/>
  <c r="AF15" i="64"/>
  <c r="AF14" i="64"/>
  <c r="J98" i="60"/>
  <c r="C19" i="72" s="1"/>
  <c r="AH21" i="64"/>
  <c r="AT18" i="64"/>
  <c r="AH20" i="64"/>
  <c r="AU36" i="64"/>
  <c r="AI39" i="64"/>
  <c r="AI38" i="64"/>
  <c r="AK27" i="64"/>
  <c r="AK26" i="64"/>
  <c r="AW24" i="64"/>
  <c r="W54" i="64"/>
  <c r="AS44" i="64"/>
  <c r="AS45" i="64"/>
  <c r="BE42" i="64"/>
  <c r="AV24" i="64"/>
  <c r="AJ27" i="64"/>
  <c r="AJ26" i="64"/>
  <c r="D98" i="60" l="1"/>
  <c r="D58" i="64"/>
  <c r="B312" i="82"/>
  <c r="J311" i="82"/>
  <c r="P54" i="64"/>
  <c r="R98" i="60"/>
  <c r="K19" i="72" s="1"/>
  <c r="AF54" i="64"/>
  <c r="AH54" i="64"/>
  <c r="BG36" i="64"/>
  <c r="AU38" i="64"/>
  <c r="AU39" i="64"/>
  <c r="AX20" i="64"/>
  <c r="AX21" i="64"/>
  <c r="BJ18" i="64"/>
  <c r="AR52" i="64"/>
  <c r="BD49" i="64"/>
  <c r="AR51" i="64"/>
  <c r="AV21" i="64"/>
  <c r="AV20" i="64"/>
  <c r="BH18" i="64"/>
  <c r="AW39" i="64"/>
  <c r="AW38" i="64"/>
  <c r="BI36" i="64"/>
  <c r="BJ36" i="64"/>
  <c r="AX38" i="64"/>
  <c r="AX39" i="64"/>
  <c r="Y98" i="60"/>
  <c r="BB44" i="64"/>
  <c r="BB45" i="64"/>
  <c r="BN42" i="64"/>
  <c r="BD24" i="64"/>
  <c r="AR27" i="64"/>
  <c r="AR26" i="64"/>
  <c r="AM54" i="64"/>
  <c r="AS15" i="64"/>
  <c r="BE12" i="64"/>
  <c r="AS14" i="64"/>
  <c r="AO15" i="64"/>
  <c r="BA12" i="64"/>
  <c r="AO14" i="64"/>
  <c r="AS27" i="64"/>
  <c r="AS26" i="64"/>
  <c r="BE24" i="64"/>
  <c r="AP39" i="64"/>
  <c r="AP38" i="64"/>
  <c r="BB36" i="64"/>
  <c r="AZ30" i="64"/>
  <c r="AN32" i="64"/>
  <c r="AN33" i="64"/>
  <c r="BH44" i="64"/>
  <c r="BH45" i="64"/>
  <c r="BT42" i="64"/>
  <c r="AI54" i="64"/>
  <c r="AP26" i="64"/>
  <c r="AP27" i="64"/>
  <c r="BB24" i="64"/>
  <c r="BF30" i="64"/>
  <c r="AT33" i="64"/>
  <c r="AT32" i="64"/>
  <c r="BK30" i="64"/>
  <c r="AY32" i="64"/>
  <c r="AY33" i="64"/>
  <c r="AQ20" i="64"/>
  <c r="AQ21" i="64"/>
  <c r="BC18" i="64"/>
  <c r="AR15" i="64"/>
  <c r="BD12" i="64"/>
  <c r="AR14" i="64"/>
  <c r="BK18" i="64"/>
  <c r="AY21" i="64"/>
  <c r="AY20" i="64"/>
  <c r="BA36" i="64"/>
  <c r="AO38" i="64"/>
  <c r="AO39" i="64"/>
  <c r="AX51" i="64"/>
  <c r="AX52" i="64"/>
  <c r="BJ49" i="64"/>
  <c r="BJ44" i="64"/>
  <c r="BJ45" i="64"/>
  <c r="BV42" i="64"/>
  <c r="AS51" i="64"/>
  <c r="AS52" i="64"/>
  <c r="BE49" i="64"/>
  <c r="AL54" i="64"/>
  <c r="AQ51" i="64"/>
  <c r="BC49" i="64"/>
  <c r="AQ52" i="64"/>
  <c r="BG30" i="64"/>
  <c r="AU33" i="64"/>
  <c r="AU32" i="64"/>
  <c r="BG44" i="64"/>
  <c r="BS42" i="64"/>
  <c r="BG45" i="64"/>
  <c r="BD45" i="64"/>
  <c r="BP42" i="64"/>
  <c r="BD44" i="64"/>
  <c r="BA24" i="64"/>
  <c r="AO27" i="64"/>
  <c r="AO26" i="64"/>
  <c r="BC44" i="64"/>
  <c r="BC45" i="64"/>
  <c r="BO42" i="64"/>
  <c r="S98" i="60"/>
  <c r="L19" i="72" s="1"/>
  <c r="T98" i="60"/>
  <c r="M19" i="72" s="1"/>
  <c r="AN39" i="64"/>
  <c r="AN38" i="64"/>
  <c r="AZ36" i="64"/>
  <c r="AD54" i="64"/>
  <c r="AW21" i="64"/>
  <c r="BI18" i="64"/>
  <c r="AW20" i="64"/>
  <c r="AY39" i="64"/>
  <c r="AY38" i="64"/>
  <c r="BK36" i="64"/>
  <c r="AO32" i="64"/>
  <c r="AO33" i="64"/>
  <c r="BA30" i="64"/>
  <c r="BI45" i="64"/>
  <c r="BU42" i="64"/>
  <c r="BI44" i="64"/>
  <c r="AQ38" i="64"/>
  <c r="BC36" i="64"/>
  <c r="AQ39" i="64"/>
  <c r="Q98" i="60"/>
  <c r="AK54" i="64"/>
  <c r="BC24" i="64"/>
  <c r="AQ27" i="64"/>
  <c r="AQ26" i="64"/>
  <c r="AP51" i="64"/>
  <c r="AP52" i="64"/>
  <c r="BB49" i="64"/>
  <c r="W98" i="60"/>
  <c r="Q19" i="72" s="1"/>
  <c r="AT21" i="64"/>
  <c r="BF18" i="64"/>
  <c r="AT20" i="64"/>
  <c r="Z98" i="60"/>
  <c r="BD36" i="64"/>
  <c r="AR38" i="64"/>
  <c r="AR39" i="64"/>
  <c r="BE18" i="64"/>
  <c r="AS20" i="64"/>
  <c r="AS21" i="64"/>
  <c r="AN15" i="64"/>
  <c r="AN14" i="64"/>
  <c r="AZ12" i="64"/>
  <c r="BD30" i="64"/>
  <c r="AR33" i="64"/>
  <c r="AR32" i="64"/>
  <c r="BK24" i="64"/>
  <c r="AY26" i="64"/>
  <c r="AY27" i="64"/>
  <c r="AT27" i="64"/>
  <c r="AT26" i="64"/>
  <c r="BF24" i="64"/>
  <c r="BK12" i="64"/>
  <c r="AY14" i="64"/>
  <c r="AY15" i="64"/>
  <c r="AG54" i="64"/>
  <c r="AT38" i="64"/>
  <c r="AT39" i="64"/>
  <c r="BF36" i="64"/>
  <c r="AV51" i="64"/>
  <c r="AV52" i="64"/>
  <c r="BH49" i="64"/>
  <c r="AS32" i="64"/>
  <c r="BE30" i="64"/>
  <c r="AS33" i="64"/>
  <c r="AB26" i="64"/>
  <c r="AN24" i="64"/>
  <c r="AB27" i="64"/>
  <c r="AA98" i="60"/>
  <c r="U98" i="60"/>
  <c r="N19" i="72" s="1"/>
  <c r="AP20" i="64"/>
  <c r="AP21" i="64"/>
  <c r="BB18" i="64"/>
  <c r="AE54" i="64"/>
  <c r="AO21" i="64"/>
  <c r="AO20" i="64"/>
  <c r="BA18" i="64"/>
  <c r="AW15" i="64"/>
  <c r="BI12" i="64"/>
  <c r="AW14" i="64"/>
  <c r="AJ54" i="64"/>
  <c r="BH24" i="64"/>
  <c r="AV27" i="64"/>
  <c r="AV26" i="64"/>
  <c r="AP32" i="64"/>
  <c r="BB30" i="64"/>
  <c r="AP33" i="64"/>
  <c r="AT14" i="64"/>
  <c r="AT15" i="64"/>
  <c r="BF12" i="64"/>
  <c r="BE44" i="64"/>
  <c r="BE45" i="64"/>
  <c r="BQ42" i="64"/>
  <c r="AW27" i="64"/>
  <c r="BI24" i="64"/>
  <c r="AW26" i="64"/>
  <c r="AN49" i="64"/>
  <c r="AB51" i="64"/>
  <c r="AB52" i="64"/>
  <c r="BM42" i="64"/>
  <c r="BA44" i="64"/>
  <c r="BA45" i="64"/>
  <c r="X98" i="60"/>
  <c r="R19" i="72" s="1"/>
  <c r="AW33" i="64"/>
  <c r="AW32" i="64"/>
  <c r="BI30" i="64"/>
  <c r="AT51" i="64"/>
  <c r="BF49" i="64"/>
  <c r="AT52" i="64"/>
  <c r="BH36" i="64"/>
  <c r="AV38" i="64"/>
  <c r="AV39" i="64"/>
  <c r="AU51" i="64"/>
  <c r="AU52" i="64"/>
  <c r="BG49" i="64"/>
  <c r="AB21" i="64"/>
  <c r="AN18" i="64"/>
  <c r="AB20" i="64"/>
  <c r="BF45" i="64"/>
  <c r="BR42" i="64"/>
  <c r="BF44" i="64"/>
  <c r="AX14" i="64"/>
  <c r="AX15" i="64"/>
  <c r="BJ12" i="64"/>
  <c r="BD18" i="64"/>
  <c r="AR21" i="64"/>
  <c r="AR20" i="64"/>
  <c r="AO52" i="64"/>
  <c r="AO51" i="64"/>
  <c r="BA49" i="64"/>
  <c r="BI49" i="64"/>
  <c r="AW52" i="64"/>
  <c r="AW51" i="64"/>
  <c r="BG18" i="64"/>
  <c r="AU21" i="64"/>
  <c r="AU20" i="64"/>
  <c r="AC54" i="64"/>
  <c r="BB12" i="64"/>
  <c r="AP14" i="64"/>
  <c r="AP15" i="64"/>
  <c r="BW42" i="64"/>
  <c r="BK44" i="64"/>
  <c r="BK45" i="64"/>
  <c r="BJ30" i="64"/>
  <c r="AX32" i="64"/>
  <c r="AX33" i="64"/>
  <c r="BG12" i="64"/>
  <c r="AU15" i="64"/>
  <c r="AU14" i="64"/>
  <c r="AU27" i="64"/>
  <c r="AU26" i="64"/>
  <c r="BG24" i="64"/>
  <c r="AZ45" i="64"/>
  <c r="BL42" i="64"/>
  <c r="AZ44" i="64"/>
  <c r="AY52" i="64"/>
  <c r="BK49" i="64"/>
  <c r="AY51" i="64"/>
  <c r="BC12" i="64"/>
  <c r="AQ15" i="64"/>
  <c r="AQ14" i="64"/>
  <c r="BH12" i="64"/>
  <c r="AV14" i="64"/>
  <c r="AV15" i="64"/>
  <c r="BE36" i="64"/>
  <c r="AS39" i="64"/>
  <c r="AS38" i="64"/>
  <c r="AX26" i="64"/>
  <c r="AX27" i="64"/>
  <c r="BJ24" i="64"/>
  <c r="BC30" i="64"/>
  <c r="AQ33" i="64"/>
  <c r="AQ32" i="64"/>
  <c r="BH30" i="64"/>
  <c r="AV33" i="64"/>
  <c r="AV32" i="64"/>
  <c r="U19" i="72" l="1"/>
  <c r="E99" i="115"/>
  <c r="E99" i="65"/>
  <c r="V19" i="72"/>
  <c r="F99" i="115"/>
  <c r="F99" i="65"/>
  <c r="T19" i="72"/>
  <c r="D99" i="115"/>
  <c r="D99" i="65"/>
  <c r="J19" i="72"/>
  <c r="B313" i="82"/>
  <c r="J312" i="82"/>
  <c r="P98" i="60"/>
  <c r="AH98" i="60"/>
  <c r="AF98" i="60"/>
  <c r="AP54" i="64"/>
  <c r="AV54" i="64"/>
  <c r="AB54" i="64"/>
  <c r="BE39" i="64"/>
  <c r="BQ36" i="64"/>
  <c r="BE38" i="64"/>
  <c r="BK52" i="64"/>
  <c r="BW49" i="64"/>
  <c r="BK51" i="64"/>
  <c r="CI42" i="64"/>
  <c r="BW44" i="64"/>
  <c r="BW45" i="64"/>
  <c r="AC98" i="60"/>
  <c r="BD21" i="64"/>
  <c r="BD20" i="64"/>
  <c r="BP18" i="64"/>
  <c r="AN20" i="64"/>
  <c r="AN21" i="64"/>
  <c r="AZ18" i="64"/>
  <c r="BI27" i="64"/>
  <c r="BU24" i="64"/>
  <c r="BI26" i="64"/>
  <c r="BI14" i="64"/>
  <c r="BU12" i="64"/>
  <c r="BI15" i="64"/>
  <c r="BH51" i="64"/>
  <c r="BT49" i="64"/>
  <c r="BH52" i="64"/>
  <c r="BE20" i="64"/>
  <c r="BQ18" i="64"/>
  <c r="BE21" i="64"/>
  <c r="BF21" i="64"/>
  <c r="BF20" i="64"/>
  <c r="BR18" i="64"/>
  <c r="BO36" i="64"/>
  <c r="BC39" i="64"/>
  <c r="BC38" i="64"/>
  <c r="BK39" i="64"/>
  <c r="BW36" i="64"/>
  <c r="BK38" i="64"/>
  <c r="BU18" i="64"/>
  <c r="BI20" i="64"/>
  <c r="BI21" i="64"/>
  <c r="BO44" i="64"/>
  <c r="CA42" i="64"/>
  <c r="BO45" i="64"/>
  <c r="BO49" i="64"/>
  <c r="BC51" i="64"/>
  <c r="BC52" i="64"/>
  <c r="BK20" i="64"/>
  <c r="BW18" i="64"/>
  <c r="BK21" i="64"/>
  <c r="BC21" i="64"/>
  <c r="BC20" i="64"/>
  <c r="BO18" i="64"/>
  <c r="BF33" i="64"/>
  <c r="BR30" i="64"/>
  <c r="BF32" i="64"/>
  <c r="AI98" i="60"/>
  <c r="BU36" i="64"/>
  <c r="BI39" i="64"/>
  <c r="BI38" i="64"/>
  <c r="BG39" i="64"/>
  <c r="BG38" i="64"/>
  <c r="BS36" i="64"/>
  <c r="AQ54" i="64"/>
  <c r="BG27" i="64"/>
  <c r="BS24" i="64"/>
  <c r="BG26" i="64"/>
  <c r="BV30" i="64"/>
  <c r="BJ33" i="64"/>
  <c r="BJ32" i="64"/>
  <c r="BJ15" i="64"/>
  <c r="BJ14" i="64"/>
  <c r="BV12" i="64"/>
  <c r="CD42" i="64"/>
  <c r="BR44" i="64"/>
  <c r="BR45" i="64"/>
  <c r="BF51" i="64"/>
  <c r="BR49" i="64"/>
  <c r="BF52" i="64"/>
  <c r="BF14" i="64"/>
  <c r="BR12" i="64"/>
  <c r="BF15" i="64"/>
  <c r="BB32" i="64"/>
  <c r="BN30" i="64"/>
  <c r="BB33" i="64"/>
  <c r="AW54" i="64"/>
  <c r="AE98" i="60"/>
  <c r="BW12" i="64"/>
  <c r="BK15" i="64"/>
  <c r="BK14" i="64"/>
  <c r="BB52" i="64"/>
  <c r="BB51" i="64"/>
  <c r="BN49" i="64"/>
  <c r="BM30" i="64"/>
  <c r="BA33" i="64"/>
  <c r="BA32" i="64"/>
  <c r="BM24" i="64"/>
  <c r="BA26" i="64"/>
  <c r="BA27" i="64"/>
  <c r="BW30" i="64"/>
  <c r="BK32" i="64"/>
  <c r="BK33" i="64"/>
  <c r="BN24" i="64"/>
  <c r="BB26" i="64"/>
  <c r="BB27" i="64"/>
  <c r="BT45" i="64"/>
  <c r="CF42" i="64"/>
  <c r="BT44" i="64"/>
  <c r="BE15" i="64"/>
  <c r="BQ12" i="64"/>
  <c r="BE14" i="64"/>
  <c r="BP49" i="64"/>
  <c r="BD52" i="64"/>
  <c r="BD51" i="64"/>
  <c r="BO30" i="64"/>
  <c r="BC32" i="64"/>
  <c r="BC33" i="64"/>
  <c r="BC15" i="64"/>
  <c r="BO12" i="64"/>
  <c r="BC14" i="64"/>
  <c r="BG15" i="64"/>
  <c r="BG14" i="64"/>
  <c r="BS12" i="64"/>
  <c r="BI51" i="64"/>
  <c r="BU49" i="64"/>
  <c r="BI52" i="64"/>
  <c r="AX54" i="64"/>
  <c r="BG51" i="64"/>
  <c r="BG52" i="64"/>
  <c r="BS49" i="64"/>
  <c r="AZ49" i="64"/>
  <c r="AN51" i="64"/>
  <c r="AN52" i="64"/>
  <c r="BQ44" i="64"/>
  <c r="BQ45" i="64"/>
  <c r="CC42" i="64"/>
  <c r="AT54" i="64"/>
  <c r="AJ98" i="60"/>
  <c r="BM18" i="64"/>
  <c r="BA20" i="64"/>
  <c r="BA21" i="64"/>
  <c r="BB21" i="64"/>
  <c r="BN18" i="64"/>
  <c r="BB20" i="64"/>
  <c r="BQ30" i="64"/>
  <c r="BE32" i="64"/>
  <c r="BE33" i="64"/>
  <c r="AG98" i="60"/>
  <c r="BF26" i="64"/>
  <c r="BR24" i="64"/>
  <c r="BF27" i="64"/>
  <c r="BD32" i="64"/>
  <c r="BP30" i="64"/>
  <c r="BD33" i="64"/>
  <c r="AS54" i="64"/>
  <c r="BO24" i="64"/>
  <c r="BC27" i="64"/>
  <c r="BC26" i="64"/>
  <c r="AD98" i="60"/>
  <c r="BS45" i="64"/>
  <c r="CE42" i="64"/>
  <c r="BS44" i="64"/>
  <c r="BS30" i="64"/>
  <c r="BG32" i="64"/>
  <c r="BG33" i="64"/>
  <c r="AL98" i="60"/>
  <c r="BV44" i="64"/>
  <c r="CH42" i="64"/>
  <c r="BV45" i="64"/>
  <c r="BV49" i="64"/>
  <c r="BJ51" i="64"/>
  <c r="BJ52" i="64"/>
  <c r="BD15" i="64"/>
  <c r="BD14" i="64"/>
  <c r="BP12" i="64"/>
  <c r="AZ33" i="64"/>
  <c r="AZ32" i="64"/>
  <c r="BL30" i="64"/>
  <c r="BE27" i="64"/>
  <c r="BQ24" i="64"/>
  <c r="BE26" i="64"/>
  <c r="BM12" i="64"/>
  <c r="BA14" i="64"/>
  <c r="BA15" i="64"/>
  <c r="BD26" i="64"/>
  <c r="BD27" i="64"/>
  <c r="BP24" i="64"/>
  <c r="BH33" i="64"/>
  <c r="BH32" i="64"/>
  <c r="BT30" i="64"/>
  <c r="BJ27" i="64"/>
  <c r="BJ26" i="64"/>
  <c r="BV24" i="64"/>
  <c r="BH15" i="64"/>
  <c r="BT12" i="64"/>
  <c r="BH14" i="64"/>
  <c r="BL45" i="64"/>
  <c r="BL44" i="64"/>
  <c r="BX42" i="64"/>
  <c r="BN12" i="64"/>
  <c r="BB15" i="64"/>
  <c r="BB14" i="64"/>
  <c r="BS18" i="64"/>
  <c r="BG21" i="64"/>
  <c r="BG20" i="64"/>
  <c r="BM49" i="64"/>
  <c r="BA51" i="64"/>
  <c r="BA52" i="64"/>
  <c r="AU54" i="64"/>
  <c r="BH39" i="64"/>
  <c r="BT36" i="64"/>
  <c r="BH38" i="64"/>
  <c r="BI32" i="64"/>
  <c r="BU30" i="64"/>
  <c r="BI33" i="64"/>
  <c r="BY42" i="64"/>
  <c r="BM45" i="64"/>
  <c r="BM44" i="64"/>
  <c r="BT24" i="64"/>
  <c r="BH26" i="64"/>
  <c r="BH27" i="64"/>
  <c r="AN26" i="64"/>
  <c r="AN27" i="64"/>
  <c r="AZ24" i="64"/>
  <c r="BR36" i="64"/>
  <c r="BF39" i="64"/>
  <c r="BF38" i="64"/>
  <c r="AY54" i="64"/>
  <c r="BW24" i="64"/>
  <c r="BK26" i="64"/>
  <c r="BK27" i="64"/>
  <c r="AZ14" i="64"/>
  <c r="AZ15" i="64"/>
  <c r="BL12" i="64"/>
  <c r="BP36" i="64"/>
  <c r="BD39" i="64"/>
  <c r="BD38" i="64"/>
  <c r="AK98" i="60"/>
  <c r="CG42" i="64"/>
  <c r="BU44" i="64"/>
  <c r="BU45" i="64"/>
  <c r="AZ38" i="64"/>
  <c r="BL36" i="64"/>
  <c r="AZ39" i="64"/>
  <c r="BP44" i="64"/>
  <c r="BP45" i="64"/>
  <c r="CB42" i="64"/>
  <c r="BQ49" i="64"/>
  <c r="BE52" i="64"/>
  <c r="BE51" i="64"/>
  <c r="BM36" i="64"/>
  <c r="BA38" i="64"/>
  <c r="BA39" i="64"/>
  <c r="AR54" i="64"/>
  <c r="BN36" i="64"/>
  <c r="BB38" i="64"/>
  <c r="BB39" i="64"/>
  <c r="AO54" i="64"/>
  <c r="AM98" i="60"/>
  <c r="BN44" i="64"/>
  <c r="BN45" i="64"/>
  <c r="BZ42" i="64"/>
  <c r="BV36" i="64"/>
  <c r="BJ39" i="64"/>
  <c r="BJ38" i="64"/>
  <c r="BH21" i="64"/>
  <c r="BT18" i="64"/>
  <c r="BH20" i="64"/>
  <c r="BJ20" i="64"/>
  <c r="BJ21" i="64"/>
  <c r="BV18" i="64"/>
  <c r="AE19" i="72" l="1"/>
  <c r="O99" i="115"/>
  <c r="O99" i="65"/>
  <c r="AD19" i="72"/>
  <c r="N99" i="115"/>
  <c r="N99" i="65"/>
  <c r="AC19" i="72"/>
  <c r="M99" i="115"/>
  <c r="M99" i="65"/>
  <c r="AB19" i="72"/>
  <c r="L99" i="115"/>
  <c r="L99" i="65"/>
  <c r="I19" i="72"/>
  <c r="AG19" i="72"/>
  <c r="AA19" i="72"/>
  <c r="K99" i="115"/>
  <c r="K99" i="65"/>
  <c r="Y19" i="72"/>
  <c r="I99" i="115"/>
  <c r="I99" i="65"/>
  <c r="Z19" i="72"/>
  <c r="J99" i="115"/>
  <c r="J99" i="65"/>
  <c r="X19" i="72"/>
  <c r="H99" i="115"/>
  <c r="H99" i="65"/>
  <c r="B314" i="82"/>
  <c r="J313" i="82"/>
  <c r="AP98" i="60"/>
  <c r="AV98" i="60"/>
  <c r="AB98" i="60"/>
  <c r="BD54" i="64"/>
  <c r="AO98" i="60"/>
  <c r="AR98" i="60"/>
  <c r="CB36" i="64"/>
  <c r="BP38" i="64"/>
  <c r="BP39" i="64"/>
  <c r="BZ12" i="64"/>
  <c r="BN15" i="64"/>
  <c r="BN14" i="64"/>
  <c r="BY12" i="64"/>
  <c r="BM14" i="64"/>
  <c r="BM15" i="64"/>
  <c r="BL32" i="64"/>
  <c r="BX30" i="64"/>
  <c r="BL33" i="64"/>
  <c r="CH49" i="64"/>
  <c r="BV52" i="64"/>
  <c r="BV51" i="64"/>
  <c r="BS33" i="64"/>
  <c r="BS32" i="64"/>
  <c r="CE30" i="64"/>
  <c r="CA24" i="64"/>
  <c r="BO27" i="64"/>
  <c r="BO26" i="64"/>
  <c r="BP32" i="64"/>
  <c r="BP33" i="64"/>
  <c r="CB30" i="64"/>
  <c r="BN21" i="64"/>
  <c r="BZ18" i="64"/>
  <c r="BN20" i="64"/>
  <c r="BM21" i="64"/>
  <c r="BM20" i="64"/>
  <c r="BY18" i="64"/>
  <c r="BS51" i="64"/>
  <c r="CE49" i="64"/>
  <c r="BS52" i="64"/>
  <c r="BC54" i="64"/>
  <c r="CC12" i="64"/>
  <c r="BQ15" i="64"/>
  <c r="BQ14" i="64"/>
  <c r="BY30" i="64"/>
  <c r="BM33" i="64"/>
  <c r="BM32" i="64"/>
  <c r="BK54" i="64"/>
  <c r="BZ30" i="64"/>
  <c r="BN33" i="64"/>
  <c r="BN32" i="64"/>
  <c r="CD18" i="64"/>
  <c r="BR20" i="64"/>
  <c r="BR21" i="64"/>
  <c r="BQ20" i="64"/>
  <c r="CC18" i="64"/>
  <c r="BQ21" i="64"/>
  <c r="BI54" i="64"/>
  <c r="CB18" i="64"/>
  <c r="BP20" i="64"/>
  <c r="BP21" i="64"/>
  <c r="CC36" i="64"/>
  <c r="BQ38" i="64"/>
  <c r="BQ39" i="64"/>
  <c r="CH36" i="64"/>
  <c r="BV38" i="64"/>
  <c r="BV39" i="64"/>
  <c r="BL15" i="64"/>
  <c r="BL14" i="64"/>
  <c r="BX12" i="64"/>
  <c r="CF36" i="64"/>
  <c r="BT39" i="64"/>
  <c r="BT38" i="64"/>
  <c r="CE18" i="64"/>
  <c r="BS20" i="64"/>
  <c r="BS21" i="64"/>
  <c r="BX45" i="64"/>
  <c r="BX44" i="64"/>
  <c r="BT15" i="64"/>
  <c r="BT14" i="64"/>
  <c r="CF12" i="64"/>
  <c r="BQ33" i="64"/>
  <c r="BQ32" i="64"/>
  <c r="CC30" i="64"/>
  <c r="AT98" i="60"/>
  <c r="BG54" i="64"/>
  <c r="BU52" i="64"/>
  <c r="CG49" i="64"/>
  <c r="BU51" i="64"/>
  <c r="BM27" i="64"/>
  <c r="BY24" i="64"/>
  <c r="BM26" i="64"/>
  <c r="BN52" i="64"/>
  <c r="BN51" i="64"/>
  <c r="BZ49" i="64"/>
  <c r="CI12" i="64"/>
  <c r="BW15" i="64"/>
  <c r="BW14" i="64"/>
  <c r="BJ54" i="64"/>
  <c r="CE24" i="64"/>
  <c r="BS27" i="64"/>
  <c r="BS26" i="64"/>
  <c r="BO21" i="64"/>
  <c r="CA18" i="64"/>
  <c r="BO20" i="64"/>
  <c r="BW20" i="64"/>
  <c r="CI18" i="64"/>
  <c r="BW21" i="64"/>
  <c r="BO51" i="64"/>
  <c r="BO52" i="64"/>
  <c r="CA49" i="64"/>
  <c r="BU20" i="64"/>
  <c r="BU21" i="64"/>
  <c r="CG18" i="64"/>
  <c r="CG12" i="64"/>
  <c r="BU14" i="64"/>
  <c r="BU15" i="64"/>
  <c r="BL18" i="64"/>
  <c r="AZ20" i="64"/>
  <c r="AZ21" i="64"/>
  <c r="BW52" i="64"/>
  <c r="CI49" i="64"/>
  <c r="BW51" i="64"/>
  <c r="BT21" i="64"/>
  <c r="BT20" i="64"/>
  <c r="CF18" i="64"/>
  <c r="CI24" i="64"/>
  <c r="BW26" i="64"/>
  <c r="BW27" i="64"/>
  <c r="CD36" i="64"/>
  <c r="BR38" i="64"/>
  <c r="BR39" i="64"/>
  <c r="BY45" i="64"/>
  <c r="BY44" i="64"/>
  <c r="BU33" i="64"/>
  <c r="CG30" i="64"/>
  <c r="BU32" i="64"/>
  <c r="BM51" i="64"/>
  <c r="BY49" i="64"/>
  <c r="BM52" i="64"/>
  <c r="BH54" i="64"/>
  <c r="BT32" i="64"/>
  <c r="BT33" i="64"/>
  <c r="CF30" i="64"/>
  <c r="BA54" i="64"/>
  <c r="CC24" i="64"/>
  <c r="BQ26" i="64"/>
  <c r="BQ27" i="64"/>
  <c r="CH45" i="64"/>
  <c r="CH44" i="64"/>
  <c r="CE45" i="64"/>
  <c r="CE44" i="64"/>
  <c r="AS98" i="60"/>
  <c r="CC45" i="64"/>
  <c r="CC44" i="64"/>
  <c r="BP51" i="64"/>
  <c r="CB49" i="64"/>
  <c r="BP52" i="64"/>
  <c r="BW32" i="64"/>
  <c r="CI30" i="64"/>
  <c r="BW33" i="64"/>
  <c r="AW98" i="60"/>
  <c r="BF54" i="64"/>
  <c r="BR52" i="64"/>
  <c r="CD49" i="64"/>
  <c r="BR51" i="64"/>
  <c r="CD44" i="64"/>
  <c r="CD45" i="64"/>
  <c r="AN54" i="64"/>
  <c r="BZ45" i="64"/>
  <c r="BZ44" i="64"/>
  <c r="BQ51" i="64"/>
  <c r="CC49" i="64"/>
  <c r="BQ52" i="64"/>
  <c r="BV20" i="64"/>
  <c r="CH18" i="64"/>
  <c r="BV21" i="64"/>
  <c r="BZ36" i="64"/>
  <c r="BN38" i="64"/>
  <c r="BN39" i="64"/>
  <c r="BM38" i="64"/>
  <c r="BM39" i="64"/>
  <c r="BY36" i="64"/>
  <c r="CB45" i="64"/>
  <c r="CB44" i="64"/>
  <c r="BL38" i="64"/>
  <c r="BX36" i="64"/>
  <c r="BL39" i="64"/>
  <c r="CG44" i="64"/>
  <c r="CG45" i="64"/>
  <c r="AY98" i="60"/>
  <c r="BL24" i="64"/>
  <c r="AZ27" i="64"/>
  <c r="AZ26" i="64"/>
  <c r="BT26" i="64"/>
  <c r="BT27" i="64"/>
  <c r="CF24" i="64"/>
  <c r="AU98" i="60"/>
  <c r="BB54" i="64"/>
  <c r="BV27" i="64"/>
  <c r="CH24" i="64"/>
  <c r="BV26" i="64"/>
  <c r="BP26" i="64"/>
  <c r="CB24" i="64"/>
  <c r="BP27" i="64"/>
  <c r="BP14" i="64"/>
  <c r="CB12" i="64"/>
  <c r="BP15" i="64"/>
  <c r="BR27" i="64"/>
  <c r="CD24" i="64"/>
  <c r="BR26" i="64"/>
  <c r="AZ51" i="64"/>
  <c r="BL49" i="64"/>
  <c r="AZ52" i="64"/>
  <c r="AX98" i="60"/>
  <c r="CE12" i="64"/>
  <c r="BS15" i="64"/>
  <c r="BS14" i="64"/>
  <c r="BO15" i="64"/>
  <c r="BO14" i="64"/>
  <c r="CA12" i="64"/>
  <c r="BO32" i="64"/>
  <c r="CA30" i="64"/>
  <c r="BO33" i="64"/>
  <c r="CF44" i="64"/>
  <c r="CF45" i="64"/>
  <c r="BN26" i="64"/>
  <c r="BZ24" i="64"/>
  <c r="BN27" i="64"/>
  <c r="CD12" i="64"/>
  <c r="BR14" i="64"/>
  <c r="BR15" i="64"/>
  <c r="CH12" i="64"/>
  <c r="BV14" i="64"/>
  <c r="BV15" i="64"/>
  <c r="CH30" i="64"/>
  <c r="BV33" i="64"/>
  <c r="BV32" i="64"/>
  <c r="AQ98" i="60"/>
  <c r="BS39" i="64"/>
  <c r="BS38" i="64"/>
  <c r="CE36" i="64"/>
  <c r="BU38" i="64"/>
  <c r="CG36" i="64"/>
  <c r="BU39" i="64"/>
  <c r="BR33" i="64"/>
  <c r="CD30" i="64"/>
  <c r="BR32" i="64"/>
  <c r="CA45" i="64"/>
  <c r="CA44" i="64"/>
  <c r="BW38" i="64"/>
  <c r="CI36" i="64"/>
  <c r="BW39" i="64"/>
  <c r="BO38" i="64"/>
  <c r="BO39" i="64"/>
  <c r="CA36" i="64"/>
  <c r="BE54" i="64"/>
  <c r="CF49" i="64"/>
  <c r="BT51" i="64"/>
  <c r="BT52" i="64"/>
  <c r="BU27" i="64"/>
  <c r="CG24" i="64"/>
  <c r="BU26" i="64"/>
  <c r="CI45" i="64"/>
  <c r="CI44" i="64"/>
  <c r="O19" i="72" l="1"/>
  <c r="W19" i="72"/>
  <c r="AF19" i="72" s="1"/>
  <c r="G99" i="115"/>
  <c r="P99" i="115" s="1"/>
  <c r="G99" i="65"/>
  <c r="AH19" i="72"/>
  <c r="B315" i="82"/>
  <c r="J314" i="82"/>
  <c r="BD98" i="60"/>
  <c r="CD33" i="64"/>
  <c r="CD32" i="64"/>
  <c r="CH26" i="64"/>
  <c r="CH27" i="64"/>
  <c r="CH21" i="64"/>
  <c r="CH20" i="64"/>
  <c r="BF98" i="60"/>
  <c r="CI33" i="64"/>
  <c r="CI32" i="64"/>
  <c r="BA98" i="60"/>
  <c r="CF33" i="64"/>
  <c r="CF32" i="64"/>
  <c r="CG33" i="64"/>
  <c r="CG32" i="64"/>
  <c r="CD39" i="64"/>
  <c r="CD38" i="64"/>
  <c r="CF20" i="64"/>
  <c r="CF21" i="64"/>
  <c r="CI52" i="64"/>
  <c r="CI51" i="64"/>
  <c r="BL21" i="64"/>
  <c r="BL20" i="64"/>
  <c r="BX18" i="64"/>
  <c r="CA21" i="64"/>
  <c r="CA20" i="64"/>
  <c r="CF14" i="64"/>
  <c r="CF15" i="64"/>
  <c r="CH38" i="64"/>
  <c r="CH39" i="64"/>
  <c r="CB20" i="64"/>
  <c r="CB21" i="64"/>
  <c r="BQ54" i="64"/>
  <c r="CE51" i="64"/>
  <c r="CE52" i="64"/>
  <c r="CA27" i="64"/>
  <c r="CA26" i="64"/>
  <c r="CH52" i="64"/>
  <c r="CH51" i="64"/>
  <c r="BM54" i="64"/>
  <c r="BN54" i="64"/>
  <c r="CG39" i="64"/>
  <c r="CG38" i="64"/>
  <c r="CH14" i="64"/>
  <c r="CH15" i="64"/>
  <c r="CE38" i="64"/>
  <c r="CE39" i="64"/>
  <c r="CA14" i="64"/>
  <c r="CA15" i="64"/>
  <c r="BP54" i="64"/>
  <c r="CB27" i="64"/>
  <c r="CB26" i="64"/>
  <c r="BX39" i="64"/>
  <c r="BX38" i="64"/>
  <c r="BY39" i="64"/>
  <c r="BY38" i="64"/>
  <c r="BY52" i="64"/>
  <c r="BY51" i="64"/>
  <c r="BU54" i="64"/>
  <c r="CA51" i="64"/>
  <c r="CA52" i="64"/>
  <c r="CI20" i="64"/>
  <c r="CI21" i="64"/>
  <c r="CE27" i="64"/>
  <c r="CE26" i="64"/>
  <c r="CG51" i="64"/>
  <c r="CG52" i="64"/>
  <c r="CC33" i="64"/>
  <c r="CC32" i="64"/>
  <c r="CC21" i="64"/>
  <c r="CC20" i="64"/>
  <c r="CD20" i="64"/>
  <c r="CD21" i="64"/>
  <c r="CC14" i="64"/>
  <c r="CC15" i="64"/>
  <c r="CE32" i="64"/>
  <c r="CE33" i="64"/>
  <c r="BZ14" i="64"/>
  <c r="BZ15" i="64"/>
  <c r="CF52" i="64"/>
  <c r="CF51" i="64"/>
  <c r="BR54" i="64"/>
  <c r="BV54" i="64"/>
  <c r="BZ27" i="64"/>
  <c r="BZ26" i="64"/>
  <c r="CE15" i="64"/>
  <c r="CE14" i="64"/>
  <c r="CD26" i="64"/>
  <c r="CD27" i="64"/>
  <c r="CB14" i="64"/>
  <c r="CB15" i="64"/>
  <c r="BB98" i="60"/>
  <c r="CF27" i="64"/>
  <c r="CF26" i="64"/>
  <c r="BZ38" i="64"/>
  <c r="BZ39" i="64"/>
  <c r="CD51" i="64"/>
  <c r="CD52" i="64"/>
  <c r="AZ54" i="64"/>
  <c r="CG21" i="64"/>
  <c r="CG20" i="64"/>
  <c r="BJ98" i="60"/>
  <c r="BW54" i="64"/>
  <c r="BZ52" i="64"/>
  <c r="BZ51" i="64"/>
  <c r="BY27" i="64"/>
  <c r="BY26" i="64"/>
  <c r="BT54" i="64"/>
  <c r="CF38" i="64"/>
  <c r="CF39" i="64"/>
  <c r="CC38" i="64"/>
  <c r="CC39" i="64"/>
  <c r="BY32" i="64"/>
  <c r="BY33" i="64"/>
  <c r="BC98" i="60"/>
  <c r="BY20" i="64"/>
  <c r="BY21" i="64"/>
  <c r="BZ21" i="64"/>
  <c r="BZ20" i="64"/>
  <c r="BX32" i="64"/>
  <c r="BX33" i="64"/>
  <c r="BY15" i="64"/>
  <c r="BY14" i="64"/>
  <c r="CH33" i="64"/>
  <c r="CH32" i="64"/>
  <c r="BE98" i="60"/>
  <c r="CG26" i="64"/>
  <c r="CG27" i="64"/>
  <c r="CA38" i="64"/>
  <c r="CA39" i="64"/>
  <c r="CI38" i="64"/>
  <c r="CI39" i="64"/>
  <c r="CD15" i="64"/>
  <c r="CD14" i="64"/>
  <c r="CA32" i="64"/>
  <c r="CA33" i="64"/>
  <c r="BO54" i="64"/>
  <c r="BL52" i="64"/>
  <c r="BL51" i="64"/>
  <c r="BX49" i="64"/>
  <c r="BL26" i="64"/>
  <c r="BX24" i="64"/>
  <c r="BL27" i="64"/>
  <c r="CC52" i="64"/>
  <c r="CC51" i="64"/>
  <c r="AN98" i="60"/>
  <c r="AI19" i="72" s="1"/>
  <c r="CB52" i="64"/>
  <c r="CB51" i="64"/>
  <c r="CC26" i="64"/>
  <c r="CC27" i="64"/>
  <c r="BH98" i="60"/>
  <c r="CI26" i="64"/>
  <c r="CI27" i="64"/>
  <c r="CG14" i="64"/>
  <c r="CG15" i="64"/>
  <c r="CI14" i="64"/>
  <c r="CI15" i="64"/>
  <c r="BG98" i="60"/>
  <c r="CE20" i="64"/>
  <c r="CE21" i="64"/>
  <c r="BX14" i="64"/>
  <c r="BX15" i="64"/>
  <c r="BI98" i="60"/>
  <c r="BZ32" i="64"/>
  <c r="BZ33" i="64"/>
  <c r="BK98" i="60"/>
  <c r="BS54" i="64"/>
  <c r="CB32" i="64"/>
  <c r="CB33" i="64"/>
  <c r="CB39" i="64"/>
  <c r="CB38" i="64"/>
  <c r="B316" i="82" l="1"/>
  <c r="J315" i="82"/>
  <c r="P99" i="65"/>
  <c r="F57" i="61" s="1"/>
  <c r="CG54" i="64"/>
  <c r="BY54" i="64"/>
  <c r="CD54" i="64"/>
  <c r="CD98" i="60" s="1"/>
  <c r="CI54" i="64"/>
  <c r="CI98" i="60" s="1"/>
  <c r="BX26" i="64"/>
  <c r="BX27" i="64"/>
  <c r="BR98" i="60"/>
  <c r="BP98" i="60"/>
  <c r="CF54" i="64"/>
  <c r="BL54" i="64"/>
  <c r="BO98" i="60"/>
  <c r="BT98" i="60"/>
  <c r="AZ98" i="60"/>
  <c r="AJ19" i="72" s="1"/>
  <c r="CC54" i="64"/>
  <c r="BU98" i="60"/>
  <c r="CA54" i="64"/>
  <c r="CH54" i="64"/>
  <c r="BX51" i="64"/>
  <c r="BX52" i="64"/>
  <c r="BW98" i="60"/>
  <c r="CB54" i="64"/>
  <c r="BV98" i="60"/>
  <c r="BN98" i="60"/>
  <c r="BX21" i="64"/>
  <c r="BX20" i="64"/>
  <c r="BS98" i="60"/>
  <c r="BZ54" i="64"/>
  <c r="BM98" i="60"/>
  <c r="CE54" i="64"/>
  <c r="BQ98" i="60"/>
  <c r="P42" i="91" l="1"/>
  <c r="B317" i="82"/>
  <c r="J316" i="82"/>
  <c r="P42" i="76"/>
  <c r="BY98" i="60"/>
  <c r="CG98" i="60"/>
  <c r="BX54" i="64"/>
  <c r="CB98" i="60"/>
  <c r="CA98" i="60"/>
  <c r="CC98" i="60"/>
  <c r="CE98" i="60"/>
  <c r="BL98" i="60"/>
  <c r="AK19" i="72" s="1"/>
  <c r="BZ98" i="60"/>
  <c r="CH98" i="60"/>
  <c r="CF98" i="60"/>
  <c r="B318" i="82" l="1"/>
  <c r="J317" i="82"/>
  <c r="BX98" i="60"/>
  <c r="AL19" i="72" s="1"/>
  <c r="B319" i="82" l="1"/>
  <c r="J318" i="82"/>
  <c r="B320" i="82" l="1"/>
  <c r="J319" i="82"/>
  <c r="B321" i="82" l="1"/>
  <c r="J320" i="82"/>
  <c r="B322" i="82" l="1"/>
  <c r="J321" i="82"/>
  <c r="B323" i="82" l="1"/>
  <c r="J322" i="82"/>
  <c r="B324" i="82" l="1"/>
  <c r="J323" i="82"/>
  <c r="B325" i="82" l="1"/>
  <c r="J324" i="82"/>
  <c r="B326" i="82" l="1"/>
  <c r="J325" i="82"/>
  <c r="B327" i="82" l="1"/>
  <c r="J326" i="82"/>
  <c r="B328" i="82" l="1"/>
  <c r="J327" i="82"/>
  <c r="B329" i="82" l="1"/>
  <c r="J328" i="82"/>
  <c r="B330" i="82" l="1"/>
  <c r="J329" i="82"/>
  <c r="B331" i="82" l="1"/>
  <c r="J330" i="82"/>
  <c r="B332" i="82" l="1"/>
  <c r="J331" i="82"/>
  <c r="B333" i="82" l="1"/>
  <c r="J332" i="82"/>
  <c r="B334" i="82" l="1"/>
  <c r="J333" i="82"/>
  <c r="B335" i="82" l="1"/>
  <c r="J334" i="82"/>
  <c r="B336" i="82" l="1"/>
  <c r="J335" i="82"/>
  <c r="B337" i="82" l="1"/>
  <c r="J336" i="82"/>
  <c r="B338" i="82" l="1"/>
  <c r="J337" i="82"/>
  <c r="B339" i="82" l="1"/>
  <c r="J338" i="82"/>
  <c r="B340" i="82" l="1"/>
  <c r="J339" i="82"/>
  <c r="B341" i="82" l="1"/>
  <c r="J340" i="82"/>
  <c r="B342" i="82" l="1"/>
  <c r="J341" i="82"/>
  <c r="B343" i="82" l="1"/>
  <c r="J342" i="82"/>
  <c r="B344" i="82" l="1"/>
  <c r="J343" i="82"/>
  <c r="B345" i="82" l="1"/>
  <c r="J344" i="82"/>
  <c r="B346" i="82" l="1"/>
  <c r="J345" i="82"/>
  <c r="B347" i="82" l="1"/>
  <c r="J346" i="82"/>
  <c r="B348" i="82" l="1"/>
  <c r="J347" i="82"/>
  <c r="B349" i="82" l="1"/>
  <c r="J348" i="82"/>
  <c r="B350" i="82" l="1"/>
  <c r="J349" i="82"/>
  <c r="B351" i="82" l="1"/>
  <c r="J350" i="82"/>
  <c r="B352" i="82" l="1"/>
  <c r="J351" i="82"/>
  <c r="B353" i="82" l="1"/>
  <c r="J352" i="82"/>
  <c r="B354" i="82" l="1"/>
  <c r="J353" i="82"/>
  <c r="B355" i="82" l="1"/>
  <c r="J354" i="82"/>
  <c r="B356" i="82" l="1"/>
  <c r="J355" i="82"/>
  <c r="B357" i="82" l="1"/>
  <c r="J356" i="82"/>
  <c r="B358" i="82" l="1"/>
  <c r="J357" i="82"/>
  <c r="B359" i="82" l="1"/>
  <c r="J358" i="82"/>
  <c r="B360" i="82" l="1"/>
  <c r="J359" i="82"/>
  <c r="B361" i="82" l="1"/>
  <c r="J360" i="82"/>
  <c r="B362" i="82" l="1"/>
  <c r="J361" i="82"/>
  <c r="B363" i="82" l="1"/>
  <c r="J362" i="82"/>
  <c r="B364" i="82" l="1"/>
  <c r="J363" i="82"/>
  <c r="B365" i="82" l="1"/>
  <c r="J364" i="82"/>
  <c r="B366" i="82" l="1"/>
  <c r="J365" i="82"/>
  <c r="B367" i="82" l="1"/>
  <c r="J366" i="82"/>
  <c r="B368" i="82" l="1"/>
  <c r="J367" i="82"/>
  <c r="B369" i="82" l="1"/>
  <c r="J368" i="82"/>
  <c r="B370" i="82" l="1"/>
  <c r="J369" i="82"/>
  <c r="B371" i="82" l="1"/>
  <c r="J370" i="82"/>
  <c r="B372" i="82" l="1"/>
  <c r="J371" i="82"/>
  <c r="B373" i="82" l="1"/>
  <c r="J372" i="82"/>
  <c r="B374" i="82" l="1"/>
  <c r="J373" i="82"/>
  <c r="B375" i="82" l="1"/>
  <c r="J374" i="82"/>
  <c r="B376" i="82" l="1"/>
  <c r="J375" i="82"/>
  <c r="B377" i="82" l="1"/>
  <c r="J376" i="82"/>
  <c r="B378" i="82" l="1"/>
  <c r="J377" i="82"/>
  <c r="B379" i="82" l="1"/>
  <c r="J378" i="82"/>
  <c r="B380" i="82" l="1"/>
  <c r="J379" i="82"/>
  <c r="B381" i="82" l="1"/>
  <c r="J380" i="82"/>
  <c r="B382" i="82" l="1"/>
  <c r="J381" i="82"/>
  <c r="B383" i="82" l="1"/>
  <c r="J382" i="82"/>
  <c r="B384" i="82" l="1"/>
  <c r="J383" i="82"/>
  <c r="B385" i="82" l="1"/>
  <c r="J384" i="82"/>
  <c r="B386" i="82" l="1"/>
  <c r="J385" i="82"/>
  <c r="B387" i="82" l="1"/>
  <c r="J386" i="82"/>
  <c r="B388" i="82" l="1"/>
  <c r="J387" i="82"/>
  <c r="B389" i="82" l="1"/>
  <c r="J388" i="82"/>
  <c r="B390" i="82" l="1"/>
  <c r="J389" i="82"/>
  <c r="B391" i="82" l="1"/>
  <c r="J390" i="82"/>
  <c r="B392" i="82" l="1"/>
  <c r="J391" i="82"/>
  <c r="B393" i="82" l="1"/>
  <c r="J392" i="82"/>
  <c r="B394" i="82" l="1"/>
  <c r="J393" i="82"/>
  <c r="B395" i="82" l="1"/>
  <c r="J394" i="82"/>
  <c r="B396" i="82" l="1"/>
  <c r="J395" i="82"/>
  <c r="B397" i="82" l="1"/>
  <c r="J396" i="82"/>
  <c r="B398" i="82" l="1"/>
  <c r="J397" i="82"/>
  <c r="B399" i="82" l="1"/>
  <c r="J398" i="82"/>
  <c r="B400" i="82" l="1"/>
  <c r="J399" i="82"/>
  <c r="B401" i="82" l="1"/>
  <c r="J400" i="82"/>
  <c r="B402" i="82" l="1"/>
  <c r="J401" i="82"/>
  <c r="B403" i="82" l="1"/>
  <c r="J402" i="82"/>
  <c r="B404" i="82" l="1"/>
  <c r="J403" i="82"/>
  <c r="B405" i="82" l="1"/>
  <c r="J404" i="82"/>
  <c r="B406" i="82" l="1"/>
  <c r="J405" i="82"/>
  <c r="B407" i="82" l="1"/>
  <c r="J406" i="82"/>
  <c r="B408" i="82" l="1"/>
  <c r="J407" i="82"/>
  <c r="B409" i="82" l="1"/>
  <c r="J408" i="82"/>
  <c r="B410" i="82" l="1"/>
  <c r="J409" i="82"/>
  <c r="B411" i="82" l="1"/>
  <c r="J410" i="82"/>
  <c r="B412" i="82" l="1"/>
  <c r="J411" i="82"/>
  <c r="B413" i="82" l="1"/>
  <c r="J412" i="82"/>
  <c r="B414" i="82" l="1"/>
  <c r="J413" i="82"/>
  <c r="B415" i="82" l="1"/>
  <c r="J414" i="82"/>
  <c r="B416" i="82" l="1"/>
  <c r="J415" i="82"/>
  <c r="B417" i="82" l="1"/>
  <c r="J416" i="82"/>
  <c r="B418" i="82" l="1"/>
  <c r="J417" i="82"/>
  <c r="B419" i="82" l="1"/>
  <c r="J418" i="82"/>
  <c r="B420" i="82" l="1"/>
  <c r="J419" i="82"/>
  <c r="B421" i="82" l="1"/>
  <c r="J420" i="82"/>
  <c r="B422" i="82" l="1"/>
  <c r="J421" i="82"/>
  <c r="B423" i="82" l="1"/>
  <c r="J422" i="82"/>
  <c r="B424" i="82" l="1"/>
  <c r="J423" i="82"/>
  <c r="B425" i="82" l="1"/>
  <c r="J424" i="82"/>
  <c r="B426" i="82" l="1"/>
  <c r="J425" i="82"/>
  <c r="B427" i="82" l="1"/>
  <c r="J426" i="82"/>
  <c r="B428" i="82" l="1"/>
  <c r="J427" i="82"/>
  <c r="B429" i="82" l="1"/>
  <c r="J428" i="82"/>
  <c r="B430" i="82" l="1"/>
  <c r="J429" i="82"/>
  <c r="B431" i="82" l="1"/>
  <c r="J430" i="82"/>
  <c r="B432" i="82" l="1"/>
  <c r="J431" i="82"/>
  <c r="B433" i="82" l="1"/>
  <c r="J432" i="82"/>
  <c r="B434" i="82" l="1"/>
  <c r="J433" i="82"/>
  <c r="B435" i="82" l="1"/>
  <c r="J434" i="82"/>
  <c r="B436" i="82" l="1"/>
  <c r="J435" i="82"/>
  <c r="B437" i="82" l="1"/>
  <c r="J436" i="82"/>
  <c r="B438" i="82" l="1"/>
  <c r="J437" i="82"/>
  <c r="B439" i="82" l="1"/>
  <c r="J438" i="82"/>
  <c r="B440" i="82" l="1"/>
  <c r="B441" i="82" s="1"/>
  <c r="B442" i="82" s="1"/>
  <c r="B443" i="82" s="1"/>
  <c r="B444" i="82" s="1"/>
  <c r="B445" i="82" s="1"/>
  <c r="B446" i="82" s="1"/>
  <c r="B447" i="82" s="1"/>
  <c r="B448" i="82" s="1"/>
  <c r="B449" i="82" s="1"/>
  <c r="B450" i="82" s="1"/>
  <c r="B451" i="82" s="1"/>
  <c r="B452" i="82" s="1"/>
  <c r="B453" i="82" s="1"/>
  <c r="B454" i="82" s="1"/>
  <c r="B455" i="82" s="1"/>
  <c r="J439" i="82"/>
  <c r="J440" i="82" l="1"/>
  <c r="P55" i="82" l="1"/>
  <c r="F19" i="82" s="1"/>
  <c r="O53" i="82"/>
  <c r="D17" i="82" s="1"/>
  <c r="O52" i="82"/>
  <c r="D16" i="82" s="1"/>
  <c r="O50" i="82"/>
  <c r="D14" i="82" s="1"/>
  <c r="P54" i="82"/>
  <c r="F18" i="82" s="1"/>
  <c r="P48" i="82"/>
  <c r="O49" i="82"/>
  <c r="D13" i="82" s="1"/>
  <c r="P56" i="82"/>
  <c r="F20" i="82" s="1"/>
  <c r="P59" i="82"/>
  <c r="F23" i="82" s="1"/>
  <c r="P52" i="82"/>
  <c r="F16" i="82" s="1"/>
  <c r="O48" i="82"/>
  <c r="O56" i="82"/>
  <c r="D20" i="82" s="1"/>
  <c r="P50" i="82"/>
  <c r="F14" i="82" s="1"/>
  <c r="O57" i="82"/>
  <c r="D21" i="82" s="1"/>
  <c r="O54" i="82"/>
  <c r="D18" i="82" s="1"/>
  <c r="P49" i="82"/>
  <c r="F13" i="82" s="1"/>
  <c r="O58" i="82"/>
  <c r="D22" i="82" s="1"/>
  <c r="P58" i="82"/>
  <c r="F22" i="82" s="1"/>
  <c r="O51" i="82"/>
  <c r="D15" i="82" s="1"/>
  <c r="P53" i="82"/>
  <c r="F17" i="82" s="1"/>
  <c r="O59" i="82"/>
  <c r="D23" i="82" s="1"/>
  <c r="O55" i="82"/>
  <c r="D19" i="82" s="1"/>
  <c r="P51" i="82"/>
  <c r="F15" i="82" s="1"/>
  <c r="P57" i="82"/>
  <c r="F21" i="82" s="1"/>
  <c r="J15" i="113" l="1"/>
  <c r="V15" i="113" s="1"/>
  <c r="AH15" i="113" s="1"/>
  <c r="AT15" i="113" s="1"/>
  <c r="BF15" i="113" s="1"/>
  <c r="BR15" i="113" s="1"/>
  <c r="CD15" i="113" s="1"/>
  <c r="F14" i="113"/>
  <c r="R14" i="113" s="1"/>
  <c r="F15" i="113"/>
  <c r="R15" i="113" s="1"/>
  <c r="AD15" i="113" s="1"/>
  <c r="AP15" i="113" s="1"/>
  <c r="BB15" i="113" s="1"/>
  <c r="BN15" i="113" s="1"/>
  <c r="BZ15" i="113" s="1"/>
  <c r="I15" i="113"/>
  <c r="U15" i="113" s="1"/>
  <c r="AG15" i="113" s="1"/>
  <c r="AS15" i="113" s="1"/>
  <c r="BE15" i="113" s="1"/>
  <c r="BQ15" i="113" s="1"/>
  <c r="CC15" i="113" s="1"/>
  <c r="O60" i="82"/>
  <c r="D12" i="82"/>
  <c r="D15" i="113"/>
  <c r="P15" i="113" s="1"/>
  <c r="AB15" i="113" s="1"/>
  <c r="AN15" i="113" s="1"/>
  <c r="AZ15" i="113" s="1"/>
  <c r="BL15" i="113" s="1"/>
  <c r="BX15" i="113" s="1"/>
  <c r="G15" i="113"/>
  <c r="S15" i="113" s="1"/>
  <c r="AE15" i="113" s="1"/>
  <c r="AQ15" i="113" s="1"/>
  <c r="BC15" i="113" s="1"/>
  <c r="BO15" i="113" s="1"/>
  <c r="CA15" i="113" s="1"/>
  <c r="L15" i="113"/>
  <c r="X15" i="113" s="1"/>
  <c r="AJ15" i="113" s="1"/>
  <c r="AV15" i="113" s="1"/>
  <c r="BH15" i="113" s="1"/>
  <c r="BT15" i="113" s="1"/>
  <c r="CF15" i="113" s="1"/>
  <c r="G14" i="113"/>
  <c r="S14" i="113" s="1"/>
  <c r="F12" i="82"/>
  <c r="P60" i="82"/>
  <c r="H15" i="113"/>
  <c r="T15" i="113" s="1"/>
  <c r="AF15" i="113" s="1"/>
  <c r="AR15" i="113" s="1"/>
  <c r="BD15" i="113" s="1"/>
  <c r="BP15" i="113" s="1"/>
  <c r="CB15" i="113" s="1"/>
  <c r="M14" i="113"/>
  <c r="Y14" i="113" s="1"/>
  <c r="N15" i="113"/>
  <c r="Z15" i="113" s="1"/>
  <c r="AL15" i="113" s="1"/>
  <c r="AX15" i="113" s="1"/>
  <c r="BJ15" i="113" s="1"/>
  <c r="BV15" i="113" s="1"/>
  <c r="CH15" i="113" s="1"/>
  <c r="M15" i="113"/>
  <c r="Y15" i="113" s="1"/>
  <c r="AK15" i="113" s="1"/>
  <c r="AW15" i="113" s="1"/>
  <c r="BI15" i="113" s="1"/>
  <c r="BU15" i="113" s="1"/>
  <c r="CG15" i="113" s="1"/>
  <c r="E14" i="113"/>
  <c r="Q14" i="113" s="1"/>
  <c r="N14" i="113"/>
  <c r="Z14" i="113" s="1"/>
  <c r="I14" i="113"/>
  <c r="U14" i="113" s="1"/>
  <c r="J14" i="113"/>
  <c r="V14" i="113" s="1"/>
  <c r="L14" i="113"/>
  <c r="X14" i="113" s="1"/>
  <c r="H14" i="113"/>
  <c r="T14" i="113" s="1"/>
  <c r="D14" i="113"/>
  <c r="P14" i="113" s="1"/>
  <c r="K15" i="113"/>
  <c r="W15" i="113" s="1"/>
  <c r="AI15" i="113" s="1"/>
  <c r="AU15" i="113" s="1"/>
  <c r="BG15" i="113" s="1"/>
  <c r="BS15" i="113" s="1"/>
  <c r="CE15" i="113" s="1"/>
  <c r="K14" i="113"/>
  <c r="W14" i="113" s="1"/>
  <c r="E15" i="113"/>
  <c r="Q15" i="113" s="1"/>
  <c r="AC15" i="113" s="1"/>
  <c r="AO15" i="113" s="1"/>
  <c r="BA15" i="113" s="1"/>
  <c r="BM15" i="113" s="1"/>
  <c r="BY15" i="113" s="1"/>
  <c r="AF14" i="113" l="1"/>
  <c r="AH14" i="113"/>
  <c r="AB14" i="113"/>
  <c r="AC14" i="113"/>
  <c r="AI14" i="113"/>
  <c r="AJ14" i="113"/>
  <c r="AG14" i="113"/>
  <c r="AL14" i="113"/>
  <c r="AK14" i="113"/>
  <c r="AE14" i="113"/>
  <c r="AD14" i="113"/>
  <c r="C15" i="113"/>
  <c r="O15" i="113" s="1"/>
  <c r="AA15" i="113" s="1"/>
  <c r="AM15" i="113" s="1"/>
  <c r="AY15" i="113" s="1"/>
  <c r="BK15" i="113" s="1"/>
  <c r="BW15" i="113" s="1"/>
  <c r="D25" i="82"/>
  <c r="F28" i="81" s="1"/>
  <c r="G28" i="81" s="1"/>
  <c r="H28" i="81" s="1"/>
  <c r="C14" i="113"/>
  <c r="O14" i="113" s="1"/>
  <c r="F25" i="82"/>
  <c r="AP14" i="113" l="1"/>
  <c r="AW14" i="113"/>
  <c r="AS14" i="113"/>
  <c r="AU14" i="113"/>
  <c r="AN14" i="113"/>
  <c r="AR14" i="113"/>
  <c r="AQ14" i="113"/>
  <c r="AX14" i="113"/>
  <c r="AV14" i="113"/>
  <c r="AO14" i="113"/>
  <c r="AT14" i="113"/>
  <c r="AA14" i="113"/>
  <c r="I28" i="81"/>
  <c r="BF14" i="113" l="1"/>
  <c r="BH14" i="113"/>
  <c r="BC14" i="113"/>
  <c r="AZ14" i="113"/>
  <c r="BE14" i="113"/>
  <c r="BB14" i="113"/>
  <c r="BA14" i="113"/>
  <c r="BJ14" i="113"/>
  <c r="BD14" i="113"/>
  <c r="BG14" i="113"/>
  <c r="BI14" i="113"/>
  <c r="AM14" i="113"/>
  <c r="BS14" i="113" l="1"/>
  <c r="BV14" i="113"/>
  <c r="BN14" i="113"/>
  <c r="BL14" i="113"/>
  <c r="BT14" i="113"/>
  <c r="BU14" i="113"/>
  <c r="BP14" i="113"/>
  <c r="BM14" i="113"/>
  <c r="BQ14" i="113"/>
  <c r="BO14" i="113"/>
  <c r="BR14" i="113"/>
  <c r="AY14" i="113"/>
  <c r="CA14" i="113" l="1"/>
  <c r="BY14" i="113"/>
  <c r="CG14" i="113"/>
  <c r="BX14" i="113"/>
  <c r="CH14" i="113"/>
  <c r="CD14" i="113"/>
  <c r="CC14" i="113"/>
  <c r="CB14" i="113"/>
  <c r="CF14" i="113"/>
  <c r="BZ14" i="113"/>
  <c r="CE14" i="113"/>
  <c r="BK14" i="113"/>
  <c r="BW14" i="113" l="1"/>
  <c r="P74" i="113" l="1"/>
  <c r="P20" i="113"/>
  <c r="Q20" i="113" l="1"/>
  <c r="Q74" i="113"/>
  <c r="P75" i="113" l="1"/>
  <c r="Q75" i="113" s="1"/>
  <c r="R75" i="113" s="1"/>
  <c r="S75" i="113" s="1"/>
  <c r="T75" i="113" s="1"/>
  <c r="U75" i="113" s="1"/>
  <c r="V75" i="113" s="1"/>
  <c r="W75" i="113" s="1"/>
  <c r="X75" i="113" s="1"/>
  <c r="Y75" i="113" s="1"/>
  <c r="Z75" i="113" s="1"/>
  <c r="AA75" i="113" s="1"/>
  <c r="AB75" i="113" s="1"/>
  <c r="AC75" i="113" s="1"/>
  <c r="AD75" i="113" s="1"/>
  <c r="AE75" i="113" s="1"/>
  <c r="AF75" i="113" s="1"/>
  <c r="AG75" i="113" s="1"/>
  <c r="AH75" i="113" s="1"/>
  <c r="AI75" i="113" s="1"/>
  <c r="AJ75" i="113" s="1"/>
  <c r="AK75" i="113" s="1"/>
  <c r="AL75" i="113" s="1"/>
  <c r="AM75" i="113" s="1"/>
  <c r="AN75" i="113" s="1"/>
  <c r="AO75" i="113" s="1"/>
  <c r="AP75" i="113" s="1"/>
  <c r="AQ75" i="113" s="1"/>
  <c r="AR75" i="113" s="1"/>
  <c r="AS75" i="113" s="1"/>
  <c r="AT75" i="113" s="1"/>
  <c r="AU75" i="113" s="1"/>
  <c r="AV75" i="113" s="1"/>
  <c r="AW75" i="113" s="1"/>
  <c r="AX75" i="113" s="1"/>
  <c r="AY75" i="113" s="1"/>
  <c r="AZ75" i="113" s="1"/>
  <c r="BA75" i="113" s="1"/>
  <c r="BB75" i="113" s="1"/>
  <c r="BC75" i="113" s="1"/>
  <c r="BD75" i="113" s="1"/>
  <c r="BE75" i="113" s="1"/>
  <c r="BF75" i="113" s="1"/>
  <c r="BG75" i="113" s="1"/>
  <c r="BH75" i="113" s="1"/>
  <c r="BI75" i="113" s="1"/>
  <c r="BJ75" i="113" s="1"/>
  <c r="BK75" i="113" s="1"/>
  <c r="BL75" i="113" s="1"/>
  <c r="BM75" i="113" s="1"/>
  <c r="BN75" i="113" s="1"/>
  <c r="BO75" i="113" s="1"/>
  <c r="BP75" i="113" s="1"/>
  <c r="BQ75" i="113" s="1"/>
  <c r="BR75" i="113" s="1"/>
  <c r="BS75" i="113" s="1"/>
  <c r="BT75" i="113" s="1"/>
  <c r="BU75" i="113" s="1"/>
  <c r="BV75" i="113" s="1"/>
  <c r="BW75" i="113" s="1"/>
  <c r="BX75" i="113" s="1"/>
  <c r="BY75" i="113" s="1"/>
  <c r="BZ75" i="113" s="1"/>
  <c r="CA75" i="113" s="1"/>
  <c r="CB75" i="113" s="1"/>
  <c r="CC75" i="113" s="1"/>
  <c r="CD75" i="113" s="1"/>
  <c r="CE75" i="113" s="1"/>
  <c r="CF75" i="113" s="1"/>
  <c r="CG75" i="113" s="1"/>
  <c r="CH75" i="113" s="1"/>
  <c r="R74" i="113"/>
  <c r="R20" i="113"/>
  <c r="P48" i="113" l="1"/>
  <c r="Q48" i="113" s="1"/>
  <c r="R48" i="113" s="1"/>
  <c r="S48" i="113" s="1"/>
  <c r="T48" i="113" s="1"/>
  <c r="U48" i="113" s="1"/>
  <c r="V48" i="113" s="1"/>
  <c r="W48" i="113" s="1"/>
  <c r="X48" i="113" s="1"/>
  <c r="Y48" i="113" s="1"/>
  <c r="Z48" i="113" s="1"/>
  <c r="AA48" i="113" s="1"/>
  <c r="AB48" i="113" s="1"/>
  <c r="AC48" i="113" s="1"/>
  <c r="AD48" i="113" s="1"/>
  <c r="AE48" i="113" s="1"/>
  <c r="AF48" i="113" s="1"/>
  <c r="AG48" i="113" s="1"/>
  <c r="AH48" i="113" s="1"/>
  <c r="AI48" i="113" s="1"/>
  <c r="AJ48" i="113" s="1"/>
  <c r="AK48" i="113" s="1"/>
  <c r="AL48" i="113" s="1"/>
  <c r="AM48" i="113" s="1"/>
  <c r="AN48" i="113" s="1"/>
  <c r="AO48" i="113" s="1"/>
  <c r="AP48" i="113" s="1"/>
  <c r="AQ48" i="113" s="1"/>
  <c r="AR48" i="113" s="1"/>
  <c r="AS48" i="113" s="1"/>
  <c r="AT48" i="113" s="1"/>
  <c r="AU48" i="113" s="1"/>
  <c r="AV48" i="113" s="1"/>
  <c r="AW48" i="113" s="1"/>
  <c r="AX48" i="113" s="1"/>
  <c r="AY48" i="113" s="1"/>
  <c r="AZ48" i="113" s="1"/>
  <c r="BA48" i="113" s="1"/>
  <c r="BB48" i="113" s="1"/>
  <c r="BC48" i="113" s="1"/>
  <c r="BD48" i="113" s="1"/>
  <c r="BE48" i="113" s="1"/>
  <c r="BF48" i="113" s="1"/>
  <c r="BG48" i="113" s="1"/>
  <c r="BH48" i="113" s="1"/>
  <c r="BI48" i="113" s="1"/>
  <c r="BJ48" i="113" s="1"/>
  <c r="BK48" i="113" s="1"/>
  <c r="BL48" i="113" s="1"/>
  <c r="BM48" i="113" s="1"/>
  <c r="BN48" i="113" s="1"/>
  <c r="BO48" i="113" s="1"/>
  <c r="BP48" i="113" s="1"/>
  <c r="BQ48" i="113" s="1"/>
  <c r="BR48" i="113" s="1"/>
  <c r="BS48" i="113" s="1"/>
  <c r="BT48" i="113" s="1"/>
  <c r="BU48" i="113" s="1"/>
  <c r="BV48" i="113" s="1"/>
  <c r="BW48" i="113" s="1"/>
  <c r="BX48" i="113" s="1"/>
  <c r="BY48" i="113" s="1"/>
  <c r="BZ48" i="113" s="1"/>
  <c r="CA48" i="113" s="1"/>
  <c r="CB48" i="113" s="1"/>
  <c r="CC48" i="113" s="1"/>
  <c r="CD48" i="113" s="1"/>
  <c r="CE48" i="113" s="1"/>
  <c r="CF48" i="113" s="1"/>
  <c r="CG48" i="113" s="1"/>
  <c r="CH48" i="113" s="1"/>
  <c r="S74" i="113"/>
  <c r="S20" i="113"/>
  <c r="P21" i="113"/>
  <c r="Q21" i="113" s="1"/>
  <c r="R21" i="113" s="1"/>
  <c r="S21" i="113" s="1"/>
  <c r="T21" i="113" s="1"/>
  <c r="U21" i="113" s="1"/>
  <c r="V21" i="113" s="1"/>
  <c r="W21" i="113" s="1"/>
  <c r="X21" i="113" s="1"/>
  <c r="Y21" i="113" s="1"/>
  <c r="Z21" i="113" s="1"/>
  <c r="AA21" i="113" s="1"/>
  <c r="AB21" i="113" s="1"/>
  <c r="AC21" i="113" s="1"/>
  <c r="AD21" i="113" s="1"/>
  <c r="AE21" i="113" s="1"/>
  <c r="AF21" i="113" s="1"/>
  <c r="AG21" i="113" s="1"/>
  <c r="AH21" i="113" s="1"/>
  <c r="AI21" i="113" s="1"/>
  <c r="AJ21" i="113" s="1"/>
  <c r="AK21" i="113" s="1"/>
  <c r="AL21" i="113" s="1"/>
  <c r="AM21" i="113" s="1"/>
  <c r="AN21" i="113" s="1"/>
  <c r="AO21" i="113" s="1"/>
  <c r="AP21" i="113" s="1"/>
  <c r="AQ21" i="113" s="1"/>
  <c r="AR21" i="113" s="1"/>
  <c r="AS21" i="113" s="1"/>
  <c r="AT21" i="113" s="1"/>
  <c r="AU21" i="113" s="1"/>
  <c r="AV21" i="113" s="1"/>
  <c r="AW21" i="113" s="1"/>
  <c r="AX21" i="113" s="1"/>
  <c r="AY21" i="113" s="1"/>
  <c r="AZ21" i="113" s="1"/>
  <c r="BA21" i="113" s="1"/>
  <c r="BB21" i="113" s="1"/>
  <c r="BC21" i="113" s="1"/>
  <c r="BD21" i="113" s="1"/>
  <c r="BE21" i="113" s="1"/>
  <c r="BF21" i="113" s="1"/>
  <c r="BG21" i="113" s="1"/>
  <c r="BH21" i="113" s="1"/>
  <c r="BI21" i="113" s="1"/>
  <c r="BJ21" i="113" s="1"/>
  <c r="BK21" i="113" s="1"/>
  <c r="BL21" i="113" s="1"/>
  <c r="BM21" i="113" s="1"/>
  <c r="BN21" i="113" s="1"/>
  <c r="BO21" i="113" s="1"/>
  <c r="BP21" i="113" s="1"/>
  <c r="BQ21" i="113" s="1"/>
  <c r="BR21" i="113" s="1"/>
  <c r="BS21" i="113" s="1"/>
  <c r="BT21" i="113" s="1"/>
  <c r="BU21" i="113" s="1"/>
  <c r="BV21" i="113" s="1"/>
  <c r="BW21" i="113" s="1"/>
  <c r="BX21" i="113" s="1"/>
  <c r="BY21" i="113" s="1"/>
  <c r="BZ21" i="113" s="1"/>
  <c r="CA21" i="113" s="1"/>
  <c r="CB21" i="113" s="1"/>
  <c r="CC21" i="113" s="1"/>
  <c r="CD21" i="113" s="1"/>
  <c r="CE21" i="113" s="1"/>
  <c r="CF21" i="113" s="1"/>
  <c r="CG21" i="113" s="1"/>
  <c r="CH21" i="113" s="1"/>
  <c r="T20" i="113" l="1"/>
  <c r="T74" i="113"/>
  <c r="U74" i="113" l="1"/>
  <c r="U20" i="113"/>
  <c r="V74" i="113" l="1"/>
  <c r="V20" i="113"/>
  <c r="W20" i="113" l="1"/>
  <c r="W74" i="113"/>
  <c r="X20" i="113" l="1"/>
  <c r="X74" i="113"/>
  <c r="Y74" i="113" l="1"/>
  <c r="Y20" i="113"/>
  <c r="Z20" i="113" l="1"/>
  <c r="Z74" i="113"/>
  <c r="AA20" i="113" l="1"/>
  <c r="AA74" i="113"/>
  <c r="AB74" i="113" l="1"/>
  <c r="AB20" i="113"/>
  <c r="AC20" i="113" l="1"/>
  <c r="AC74" i="113"/>
  <c r="AD74" i="113" l="1"/>
  <c r="AD20" i="113"/>
  <c r="AE20" i="113" l="1"/>
  <c r="AE74" i="113"/>
  <c r="AF74" i="113" l="1"/>
  <c r="AF20" i="113"/>
  <c r="AG20" i="113" l="1"/>
  <c r="AG74" i="113"/>
  <c r="AH74" i="113" l="1"/>
  <c r="AH20" i="113"/>
  <c r="AI74" i="113" l="1"/>
  <c r="AI20" i="113"/>
  <c r="AJ20" i="113" l="1"/>
  <c r="AJ74" i="113"/>
  <c r="AK74" i="113" l="1"/>
  <c r="AK20" i="113"/>
  <c r="AL20" i="113" l="1"/>
  <c r="AL74" i="113"/>
  <c r="AM20" i="113" l="1"/>
  <c r="AM74" i="113"/>
  <c r="AN74" i="113" l="1"/>
  <c r="AN20" i="113"/>
  <c r="AO20" i="113" l="1"/>
  <c r="AO74" i="113"/>
  <c r="AP74" i="113" l="1"/>
  <c r="AP20" i="113"/>
  <c r="AQ74" i="113" l="1"/>
  <c r="AQ20" i="113"/>
  <c r="AR20" i="113" l="1"/>
  <c r="AR74" i="113"/>
  <c r="AS74" i="113" l="1"/>
  <c r="AS20" i="113"/>
  <c r="F13" i="61"/>
  <c r="AT20" i="113" l="1"/>
  <c r="AT74" i="113"/>
  <c r="AU74" i="113" l="1"/>
  <c r="AU20" i="113"/>
  <c r="AV74" i="113" l="1"/>
  <c r="AV20" i="113"/>
  <c r="F21" i="61"/>
  <c r="AW20" i="113" l="1"/>
  <c r="AW74" i="113"/>
  <c r="AX74" i="113" l="1"/>
  <c r="AX20" i="113"/>
  <c r="AY20" i="113" l="1"/>
  <c r="AY74" i="113"/>
  <c r="AZ74" i="113" l="1"/>
  <c r="AZ20" i="113"/>
  <c r="BA20" i="113" l="1"/>
  <c r="BA74" i="113"/>
  <c r="K18" i="91" l="1"/>
  <c r="K19" i="91"/>
  <c r="BB74" i="113"/>
  <c r="BB20" i="113"/>
  <c r="BC20" i="113" l="1"/>
  <c r="BC74" i="113"/>
  <c r="K17" i="91" l="1"/>
  <c r="K40" i="76"/>
  <c r="BD74" i="113"/>
  <c r="BD20" i="113"/>
  <c r="K40" i="91" l="1"/>
  <c r="BE20" i="113"/>
  <c r="BE74" i="113"/>
  <c r="BF74" i="113" l="1"/>
  <c r="BF20" i="113"/>
  <c r="S68" i="72"/>
  <c r="BG20" i="113" l="1"/>
  <c r="BG74" i="113"/>
  <c r="BH74" i="113" l="1"/>
  <c r="BH20" i="113"/>
  <c r="BI20" i="113" l="1"/>
  <c r="BI74" i="113"/>
  <c r="BJ74" i="113" l="1"/>
  <c r="BJ20" i="113"/>
  <c r="BK20" i="113" l="1"/>
  <c r="BK74" i="113"/>
  <c r="BL74" i="113" l="1"/>
  <c r="BL20" i="113"/>
  <c r="BM20" i="113" l="1"/>
  <c r="BM74" i="113"/>
  <c r="BN74" i="113" l="1"/>
  <c r="BN20" i="113"/>
  <c r="BO20" i="113" l="1"/>
  <c r="BO74" i="113"/>
  <c r="BP20" i="113" l="1"/>
  <c r="BP74" i="113"/>
  <c r="BQ74" i="113" l="1"/>
  <c r="BQ20" i="113"/>
  <c r="BR20" i="113" l="1"/>
  <c r="BR74" i="113"/>
  <c r="BS74" i="113" l="1"/>
  <c r="BS20" i="113"/>
  <c r="BT74" i="113" l="1"/>
  <c r="BT20" i="113"/>
  <c r="BU20" i="113" l="1"/>
  <c r="BU74" i="113"/>
  <c r="H61" i="61"/>
  <c r="BV74" i="113" l="1"/>
  <c r="BV20" i="113"/>
  <c r="BW74" i="113" l="1"/>
  <c r="BW20" i="113"/>
  <c r="BX20" i="113" l="1"/>
  <c r="BX74" i="113"/>
  <c r="BY74" i="113" l="1"/>
  <c r="BY20" i="113"/>
  <c r="BZ20" i="113" l="1"/>
  <c r="BZ74" i="113"/>
  <c r="CA74" i="113" l="1"/>
  <c r="CA20" i="113"/>
  <c r="CB20" i="113" l="1"/>
  <c r="CB74" i="113"/>
  <c r="CC74" i="113" l="1"/>
  <c r="CC20" i="113"/>
  <c r="CD20" i="113" l="1"/>
  <c r="CD74" i="113"/>
  <c r="CE74" i="113" l="1"/>
  <c r="CE20" i="113"/>
  <c r="CF20" i="113" l="1"/>
  <c r="CF74" i="113"/>
  <c r="CG74" i="113" l="1"/>
  <c r="CG20" i="113"/>
  <c r="CH20" i="113" l="1"/>
  <c r="CH74" i="113"/>
  <c r="E56" i="60" l="1"/>
  <c r="F56" i="60"/>
  <c r="G56" i="60"/>
  <c r="H56" i="60"/>
  <c r="I56" i="60"/>
  <c r="J56" i="60"/>
  <c r="K56" i="60"/>
  <c r="L56" i="60"/>
  <c r="M56" i="60"/>
  <c r="N56" i="60"/>
  <c r="O56" i="60"/>
  <c r="E13" i="78" l="1"/>
  <c r="E15" i="78" s="1"/>
  <c r="X56" i="60"/>
  <c r="T56" i="60"/>
  <c r="D56" i="60"/>
  <c r="O47" i="20"/>
  <c r="G13" i="78"/>
  <c r="G15" i="78" s="1"/>
  <c r="Z56" i="60"/>
  <c r="C13" i="78"/>
  <c r="V56" i="60"/>
  <c r="R56" i="60"/>
  <c r="F13" i="78"/>
  <c r="F15" i="78" s="1"/>
  <c r="Y56" i="60"/>
  <c r="U56" i="60"/>
  <c r="Q56" i="60"/>
  <c r="AA56" i="60"/>
  <c r="H13" i="78"/>
  <c r="H15" i="78" s="1"/>
  <c r="D13" i="78"/>
  <c r="D15" i="78" s="1"/>
  <c r="W56" i="60"/>
  <c r="S56" i="60"/>
  <c r="Q13" i="78" l="1"/>
  <c r="Q15" i="78" s="1"/>
  <c r="AI56" i="60"/>
  <c r="C15" i="78"/>
  <c r="F57" i="115"/>
  <c r="F57" i="65"/>
  <c r="AM56" i="60"/>
  <c r="V13" i="78"/>
  <c r="V15" i="78" s="1"/>
  <c r="N13" i="78"/>
  <c r="N15" i="78" s="1"/>
  <c r="AG56" i="60"/>
  <c r="AH56" i="60"/>
  <c r="P13" i="78"/>
  <c r="P15" i="78" s="1"/>
  <c r="R47" i="20"/>
  <c r="O50" i="20"/>
  <c r="D20" i="76"/>
  <c r="AD56" i="60"/>
  <c r="K13" i="78"/>
  <c r="K15" i="78" s="1"/>
  <c r="E57" i="65"/>
  <c r="AL56" i="60"/>
  <c r="U13" i="78"/>
  <c r="U15" i="78" s="1"/>
  <c r="E57" i="115"/>
  <c r="M13" i="78"/>
  <c r="M15" i="78" s="1"/>
  <c r="AF56" i="60"/>
  <c r="L13" i="78"/>
  <c r="L15" i="78" s="1"/>
  <c r="AE56" i="60"/>
  <c r="AC56" i="60"/>
  <c r="J13" i="78"/>
  <c r="J15" i="78" s="1"/>
  <c r="T13" i="78"/>
  <c r="D57" i="115"/>
  <c r="D57" i="65"/>
  <c r="AK56" i="60"/>
  <c r="P56" i="60"/>
  <c r="R13" i="78"/>
  <c r="R15" i="78" s="1"/>
  <c r="AJ56" i="60"/>
  <c r="K57" i="65" l="1"/>
  <c r="AR56" i="60"/>
  <c r="AA13" i="78"/>
  <c r="AA15" i="78" s="1"/>
  <c r="K57" i="115"/>
  <c r="AU56" i="60"/>
  <c r="N57" i="115"/>
  <c r="AD13" i="78"/>
  <c r="AD15" i="78" s="1"/>
  <c r="N57" i="65"/>
  <c r="AX56" i="60"/>
  <c r="AW56" i="60"/>
  <c r="T15" i="78"/>
  <c r="J57" i="115"/>
  <c r="Z13" i="78"/>
  <c r="Z15" i="78" s="1"/>
  <c r="AQ56" i="60"/>
  <c r="J57" i="65"/>
  <c r="AT56" i="60"/>
  <c r="M57" i="65"/>
  <c r="AC13" i="78"/>
  <c r="AC15" i="78" s="1"/>
  <c r="M57" i="115"/>
  <c r="O57" i="115"/>
  <c r="O57" i="65"/>
  <c r="AE13" i="78"/>
  <c r="AE15" i="78" s="1"/>
  <c r="AV56" i="60"/>
  <c r="AB56" i="60"/>
  <c r="I13" i="78"/>
  <c r="AG13" i="78"/>
  <c r="Q22" i="83"/>
  <c r="H57" i="65"/>
  <c r="AO56" i="60"/>
  <c r="X13" i="78"/>
  <c r="X15" i="78" s="1"/>
  <c r="H57" i="115"/>
  <c r="I57" i="65"/>
  <c r="Y13" i="78"/>
  <c r="Y15" i="78" s="1"/>
  <c r="I57" i="115"/>
  <c r="AP56" i="60"/>
  <c r="P20" i="76"/>
  <c r="D20" i="91"/>
  <c r="Q20" i="91" s="1"/>
  <c r="AS56" i="60"/>
  <c r="AB13" i="78"/>
  <c r="AB15" i="78" s="1"/>
  <c r="L57" i="115"/>
  <c r="L57" i="65"/>
  <c r="AY56" i="60"/>
  <c r="O58" i="60"/>
  <c r="AA58" i="60" s="1"/>
  <c r="N58" i="60"/>
  <c r="Z58" i="60" s="1"/>
  <c r="M58" i="60"/>
  <c r="Y58" i="60" s="1"/>
  <c r="L58" i="60"/>
  <c r="X58" i="60" s="1"/>
  <c r="AJ58" i="60" s="1"/>
  <c r="K58" i="60"/>
  <c r="W58" i="60" s="1"/>
  <c r="AI58" i="60" s="1"/>
  <c r="J58" i="60"/>
  <c r="V58" i="60" s="1"/>
  <c r="AH58" i="60" s="1"/>
  <c r="I58" i="60"/>
  <c r="U58" i="60" s="1"/>
  <c r="AG58" i="60" s="1"/>
  <c r="H58" i="60"/>
  <c r="T58" i="60" s="1"/>
  <c r="AF58" i="60" s="1"/>
  <c r="G58" i="60"/>
  <c r="S58" i="60" s="1"/>
  <c r="AE58" i="60" s="1"/>
  <c r="F58" i="60"/>
  <c r="R58" i="60" s="1"/>
  <c r="AD58" i="60" s="1"/>
  <c r="E58" i="60"/>
  <c r="Q58" i="60" s="1"/>
  <c r="AC58" i="60" s="1"/>
  <c r="I59" i="115" l="1"/>
  <c r="I59" i="65"/>
  <c r="AP58" i="60"/>
  <c r="BB58" i="60" s="1"/>
  <c r="BN58" i="60" s="1"/>
  <c r="BZ58" i="60" s="1"/>
  <c r="AT58" i="60"/>
  <c r="BF58" i="60" s="1"/>
  <c r="BR58" i="60" s="1"/>
  <c r="CD58" i="60" s="1"/>
  <c r="M59" i="115"/>
  <c r="M59" i="65"/>
  <c r="E59" i="115"/>
  <c r="E59" i="65"/>
  <c r="AL58" i="60"/>
  <c r="AX58" i="60" s="1"/>
  <c r="BJ58" i="60" s="1"/>
  <c r="BV58" i="60" s="1"/>
  <c r="CH58" i="60" s="1"/>
  <c r="F59" i="115"/>
  <c r="AM58" i="60"/>
  <c r="AY58" i="60" s="1"/>
  <c r="BK58" i="60" s="1"/>
  <c r="BW58" i="60" s="1"/>
  <c r="CI58" i="60" s="1"/>
  <c r="F59" i="65"/>
  <c r="H59" i="115"/>
  <c r="AO58" i="60"/>
  <c r="BA58" i="60" s="1"/>
  <c r="BM58" i="60" s="1"/>
  <c r="BY58" i="60" s="1"/>
  <c r="H59" i="65"/>
  <c r="L59" i="115"/>
  <c r="L59" i="65"/>
  <c r="AS58" i="60"/>
  <c r="BE58" i="60" s="1"/>
  <c r="BQ58" i="60" s="1"/>
  <c r="CC58" i="60" s="1"/>
  <c r="D59" i="115"/>
  <c r="D59" i="65"/>
  <c r="AK58" i="60"/>
  <c r="AW58" i="60" s="1"/>
  <c r="BI58" i="60" s="1"/>
  <c r="BU58" i="60" s="1"/>
  <c r="CG58" i="60" s="1"/>
  <c r="J59" i="65"/>
  <c r="AQ58" i="60"/>
  <c r="BC58" i="60" s="1"/>
  <c r="BO58" i="60" s="1"/>
  <c r="CA58" i="60" s="1"/>
  <c r="J59" i="115"/>
  <c r="N59" i="65"/>
  <c r="AU58" i="60"/>
  <c r="BG58" i="60" s="1"/>
  <c r="BS58" i="60" s="1"/>
  <c r="CE58" i="60" s="1"/>
  <c r="N59" i="115"/>
  <c r="D58" i="60"/>
  <c r="P58" i="60" s="1"/>
  <c r="AB58" i="60" s="1"/>
  <c r="P49" i="20"/>
  <c r="K59" i="115"/>
  <c r="AR58" i="60"/>
  <c r="K59" i="65"/>
  <c r="O59" i="65"/>
  <c r="AV58" i="60"/>
  <c r="BH58" i="60" s="1"/>
  <c r="O59" i="115"/>
  <c r="BK56" i="60"/>
  <c r="I15" i="78"/>
  <c r="O15" i="78" s="1"/>
  <c r="O13" i="78"/>
  <c r="BG56" i="60"/>
  <c r="BE56" i="60"/>
  <c r="AN56" i="60"/>
  <c r="G57" i="115"/>
  <c r="G57" i="65"/>
  <c r="W13" i="78"/>
  <c r="AH13" i="78"/>
  <c r="Q23" i="83"/>
  <c r="BC56" i="60"/>
  <c r="BJ56" i="60"/>
  <c r="BD56" i="60"/>
  <c r="BB56" i="60"/>
  <c r="BA56" i="60"/>
  <c r="AG15" i="78"/>
  <c r="BH56" i="60"/>
  <c r="BF56" i="60"/>
  <c r="BI56" i="60"/>
  <c r="M57" i="60" l="1"/>
  <c r="H57" i="60"/>
  <c r="BT58" i="60"/>
  <c r="G57" i="60"/>
  <c r="P48" i="20"/>
  <c r="D57" i="60"/>
  <c r="N57" i="60"/>
  <c r="I57" i="60"/>
  <c r="R49" i="20"/>
  <c r="G59" i="65"/>
  <c r="P59" i="65" s="1"/>
  <c r="G59" i="115"/>
  <c r="P59" i="115" s="1"/>
  <c r="Q59" i="115" s="1"/>
  <c r="AN58" i="60"/>
  <c r="AZ58" i="60" s="1"/>
  <c r="BL58" i="60" s="1"/>
  <c r="BX58" i="60" s="1"/>
  <c r="O57" i="60"/>
  <c r="J57" i="60"/>
  <c r="E57" i="60"/>
  <c r="K57" i="60"/>
  <c r="F57" i="60"/>
  <c r="L57" i="60"/>
  <c r="BD58" i="60"/>
  <c r="BP58" i="60" s="1"/>
  <c r="CB58" i="60" s="1"/>
  <c r="BM56" i="60"/>
  <c r="BW56" i="60"/>
  <c r="BU56" i="60"/>
  <c r="BT56" i="60"/>
  <c r="BO56" i="60"/>
  <c r="W15" i="78"/>
  <c r="AF15" i="78" s="1"/>
  <c r="AF13" i="78"/>
  <c r="AZ56" i="60"/>
  <c r="AI13" i="78"/>
  <c r="Q24" i="83"/>
  <c r="BQ56" i="60"/>
  <c r="J46" i="61"/>
  <c r="P57" i="65"/>
  <c r="BR56" i="60"/>
  <c r="BN56" i="60"/>
  <c r="BP56" i="60"/>
  <c r="BV56" i="60"/>
  <c r="AH15" i="78"/>
  <c r="P57" i="115"/>
  <c r="BS56" i="60"/>
  <c r="Q59" i="65" l="1"/>
  <c r="X57" i="60"/>
  <c r="L59" i="60"/>
  <c r="L55" i="60"/>
  <c r="W57" i="60"/>
  <c r="K59" i="60"/>
  <c r="K55" i="60"/>
  <c r="U57" i="60"/>
  <c r="I59" i="60"/>
  <c r="I55" i="60"/>
  <c r="P57" i="60"/>
  <c r="D59" i="60"/>
  <c r="D55" i="60"/>
  <c r="S57" i="60"/>
  <c r="G59" i="60"/>
  <c r="G55" i="60"/>
  <c r="CF58" i="60"/>
  <c r="T57" i="60"/>
  <c r="H59" i="60"/>
  <c r="H55" i="60"/>
  <c r="AA57" i="60"/>
  <c r="O59" i="60"/>
  <c r="O55" i="60"/>
  <c r="R57" i="60"/>
  <c r="F59" i="60"/>
  <c r="F55" i="60"/>
  <c r="Q57" i="60"/>
  <c r="E59" i="60"/>
  <c r="E55" i="60"/>
  <c r="N59" i="60"/>
  <c r="Z57" i="60"/>
  <c r="N55" i="60"/>
  <c r="E21" i="76"/>
  <c r="P50" i="20"/>
  <c r="R48" i="20"/>
  <c r="R50" i="20" s="1"/>
  <c r="Y57" i="60"/>
  <c r="M59" i="60"/>
  <c r="M55" i="60"/>
  <c r="J59" i="60"/>
  <c r="V57" i="60"/>
  <c r="J55" i="60"/>
  <c r="CH56" i="60"/>
  <c r="BL56" i="60"/>
  <c r="Q25" i="83"/>
  <c r="AJ13" i="78"/>
  <c r="CA56" i="60"/>
  <c r="CF56" i="60"/>
  <c r="CB56" i="60"/>
  <c r="CI56" i="60"/>
  <c r="AI15" i="78"/>
  <c r="CG56" i="60"/>
  <c r="BY56" i="60"/>
  <c r="CE56" i="60"/>
  <c r="BZ56" i="60"/>
  <c r="CD56" i="60"/>
  <c r="G86" i="44"/>
  <c r="Q57" i="65"/>
  <c r="D46" i="61"/>
  <c r="CC56" i="60"/>
  <c r="AH57" i="60" l="1"/>
  <c r="V59" i="60"/>
  <c r="V55" i="60"/>
  <c r="Y59" i="60"/>
  <c r="D58" i="115"/>
  <c r="D58" i="65"/>
  <c r="AK57" i="60"/>
  <c r="Y55" i="60"/>
  <c r="F61" i="60"/>
  <c r="I61" i="60"/>
  <c r="L61" i="60"/>
  <c r="E21" i="91"/>
  <c r="H21" i="76"/>
  <c r="J61" i="60"/>
  <c r="E58" i="115"/>
  <c r="E58" i="65"/>
  <c r="AL57" i="60"/>
  <c r="Z59" i="60"/>
  <c r="Z55" i="60"/>
  <c r="E61" i="60"/>
  <c r="AD57" i="60"/>
  <c r="R59" i="60"/>
  <c r="R55" i="60"/>
  <c r="H61" i="60"/>
  <c r="D61" i="60"/>
  <c r="AG57" i="60"/>
  <c r="U59" i="60"/>
  <c r="U55" i="60"/>
  <c r="K61" i="60"/>
  <c r="AJ57" i="60"/>
  <c r="X59" i="60"/>
  <c r="X55" i="60"/>
  <c r="M61" i="60"/>
  <c r="F58" i="115"/>
  <c r="F58" i="65"/>
  <c r="AM57" i="60"/>
  <c r="AA59" i="60"/>
  <c r="AA55" i="60"/>
  <c r="AE57" i="60"/>
  <c r="S59" i="60"/>
  <c r="S55" i="60"/>
  <c r="N61" i="60"/>
  <c r="AC57" i="60"/>
  <c r="Q59" i="60"/>
  <c r="Q55" i="60"/>
  <c r="O61" i="60"/>
  <c r="AF57" i="60"/>
  <c r="T59" i="60"/>
  <c r="T55" i="60"/>
  <c r="G61" i="60"/>
  <c r="AB57" i="60"/>
  <c r="P59" i="60"/>
  <c r="P55" i="60"/>
  <c r="AI57" i="60"/>
  <c r="W59" i="60"/>
  <c r="W55" i="60"/>
  <c r="C43" i="44"/>
  <c r="F46" i="61"/>
  <c r="AJ15" i="78"/>
  <c r="L85" i="44"/>
  <c r="G87" i="44"/>
  <c r="BX56" i="60"/>
  <c r="Q26" i="83"/>
  <c r="AK13" i="78"/>
  <c r="P61" i="60" l="1"/>
  <c r="AQ57" i="60"/>
  <c r="J58" i="115"/>
  <c r="J58" i="65"/>
  <c r="AE59" i="60"/>
  <c r="AE55" i="60"/>
  <c r="F60" i="65"/>
  <c r="F56" i="65"/>
  <c r="AR57" i="60"/>
  <c r="K58" i="115"/>
  <c r="K58" i="65"/>
  <c r="AF59" i="60"/>
  <c r="AF55" i="60"/>
  <c r="S61" i="60"/>
  <c r="AY57" i="60"/>
  <c r="AM59" i="60"/>
  <c r="AM55" i="60"/>
  <c r="AV57" i="60"/>
  <c r="AJ59" i="60"/>
  <c r="O58" i="115"/>
  <c r="O58" i="65"/>
  <c r="AJ55" i="60"/>
  <c r="E60" i="65"/>
  <c r="E56" i="65"/>
  <c r="D60" i="115"/>
  <c r="M58" i="115"/>
  <c r="M58" i="65"/>
  <c r="AT57" i="60"/>
  <c r="AH59" i="60"/>
  <c r="AH55" i="60"/>
  <c r="Q61" i="60"/>
  <c r="F60" i="115"/>
  <c r="R61" i="60"/>
  <c r="AK59" i="60"/>
  <c r="AW57" i="60"/>
  <c r="AK55" i="60"/>
  <c r="E60" i="115"/>
  <c r="M21" i="76"/>
  <c r="AN57" i="60"/>
  <c r="G58" i="115"/>
  <c r="G58" i="65"/>
  <c r="AB59" i="60"/>
  <c r="AB55" i="60"/>
  <c r="N58" i="115"/>
  <c r="N58" i="65"/>
  <c r="AU57" i="60"/>
  <c r="AI59" i="60"/>
  <c r="AI55" i="60"/>
  <c r="H58" i="115"/>
  <c r="AO57" i="60"/>
  <c r="H58" i="65"/>
  <c r="AC59" i="60"/>
  <c r="AC55" i="60"/>
  <c r="L58" i="115"/>
  <c r="AS57" i="60"/>
  <c r="L58" i="65"/>
  <c r="AG59" i="60"/>
  <c r="AG55" i="60"/>
  <c r="I58" i="115"/>
  <c r="I58" i="65"/>
  <c r="AP57" i="60"/>
  <c r="AD59" i="60"/>
  <c r="AD55" i="60"/>
  <c r="AX57" i="60"/>
  <c r="AL59" i="60"/>
  <c r="AL55" i="60"/>
  <c r="H21" i="91"/>
  <c r="D60" i="65"/>
  <c r="D56" i="65"/>
  <c r="AL13" i="78"/>
  <c r="Q27" i="83"/>
  <c r="AK15" i="78"/>
  <c r="P58" i="65" l="1"/>
  <c r="J47" i="61"/>
  <c r="P58" i="115"/>
  <c r="P60" i="115" s="1"/>
  <c r="M21" i="91"/>
  <c r="I60" i="65"/>
  <c r="I56" i="65"/>
  <c r="BG57" i="60"/>
  <c r="AU59" i="60"/>
  <c r="AU55" i="60"/>
  <c r="O60" i="115"/>
  <c r="K60" i="115"/>
  <c r="I60" i="115"/>
  <c r="L60" i="65"/>
  <c r="L56" i="65"/>
  <c r="H60" i="65"/>
  <c r="H56" i="65"/>
  <c r="N60" i="65"/>
  <c r="N56" i="65"/>
  <c r="BD57" i="60"/>
  <c r="AR55" i="60"/>
  <c r="AR59" i="60"/>
  <c r="BC57" i="60"/>
  <c r="AQ59" i="60"/>
  <c r="AQ55" i="60"/>
  <c r="BJ57" i="60"/>
  <c r="AX59" i="60"/>
  <c r="AX55" i="60"/>
  <c r="AZ57" i="60"/>
  <c r="AN59" i="60"/>
  <c r="AN55" i="60"/>
  <c r="J60" i="115"/>
  <c r="BE57" i="60"/>
  <c r="AS59" i="60"/>
  <c r="AS55" i="60"/>
  <c r="BA57" i="60"/>
  <c r="AO59" i="60"/>
  <c r="AO55" i="60"/>
  <c r="N60" i="115"/>
  <c r="G60" i="65"/>
  <c r="G56" i="65"/>
  <c r="AT59" i="60"/>
  <c r="BF57" i="60"/>
  <c r="AT55" i="60"/>
  <c r="BH57" i="60"/>
  <c r="AV59" i="60"/>
  <c r="AV55" i="60"/>
  <c r="AY59" i="60"/>
  <c r="BK57" i="60"/>
  <c r="AY55" i="60"/>
  <c r="M60" i="115"/>
  <c r="BB57" i="60"/>
  <c r="AP59" i="60"/>
  <c r="AP55" i="60"/>
  <c r="L60" i="115"/>
  <c r="H60" i="115"/>
  <c r="G60" i="115"/>
  <c r="P21" i="76"/>
  <c r="AW59" i="60"/>
  <c r="BI57" i="60"/>
  <c r="AW55" i="60"/>
  <c r="M60" i="65"/>
  <c r="M56" i="65"/>
  <c r="O60" i="65"/>
  <c r="O56" i="65"/>
  <c r="K60" i="65"/>
  <c r="K56" i="65"/>
  <c r="J60" i="65"/>
  <c r="J56" i="65"/>
  <c r="AL15" i="78"/>
  <c r="Q58" i="65" l="1"/>
  <c r="I86" i="44"/>
  <c r="P60" i="65"/>
  <c r="D47" i="61"/>
  <c r="Q58" i="115"/>
  <c r="BU57" i="60"/>
  <c r="BI59" i="60"/>
  <c r="BI55" i="60"/>
  <c r="P56" i="65"/>
  <c r="BS57" i="60"/>
  <c r="BG59" i="60"/>
  <c r="BG55" i="60"/>
  <c r="BK59" i="60"/>
  <c r="BW57" i="60"/>
  <c r="BK55" i="60"/>
  <c r="BT57" i="60"/>
  <c r="BH59" i="60"/>
  <c r="BH55" i="60"/>
  <c r="BM57" i="60"/>
  <c r="BA59" i="60"/>
  <c r="BA55" i="60"/>
  <c r="BL57" i="60"/>
  <c r="AZ59" i="60"/>
  <c r="AZ55" i="60"/>
  <c r="BV57" i="60"/>
  <c r="BJ59" i="60"/>
  <c r="BJ55" i="60"/>
  <c r="BO57" i="60"/>
  <c r="BC59" i="60"/>
  <c r="BC55" i="60"/>
  <c r="BP57" i="60"/>
  <c r="BD59" i="60"/>
  <c r="BD55" i="60"/>
  <c r="BN57" i="60"/>
  <c r="BB59" i="60"/>
  <c r="BB55" i="60"/>
  <c r="BR57" i="60"/>
  <c r="BF59" i="60"/>
  <c r="BF55" i="60"/>
  <c r="BQ57" i="60"/>
  <c r="BE59" i="60"/>
  <c r="BE55" i="60"/>
  <c r="P21" i="91"/>
  <c r="Q60" i="65" l="1"/>
  <c r="F47" i="61"/>
  <c r="CC57" i="60"/>
  <c r="BQ59" i="60"/>
  <c r="BQ55" i="60"/>
  <c r="BZ57" i="60"/>
  <c r="BN59" i="60"/>
  <c r="BN55" i="60"/>
  <c r="CH57" i="60"/>
  <c r="BV59" i="60"/>
  <c r="BV55" i="60"/>
  <c r="CF57" i="60"/>
  <c r="BT59" i="60"/>
  <c r="BT55" i="60"/>
  <c r="CE57" i="60"/>
  <c r="BS59" i="60"/>
  <c r="BS55" i="60"/>
  <c r="BR59" i="60"/>
  <c r="CD57" i="60"/>
  <c r="BR55" i="60"/>
  <c r="CA57" i="60"/>
  <c r="BO59" i="60"/>
  <c r="BO55" i="60"/>
  <c r="CB57" i="60"/>
  <c r="BP59" i="60"/>
  <c r="BP55" i="60"/>
  <c r="CI57" i="60"/>
  <c r="BW59" i="60"/>
  <c r="BW55" i="60"/>
  <c r="BX57" i="60"/>
  <c r="BL59" i="60"/>
  <c r="BL55" i="60"/>
  <c r="BY57" i="60"/>
  <c r="BM59" i="60"/>
  <c r="BM55" i="60"/>
  <c r="BU59" i="60"/>
  <c r="CG57" i="60"/>
  <c r="BU55" i="60"/>
  <c r="CH59" i="60" l="1"/>
  <c r="CH55" i="60"/>
  <c r="BZ59" i="60"/>
  <c r="BZ55" i="60"/>
  <c r="CE59" i="60"/>
  <c r="CE55" i="60"/>
  <c r="CI59" i="60"/>
  <c r="CI55" i="60"/>
  <c r="CB59" i="60"/>
  <c r="CB55" i="60"/>
  <c r="CA59" i="60"/>
  <c r="CA55" i="60"/>
  <c r="CD59" i="60"/>
  <c r="CD55" i="60"/>
  <c r="CF59" i="60"/>
  <c r="CF55" i="60"/>
  <c r="CC59" i="60"/>
  <c r="CC55" i="60"/>
  <c r="BX59" i="60"/>
  <c r="BX55" i="60"/>
  <c r="CG59" i="60"/>
  <c r="CG55" i="60"/>
  <c r="BY59" i="60"/>
  <c r="BY55" i="60"/>
  <c r="Z51" i="80" l="1"/>
  <c r="AC32" i="72" l="1"/>
  <c r="AA51" i="80" l="1"/>
  <c r="AB51" i="80" l="1"/>
  <c r="AD32" i="72"/>
  <c r="AC51" i="80"/>
  <c r="AE32" i="72" l="1"/>
  <c r="AF36" i="72" s="1"/>
  <c r="AD51" i="80"/>
  <c r="AE51" i="80" l="1"/>
  <c r="AF51" i="80" l="1"/>
  <c r="AK70" i="80" l="1"/>
  <c r="AG51" i="80"/>
  <c r="AI70" i="80" l="1"/>
  <c r="AL70" i="80"/>
  <c r="AJ70" i="80"/>
  <c r="AH70" i="80"/>
  <c r="AH51" i="80" l="1"/>
  <c r="AI51" i="80" l="1"/>
  <c r="AJ51" i="80" l="1"/>
  <c r="AK51" i="80" l="1"/>
  <c r="AL51" i="80"/>
  <c r="AM51" i="80" l="1"/>
  <c r="AN51" i="80" l="1"/>
  <c r="AO51" i="80" l="1"/>
  <c r="AP51" i="80" l="1"/>
  <c r="AQ51" i="80" l="1"/>
  <c r="AR51" i="80" l="1"/>
  <c r="AX70" i="80" l="1"/>
  <c r="AS51" i="80"/>
  <c r="AV70" i="80" l="1"/>
  <c r="AU70" i="80"/>
  <c r="AW70" i="80"/>
  <c r="AT70" i="80"/>
  <c r="AT51" i="80" l="1"/>
  <c r="AU51" i="80" l="1"/>
  <c r="AV51" i="80" l="1"/>
  <c r="AW51" i="80" l="1"/>
  <c r="AX51" i="80" l="1"/>
  <c r="AY51" i="80" l="1"/>
  <c r="AZ51" i="80" l="1"/>
  <c r="BA51" i="80" l="1"/>
  <c r="BB51" i="80" l="1"/>
  <c r="BC51" i="80" l="1"/>
  <c r="BD51" i="80" l="1"/>
  <c r="BE51" i="80" l="1"/>
  <c r="BJ70" i="80" l="1"/>
  <c r="BH70" i="80"/>
  <c r="BI70" i="80"/>
  <c r="BG70" i="80"/>
  <c r="BF70" i="80" l="1"/>
  <c r="BF51" i="80" l="1"/>
  <c r="BG51" i="80" l="1"/>
  <c r="BH51" i="80" l="1"/>
  <c r="BI51" i="80" l="1"/>
  <c r="BJ51" i="80" l="1"/>
  <c r="BK51" i="80" l="1"/>
  <c r="BL51" i="80" l="1"/>
  <c r="BM51" i="80" l="1"/>
  <c r="BN51" i="80" l="1"/>
  <c r="BO51" i="80" l="1"/>
  <c r="BP51" i="80" l="1"/>
  <c r="BQ51" i="80" l="1"/>
  <c r="BV70" i="80" l="1"/>
  <c r="BT70" i="80"/>
  <c r="BS70" i="80"/>
  <c r="BU70" i="80"/>
  <c r="BR70" i="80" l="1"/>
  <c r="BR51" i="80" l="1"/>
  <c r="BS51" i="80" l="1"/>
  <c r="BT51" i="80" l="1"/>
  <c r="BU51" i="80" l="1"/>
  <c r="BV51" i="80" l="1"/>
  <c r="BW51" i="80" l="1"/>
  <c r="BX51" i="80" l="1"/>
  <c r="BY51" i="80" l="1"/>
  <c r="BZ51" i="80" l="1"/>
  <c r="CA51" i="80" l="1"/>
  <c r="CB51" i="80" l="1"/>
  <c r="CD70" i="80" l="1"/>
  <c r="CC51" i="80"/>
  <c r="CD51" i="80" l="1"/>
  <c r="H78" i="80" l="1"/>
  <c r="E11" i="108" l="1"/>
  <c r="D102" i="44"/>
  <c r="O15" i="91"/>
  <c r="AH14" i="44"/>
  <c r="C13" i="115"/>
  <c r="Q13" i="115" l="1"/>
  <c r="P15" i="91"/>
  <c r="D39" i="44" l="1"/>
  <c r="E39" i="44" l="1"/>
  <c r="AH16" i="44" l="1"/>
  <c r="O20" i="91"/>
  <c r="P20" i="91" s="1"/>
  <c r="C49" i="115"/>
  <c r="O16" i="91"/>
  <c r="P16" i="91" s="1"/>
  <c r="AH15" i="44"/>
  <c r="C22" i="115"/>
  <c r="C57" i="115" l="1"/>
  <c r="Q49" i="115"/>
  <c r="C31" i="115"/>
  <c r="Q22" i="115"/>
  <c r="C65" i="115"/>
  <c r="AH17" i="44"/>
  <c r="O25" i="91"/>
  <c r="E14" i="108"/>
  <c r="L56" i="115" l="1"/>
  <c r="O56" i="115"/>
  <c r="J56" i="115"/>
  <c r="G56" i="115"/>
  <c r="N56" i="115"/>
  <c r="Q57" i="115"/>
  <c r="Q60" i="115" s="1"/>
  <c r="M56" i="115"/>
  <c r="E56" i="115"/>
  <c r="I56" i="115"/>
  <c r="D56" i="115"/>
  <c r="K56" i="115"/>
  <c r="F56" i="115"/>
  <c r="H56" i="115"/>
  <c r="Q31" i="115"/>
  <c r="C40" i="115"/>
  <c r="O26" i="91"/>
  <c r="E15" i="108"/>
  <c r="C81" i="115"/>
  <c r="D40" i="44"/>
  <c r="D43" i="44" l="1"/>
  <c r="E43" i="44" s="1"/>
  <c r="D41" i="44"/>
  <c r="Q40" i="115"/>
  <c r="E40" i="44"/>
  <c r="P56" i="115"/>
  <c r="D42" i="44" l="1"/>
  <c r="E41" i="44"/>
  <c r="E42" i="44" l="1"/>
  <c r="D461" i="82" l="1"/>
  <c r="E461" i="82"/>
  <c r="F461" i="82"/>
  <c r="G461" i="82"/>
  <c r="C461" i="82" l="1"/>
  <c r="H427" i="82"/>
  <c r="H459" i="82" s="1"/>
  <c r="H461" i="82" l="1"/>
  <c r="H52" i="82"/>
  <c r="E16" i="82" s="1"/>
  <c r="G13" i="113" s="1"/>
  <c r="H53" i="82"/>
  <c r="E17" i="82" s="1"/>
  <c r="H13" i="113" s="1"/>
  <c r="G56" i="82"/>
  <c r="C20" i="82" s="1"/>
  <c r="H57" i="82"/>
  <c r="E21" i="82" s="1"/>
  <c r="L13" i="113" s="1"/>
  <c r="H59" i="82"/>
  <c r="E23" i="82" s="1"/>
  <c r="N13" i="113" s="1"/>
  <c r="G48" i="82"/>
  <c r="G58" i="82"/>
  <c r="C22" i="82" s="1"/>
  <c r="H55" i="82"/>
  <c r="E19" i="82" s="1"/>
  <c r="J13" i="113" s="1"/>
  <c r="G59" i="82"/>
  <c r="C23" i="82" s="1"/>
  <c r="H48" i="82"/>
  <c r="G51" i="82"/>
  <c r="C15" i="82" s="1"/>
  <c r="G52" i="82"/>
  <c r="C16" i="82" s="1"/>
  <c r="G55" i="82"/>
  <c r="C19" i="82" s="1"/>
  <c r="H56" i="82"/>
  <c r="E20" i="82" s="1"/>
  <c r="K13" i="113" s="1"/>
  <c r="H51" i="82"/>
  <c r="E15" i="82" s="1"/>
  <c r="F13" i="113" s="1"/>
  <c r="G50" i="82"/>
  <c r="C14" i="82" s="1"/>
  <c r="G54" i="82"/>
  <c r="C18" i="82" s="1"/>
  <c r="H58" i="82"/>
  <c r="E22" i="82" s="1"/>
  <c r="M13" i="113" s="1"/>
  <c r="H54" i="82"/>
  <c r="E18" i="82" s="1"/>
  <c r="I13" i="113" s="1"/>
  <c r="G57" i="82"/>
  <c r="C21" i="82" s="1"/>
  <c r="H49" i="82"/>
  <c r="E13" i="82" s="1"/>
  <c r="D13" i="113" s="1"/>
  <c r="G49" i="82"/>
  <c r="C13" i="82" s="1"/>
  <c r="H50" i="82"/>
  <c r="E14" i="82" s="1"/>
  <c r="E13" i="113" s="1"/>
  <c r="G53" i="82"/>
  <c r="C17" i="82" s="1"/>
  <c r="H60" i="82" l="1"/>
  <c r="E12" i="82"/>
  <c r="C12" i="82"/>
  <c r="C25" i="82" s="1"/>
  <c r="G60" i="82"/>
  <c r="C13" i="113" l="1"/>
  <c r="E25" i="82"/>
  <c r="C53" i="113" l="1"/>
  <c r="C60" i="113" l="1"/>
  <c r="C54" i="113"/>
  <c r="C56" i="113" s="1"/>
  <c r="C58" i="113" s="1"/>
  <c r="C63" i="113" s="1"/>
  <c r="D53" i="113"/>
  <c r="C65" i="113" l="1"/>
  <c r="C67" i="113"/>
  <c r="C66" i="113"/>
  <c r="D24" i="60"/>
  <c r="D60" i="113"/>
  <c r="E53" i="113"/>
  <c r="D54" i="113"/>
  <c r="D56" i="113" s="1"/>
  <c r="D58" i="113" s="1"/>
  <c r="D63" i="113" s="1"/>
  <c r="D65" i="113" l="1"/>
  <c r="D66" i="113"/>
  <c r="D67" i="113"/>
  <c r="E24" i="60" s="1"/>
  <c r="Q24" i="60" s="1"/>
  <c r="AC24" i="60" s="1"/>
  <c r="D23" i="60"/>
  <c r="P23" i="60" s="1"/>
  <c r="AB23" i="60" s="1"/>
  <c r="C22" i="55"/>
  <c r="E60" i="113"/>
  <c r="E54" i="113"/>
  <c r="E56" i="113" s="1"/>
  <c r="E58" i="113" s="1"/>
  <c r="E63" i="113" s="1"/>
  <c r="F53" i="113"/>
  <c r="P24" i="60"/>
  <c r="AB24" i="60" s="1"/>
  <c r="C21" i="55"/>
  <c r="D22" i="60"/>
  <c r="C68" i="113"/>
  <c r="E65" i="113" l="1"/>
  <c r="E66" i="113"/>
  <c r="E67" i="113"/>
  <c r="F24" i="60" s="1"/>
  <c r="R24" i="60" s="1"/>
  <c r="AD24" i="60" s="1"/>
  <c r="H25" i="115"/>
  <c r="H25" i="65"/>
  <c r="AO24" i="60"/>
  <c r="BA24" i="60" s="1"/>
  <c r="BM24" i="60" s="1"/>
  <c r="E22" i="60"/>
  <c r="D68" i="113"/>
  <c r="D21" i="55"/>
  <c r="G25" i="65"/>
  <c r="G25" i="115"/>
  <c r="AN24" i="60"/>
  <c r="AZ24" i="60" s="1"/>
  <c r="BL24" i="60" s="1"/>
  <c r="C24" i="55"/>
  <c r="D20" i="60"/>
  <c r="P22" i="60"/>
  <c r="E23" i="60"/>
  <c r="Q23" i="60" s="1"/>
  <c r="AC23" i="60" s="1"/>
  <c r="D22" i="55"/>
  <c r="D25" i="60"/>
  <c r="F54" i="113"/>
  <c r="F56" i="113" s="1"/>
  <c r="F58" i="113" s="1"/>
  <c r="F63" i="113" s="1"/>
  <c r="G53" i="113"/>
  <c r="F60" i="113"/>
  <c r="G24" i="65"/>
  <c r="G24" i="115"/>
  <c r="AN23" i="60"/>
  <c r="AZ23" i="60" s="1"/>
  <c r="BL23" i="60" s="1"/>
  <c r="BX23" i="60" s="1"/>
  <c r="F66" i="113" l="1"/>
  <c r="F67" i="113"/>
  <c r="F65" i="113"/>
  <c r="P25" i="60"/>
  <c r="P20" i="60"/>
  <c r="AB22" i="60"/>
  <c r="E22" i="55"/>
  <c r="F23" i="60"/>
  <c r="R23" i="60" s="1"/>
  <c r="AD23" i="60" s="1"/>
  <c r="E68" i="113"/>
  <c r="F22" i="60"/>
  <c r="E21" i="55"/>
  <c r="G60" i="113"/>
  <c r="H53" i="113"/>
  <c r="G54" i="113"/>
  <c r="G56" i="113" s="1"/>
  <c r="G58" i="113" s="1"/>
  <c r="G63" i="113" s="1"/>
  <c r="E25" i="60"/>
  <c r="E27" i="60" s="1"/>
  <c r="E20" i="60"/>
  <c r="Q22" i="60"/>
  <c r="G24" i="60"/>
  <c r="S24" i="60" s="1"/>
  <c r="D27" i="60"/>
  <c r="H24" i="115"/>
  <c r="H24" i="65"/>
  <c r="AO23" i="60"/>
  <c r="BA23" i="60" s="1"/>
  <c r="BM23" i="60" s="1"/>
  <c r="BY23" i="60" s="1"/>
  <c r="I25" i="65"/>
  <c r="I25" i="115"/>
  <c r="AP24" i="60"/>
  <c r="BB24" i="60" s="1"/>
  <c r="BN24" i="60" s="1"/>
  <c r="BZ24" i="60" s="1"/>
  <c r="D24" i="55"/>
  <c r="G67" i="113" l="1"/>
  <c r="G65" i="113"/>
  <c r="G66" i="113"/>
  <c r="F21" i="55"/>
  <c r="F68" i="113"/>
  <c r="G22" i="60"/>
  <c r="F20" i="60"/>
  <c r="F25" i="60"/>
  <c r="F27" i="60" s="1"/>
  <c r="R22" i="60"/>
  <c r="I24" i="115"/>
  <c r="I24" i="65"/>
  <c r="AP23" i="60"/>
  <c r="BB23" i="60" s="1"/>
  <c r="BN23" i="60" s="1"/>
  <c r="BZ23" i="60" s="1"/>
  <c r="P27" i="60"/>
  <c r="G23" i="60"/>
  <c r="S23" i="60" s="1"/>
  <c r="AE23" i="60" s="1"/>
  <c r="F22" i="55"/>
  <c r="H24" i="60"/>
  <c r="T24" i="60" s="1"/>
  <c r="AF24" i="60" s="1"/>
  <c r="AB20" i="60"/>
  <c r="G23" i="115"/>
  <c r="AB25" i="60"/>
  <c r="G23" i="65"/>
  <c r="AN22" i="60"/>
  <c r="Q25" i="60"/>
  <c r="Q20" i="60"/>
  <c r="AC22" i="60"/>
  <c r="H60" i="113"/>
  <c r="I53" i="113"/>
  <c r="H54" i="113"/>
  <c r="H56" i="113" s="1"/>
  <c r="H58" i="113" s="1"/>
  <c r="H63" i="113" s="1"/>
  <c r="E24" i="55"/>
  <c r="H65" i="113" l="1"/>
  <c r="H66" i="113"/>
  <c r="H67" i="113"/>
  <c r="I24" i="60" s="1"/>
  <c r="U24" i="60" s="1"/>
  <c r="AG24" i="60" s="1"/>
  <c r="H22" i="60"/>
  <c r="G21" i="55"/>
  <c r="G68" i="113"/>
  <c r="J53" i="113"/>
  <c r="I60" i="113"/>
  <c r="I54" i="113"/>
  <c r="I56" i="113" s="1"/>
  <c r="I58" i="113" s="1"/>
  <c r="I63" i="113" s="1"/>
  <c r="Q27" i="60"/>
  <c r="G22" i="55"/>
  <c r="H23" i="60"/>
  <c r="T23" i="60" s="1"/>
  <c r="R25" i="60"/>
  <c r="R20" i="60"/>
  <c r="AD22" i="60"/>
  <c r="G26" i="115"/>
  <c r="G21" i="115"/>
  <c r="K25" i="65"/>
  <c r="K25" i="115"/>
  <c r="AR24" i="60"/>
  <c r="BD24" i="60" s="1"/>
  <c r="BP24" i="60" s="1"/>
  <c r="CB24" i="60" s="1"/>
  <c r="H23" i="115"/>
  <c r="H23" i="65"/>
  <c r="AC25" i="60"/>
  <c r="AC20" i="60"/>
  <c r="AO22" i="60"/>
  <c r="AN20" i="60"/>
  <c r="AN25" i="60"/>
  <c r="AZ22" i="60"/>
  <c r="J24" i="65"/>
  <c r="J24" i="115"/>
  <c r="AQ23" i="60"/>
  <c r="BC23" i="60" s="1"/>
  <c r="BO23" i="60" s="1"/>
  <c r="CA23" i="60" s="1"/>
  <c r="F24" i="55"/>
  <c r="G26" i="65"/>
  <c r="G21" i="65"/>
  <c r="G20" i="60"/>
  <c r="G25" i="60"/>
  <c r="S22" i="60"/>
  <c r="I65" i="113" l="1"/>
  <c r="I66" i="113"/>
  <c r="I67" i="113"/>
  <c r="J24" i="60" s="1"/>
  <c r="V24" i="60" s="1"/>
  <c r="I22" i="60"/>
  <c r="H21" i="55"/>
  <c r="H68" i="113"/>
  <c r="AZ20" i="60"/>
  <c r="AZ25" i="60"/>
  <c r="BL22" i="60"/>
  <c r="G24" i="55"/>
  <c r="S25" i="60"/>
  <c r="S20" i="60"/>
  <c r="AE22" i="60"/>
  <c r="AD25" i="60"/>
  <c r="I23" i="65"/>
  <c r="I23" i="115"/>
  <c r="AD20" i="60"/>
  <c r="AP22" i="60"/>
  <c r="H25" i="60"/>
  <c r="H20" i="60"/>
  <c r="T22" i="60"/>
  <c r="G27" i="60"/>
  <c r="L25" i="115"/>
  <c r="L25" i="65"/>
  <c r="AS24" i="60"/>
  <c r="BE24" i="60" s="1"/>
  <c r="BQ24" i="60" s="1"/>
  <c r="CC24" i="60" s="1"/>
  <c r="H21" i="65"/>
  <c r="H26" i="65"/>
  <c r="J60" i="113"/>
  <c r="J54" i="113"/>
  <c r="J56" i="113" s="1"/>
  <c r="J58" i="113" s="1"/>
  <c r="J63" i="113" s="1"/>
  <c r="K53" i="113"/>
  <c r="I23" i="60"/>
  <c r="U23" i="60" s="1"/>
  <c r="H22" i="55"/>
  <c r="AO20" i="60"/>
  <c r="AO25" i="60"/>
  <c r="BA22" i="60"/>
  <c r="H26" i="115"/>
  <c r="H21" i="115"/>
  <c r="R27" i="60"/>
  <c r="J66" i="113" l="1"/>
  <c r="J67" i="113"/>
  <c r="J65" i="113"/>
  <c r="K24" i="60"/>
  <c r="W24" i="60" s="1"/>
  <c r="AI24" i="60" s="1"/>
  <c r="I26" i="115"/>
  <c r="I21" i="115"/>
  <c r="S27" i="60"/>
  <c r="BA25" i="60"/>
  <c r="BA20" i="60"/>
  <c r="BM22" i="60"/>
  <c r="T25" i="60"/>
  <c r="T20" i="60"/>
  <c r="AF22" i="60"/>
  <c r="I26" i="65"/>
  <c r="I21" i="65"/>
  <c r="I21" i="55"/>
  <c r="I68" i="113"/>
  <c r="J22" i="60"/>
  <c r="AP20" i="60"/>
  <c r="AP25" i="60"/>
  <c r="BB22" i="60"/>
  <c r="J23" i="115"/>
  <c r="J23" i="65"/>
  <c r="AQ22" i="60"/>
  <c r="BL20" i="60"/>
  <c r="BL25" i="60"/>
  <c r="BX22" i="60"/>
  <c r="H24" i="55"/>
  <c r="K54" i="113"/>
  <c r="K56" i="113" s="1"/>
  <c r="K58" i="113" s="1"/>
  <c r="K63" i="113" s="1"/>
  <c r="K60" i="113"/>
  <c r="L53" i="113"/>
  <c r="H27" i="60"/>
  <c r="I22" i="55"/>
  <c r="J23" i="60"/>
  <c r="V23" i="60" s="1"/>
  <c r="AH23" i="60" s="1"/>
  <c r="I25" i="60"/>
  <c r="I20" i="60"/>
  <c r="U22" i="60"/>
  <c r="K67" i="113" l="1"/>
  <c r="K65" i="113"/>
  <c r="K66" i="113"/>
  <c r="BC22" i="60"/>
  <c r="BM25" i="60"/>
  <c r="BM20" i="60"/>
  <c r="BY22" i="60"/>
  <c r="K23" i="60"/>
  <c r="W23" i="60" s="1"/>
  <c r="AI23" i="60" s="1"/>
  <c r="J22" i="55"/>
  <c r="N25" i="115"/>
  <c r="N25" i="65"/>
  <c r="AU24" i="60"/>
  <c r="BG24" i="60" s="1"/>
  <c r="BS24" i="60" s="1"/>
  <c r="CE24" i="60" s="1"/>
  <c r="U20" i="60"/>
  <c r="U25" i="60"/>
  <c r="AG22" i="60"/>
  <c r="L24" i="60"/>
  <c r="X24" i="60" s="1"/>
  <c r="AJ24" i="60" s="1"/>
  <c r="BB25" i="60"/>
  <c r="BB20" i="60"/>
  <c r="BN22" i="60"/>
  <c r="I24" i="55"/>
  <c r="K23" i="115"/>
  <c r="K23" i="65"/>
  <c r="AR22" i="60"/>
  <c r="J68" i="113"/>
  <c r="J21" i="55"/>
  <c r="K22" i="60"/>
  <c r="I27" i="60"/>
  <c r="M24" i="65"/>
  <c r="M24" i="115"/>
  <c r="AT23" i="60"/>
  <c r="BF23" i="60" s="1"/>
  <c r="BR23" i="60" s="1"/>
  <c r="CD23" i="60" s="1"/>
  <c r="L54" i="113"/>
  <c r="L56" i="113" s="1"/>
  <c r="L58" i="113" s="1"/>
  <c r="L63" i="113" s="1"/>
  <c r="M53" i="113"/>
  <c r="L60" i="113"/>
  <c r="J20" i="60"/>
  <c r="J25" i="60"/>
  <c r="V22" i="60"/>
  <c r="L65" i="113" l="1"/>
  <c r="L66" i="113"/>
  <c r="L67" i="113"/>
  <c r="J24" i="55"/>
  <c r="J27" i="60"/>
  <c r="N24" i="115"/>
  <c r="N24" i="65"/>
  <c r="AU23" i="60"/>
  <c r="BG23" i="60" s="1"/>
  <c r="BS23" i="60" s="1"/>
  <c r="CE23" i="60" s="1"/>
  <c r="BO22" i="60"/>
  <c r="N53" i="113"/>
  <c r="M60" i="113"/>
  <c r="M54" i="113"/>
  <c r="M56" i="113" s="1"/>
  <c r="M58" i="113" s="1"/>
  <c r="M63" i="113" s="1"/>
  <c r="BD22" i="60"/>
  <c r="BN25" i="60"/>
  <c r="BN20" i="60"/>
  <c r="BZ22" i="60"/>
  <c r="O25" i="115"/>
  <c r="O25" i="65"/>
  <c r="AV24" i="60"/>
  <c r="BH24" i="60" s="1"/>
  <c r="BT24" i="60" s="1"/>
  <c r="CF24" i="60" s="1"/>
  <c r="M24" i="60"/>
  <c r="Y24" i="60" s="1"/>
  <c r="K22" i="55"/>
  <c r="L23" i="60"/>
  <c r="X23" i="60" s="1"/>
  <c r="AJ23" i="60" s="1"/>
  <c r="V25" i="60"/>
  <c r="V20" i="60"/>
  <c r="AH22" i="60"/>
  <c r="K20" i="60"/>
  <c r="K25" i="60"/>
  <c r="W22" i="60"/>
  <c r="K21" i="55"/>
  <c r="L22" i="60"/>
  <c r="K68" i="113"/>
  <c r="L23" i="115"/>
  <c r="L23" i="65"/>
  <c r="AS22" i="60"/>
  <c r="M65" i="113" l="1"/>
  <c r="M66" i="113"/>
  <c r="M67" i="113"/>
  <c r="N24" i="60" s="1"/>
  <c r="Z24" i="60" s="1"/>
  <c r="K24" i="55"/>
  <c r="D25" i="115"/>
  <c r="D25" i="65"/>
  <c r="AK24" i="60"/>
  <c r="AW24" i="60" s="1"/>
  <c r="BI24" i="60" s="1"/>
  <c r="BU24" i="60" s="1"/>
  <c r="CG24" i="60" s="1"/>
  <c r="BZ25" i="60"/>
  <c r="BZ20" i="60"/>
  <c r="BE22" i="60"/>
  <c r="K27" i="60"/>
  <c r="O24" i="115"/>
  <c r="O24" i="65"/>
  <c r="AV23" i="60"/>
  <c r="BH23" i="60" s="1"/>
  <c r="BT23" i="60" s="1"/>
  <c r="CF23" i="60" s="1"/>
  <c r="M23" i="60"/>
  <c r="Y23" i="60" s="1"/>
  <c r="L22" i="55"/>
  <c r="BP22" i="60"/>
  <c r="N54" i="113"/>
  <c r="N56" i="113" s="1"/>
  <c r="N58" i="113" s="1"/>
  <c r="N60" i="113"/>
  <c r="CA22" i="60"/>
  <c r="L20" i="60"/>
  <c r="L25" i="60"/>
  <c r="X22" i="60"/>
  <c r="W25" i="60"/>
  <c r="W20" i="60"/>
  <c r="AI22" i="60"/>
  <c r="M23" i="65"/>
  <c r="M23" i="115"/>
  <c r="AT22" i="60"/>
  <c r="M22" i="60"/>
  <c r="L68" i="113"/>
  <c r="L21" i="55"/>
  <c r="J61" i="113" l="1"/>
  <c r="K112" i="60" s="1"/>
  <c r="BF22" i="60"/>
  <c r="M25" i="60"/>
  <c r="M20" i="60"/>
  <c r="Y22" i="60"/>
  <c r="O53" i="113"/>
  <c r="N63" i="113"/>
  <c r="M61" i="113"/>
  <c r="N112" i="60" s="1"/>
  <c r="BQ22" i="60"/>
  <c r="N23" i="60"/>
  <c r="Z23" i="60" s="1"/>
  <c r="M22" i="55"/>
  <c r="X25" i="60"/>
  <c r="X20" i="60"/>
  <c r="AJ22" i="60"/>
  <c r="CB22" i="60"/>
  <c r="E25" i="115"/>
  <c r="E25" i="65"/>
  <c r="AL24" i="60"/>
  <c r="AX24" i="60" s="1"/>
  <c r="BJ24" i="60" s="1"/>
  <c r="BV24" i="60" s="1"/>
  <c r="CH24" i="60" s="1"/>
  <c r="L24" i="55"/>
  <c r="N23" i="115"/>
  <c r="AI25" i="60"/>
  <c r="N23" i="65"/>
  <c r="AI20" i="60"/>
  <c r="AU22" i="60"/>
  <c r="L27" i="60"/>
  <c r="D24" i="65"/>
  <c r="D24" i="115"/>
  <c r="AK23" i="60"/>
  <c r="AW23" i="60" s="1"/>
  <c r="BI23" i="60" s="1"/>
  <c r="BU23" i="60" s="1"/>
  <c r="CG23" i="60" s="1"/>
  <c r="N61" i="113"/>
  <c r="O112" i="60" s="1"/>
  <c r="D61" i="113"/>
  <c r="E112" i="60" s="1"/>
  <c r="C61" i="113"/>
  <c r="D112" i="60" s="1"/>
  <c r="E61" i="113"/>
  <c r="F112" i="60" s="1"/>
  <c r="F61" i="113"/>
  <c r="G112" i="60" s="1"/>
  <c r="I61" i="113"/>
  <c r="J112" i="60" s="1"/>
  <c r="K61" i="113"/>
  <c r="L112" i="60" s="1"/>
  <c r="G61" i="113"/>
  <c r="H112" i="60" s="1"/>
  <c r="H61" i="113"/>
  <c r="I112" i="60" s="1"/>
  <c r="L61" i="113"/>
  <c r="M112" i="60" s="1"/>
  <c r="N22" i="60"/>
  <c r="M68" i="113"/>
  <c r="M21" i="55"/>
  <c r="N66" i="113" l="1"/>
  <c r="N67" i="113"/>
  <c r="O24" i="60" s="1"/>
  <c r="AA24" i="60" s="1"/>
  <c r="N65" i="113"/>
  <c r="M24" i="55"/>
  <c r="O23" i="115"/>
  <c r="O23" i="65"/>
  <c r="AJ25" i="60"/>
  <c r="AJ20" i="60"/>
  <c r="AV22" i="60"/>
  <c r="E24" i="65"/>
  <c r="E24" i="115"/>
  <c r="AL23" i="60"/>
  <c r="AX23" i="60" s="1"/>
  <c r="BJ23" i="60" s="1"/>
  <c r="BV23" i="60" s="1"/>
  <c r="CH23" i="60" s="1"/>
  <c r="N25" i="60"/>
  <c r="N20" i="60"/>
  <c r="Z22" i="60"/>
  <c r="AU20" i="60"/>
  <c r="AU25" i="60"/>
  <c r="BG22" i="60"/>
  <c r="N26" i="115"/>
  <c r="N21" i="115"/>
  <c r="P53" i="113"/>
  <c r="O60" i="113"/>
  <c r="O51" i="113"/>
  <c r="O52" i="113" s="1"/>
  <c r="O54" i="113"/>
  <c r="O56" i="113" s="1"/>
  <c r="O58" i="113" s="1"/>
  <c r="M27" i="60"/>
  <c r="CC22" i="60"/>
  <c r="N26" i="65"/>
  <c r="N21" i="65"/>
  <c r="D23" i="65"/>
  <c r="D23" i="115"/>
  <c r="Y20" i="60"/>
  <c r="Y25" i="60"/>
  <c r="AK22" i="60"/>
  <c r="BR22" i="60"/>
  <c r="AK20" i="60" l="1"/>
  <c r="AK25" i="60"/>
  <c r="AW22" i="60"/>
  <c r="D26" i="65"/>
  <c r="D21" i="65"/>
  <c r="D26" i="115"/>
  <c r="D21" i="115"/>
  <c r="BG20" i="60"/>
  <c r="BG25" i="60"/>
  <c r="BS22" i="60"/>
  <c r="P60" i="113"/>
  <c r="P54" i="113"/>
  <c r="P56" i="113" s="1"/>
  <c r="P58" i="113" s="1"/>
  <c r="Q53" i="113"/>
  <c r="P51" i="113"/>
  <c r="P52" i="113" s="1"/>
  <c r="N27" i="60"/>
  <c r="F25" i="65"/>
  <c r="F25" i="115"/>
  <c r="AM24" i="60"/>
  <c r="AY24" i="60" s="1"/>
  <c r="BK24" i="60" s="1"/>
  <c r="BW24" i="60" s="1"/>
  <c r="CI24" i="60" s="1"/>
  <c r="CD22" i="60"/>
  <c r="N22" i="55"/>
  <c r="P22" i="55" s="1"/>
  <c r="O23" i="60"/>
  <c r="AA23" i="60" s="1"/>
  <c r="O26" i="65"/>
  <c r="O21" i="65"/>
  <c r="Z25" i="60"/>
  <c r="E23" i="115"/>
  <c r="Z20" i="60"/>
  <c r="E23" i="65"/>
  <c r="AL22" i="60"/>
  <c r="N21" i="55"/>
  <c r="O22" i="60"/>
  <c r="N68" i="113"/>
  <c r="AV25" i="60"/>
  <c r="AV20" i="60"/>
  <c r="BH22" i="60"/>
  <c r="O26" i="115"/>
  <c r="O21" i="115"/>
  <c r="E26" i="115" l="1"/>
  <c r="E21" i="115"/>
  <c r="F24" i="115"/>
  <c r="F24" i="65"/>
  <c r="AM23" i="60"/>
  <c r="AY23" i="60" s="1"/>
  <c r="BK23" i="60" s="1"/>
  <c r="BW23" i="60" s="1"/>
  <c r="CI23" i="60" s="1"/>
  <c r="Q54" i="113"/>
  <c r="Q56" i="113" s="1"/>
  <c r="Q58" i="113" s="1"/>
  <c r="R53" i="113"/>
  <c r="Q60" i="113"/>
  <c r="Q51" i="113"/>
  <c r="Q52" i="113" s="1"/>
  <c r="AW20" i="60"/>
  <c r="AW25" i="60"/>
  <c r="BI22" i="60"/>
  <c r="N24" i="55"/>
  <c r="P21" i="55"/>
  <c r="BH20" i="60"/>
  <c r="BH25" i="60"/>
  <c r="BT22" i="60"/>
  <c r="AL20" i="60"/>
  <c r="AL25" i="60"/>
  <c r="AX22" i="60"/>
  <c r="T22" i="76"/>
  <c r="R22" i="55"/>
  <c r="O25" i="60"/>
  <c r="O20" i="60"/>
  <c r="AA22" i="60"/>
  <c r="E21" i="65"/>
  <c r="E26" i="65"/>
  <c r="BS25" i="60"/>
  <c r="BS20" i="60"/>
  <c r="CE22" i="60"/>
  <c r="CE20" i="60" l="1"/>
  <c r="CE25" i="60"/>
  <c r="F23" i="115"/>
  <c r="F23" i="65"/>
  <c r="AA25" i="60"/>
  <c r="AA20" i="60"/>
  <c r="AM22" i="60"/>
  <c r="BT25" i="60"/>
  <c r="BT20" i="60"/>
  <c r="CF22" i="60"/>
  <c r="BI25" i="60"/>
  <c r="BI20" i="60"/>
  <c r="BU22" i="60"/>
  <c r="AX25" i="60"/>
  <c r="AX20" i="60"/>
  <c r="BJ22" i="60"/>
  <c r="R60" i="113"/>
  <c r="R54" i="113"/>
  <c r="R56" i="113" s="1"/>
  <c r="R58" i="113" s="1"/>
  <c r="S53" i="113"/>
  <c r="R51" i="113"/>
  <c r="R52" i="113" s="1"/>
  <c r="O27" i="60"/>
  <c r="R21" i="55"/>
  <c r="R24" i="55" s="1"/>
  <c r="P24" i="55"/>
  <c r="S22" i="76"/>
  <c r="S54" i="113" l="1"/>
  <c r="S56" i="113" s="1"/>
  <c r="S58" i="113" s="1"/>
  <c r="S60" i="113"/>
  <c r="T53" i="113"/>
  <c r="S51" i="113"/>
  <c r="S52" i="113" s="1"/>
  <c r="CF25" i="60"/>
  <c r="CF20" i="60"/>
  <c r="BU25" i="60"/>
  <c r="BU20" i="60"/>
  <c r="CG22" i="60"/>
  <c r="F21" i="65"/>
  <c r="F26" i="65"/>
  <c r="J22" i="61"/>
  <c r="P23" i="65"/>
  <c r="BJ20" i="60"/>
  <c r="BJ25" i="60"/>
  <c r="BV22" i="60"/>
  <c r="AM20" i="60"/>
  <c r="AM25" i="60"/>
  <c r="AY22" i="60"/>
  <c r="F26" i="115"/>
  <c r="F21" i="115"/>
  <c r="P23" i="115"/>
  <c r="Q23" i="115" l="1"/>
  <c r="Q23" i="65"/>
  <c r="S29" i="76"/>
  <c r="S38" i="76" s="1"/>
  <c r="CG20" i="60"/>
  <c r="CG25" i="60"/>
  <c r="AY20" i="60"/>
  <c r="AY25" i="60"/>
  <c r="BK22" i="60"/>
  <c r="BV20" i="60"/>
  <c r="BV25" i="60"/>
  <c r="CH22" i="60"/>
  <c r="T51" i="113"/>
  <c r="T52" i="113" s="1"/>
  <c r="T54" i="113"/>
  <c r="T56" i="113" s="1"/>
  <c r="T58" i="113" s="1"/>
  <c r="U53" i="113"/>
  <c r="T60" i="113"/>
  <c r="U54" i="113" l="1"/>
  <c r="U56" i="113" s="1"/>
  <c r="U58" i="113" s="1"/>
  <c r="U51" i="113"/>
  <c r="U52" i="113" s="1"/>
  <c r="U60" i="113"/>
  <c r="V53" i="113"/>
  <c r="BK20" i="60"/>
  <c r="BK25" i="60"/>
  <c r="BW22" i="60"/>
  <c r="CH25" i="60"/>
  <c r="CH20" i="60"/>
  <c r="V51" i="113" l="1"/>
  <c r="V52" i="113" s="1"/>
  <c r="V54" i="113"/>
  <c r="V56" i="113" s="1"/>
  <c r="V58" i="113" s="1"/>
  <c r="V60" i="113"/>
  <c r="W53" i="113"/>
  <c r="BW20" i="60"/>
  <c r="BW25" i="60"/>
  <c r="CI22" i="60"/>
  <c r="CI20" i="60" l="1"/>
  <c r="CI25" i="60"/>
  <c r="X53" i="113"/>
  <c r="W54" i="113"/>
  <c r="W56" i="113" s="1"/>
  <c r="W58" i="113" s="1"/>
  <c r="W60" i="113"/>
  <c r="W51" i="113"/>
  <c r="W52" i="113" s="1"/>
  <c r="Y53" i="113" l="1"/>
  <c r="X54" i="113"/>
  <c r="X56" i="113" s="1"/>
  <c r="X58" i="113" s="1"/>
  <c r="X60" i="113"/>
  <c r="X51" i="113"/>
  <c r="X52" i="113" s="1"/>
  <c r="Y51" i="113" l="1"/>
  <c r="Y52" i="113" s="1"/>
  <c r="Y60" i="113"/>
  <c r="Y54" i="113"/>
  <c r="Y56" i="113" s="1"/>
  <c r="Y58" i="113" s="1"/>
  <c r="Z53" i="113"/>
  <c r="Z60" i="113" l="1"/>
  <c r="Z51" i="113"/>
  <c r="Z52" i="113" s="1"/>
  <c r="Z54" i="113"/>
  <c r="Z56" i="113" s="1"/>
  <c r="Z58" i="113" s="1"/>
  <c r="AA53" i="113" s="1"/>
  <c r="X61" i="113" l="1"/>
  <c r="Y112" i="60" s="1"/>
  <c r="R61" i="113"/>
  <c r="S112" i="60" s="1"/>
  <c r="Y61" i="113"/>
  <c r="Z112" i="60" s="1"/>
  <c r="AA54" i="113"/>
  <c r="AA56" i="113" s="1"/>
  <c r="AA58" i="113" s="1"/>
  <c r="AB53" i="113"/>
  <c r="AA60" i="113"/>
  <c r="AA51" i="113"/>
  <c r="AA52" i="113" s="1"/>
  <c r="V61" i="113"/>
  <c r="W112" i="60" s="1"/>
  <c r="Z61" i="113"/>
  <c r="AA112" i="60" s="1"/>
  <c r="O61" i="113"/>
  <c r="P112" i="60" s="1"/>
  <c r="P61" i="113"/>
  <c r="Q112" i="60" s="1"/>
  <c r="U61" i="113"/>
  <c r="V112" i="60" s="1"/>
  <c r="Q61" i="113"/>
  <c r="R112" i="60" s="1"/>
  <c r="S61" i="113"/>
  <c r="T112" i="60" s="1"/>
  <c r="T61" i="113"/>
  <c r="U112" i="60" s="1"/>
  <c r="W61" i="113"/>
  <c r="X112" i="60" s="1"/>
  <c r="AB60" i="113" l="1"/>
  <c r="AB51" i="113"/>
  <c r="AB52" i="113" s="1"/>
  <c r="AC53" i="113"/>
  <c r="AB54" i="113"/>
  <c r="AB56" i="113" s="1"/>
  <c r="AB58" i="113" s="1"/>
  <c r="AC51" i="113" l="1"/>
  <c r="AC52" i="113" s="1"/>
  <c r="AD53" i="113"/>
  <c r="AC54" i="113"/>
  <c r="AC56" i="113" s="1"/>
  <c r="AC58" i="113" s="1"/>
  <c r="AC60" i="113"/>
  <c r="AD51" i="113" l="1"/>
  <c r="AD52" i="113" s="1"/>
  <c r="AE53" i="113"/>
  <c r="AD60" i="113"/>
  <c r="AD54" i="113"/>
  <c r="AD56" i="113" s="1"/>
  <c r="AD58" i="113" s="1"/>
  <c r="AE24" i="60" s="1"/>
  <c r="AE60" i="113" l="1"/>
  <c r="AE54" i="113"/>
  <c r="AE56" i="113" s="1"/>
  <c r="AE58" i="113" s="1"/>
  <c r="AF23" i="60" s="1"/>
  <c r="AF53" i="113"/>
  <c r="AE51" i="113"/>
  <c r="AE52" i="113" s="1"/>
  <c r="J25" i="65"/>
  <c r="J25" i="115"/>
  <c r="AQ24" i="60"/>
  <c r="AE20" i="60"/>
  <c r="AE25" i="60"/>
  <c r="BC24" i="60" l="1"/>
  <c r="AQ20" i="60"/>
  <c r="AQ25" i="60"/>
  <c r="J26" i="115"/>
  <c r="J21" i="115"/>
  <c r="J21" i="65"/>
  <c r="J26" i="65"/>
  <c r="AF51" i="113"/>
  <c r="AF52" i="113" s="1"/>
  <c r="AF60" i="113"/>
  <c r="AG53" i="113"/>
  <c r="AF54" i="113"/>
  <c r="AF56" i="113" s="1"/>
  <c r="AF58" i="113" s="1"/>
  <c r="AG23" i="60" s="1"/>
  <c r="K24" i="115"/>
  <c r="K24" i="65"/>
  <c r="AR23" i="60"/>
  <c r="AF20" i="60"/>
  <c r="AF25" i="60"/>
  <c r="K26" i="115" l="1"/>
  <c r="K21" i="115"/>
  <c r="BD23" i="60"/>
  <c r="AR20" i="60"/>
  <c r="AR25" i="60"/>
  <c r="L24" i="115"/>
  <c r="L24" i="65"/>
  <c r="AS23" i="60"/>
  <c r="AG20" i="60"/>
  <c r="AG25" i="60"/>
  <c r="K26" i="65"/>
  <c r="K21" i="65"/>
  <c r="AH53" i="113"/>
  <c r="AG54" i="113"/>
  <c r="AG56" i="113" s="1"/>
  <c r="AG58" i="113" s="1"/>
  <c r="AH24" i="60" s="1"/>
  <c r="AG51" i="113"/>
  <c r="AG52" i="113" s="1"/>
  <c r="AG60" i="113"/>
  <c r="BO24" i="60"/>
  <c r="BC20" i="60"/>
  <c r="BC25" i="60"/>
  <c r="AH54" i="113" l="1"/>
  <c r="AH56" i="113" s="1"/>
  <c r="AH58" i="113" s="1"/>
  <c r="AI53" i="113"/>
  <c r="AH60" i="113"/>
  <c r="AH51" i="113"/>
  <c r="AH52" i="113" s="1"/>
  <c r="L26" i="65"/>
  <c r="L21" i="65"/>
  <c r="BP23" i="60"/>
  <c r="BD25" i="60"/>
  <c r="BD20" i="60"/>
  <c r="P24" i="65"/>
  <c r="L26" i="115"/>
  <c r="L21" i="115"/>
  <c r="P24" i="115"/>
  <c r="CA24" i="60"/>
  <c r="BO25" i="60"/>
  <c r="BO20" i="60"/>
  <c r="M25" i="65"/>
  <c r="M25" i="115"/>
  <c r="AT24" i="60"/>
  <c r="AH20" i="60"/>
  <c r="AH25" i="60"/>
  <c r="BE23" i="60"/>
  <c r="AS25" i="60"/>
  <c r="AS20" i="60"/>
  <c r="T29" i="76" l="1"/>
  <c r="Q24" i="65"/>
  <c r="AJ53" i="113"/>
  <c r="AI51" i="113"/>
  <c r="AI52" i="113" s="1"/>
  <c r="AI60" i="113"/>
  <c r="AI54" i="113"/>
  <c r="AI56" i="113" s="1"/>
  <c r="AI58" i="113" s="1"/>
  <c r="BF24" i="60"/>
  <c r="AT20" i="60"/>
  <c r="AT25" i="60"/>
  <c r="Q24" i="115"/>
  <c r="M21" i="65"/>
  <c r="M26" i="65"/>
  <c r="P25" i="65"/>
  <c r="BQ23" i="60"/>
  <c r="BE20" i="60"/>
  <c r="BE25" i="60"/>
  <c r="M21" i="115"/>
  <c r="M26" i="115"/>
  <c r="P25" i="115"/>
  <c r="Q25" i="115" s="1"/>
  <c r="CA20" i="60"/>
  <c r="CA25" i="60"/>
  <c r="CB23" i="60"/>
  <c r="BP25" i="60"/>
  <c r="BP20" i="60"/>
  <c r="P26" i="115" l="1"/>
  <c r="I82" i="44" s="1"/>
  <c r="BR24" i="60"/>
  <c r="BF25" i="60"/>
  <c r="BF20" i="60"/>
  <c r="AJ60" i="113"/>
  <c r="AJ54" i="113"/>
  <c r="AJ56" i="113" s="1"/>
  <c r="AJ58" i="113" s="1"/>
  <c r="AK53" i="113"/>
  <c r="AJ51" i="113"/>
  <c r="AJ52" i="113" s="1"/>
  <c r="Q25" i="65"/>
  <c r="U29" i="76"/>
  <c r="J40" i="44"/>
  <c r="Q26" i="115"/>
  <c r="CC23" i="60"/>
  <c r="BQ25" i="60"/>
  <c r="BQ20" i="60"/>
  <c r="P21" i="115"/>
  <c r="P26" i="65"/>
  <c r="CB20" i="60"/>
  <c r="CB25" i="60"/>
  <c r="P21" i="65"/>
  <c r="T38" i="76"/>
  <c r="I40" i="44" l="1"/>
  <c r="Q26" i="65"/>
  <c r="S40" i="44" s="1"/>
  <c r="CC25" i="60"/>
  <c r="CC20" i="60"/>
  <c r="M40" i="44"/>
  <c r="AL53" i="113"/>
  <c r="AK51" i="113"/>
  <c r="AK52" i="113" s="1"/>
  <c r="AK60" i="113"/>
  <c r="AK54" i="113"/>
  <c r="AK56" i="113" s="1"/>
  <c r="AK58" i="113" s="1"/>
  <c r="U38" i="76"/>
  <c r="CD24" i="60"/>
  <c r="BR20" i="60"/>
  <c r="BR25" i="60"/>
  <c r="K40" i="44" l="1"/>
  <c r="L40" i="44"/>
  <c r="N40" i="44" s="1"/>
  <c r="CD25" i="60"/>
  <c r="CD20" i="60"/>
  <c r="AL54" i="113"/>
  <c r="AL56" i="113" s="1"/>
  <c r="AL58" i="113" s="1"/>
  <c r="AM53" i="113" s="1"/>
  <c r="AL51" i="113"/>
  <c r="AL52" i="113" s="1"/>
  <c r="AL60" i="113"/>
  <c r="V83" i="44" l="1"/>
  <c r="O40" i="44"/>
  <c r="AI61" i="113"/>
  <c r="AJ112" i="60" s="1"/>
  <c r="AJ61" i="113"/>
  <c r="AK112" i="60" s="1"/>
  <c r="AE61" i="113"/>
  <c r="AF112" i="60" s="1"/>
  <c r="AK61" i="113"/>
  <c r="AL112" i="60" s="1"/>
  <c r="AN53" i="113"/>
  <c r="AM60" i="113"/>
  <c r="AM51" i="113"/>
  <c r="AM52" i="113" s="1"/>
  <c r="AM54" i="113"/>
  <c r="AM56" i="113" s="1"/>
  <c r="AM58" i="113" s="1"/>
  <c r="AG61" i="113"/>
  <c r="AH112" i="60" s="1"/>
  <c r="AH61" i="113"/>
  <c r="AI112" i="60" s="1"/>
  <c r="AL61" i="113"/>
  <c r="AM112" i="60" s="1"/>
  <c r="AA61" i="113"/>
  <c r="AB112" i="60" s="1"/>
  <c r="AB61" i="113"/>
  <c r="AC112" i="60" s="1"/>
  <c r="AC61" i="113"/>
  <c r="AD112" i="60" s="1"/>
  <c r="AD61" i="113"/>
  <c r="AE112" i="60" s="1"/>
  <c r="AA40" i="44"/>
  <c r="AF61" i="113"/>
  <c r="AG112" i="60" s="1"/>
  <c r="AN51" i="113" l="1"/>
  <c r="AN52" i="113" s="1"/>
  <c r="AO53" i="113"/>
  <c r="AN54" i="113"/>
  <c r="AN56" i="113" s="1"/>
  <c r="AN58" i="113" s="1"/>
  <c r="AN60" i="113"/>
  <c r="AP53" i="113" l="1"/>
  <c r="AO54" i="113"/>
  <c r="AO56" i="113" s="1"/>
  <c r="AO58" i="113" s="1"/>
  <c r="AO60" i="113"/>
  <c r="AO51" i="113"/>
  <c r="AO52" i="113" s="1"/>
  <c r="AP60" i="113" l="1"/>
  <c r="AP54" i="113"/>
  <c r="AP56" i="113" s="1"/>
  <c r="AP58" i="113" s="1"/>
  <c r="AQ53" i="113"/>
  <c r="AP51" i="113"/>
  <c r="AP52" i="113" s="1"/>
  <c r="AR53" i="113" l="1"/>
  <c r="AQ51" i="113"/>
  <c r="AQ52" i="113" s="1"/>
  <c r="AQ54" i="113"/>
  <c r="AQ56" i="113" s="1"/>
  <c r="AQ58" i="113" s="1"/>
  <c r="AQ60" i="113"/>
  <c r="AS53" i="113" l="1"/>
  <c r="AR60" i="113"/>
  <c r="AR51" i="113"/>
  <c r="AR52" i="113" s="1"/>
  <c r="AR54" i="113"/>
  <c r="AR56" i="113" s="1"/>
  <c r="AR58" i="113" s="1"/>
  <c r="AS54" i="113" l="1"/>
  <c r="AS56" i="113" s="1"/>
  <c r="AS58" i="113" s="1"/>
  <c r="AT53" i="113"/>
  <c r="AS60" i="113"/>
  <c r="AS51" i="113"/>
  <c r="AS52" i="113" s="1"/>
  <c r="AT51" i="113" l="1"/>
  <c r="AT52" i="113" s="1"/>
  <c r="AU53" i="113"/>
  <c r="AT60" i="113"/>
  <c r="AT54" i="113"/>
  <c r="AT56" i="113" s="1"/>
  <c r="AT58" i="113" s="1"/>
  <c r="AU60" i="113" l="1"/>
  <c r="AV53" i="113"/>
  <c r="AU54" i="113"/>
  <c r="AU56" i="113" s="1"/>
  <c r="AU58" i="113" s="1"/>
  <c r="AU51" i="113"/>
  <c r="AU52" i="113" s="1"/>
  <c r="AV54" i="113" l="1"/>
  <c r="AV56" i="113" s="1"/>
  <c r="AV58" i="113" s="1"/>
  <c r="AV51" i="113"/>
  <c r="AV52" i="113" s="1"/>
  <c r="AW53" i="113"/>
  <c r="AV60" i="113"/>
  <c r="AW54" i="113" l="1"/>
  <c r="AW56" i="113" s="1"/>
  <c r="AW58" i="113" s="1"/>
  <c r="AW60" i="113"/>
  <c r="AX53" i="113"/>
  <c r="AW51" i="113"/>
  <c r="AW52" i="113" s="1"/>
  <c r="AX60" i="113" l="1"/>
  <c r="AX54" i="113"/>
  <c r="AX56" i="113" s="1"/>
  <c r="AX58" i="113" s="1"/>
  <c r="AY53" i="113" s="1"/>
  <c r="AX51" i="113"/>
  <c r="AX52" i="113" s="1"/>
  <c r="AT61" i="113" l="1"/>
  <c r="AU112" i="60" s="1"/>
  <c r="AW61" i="113"/>
  <c r="AX112" i="60" s="1"/>
  <c r="AR61" i="113"/>
  <c r="AS112" i="60" s="1"/>
  <c r="AY51" i="113"/>
  <c r="AY52" i="113" s="1"/>
  <c r="AY60" i="113"/>
  <c r="AY54" i="113"/>
  <c r="AY56" i="113" s="1"/>
  <c r="AY58" i="113" s="1"/>
  <c r="AZ53" i="113"/>
  <c r="AU61" i="113"/>
  <c r="AV112" i="60" s="1"/>
  <c r="AX61" i="113"/>
  <c r="AY112" i="60" s="1"/>
  <c r="AM61" i="113"/>
  <c r="AN112" i="60" s="1"/>
  <c r="AN61" i="113"/>
  <c r="AO112" i="60" s="1"/>
  <c r="AP61" i="113"/>
  <c r="AQ112" i="60" s="1"/>
  <c r="AQ61" i="113"/>
  <c r="AR112" i="60" s="1"/>
  <c r="AO61" i="113"/>
  <c r="AP112" i="60" s="1"/>
  <c r="AV61" i="113"/>
  <c r="AW112" i="60" s="1"/>
  <c r="AS61" i="113"/>
  <c r="AT112" i="60" s="1"/>
  <c r="AZ51" i="113" l="1"/>
  <c r="AZ52" i="113" s="1"/>
  <c r="BA53" i="113"/>
  <c r="AZ54" i="113"/>
  <c r="AZ56" i="113" s="1"/>
  <c r="AZ58" i="113" s="1"/>
  <c r="AZ60" i="113"/>
  <c r="BA54" i="113" l="1"/>
  <c r="BA56" i="113" s="1"/>
  <c r="BA58" i="113" s="1"/>
  <c r="BA51" i="113"/>
  <c r="BA52" i="113" s="1"/>
  <c r="BA60" i="113"/>
  <c r="BB53" i="113"/>
  <c r="BB54" i="113" l="1"/>
  <c r="BB56" i="113" s="1"/>
  <c r="BB58" i="113" s="1"/>
  <c r="BC53" i="113"/>
  <c r="BB60" i="113"/>
  <c r="BB51" i="113"/>
  <c r="BB52" i="113" s="1"/>
  <c r="BC51" i="113" l="1"/>
  <c r="BC52" i="113" s="1"/>
  <c r="BD53" i="113"/>
  <c r="BC54" i="113"/>
  <c r="BC56" i="113" s="1"/>
  <c r="BC58" i="113" s="1"/>
  <c r="BC60" i="113"/>
  <c r="BE53" i="113" l="1"/>
  <c r="BD51" i="113"/>
  <c r="BD52" i="113" s="1"/>
  <c r="BD60" i="113"/>
  <c r="BD54" i="113"/>
  <c r="BD56" i="113" s="1"/>
  <c r="BD58" i="113" s="1"/>
  <c r="BE51" i="113" l="1"/>
  <c r="BE52" i="113" s="1"/>
  <c r="BF53" i="113"/>
  <c r="BE60" i="113"/>
  <c r="BE54" i="113"/>
  <c r="BE56" i="113" s="1"/>
  <c r="BE58" i="113" s="1"/>
  <c r="BG53" i="113" l="1"/>
  <c r="BF54" i="113"/>
  <c r="BF56" i="113" s="1"/>
  <c r="BF58" i="113" s="1"/>
  <c r="BF51" i="113"/>
  <c r="BF52" i="113" s="1"/>
  <c r="BF60" i="113"/>
  <c r="BG54" i="113" l="1"/>
  <c r="BG56" i="113" s="1"/>
  <c r="BG58" i="113" s="1"/>
  <c r="BG51" i="113"/>
  <c r="BG52" i="113" s="1"/>
  <c r="BG60" i="113"/>
  <c r="BH53" i="113"/>
  <c r="BH54" i="113" l="1"/>
  <c r="BH56" i="113" s="1"/>
  <c r="BH58" i="113" s="1"/>
  <c r="BH60" i="113"/>
  <c r="BH51" i="113"/>
  <c r="BH52" i="113" s="1"/>
  <c r="BI53" i="113"/>
  <c r="BJ53" i="113" l="1"/>
  <c r="BI60" i="113"/>
  <c r="BI54" i="113"/>
  <c r="BI56" i="113" s="1"/>
  <c r="BI58" i="113" s="1"/>
  <c r="BI51" i="113"/>
  <c r="BI52" i="113" s="1"/>
  <c r="BJ54" i="113" l="1"/>
  <c r="BJ56" i="113" s="1"/>
  <c r="BJ58" i="113" s="1"/>
  <c r="BK53" i="113" s="1"/>
  <c r="BJ60" i="113"/>
  <c r="BJ51" i="113"/>
  <c r="BJ52" i="113" s="1"/>
  <c r="BI61" i="113" l="1"/>
  <c r="BJ112" i="60" s="1"/>
  <c r="BJ61" i="113"/>
  <c r="BK112" i="60" s="1"/>
  <c r="AZ61" i="113"/>
  <c r="BA112" i="60" s="1"/>
  <c r="AY61" i="113"/>
  <c r="AZ112" i="60" s="1"/>
  <c r="BA61" i="113"/>
  <c r="BB112" i="60" s="1"/>
  <c r="BC61" i="113"/>
  <c r="BD112" i="60" s="1"/>
  <c r="BB61" i="113"/>
  <c r="BC112" i="60" s="1"/>
  <c r="BE61" i="113"/>
  <c r="BF112" i="60" s="1"/>
  <c r="BK60" i="113"/>
  <c r="BK51" i="113"/>
  <c r="BK52" i="113" s="1"/>
  <c r="BL53" i="113"/>
  <c r="BK54" i="113"/>
  <c r="BK56" i="113" s="1"/>
  <c r="BK58" i="113" s="1"/>
  <c r="BD61" i="113"/>
  <c r="BE112" i="60" s="1"/>
  <c r="BH61" i="113"/>
  <c r="BI112" i="60" s="1"/>
  <c r="BG61" i="113"/>
  <c r="BH112" i="60" s="1"/>
  <c r="BF61" i="113"/>
  <c r="BG112" i="60" s="1"/>
  <c r="BL54" i="113" l="1"/>
  <c r="BL56" i="113" s="1"/>
  <c r="BL58" i="113" s="1"/>
  <c r="BL51" i="113"/>
  <c r="BL52" i="113" s="1"/>
  <c r="BM53" i="113"/>
  <c r="BL60" i="113"/>
  <c r="BM51" i="113" l="1"/>
  <c r="BM52" i="113" s="1"/>
  <c r="BM60" i="113"/>
  <c r="BM54" i="113"/>
  <c r="BM56" i="113" s="1"/>
  <c r="BM58" i="113" s="1"/>
  <c r="BN53" i="113"/>
  <c r="BO53" i="113" l="1"/>
  <c r="BN60" i="113"/>
  <c r="BN54" i="113"/>
  <c r="BN56" i="113" s="1"/>
  <c r="BN58" i="113" s="1"/>
  <c r="BN51" i="113"/>
  <c r="BN52" i="113" s="1"/>
  <c r="BO51" i="113" l="1"/>
  <c r="BO52" i="113" s="1"/>
  <c r="BP53" i="113"/>
  <c r="BO54" i="113"/>
  <c r="BO56" i="113" s="1"/>
  <c r="BO58" i="113" s="1"/>
  <c r="BO60" i="113"/>
  <c r="BP60" i="113" l="1"/>
  <c r="BP51" i="113"/>
  <c r="BP52" i="113" s="1"/>
  <c r="BP54" i="113"/>
  <c r="BP56" i="113" s="1"/>
  <c r="BP58" i="113" s="1"/>
  <c r="BQ53" i="113"/>
  <c r="BQ54" i="113" l="1"/>
  <c r="BQ56" i="113" s="1"/>
  <c r="BQ58" i="113" s="1"/>
  <c r="BQ51" i="113"/>
  <c r="BQ52" i="113" s="1"/>
  <c r="BR53" i="113"/>
  <c r="BQ60" i="113"/>
  <c r="BS53" i="113" l="1"/>
  <c r="BR54" i="113"/>
  <c r="BR56" i="113" s="1"/>
  <c r="BR58" i="113" s="1"/>
  <c r="BR51" i="113"/>
  <c r="BR52" i="113" s="1"/>
  <c r="BR60" i="113"/>
  <c r="BS51" i="113" l="1"/>
  <c r="BS52" i="113" s="1"/>
  <c r="BS54" i="113"/>
  <c r="BS56" i="113" s="1"/>
  <c r="BS58" i="113" s="1"/>
  <c r="BT53" i="113"/>
  <c r="BS60" i="113"/>
  <c r="BT51" i="113" l="1"/>
  <c r="BT52" i="113" s="1"/>
  <c r="BU53" i="113"/>
  <c r="BT54" i="113"/>
  <c r="BT56" i="113" s="1"/>
  <c r="BT58" i="113" s="1"/>
  <c r="BT60" i="113"/>
  <c r="BU51" i="113" l="1"/>
  <c r="BU52" i="113" s="1"/>
  <c r="BV53" i="113"/>
  <c r="BU60" i="113"/>
  <c r="BU54" i="113"/>
  <c r="BU56" i="113" s="1"/>
  <c r="BU58" i="113" s="1"/>
  <c r="BV54" i="113" l="1"/>
  <c r="BV56" i="113" s="1"/>
  <c r="BV58" i="113" s="1"/>
  <c r="BW53" i="113" s="1"/>
  <c r="BV51" i="113"/>
  <c r="BV52" i="113" s="1"/>
  <c r="BV60" i="113"/>
  <c r="BU61" i="113" l="1"/>
  <c r="BV112" i="60" s="1"/>
  <c r="BW60" i="113"/>
  <c r="BW51" i="113"/>
  <c r="BW52" i="113" s="1"/>
  <c r="BW54" i="113"/>
  <c r="BW56" i="113" s="1"/>
  <c r="BW58" i="113" s="1"/>
  <c r="BX24" i="60" s="1"/>
  <c r="BX53" i="113"/>
  <c r="BN61" i="113"/>
  <c r="BO112" i="60" s="1"/>
  <c r="BV61" i="113"/>
  <c r="BW112" i="60" s="1"/>
  <c r="BK61" i="113"/>
  <c r="BL112" i="60" s="1"/>
  <c r="BL61" i="113"/>
  <c r="BM112" i="60" s="1"/>
  <c r="BM61" i="113"/>
  <c r="BN112" i="60" s="1"/>
  <c r="BO61" i="113"/>
  <c r="BP112" i="60" s="1"/>
  <c r="BR61" i="113"/>
  <c r="BS112" i="60" s="1"/>
  <c r="BS61" i="113"/>
  <c r="BT112" i="60" s="1"/>
  <c r="BP61" i="113"/>
  <c r="BQ112" i="60" s="1"/>
  <c r="BQ61" i="113"/>
  <c r="BR112" i="60" s="1"/>
  <c r="BT61" i="113"/>
  <c r="BU112" i="60" s="1"/>
  <c r="BY53" i="113" l="1"/>
  <c r="BX54" i="113"/>
  <c r="BX56" i="113" s="1"/>
  <c r="BX58" i="113" s="1"/>
  <c r="BY24" i="60" s="1"/>
  <c r="BX60" i="113"/>
  <c r="BX51" i="113"/>
  <c r="BX52" i="113" s="1"/>
  <c r="BX25" i="60"/>
  <c r="BX20" i="60"/>
  <c r="BY25" i="60" l="1"/>
  <c r="BY20" i="60"/>
  <c r="BY51" i="113"/>
  <c r="BY52" i="113" s="1"/>
  <c r="BY60" i="113"/>
  <c r="BY54" i="113"/>
  <c r="BY56" i="113" s="1"/>
  <c r="BY58" i="113" s="1"/>
  <c r="BZ53" i="113"/>
  <c r="BZ60" i="113" l="1"/>
  <c r="BZ54" i="113"/>
  <c r="BZ56" i="113" s="1"/>
  <c r="BZ58" i="113" s="1"/>
  <c r="CA53" i="113"/>
  <c r="BZ51" i="113"/>
  <c r="BZ52" i="113" s="1"/>
  <c r="CA60" i="113" l="1"/>
  <c r="CB53" i="113"/>
  <c r="CA51" i="113"/>
  <c r="CA52" i="113" s="1"/>
  <c r="CA54" i="113"/>
  <c r="CA56" i="113" s="1"/>
  <c r="CA58" i="113" s="1"/>
  <c r="CC53" i="113" l="1"/>
  <c r="CB60" i="113"/>
  <c r="CB51" i="113"/>
  <c r="CB52" i="113" s="1"/>
  <c r="CB54" i="113"/>
  <c r="CB56" i="113" s="1"/>
  <c r="CB58" i="113" s="1"/>
  <c r="CD53" i="113" l="1"/>
  <c r="CC54" i="113"/>
  <c r="CC56" i="113" s="1"/>
  <c r="CC58" i="113" s="1"/>
  <c r="CC60" i="113"/>
  <c r="CC51" i="113"/>
  <c r="CC52" i="113" s="1"/>
  <c r="CD51" i="113" l="1"/>
  <c r="CD52" i="113" s="1"/>
  <c r="CE53" i="113"/>
  <c r="CD60" i="113"/>
  <c r="CD54" i="113"/>
  <c r="CD56" i="113" s="1"/>
  <c r="CD58" i="113" s="1"/>
  <c r="CF53" i="113" l="1"/>
  <c r="CE51" i="113"/>
  <c r="CE52" i="113" s="1"/>
  <c r="CE54" i="113"/>
  <c r="CE56" i="113" s="1"/>
  <c r="CE58" i="113" s="1"/>
  <c r="CE60" i="113"/>
  <c r="CF51" i="113" l="1"/>
  <c r="CF52" i="113" s="1"/>
  <c r="CF54" i="113"/>
  <c r="CF56" i="113" s="1"/>
  <c r="CF58" i="113" s="1"/>
  <c r="CG53" i="113"/>
  <c r="CF60" i="113"/>
  <c r="CG51" i="113" l="1"/>
  <c r="CG52" i="113" s="1"/>
  <c r="CG60" i="113"/>
  <c r="CH53" i="113"/>
  <c r="CG54" i="113"/>
  <c r="CG56" i="113" s="1"/>
  <c r="CG58" i="113" s="1"/>
  <c r="CH60" i="113" l="1"/>
  <c r="CH51" i="113"/>
  <c r="CH52" i="113" s="1"/>
  <c r="CH54" i="113"/>
  <c r="CH56" i="113" s="1"/>
  <c r="CH58" i="113" s="1"/>
  <c r="CC61" i="113" l="1"/>
  <c r="CD112" i="60" s="1"/>
  <c r="CB61" i="113"/>
  <c r="CC112" i="60" s="1"/>
  <c r="BZ61" i="113"/>
  <c r="CA112" i="60" s="1"/>
  <c r="CH61" i="113"/>
  <c r="CI112" i="60" s="1"/>
  <c r="BW61" i="113"/>
  <c r="BX112" i="60" s="1"/>
  <c r="CA61" i="113"/>
  <c r="CB112" i="60" s="1"/>
  <c r="BX61" i="113"/>
  <c r="BY112" i="60" s="1"/>
  <c r="BY61" i="113"/>
  <c r="BZ112" i="60" s="1"/>
  <c r="CF61" i="113"/>
  <c r="CG112" i="60" s="1"/>
  <c r="CG61" i="113"/>
  <c r="CH112" i="60" s="1"/>
  <c r="CD61" i="113"/>
  <c r="CE112" i="60" s="1"/>
  <c r="CE61" i="113"/>
  <c r="CF112" i="60" s="1"/>
  <c r="P73" i="20" l="1"/>
  <c r="R73" i="20" s="1"/>
  <c r="P74" i="20"/>
  <c r="R74" i="20" s="1"/>
  <c r="D75" i="20"/>
  <c r="E75" i="20"/>
  <c r="F75" i="20"/>
  <c r="G75" i="20"/>
  <c r="H75" i="20"/>
  <c r="I75" i="20"/>
  <c r="J75" i="20"/>
  <c r="K75" i="20"/>
  <c r="L75" i="20"/>
  <c r="M75" i="20"/>
  <c r="N75" i="20"/>
  <c r="P75" i="20"/>
  <c r="E84" i="60"/>
  <c r="F84" i="60"/>
  <c r="G84" i="60"/>
  <c r="S84" i="60" s="1"/>
  <c r="AE84" i="60" s="1"/>
  <c r="H84" i="60"/>
  <c r="T84" i="60" s="1"/>
  <c r="AF84" i="60" s="1"/>
  <c r="I84" i="60"/>
  <c r="J84" i="60"/>
  <c r="V84" i="60" s="1"/>
  <c r="K84" i="60"/>
  <c r="W84" i="60" s="1"/>
  <c r="L84" i="60"/>
  <c r="X84" i="60" s="1"/>
  <c r="AJ84" i="60" s="1"/>
  <c r="M84" i="60"/>
  <c r="N84" i="60"/>
  <c r="Z84" i="60" s="1"/>
  <c r="O84" i="60"/>
  <c r="AA84" i="60" s="1"/>
  <c r="E85" i="60"/>
  <c r="Q85" i="60" s="1"/>
  <c r="AC85" i="60" s="1"/>
  <c r="F85" i="60"/>
  <c r="R85" i="60" s="1"/>
  <c r="AD85" i="60" s="1"/>
  <c r="G85" i="60"/>
  <c r="S85" i="60" s="1"/>
  <c r="H85" i="60"/>
  <c r="I85" i="60"/>
  <c r="U85" i="60" s="1"/>
  <c r="AG85" i="60" s="1"/>
  <c r="AS85" i="60" s="1"/>
  <c r="BE85" i="60" s="1"/>
  <c r="BQ85" i="60" s="1"/>
  <c r="CC85" i="60" s="1"/>
  <c r="J85" i="60"/>
  <c r="V85" i="60" s="1"/>
  <c r="AH85" i="60" s="1"/>
  <c r="K85" i="60"/>
  <c r="W85" i="60" s="1"/>
  <c r="AI85" i="60" s="1"/>
  <c r="L85" i="60"/>
  <c r="M85" i="60"/>
  <c r="Y85" i="60" s="1"/>
  <c r="N85" i="60"/>
  <c r="Z85" i="60" s="1"/>
  <c r="AL85" i="60" s="1"/>
  <c r="AX85" i="60" s="1"/>
  <c r="BJ85" i="60" s="1"/>
  <c r="BV85" i="60" s="1"/>
  <c r="CH85" i="60" s="1"/>
  <c r="O85" i="60"/>
  <c r="AA85" i="60" s="1"/>
  <c r="E36" i="76"/>
  <c r="E36" i="91" s="1"/>
  <c r="H36" i="91" s="1"/>
  <c r="M36" i="91" s="1"/>
  <c r="P36" i="91" s="1"/>
  <c r="E37" i="76" l="1"/>
  <c r="H37" i="76" s="1"/>
  <c r="M37" i="76" s="1"/>
  <c r="P37" i="76" s="1"/>
  <c r="F86" i="60"/>
  <c r="AM85" i="60"/>
  <c r="AY85" i="60" s="1"/>
  <c r="BK85" i="60" s="1"/>
  <c r="BW85" i="60" s="1"/>
  <c r="CI85" i="60" s="1"/>
  <c r="F86" i="65"/>
  <c r="E37" i="91"/>
  <c r="H37" i="91" s="1"/>
  <c r="M37" i="91" s="1"/>
  <c r="P37" i="91" s="1"/>
  <c r="O86" i="60"/>
  <c r="H36" i="78" s="1"/>
  <c r="H38" i="78" s="1"/>
  <c r="N86" i="60"/>
  <c r="G36" i="78" s="1"/>
  <c r="G38" i="78" s="1"/>
  <c r="AO85" i="60"/>
  <c r="BA85" i="60" s="1"/>
  <c r="BM85" i="60" s="1"/>
  <c r="BY85" i="60" s="1"/>
  <c r="H86" i="115"/>
  <c r="L86" i="65"/>
  <c r="L86" i="115"/>
  <c r="F85" i="65"/>
  <c r="F87" i="65" s="1"/>
  <c r="F86" i="115"/>
  <c r="G86" i="60"/>
  <c r="H86" i="65"/>
  <c r="AU85" i="60"/>
  <c r="BG85" i="60" s="1"/>
  <c r="BS85" i="60" s="1"/>
  <c r="CE85" i="60" s="1"/>
  <c r="N86" i="115"/>
  <c r="N86" i="65"/>
  <c r="AV84" i="60"/>
  <c r="BH84" i="60" s="1"/>
  <c r="O85" i="65"/>
  <c r="O85" i="115"/>
  <c r="AP85" i="60"/>
  <c r="BB85" i="60" s="1"/>
  <c r="BN85" i="60" s="1"/>
  <c r="BZ85" i="60" s="1"/>
  <c r="I86" i="65"/>
  <c r="I86" i="115"/>
  <c r="E85" i="115"/>
  <c r="E85" i="65"/>
  <c r="H36" i="76"/>
  <c r="M36" i="76" s="1"/>
  <c r="P36" i="76" s="1"/>
  <c r="E86" i="115"/>
  <c r="F85" i="115"/>
  <c r="F87" i="115" s="1"/>
  <c r="K86" i="60"/>
  <c r="D36" i="78" s="1"/>
  <c r="D38" i="78" s="1"/>
  <c r="AE85" i="60"/>
  <c r="AE86" i="60" s="1"/>
  <c r="Z36" i="78" s="1"/>
  <c r="Z38" i="78" s="1"/>
  <c r="E86" i="65"/>
  <c r="S86" i="60"/>
  <c r="L36" i="78" s="1"/>
  <c r="L38" i="78" s="1"/>
  <c r="J86" i="60"/>
  <c r="C36" i="78" s="1"/>
  <c r="C38" i="78" s="1"/>
  <c r="AR84" i="60"/>
  <c r="BD84" i="60" s="1"/>
  <c r="K85" i="65"/>
  <c r="K85" i="115"/>
  <c r="J85" i="65"/>
  <c r="J85" i="115"/>
  <c r="AK85" i="60"/>
  <c r="AW85" i="60" s="1"/>
  <c r="BI85" i="60" s="1"/>
  <c r="BU85" i="60" s="1"/>
  <c r="CG85" i="60" s="1"/>
  <c r="D86" i="65"/>
  <c r="D86" i="115"/>
  <c r="W86" i="60"/>
  <c r="Q36" i="78" s="1"/>
  <c r="Q38" i="78" s="1"/>
  <c r="AI84" i="60"/>
  <c r="AI86" i="60" s="1"/>
  <c r="AD36" i="78" s="1"/>
  <c r="AD38" i="78" s="1"/>
  <c r="AT85" i="60"/>
  <c r="BF85" i="60" s="1"/>
  <c r="BR85" i="60" s="1"/>
  <c r="CD85" i="60" s="1"/>
  <c r="M86" i="65"/>
  <c r="M86" i="115"/>
  <c r="AA86" i="60"/>
  <c r="V36" i="78" s="1"/>
  <c r="V38" i="78" s="1"/>
  <c r="AM84" i="60"/>
  <c r="R84" i="60"/>
  <c r="AD84" i="60" s="1"/>
  <c r="Z86" i="60"/>
  <c r="U36" i="78" s="1"/>
  <c r="U38" i="78" s="1"/>
  <c r="AL84" i="60"/>
  <c r="L86" i="60"/>
  <c r="E36" i="78" s="1"/>
  <c r="X85" i="60"/>
  <c r="H86" i="60"/>
  <c r="T85" i="60"/>
  <c r="V86" i="60"/>
  <c r="P36" i="78" s="1"/>
  <c r="P38" i="78" s="1"/>
  <c r="AH84" i="60"/>
  <c r="M86" i="60"/>
  <c r="F36" i="78" s="1"/>
  <c r="F38" i="78" s="1"/>
  <c r="Y84" i="60"/>
  <c r="I86" i="60"/>
  <c r="U84" i="60"/>
  <c r="E86" i="60"/>
  <c r="Q84" i="60"/>
  <c r="AQ84" i="60"/>
  <c r="AM86" i="60" l="1"/>
  <c r="AU84" i="60"/>
  <c r="AU86" i="60" s="1"/>
  <c r="E87" i="115"/>
  <c r="AY84" i="60"/>
  <c r="BK84" i="60" s="1"/>
  <c r="R86" i="60"/>
  <c r="K36" i="78" s="1"/>
  <c r="K38" i="78" s="1"/>
  <c r="J86" i="65"/>
  <c r="J87" i="65" s="1"/>
  <c r="AQ85" i="60"/>
  <c r="BC85" i="60" s="1"/>
  <c r="BO85" i="60" s="1"/>
  <c r="CA85" i="60" s="1"/>
  <c r="J86" i="115"/>
  <c r="J87" i="115" s="1"/>
  <c r="E87" i="65"/>
  <c r="N85" i="65"/>
  <c r="N85" i="115"/>
  <c r="AY86" i="60"/>
  <c r="AH86" i="60"/>
  <c r="AC36" i="78" s="1"/>
  <c r="AC38" i="78" s="1"/>
  <c r="AT84" i="60"/>
  <c r="M85" i="115"/>
  <c r="M85" i="65"/>
  <c r="AL86" i="60"/>
  <c r="AX84" i="60"/>
  <c r="BC84" i="60"/>
  <c r="AJ85" i="60"/>
  <c r="X86" i="60"/>
  <c r="R36" i="78" s="1"/>
  <c r="R38" i="78" s="1"/>
  <c r="E38" i="78"/>
  <c r="BT84" i="60"/>
  <c r="Y86" i="60"/>
  <c r="T36" i="78" s="1"/>
  <c r="AK84" i="60"/>
  <c r="D85" i="115"/>
  <c r="D85" i="65"/>
  <c r="BP84" i="60"/>
  <c r="AD86" i="60"/>
  <c r="Y36" i="78" s="1"/>
  <c r="Y38" i="78" s="1"/>
  <c r="AP84" i="60"/>
  <c r="I85" i="115"/>
  <c r="I85" i="65"/>
  <c r="U86" i="60"/>
  <c r="N36" i="78" s="1"/>
  <c r="N38" i="78" s="1"/>
  <c r="AG84" i="60"/>
  <c r="Q86" i="60"/>
  <c r="J36" i="78" s="1"/>
  <c r="J38" i="78" s="1"/>
  <c r="AC84" i="60"/>
  <c r="AF85" i="60"/>
  <c r="T86" i="60"/>
  <c r="M36" i="78" s="1"/>
  <c r="M38" i="78" s="1"/>
  <c r="BG84" i="60" l="1"/>
  <c r="AQ86" i="60"/>
  <c r="N87" i="115"/>
  <c r="N87" i="65"/>
  <c r="BS84" i="60"/>
  <c r="BG86" i="60"/>
  <c r="AS84" i="60"/>
  <c r="AG86" i="60"/>
  <c r="AB36" i="78" s="1"/>
  <c r="AB38" i="78" s="1"/>
  <c r="L85" i="115"/>
  <c r="L85" i="65"/>
  <c r="I87" i="115"/>
  <c r="AW84" i="60"/>
  <c r="AK86" i="60"/>
  <c r="M87" i="65"/>
  <c r="AR85" i="60"/>
  <c r="AF86" i="60"/>
  <c r="AA36" i="78" s="1"/>
  <c r="AA38" i="78" s="1"/>
  <c r="K86" i="115"/>
  <c r="K86" i="65"/>
  <c r="O36" i="78"/>
  <c r="O38" i="78" s="1"/>
  <c r="M87" i="115"/>
  <c r="J52" i="61"/>
  <c r="D87" i="65"/>
  <c r="T38" i="78"/>
  <c r="BO84" i="60"/>
  <c r="BC86" i="60"/>
  <c r="BF84" i="60"/>
  <c r="AT86" i="60"/>
  <c r="BW84" i="60"/>
  <c r="BK86" i="60"/>
  <c r="BB84" i="60"/>
  <c r="AP86" i="60"/>
  <c r="CF84" i="60"/>
  <c r="BJ84" i="60"/>
  <c r="AX86" i="60"/>
  <c r="AO84" i="60"/>
  <c r="AC86" i="60"/>
  <c r="X36" i="78" s="1"/>
  <c r="X38" i="78" s="1"/>
  <c r="H85" i="115"/>
  <c r="H85" i="65"/>
  <c r="I87" i="65"/>
  <c r="CB84" i="60"/>
  <c r="D87" i="115"/>
  <c r="AV85" i="60"/>
  <c r="AJ86" i="60"/>
  <c r="AE36" i="78" s="1"/>
  <c r="AE38" i="78" s="1"/>
  <c r="O86" i="115"/>
  <c r="O86" i="65"/>
  <c r="K87" i="65" l="1"/>
  <c r="P86" i="65"/>
  <c r="AW86" i="60"/>
  <c r="BI84" i="60"/>
  <c r="H87" i="115"/>
  <c r="BB86" i="60"/>
  <c r="BN84" i="60"/>
  <c r="O87" i="115"/>
  <c r="H87" i="65"/>
  <c r="BJ86" i="60"/>
  <c r="BV84" i="60"/>
  <c r="BW86" i="60"/>
  <c r="CI84" i="60"/>
  <c r="BD85" i="60"/>
  <c r="AR86" i="60"/>
  <c r="P85" i="65"/>
  <c r="K87" i="115"/>
  <c r="P86" i="115"/>
  <c r="Q86" i="115" s="1"/>
  <c r="L87" i="115"/>
  <c r="P85" i="115"/>
  <c r="AF36" i="78"/>
  <c r="O87" i="65"/>
  <c r="BH85" i="60"/>
  <c r="AV86" i="60"/>
  <c r="AO86" i="60"/>
  <c r="BA84" i="60"/>
  <c r="BF86" i="60"/>
  <c r="BR84" i="60"/>
  <c r="BO86" i="60"/>
  <c r="CA84" i="60"/>
  <c r="AS86" i="60"/>
  <c r="BE84" i="60"/>
  <c r="L87" i="65"/>
  <c r="BS86" i="60"/>
  <c r="CE84" i="60"/>
  <c r="Q85" i="115" l="1"/>
  <c r="P87" i="115"/>
  <c r="I89" i="44" s="1"/>
  <c r="BR86" i="60"/>
  <c r="CD84" i="60"/>
  <c r="CE86" i="60"/>
  <c r="BE86" i="60"/>
  <c r="BQ84" i="60"/>
  <c r="BV86" i="60"/>
  <c r="CH84" i="60"/>
  <c r="BN86" i="60"/>
  <c r="BZ84" i="60"/>
  <c r="BI86" i="60"/>
  <c r="BU84" i="60"/>
  <c r="CA86" i="60"/>
  <c r="BP85" i="60"/>
  <c r="BD86" i="60"/>
  <c r="P116" i="65"/>
  <c r="Q86" i="65"/>
  <c r="BA86" i="60"/>
  <c r="BM84" i="60"/>
  <c r="AG36" i="78"/>
  <c r="AF38" i="78"/>
  <c r="AG38" i="78" s="1"/>
  <c r="D52" i="61"/>
  <c r="P115" i="65"/>
  <c r="P87" i="65"/>
  <c r="Q85" i="65"/>
  <c r="BT85" i="60"/>
  <c r="BH86" i="60"/>
  <c r="CI86" i="60"/>
  <c r="AH38" i="78" l="1"/>
  <c r="BZ86" i="60"/>
  <c r="CD86" i="60"/>
  <c r="CF85" i="60"/>
  <c r="BT86" i="60"/>
  <c r="Q116" i="65"/>
  <c r="R86" i="65"/>
  <c r="CH86" i="60"/>
  <c r="F52" i="61"/>
  <c r="J44" i="44"/>
  <c r="CB85" i="60"/>
  <c r="BP86" i="60"/>
  <c r="BQ86" i="60"/>
  <c r="CC84" i="60"/>
  <c r="AH36" i="78"/>
  <c r="BU86" i="60"/>
  <c r="CG84" i="60"/>
  <c r="I44" i="44"/>
  <c r="R85" i="65"/>
  <c r="Q115" i="65"/>
  <c r="BM86" i="60"/>
  <c r="BY84" i="60"/>
  <c r="CG86" i="60" l="1"/>
  <c r="CB86" i="60"/>
  <c r="BY86" i="60"/>
  <c r="Q117" i="65"/>
  <c r="R116" i="65" s="1"/>
  <c r="CF86" i="60"/>
  <c r="I50" i="44"/>
  <c r="AI36" i="78"/>
  <c r="CC86" i="60"/>
  <c r="K44" i="44"/>
  <c r="J50" i="44"/>
  <c r="AI38" i="78"/>
  <c r="AJ38" i="78" l="1"/>
  <c r="AJ36" i="78"/>
  <c r="R115" i="65"/>
  <c r="AK36" i="78" l="1"/>
  <c r="AK38" i="78"/>
  <c r="AL38" i="78" l="1"/>
  <c r="AL36" i="78"/>
  <c r="C44" i="20" l="1"/>
  <c r="D50" i="60"/>
  <c r="P50" i="60" s="1"/>
  <c r="P51" i="60" l="1"/>
  <c r="P47" i="60"/>
  <c r="AB50" i="60"/>
  <c r="D51" i="60"/>
  <c r="D47" i="60"/>
  <c r="I18" i="78"/>
  <c r="G51" i="115"/>
  <c r="AN50" i="60"/>
  <c r="D115" i="60" l="1"/>
  <c r="D53" i="60"/>
  <c r="AB47" i="60"/>
  <c r="G51" i="65"/>
  <c r="AB51" i="60"/>
  <c r="P115" i="60"/>
  <c r="H6" i="80" s="1"/>
  <c r="P53" i="60"/>
  <c r="I12" i="72" s="1"/>
  <c r="AB115" i="60"/>
  <c r="T6" i="80" s="1"/>
  <c r="F18" i="81"/>
  <c r="W18" i="78"/>
  <c r="AN47" i="60"/>
  <c r="AN51" i="60"/>
  <c r="AN115" i="60" s="1"/>
  <c r="AF6" i="80" s="1"/>
  <c r="AZ50" i="60"/>
  <c r="G52" i="115"/>
  <c r="G48" i="115"/>
  <c r="G52" i="65" l="1"/>
  <c r="G48" i="65"/>
  <c r="AZ47" i="60"/>
  <c r="AZ51" i="60"/>
  <c r="AZ115" i="60" s="1"/>
  <c r="AR6" i="80" s="1"/>
  <c r="BL50" i="60"/>
  <c r="BL47" i="60" l="1"/>
  <c r="BX50" i="60"/>
  <c r="BL51" i="60"/>
  <c r="BL115" i="60" s="1"/>
  <c r="BD6" i="80" s="1"/>
  <c r="BX47" i="60" l="1"/>
  <c r="BX51" i="60"/>
  <c r="BX115" i="60" s="1"/>
  <c r="BP6" i="80" s="1"/>
  <c r="CB6" i="80" s="1"/>
  <c r="P43" i="20"/>
  <c r="D44" i="20"/>
  <c r="E50" i="60"/>
  <c r="E47" i="60" s="1"/>
  <c r="E44" i="20"/>
  <c r="F50" i="60"/>
  <c r="F47" i="60" s="1"/>
  <c r="N44" i="20"/>
  <c r="O50" i="60"/>
  <c r="AA50" i="60" s="1"/>
  <c r="M44" i="20"/>
  <c r="N50" i="60"/>
  <c r="N47" i="60" s="1"/>
  <c r="G44" i="20"/>
  <c r="H50" i="60"/>
  <c r="H47" i="60" s="1"/>
  <c r="H51" i="60"/>
  <c r="H115" i="60" s="1"/>
  <c r="I44" i="20"/>
  <c r="J50" i="60"/>
  <c r="J51" i="60" s="1"/>
  <c r="L44" i="20"/>
  <c r="M50" i="60"/>
  <c r="M51" i="60" s="1"/>
  <c r="J44" i="20"/>
  <c r="K50" i="60"/>
  <c r="K47" i="60" s="1"/>
  <c r="F44" i="20"/>
  <c r="G50" i="60"/>
  <c r="G47" i="60" s="1"/>
  <c r="S50" i="60"/>
  <c r="S47" i="60" s="1"/>
  <c r="H44" i="20"/>
  <c r="I50" i="60"/>
  <c r="I47" i="60" s="1"/>
  <c r="K44" i="20"/>
  <c r="L50" i="60"/>
  <c r="X50" i="60" s="1"/>
  <c r="W50" i="60" l="1"/>
  <c r="Y50" i="60"/>
  <c r="AK50" i="60" s="1"/>
  <c r="F51" i="60"/>
  <c r="F115" i="60" s="1"/>
  <c r="V50" i="60"/>
  <c r="V47" i="60" s="1"/>
  <c r="R50" i="60"/>
  <c r="AD50" i="60" s="1"/>
  <c r="AP50" i="60" s="1"/>
  <c r="BB50" i="60" s="1"/>
  <c r="Y51" i="60"/>
  <c r="Y47" i="60"/>
  <c r="D51" i="115"/>
  <c r="D51" i="65"/>
  <c r="AA51" i="60"/>
  <c r="AA47" i="60"/>
  <c r="AM50" i="60"/>
  <c r="F51" i="115"/>
  <c r="F51" i="65"/>
  <c r="AP47" i="60"/>
  <c r="AP51" i="60"/>
  <c r="AP115" i="60" s="1"/>
  <c r="AH6" i="80" s="1"/>
  <c r="AH50" i="60"/>
  <c r="I51" i="115"/>
  <c r="AD47" i="60"/>
  <c r="I51" i="65"/>
  <c r="X51" i="60"/>
  <c r="X47" i="60"/>
  <c r="AJ50" i="60"/>
  <c r="W51" i="60"/>
  <c r="AI50" i="60"/>
  <c r="W47" i="60"/>
  <c r="N51" i="60"/>
  <c r="Z50" i="60"/>
  <c r="L47" i="60"/>
  <c r="L51" i="60"/>
  <c r="U50" i="60"/>
  <c r="AE50" i="60"/>
  <c r="F18" i="78"/>
  <c r="M115" i="60"/>
  <c r="E6" i="80" s="1"/>
  <c r="J115" i="60"/>
  <c r="C18" i="78"/>
  <c r="H53" i="60"/>
  <c r="O47" i="60"/>
  <c r="O51" i="60"/>
  <c r="Q50" i="60"/>
  <c r="K51" i="60"/>
  <c r="I51" i="60"/>
  <c r="J53" i="60"/>
  <c r="P44" i="20"/>
  <c r="R43" i="20"/>
  <c r="R44" i="20" s="1"/>
  <c r="E22" i="76"/>
  <c r="M53" i="60"/>
  <c r="S51" i="60"/>
  <c r="R51" i="60"/>
  <c r="R47" i="60"/>
  <c r="E51" i="60"/>
  <c r="M47" i="60"/>
  <c r="T50" i="60"/>
  <c r="G51" i="60"/>
  <c r="J47" i="60"/>
  <c r="F53" i="60" l="1"/>
  <c r="V51" i="60"/>
  <c r="AD51" i="60"/>
  <c r="G115" i="60"/>
  <c r="AG18" i="78"/>
  <c r="AG24" i="78" s="1"/>
  <c r="G53" i="60"/>
  <c r="D18" i="78"/>
  <c r="K53" i="60"/>
  <c r="K115" i="60"/>
  <c r="C6" i="80" s="1"/>
  <c r="X115" i="60"/>
  <c r="P6" i="80" s="1"/>
  <c r="R18" i="78"/>
  <c r="AH51" i="60"/>
  <c r="M51" i="115"/>
  <c r="M51" i="65"/>
  <c r="AH47" i="60"/>
  <c r="AT50" i="60"/>
  <c r="AM47" i="60"/>
  <c r="AM51" i="60"/>
  <c r="AM115" i="60" s="1"/>
  <c r="AE6" i="80" s="1"/>
  <c r="AY50" i="60"/>
  <c r="F12" i="72"/>
  <c r="Q47" i="60"/>
  <c r="Q51" i="60"/>
  <c r="AC50" i="60"/>
  <c r="E51" i="65"/>
  <c r="Z51" i="60"/>
  <c r="Z47" i="60"/>
  <c r="AL50" i="60"/>
  <c r="E51" i="115"/>
  <c r="AI51" i="60"/>
  <c r="N51" i="65"/>
  <c r="N51" i="115"/>
  <c r="AI47" i="60"/>
  <c r="AU50" i="60"/>
  <c r="I48" i="65"/>
  <c r="I52" i="65"/>
  <c r="AK51" i="60"/>
  <c r="AK115" i="60" s="1"/>
  <c r="AC6" i="80" s="1"/>
  <c r="AW50" i="60"/>
  <c r="AK47" i="60"/>
  <c r="T47" i="60"/>
  <c r="AF50" i="60"/>
  <c r="T51" i="60"/>
  <c r="L18" i="78"/>
  <c r="S115" i="60"/>
  <c r="K6" i="80" s="1"/>
  <c r="S53" i="60"/>
  <c r="H18" i="78"/>
  <c r="O53" i="60"/>
  <c r="H12" i="72" s="1"/>
  <c r="O115" i="60"/>
  <c r="G6" i="80" s="1"/>
  <c r="U51" i="60"/>
  <c r="U47" i="60"/>
  <c r="AG50" i="60"/>
  <c r="G18" i="78"/>
  <c r="N115" i="60"/>
  <c r="F6" i="80" s="1"/>
  <c r="N53" i="60"/>
  <c r="AJ51" i="60"/>
  <c r="O51" i="115"/>
  <c r="AJ47" i="60"/>
  <c r="AV50" i="60"/>
  <c r="O51" i="65"/>
  <c r="I52" i="115"/>
  <c r="I48" i="115"/>
  <c r="F52" i="65"/>
  <c r="F48" i="65"/>
  <c r="E18" i="81"/>
  <c r="AA115" i="60"/>
  <c r="S6" i="80" s="1"/>
  <c r="V18" i="78"/>
  <c r="K18" i="78"/>
  <c r="R115" i="60"/>
  <c r="J6" i="80" s="1"/>
  <c r="R53" i="60"/>
  <c r="AE51" i="60"/>
  <c r="AE47" i="60"/>
  <c r="AQ50" i="60"/>
  <c r="J51" i="65"/>
  <c r="J51" i="115"/>
  <c r="Q18" i="78"/>
  <c r="W115" i="60"/>
  <c r="O6" i="80" s="1"/>
  <c r="P18" i="78"/>
  <c r="V115" i="60"/>
  <c r="N6" i="80" s="1"/>
  <c r="D52" i="115"/>
  <c r="D48" i="115"/>
  <c r="E115" i="60"/>
  <c r="E53" i="60"/>
  <c r="C12" i="72"/>
  <c r="H22" i="76"/>
  <c r="M22" i="76" s="1"/>
  <c r="P22" i="76" s="1"/>
  <c r="E22" i="91"/>
  <c r="H22" i="91" s="1"/>
  <c r="M22" i="91" s="1"/>
  <c r="P22" i="91" s="1"/>
  <c r="I115" i="60"/>
  <c r="I53" i="60"/>
  <c r="E18" i="78"/>
  <c r="L115" i="60"/>
  <c r="D6" i="80" s="1"/>
  <c r="L53" i="60"/>
  <c r="E12" i="72" s="1"/>
  <c r="H18" i="81"/>
  <c r="Y18" i="78"/>
  <c r="AD115" i="60"/>
  <c r="V6" i="80" s="1"/>
  <c r="BB51" i="60"/>
  <c r="BB115" i="60" s="1"/>
  <c r="AT6" i="80" s="1"/>
  <c r="BB47" i="60"/>
  <c r="BN50" i="60"/>
  <c r="F52" i="115"/>
  <c r="F48" i="115"/>
  <c r="D52" i="65"/>
  <c r="D48" i="65"/>
  <c r="Y115" i="60"/>
  <c r="Q6" i="80" s="1"/>
  <c r="C18" i="81"/>
  <c r="T18" i="78"/>
  <c r="O52" i="115" l="1"/>
  <c r="O48" i="115"/>
  <c r="L12" i="72"/>
  <c r="N52" i="115"/>
  <c r="N48" i="115"/>
  <c r="E52" i="115"/>
  <c r="E48" i="115"/>
  <c r="E52" i="65"/>
  <c r="E48" i="65"/>
  <c r="M52" i="115"/>
  <c r="M48" i="115"/>
  <c r="J48" i="115"/>
  <c r="J52" i="115"/>
  <c r="Z18" i="78"/>
  <c r="I18" i="81"/>
  <c r="AE115" i="60"/>
  <c r="W6" i="80" s="1"/>
  <c r="AV47" i="60"/>
  <c r="AV51" i="60"/>
  <c r="AV115" i="60" s="1"/>
  <c r="AN6" i="80" s="1"/>
  <c r="BH50" i="60"/>
  <c r="G12" i="72"/>
  <c r="N48" i="65"/>
  <c r="N52" i="65"/>
  <c r="AL47" i="60"/>
  <c r="AL51" i="60"/>
  <c r="AL115" i="60" s="1"/>
  <c r="AD6" i="80" s="1"/>
  <c r="AX50" i="60"/>
  <c r="AC47" i="60"/>
  <c r="AC51" i="60"/>
  <c r="AH18" i="78" s="1"/>
  <c r="AH24" i="78" s="1"/>
  <c r="AO50" i="60"/>
  <c r="H51" i="65"/>
  <c r="H51" i="115"/>
  <c r="AT51" i="60"/>
  <c r="AT115" i="60" s="1"/>
  <c r="AL6" i="80" s="1"/>
  <c r="AT47" i="60"/>
  <c r="BF50" i="60"/>
  <c r="AC18" i="78"/>
  <c r="L18" i="81"/>
  <c r="AH115" i="60"/>
  <c r="Z6" i="80" s="1"/>
  <c r="BN47" i="60"/>
  <c r="BN51" i="60"/>
  <c r="BN115" i="60" s="1"/>
  <c r="BF6" i="80" s="1"/>
  <c r="BZ50" i="60"/>
  <c r="AQ47" i="60"/>
  <c r="AQ51" i="60"/>
  <c r="BC50" i="60"/>
  <c r="AF51" i="60"/>
  <c r="AF47" i="60"/>
  <c r="K51" i="65"/>
  <c r="K51" i="115"/>
  <c r="AR50" i="60"/>
  <c r="U18" i="78"/>
  <c r="Z115" i="60"/>
  <c r="R6" i="80" s="1"/>
  <c r="D18" i="81"/>
  <c r="AG12" i="72"/>
  <c r="M52" i="65"/>
  <c r="M48" i="65"/>
  <c r="D12" i="72"/>
  <c r="O52" i="65"/>
  <c r="O48" i="65"/>
  <c r="AE18" i="78"/>
  <c r="N18" i="81"/>
  <c r="AJ115" i="60"/>
  <c r="AB6" i="80" s="1"/>
  <c r="AG51" i="60"/>
  <c r="L51" i="65"/>
  <c r="AS50" i="60"/>
  <c r="L51" i="115"/>
  <c r="AG47" i="60"/>
  <c r="J52" i="65"/>
  <c r="J48" i="65"/>
  <c r="N18" i="78"/>
  <c r="U115" i="60"/>
  <c r="M6" i="80" s="1"/>
  <c r="T23" i="83"/>
  <c r="T115" i="60"/>
  <c r="L6" i="80" s="1"/>
  <c r="M18" i="78"/>
  <c r="AW51" i="60"/>
  <c r="AW115" i="60" s="1"/>
  <c r="AO6" i="80" s="1"/>
  <c r="BI50" i="60"/>
  <c r="AW47" i="60"/>
  <c r="AU51" i="60"/>
  <c r="AU115" i="60" s="1"/>
  <c r="AM6" i="80" s="1"/>
  <c r="AU47" i="60"/>
  <c r="BG50" i="60"/>
  <c r="AI115" i="60"/>
  <c r="AA6" i="80" s="1"/>
  <c r="M18" i="81"/>
  <c r="AD18" i="78"/>
  <c r="J18" i="78"/>
  <c r="Q115" i="60"/>
  <c r="I6" i="80" s="1"/>
  <c r="Q53" i="60"/>
  <c r="AY51" i="60"/>
  <c r="AY115" i="60" s="1"/>
  <c r="AQ6" i="80" s="1"/>
  <c r="BK50" i="60"/>
  <c r="AY47" i="60"/>
  <c r="K12" i="72"/>
  <c r="T22" i="83"/>
  <c r="O18" i="78" l="1"/>
  <c r="K52" i="65"/>
  <c r="K48" i="65"/>
  <c r="BC51" i="60"/>
  <c r="BC47" i="60"/>
  <c r="BO50" i="60"/>
  <c r="X18" i="78"/>
  <c r="AC115" i="60"/>
  <c r="U6" i="80" s="1"/>
  <c r="G18" i="81"/>
  <c r="BH51" i="60"/>
  <c r="BH115" i="60" s="1"/>
  <c r="AZ6" i="80" s="1"/>
  <c r="BT50" i="60"/>
  <c r="BH47" i="60"/>
  <c r="L52" i="115"/>
  <c r="L48" i="115"/>
  <c r="AQ115" i="60"/>
  <c r="AI6" i="80" s="1"/>
  <c r="BZ51" i="60"/>
  <c r="BZ115" i="60" s="1"/>
  <c r="BR6" i="80" s="1"/>
  <c r="CD6" i="80" s="1"/>
  <c r="BZ47" i="60"/>
  <c r="H52" i="115"/>
  <c r="H48" i="115"/>
  <c r="P51" i="115"/>
  <c r="BK47" i="60"/>
  <c r="BK51" i="60"/>
  <c r="BK115" i="60" s="1"/>
  <c r="BC6" i="80" s="1"/>
  <c r="BW50" i="60"/>
  <c r="AS47" i="60"/>
  <c r="AS51" i="60"/>
  <c r="AS115" i="60" s="1"/>
  <c r="AK6" i="80" s="1"/>
  <c r="BE50" i="60"/>
  <c r="BF51" i="60"/>
  <c r="BF115" i="60" s="1"/>
  <c r="AX6" i="80" s="1"/>
  <c r="BR50" i="60"/>
  <c r="BF47" i="60"/>
  <c r="K18" i="81"/>
  <c r="AB18" i="78"/>
  <c r="AG115" i="60"/>
  <c r="Y6" i="80" s="1"/>
  <c r="J12" i="72"/>
  <c r="AR47" i="60"/>
  <c r="AR51" i="60"/>
  <c r="AR115" i="60" s="1"/>
  <c r="AJ6" i="80" s="1"/>
  <c r="BD50" i="60"/>
  <c r="J18" i="81"/>
  <c r="AA18" i="78"/>
  <c r="AF115" i="60"/>
  <c r="X6" i="80" s="1"/>
  <c r="H52" i="65"/>
  <c r="H48" i="65"/>
  <c r="P51" i="65"/>
  <c r="AX47" i="60"/>
  <c r="BJ50" i="60"/>
  <c r="AX51" i="60"/>
  <c r="AX115" i="60" s="1"/>
  <c r="AP6" i="80" s="1"/>
  <c r="T24" i="83"/>
  <c r="BG51" i="60"/>
  <c r="BG115" i="60" s="1"/>
  <c r="AY6" i="80" s="1"/>
  <c r="BG47" i="60"/>
  <c r="BS50" i="60"/>
  <c r="BI51" i="60"/>
  <c r="BI115" i="60" s="1"/>
  <c r="BA6" i="80" s="1"/>
  <c r="BU50" i="60"/>
  <c r="BI47" i="60"/>
  <c r="L52" i="65"/>
  <c r="L48" i="65"/>
  <c r="K52" i="115"/>
  <c r="K48" i="115"/>
  <c r="AO51" i="60"/>
  <c r="AO115" i="60" s="1"/>
  <c r="AG6" i="80" s="1"/>
  <c r="BA50" i="60"/>
  <c r="AO47" i="60"/>
  <c r="BJ51" i="60" l="1"/>
  <c r="BJ115" i="60" s="1"/>
  <c r="BB6" i="80" s="1"/>
  <c r="BV50" i="60"/>
  <c r="BJ47" i="60"/>
  <c r="BD51" i="60"/>
  <c r="BD115" i="60" s="1"/>
  <c r="AV6" i="80" s="1"/>
  <c r="BD47" i="60"/>
  <c r="BP50" i="60"/>
  <c r="BW51" i="60"/>
  <c r="BW115" i="60" s="1"/>
  <c r="BO6" i="80" s="1"/>
  <c r="BW47" i="60"/>
  <c r="CI50" i="60"/>
  <c r="P52" i="115"/>
  <c r="I83" i="44" s="1"/>
  <c r="I84" i="44" s="1"/>
  <c r="Q51" i="115"/>
  <c r="AF18" i="78"/>
  <c r="AF24" i="78" s="1"/>
  <c r="P48" i="65"/>
  <c r="BO47" i="60"/>
  <c r="BO51" i="60"/>
  <c r="CA50" i="60"/>
  <c r="BT47" i="60"/>
  <c r="BT51" i="60"/>
  <c r="BT115" i="60" s="1"/>
  <c r="BL6" i="80" s="1"/>
  <c r="CF50" i="60"/>
  <c r="BC115" i="60"/>
  <c r="AU6" i="80" s="1"/>
  <c r="BA51" i="60"/>
  <c r="AJ18" i="78" s="1"/>
  <c r="AJ24" i="78" s="1"/>
  <c r="BA47" i="60"/>
  <c r="BM50" i="60"/>
  <c r="BS47" i="60"/>
  <c r="BS51" i="60"/>
  <c r="BS115" i="60" s="1"/>
  <c r="BK6" i="80" s="1"/>
  <c r="CE50" i="60"/>
  <c r="BE51" i="60"/>
  <c r="BE115" i="60" s="1"/>
  <c r="AW6" i="80" s="1"/>
  <c r="BQ50" i="60"/>
  <c r="BE47" i="60"/>
  <c r="P48" i="115"/>
  <c r="AI18" i="78"/>
  <c r="AI24" i="78" s="1"/>
  <c r="BU51" i="60"/>
  <c r="BU115" i="60" s="1"/>
  <c r="BM6" i="80" s="1"/>
  <c r="BU47" i="60"/>
  <c r="CG50" i="60"/>
  <c r="P52" i="65"/>
  <c r="Q51" i="65"/>
  <c r="BR51" i="60"/>
  <c r="BR115" i="60" s="1"/>
  <c r="BJ6" i="80" s="1"/>
  <c r="CD50" i="60"/>
  <c r="BR47" i="60"/>
  <c r="O18" i="81"/>
  <c r="Q52" i="65" l="1"/>
  <c r="S43" i="44" s="1"/>
  <c r="I43" i="44"/>
  <c r="CA51" i="60"/>
  <c r="CA115" i="60" s="1"/>
  <c r="BS6" i="80" s="1"/>
  <c r="CA47" i="60"/>
  <c r="CD47" i="60"/>
  <c r="CD51" i="60"/>
  <c r="CD115" i="60" s="1"/>
  <c r="BV6" i="80" s="1"/>
  <c r="BP51" i="60"/>
  <c r="BP115" i="60" s="1"/>
  <c r="BH6" i="80" s="1"/>
  <c r="BP47" i="60"/>
  <c r="CB50" i="60"/>
  <c r="CH50" i="60"/>
  <c r="BV47" i="60"/>
  <c r="BV51" i="60"/>
  <c r="BV115" i="60" s="1"/>
  <c r="BN6" i="80" s="1"/>
  <c r="BQ47" i="60"/>
  <c r="CC50" i="60"/>
  <c r="BQ51" i="60"/>
  <c r="BQ115" i="60" s="1"/>
  <c r="BI6" i="80" s="1"/>
  <c r="BA115" i="60"/>
  <c r="AS6" i="80" s="1"/>
  <c r="T25" i="83"/>
  <c r="CF47" i="60"/>
  <c r="CF51" i="60"/>
  <c r="CF115" i="60" s="1"/>
  <c r="BX6" i="80" s="1"/>
  <c r="BO115" i="60"/>
  <c r="BG6" i="80" s="1"/>
  <c r="Q52" i="115"/>
  <c r="J43" i="44"/>
  <c r="CG51" i="60"/>
  <c r="CG115" i="60" s="1"/>
  <c r="BY6" i="80" s="1"/>
  <c r="CG47" i="60"/>
  <c r="CE51" i="60"/>
  <c r="CE115" i="60" s="1"/>
  <c r="BW6" i="80" s="1"/>
  <c r="CE47" i="60"/>
  <c r="BY50" i="60"/>
  <c r="BM47" i="60"/>
  <c r="BM51" i="60"/>
  <c r="C38" i="61"/>
  <c r="CI51" i="60"/>
  <c r="CI115" i="60" s="1"/>
  <c r="CA6" i="80" s="1"/>
  <c r="CI47" i="60"/>
  <c r="BM115" i="60" l="1"/>
  <c r="BE6" i="80" s="1"/>
  <c r="AK18" i="78"/>
  <c r="AK24" i="78" s="1"/>
  <c r="T26" i="83"/>
  <c r="CC51" i="60"/>
  <c r="CC115" i="60" s="1"/>
  <c r="BU6" i="80" s="1"/>
  <c r="CC47" i="60"/>
  <c r="CH51" i="60"/>
  <c r="CH115" i="60" s="1"/>
  <c r="BZ6" i="80" s="1"/>
  <c r="CH47" i="60"/>
  <c r="L43" i="44"/>
  <c r="CB47" i="60"/>
  <c r="CB51" i="60"/>
  <c r="CB115" i="60" s="1"/>
  <c r="BT6" i="80" s="1"/>
  <c r="F38" i="61"/>
  <c r="BY51" i="60"/>
  <c r="BY47" i="60"/>
  <c r="K43" i="44"/>
  <c r="M43" i="44"/>
  <c r="O43" i="44" l="1"/>
  <c r="N43" i="44"/>
  <c r="BY115" i="60"/>
  <c r="BQ6" i="80" s="1"/>
  <c r="CC6" i="80" s="1"/>
  <c r="AL18" i="78"/>
  <c r="AL24" i="78" s="1"/>
  <c r="T27" i="83"/>
  <c r="V86" i="44"/>
  <c r="AA43" i="44" l="1"/>
  <c r="D15" i="60"/>
  <c r="P15" i="60" s="1"/>
  <c r="AB15" i="60" s="1"/>
  <c r="C17" i="20"/>
  <c r="C32" i="113" s="1"/>
  <c r="G16" i="65" l="1"/>
  <c r="G16" i="115"/>
  <c r="AN15" i="60"/>
  <c r="AZ15" i="60" s="1"/>
  <c r="BL15" i="60" s="1"/>
  <c r="BX15" i="60" s="1"/>
  <c r="O15" i="60"/>
  <c r="AA15" i="60" s="1"/>
  <c r="N17" i="20"/>
  <c r="N32" i="113" s="1"/>
  <c r="H17" i="20"/>
  <c r="H32" i="113" s="1"/>
  <c r="H16" i="56"/>
  <c r="H14" i="56" s="1"/>
  <c r="F17" i="20"/>
  <c r="F32" i="113" s="1"/>
  <c r="G15" i="60"/>
  <c r="S15" i="60" s="1"/>
  <c r="AE15" i="60" s="1"/>
  <c r="P16" i="20"/>
  <c r="G17" i="20"/>
  <c r="G32" i="113" s="1"/>
  <c r="H15" i="60"/>
  <c r="T15" i="60" s="1"/>
  <c r="AF15" i="60" s="1"/>
  <c r="E15" i="60"/>
  <c r="Q15" i="60" s="1"/>
  <c r="AC15" i="60" s="1"/>
  <c r="L17" i="20"/>
  <c r="L32" i="113" s="1"/>
  <c r="M15" i="60"/>
  <c r="Y15" i="60" s="1"/>
  <c r="D16" i="115" s="1"/>
  <c r="J17" i="20"/>
  <c r="J32" i="113" s="1"/>
  <c r="K15" i="60"/>
  <c r="W15" i="60" s="1"/>
  <c r="AI15" i="60" s="1"/>
  <c r="AU15" i="60" s="1"/>
  <c r="BG15" i="60" s="1"/>
  <c r="BS15" i="60" s="1"/>
  <c r="CE15" i="60" s="1"/>
  <c r="M17" i="20"/>
  <c r="M32" i="113" s="1"/>
  <c r="N15" i="60"/>
  <c r="Z15" i="60" s="1"/>
  <c r="AL15" i="60" s="1"/>
  <c r="AX15" i="60" s="1"/>
  <c r="BJ15" i="60" s="1"/>
  <c r="BV15" i="60" s="1"/>
  <c r="CH15" i="60" s="1"/>
  <c r="K17" i="20"/>
  <c r="K32" i="113" s="1"/>
  <c r="L15" i="60"/>
  <c r="X15" i="60" s="1"/>
  <c r="AJ15" i="60" s="1"/>
  <c r="AV15" i="60" s="1"/>
  <c r="BH15" i="60" s="1"/>
  <c r="BT15" i="60" s="1"/>
  <c r="CF15" i="60" s="1"/>
  <c r="E17" i="20"/>
  <c r="E32" i="113" s="1"/>
  <c r="F15" i="60"/>
  <c r="R15" i="60" s="1"/>
  <c r="AD15" i="60" s="1"/>
  <c r="I17" i="20"/>
  <c r="I32" i="113" s="1"/>
  <c r="J15" i="60"/>
  <c r="V15" i="60" s="1"/>
  <c r="AH15" i="60" s="1"/>
  <c r="D17" i="20"/>
  <c r="D32" i="113" s="1"/>
  <c r="AK15" i="60" l="1"/>
  <c r="AW15" i="60" s="1"/>
  <c r="BI15" i="60" s="1"/>
  <c r="BU15" i="60" s="1"/>
  <c r="CG15" i="60" s="1"/>
  <c r="C28" i="113"/>
  <c r="O28" i="113" s="1"/>
  <c r="C23" i="113"/>
  <c r="C24" i="113" s="1"/>
  <c r="C25" i="113" s="1"/>
  <c r="D28" i="113"/>
  <c r="E28" i="113" s="1"/>
  <c r="Q28" i="113" s="1"/>
  <c r="M16" i="65"/>
  <c r="M16" i="115"/>
  <c r="AT15" i="60"/>
  <c r="BF15" i="60" s="1"/>
  <c r="BR15" i="60" s="1"/>
  <c r="CD15" i="60" s="1"/>
  <c r="K16" i="65"/>
  <c r="K16" i="115"/>
  <c r="AR15" i="60"/>
  <c r="BD15" i="60" s="1"/>
  <c r="BP15" i="60" s="1"/>
  <c r="CB15" i="60" s="1"/>
  <c r="I16" i="115"/>
  <c r="I16" i="65"/>
  <c r="AP15" i="60"/>
  <c r="BB15" i="60" s="1"/>
  <c r="BN15" i="60" s="1"/>
  <c r="BZ15" i="60" s="1"/>
  <c r="H16" i="65"/>
  <c r="AO15" i="60"/>
  <c r="BA15" i="60" s="1"/>
  <c r="BM15" i="60" s="1"/>
  <c r="BY15" i="60" s="1"/>
  <c r="H16" i="115"/>
  <c r="J16" i="115"/>
  <c r="J16" i="65"/>
  <c r="AQ15" i="60"/>
  <c r="BC15" i="60" s="1"/>
  <c r="BO15" i="60" s="1"/>
  <c r="CA15" i="60" s="1"/>
  <c r="E16" i="115"/>
  <c r="E16" i="65"/>
  <c r="N16" i="115"/>
  <c r="N16" i="65"/>
  <c r="O16" i="65"/>
  <c r="O16" i="115"/>
  <c r="H17" i="56"/>
  <c r="P14" i="56"/>
  <c r="D16" i="65"/>
  <c r="P16" i="56"/>
  <c r="I15" i="60"/>
  <c r="U15" i="60" s="1"/>
  <c r="AG15" i="60" s="1"/>
  <c r="F16" i="115"/>
  <c r="F16" i="65"/>
  <c r="AM15" i="60"/>
  <c r="AY15" i="60" s="1"/>
  <c r="BK15" i="60" s="1"/>
  <c r="BW15" i="60" s="1"/>
  <c r="CI15" i="60" s="1"/>
  <c r="U21" i="76"/>
  <c r="P17" i="20"/>
  <c r="R16" i="20"/>
  <c r="R17" i="20" s="1"/>
  <c r="D23" i="113" l="1"/>
  <c r="D24" i="113" s="1"/>
  <c r="D25" i="113" s="1"/>
  <c r="F28" i="113"/>
  <c r="F23" i="113" s="1"/>
  <c r="F24" i="113" s="1"/>
  <c r="F25" i="113" s="1"/>
  <c r="E23" i="113"/>
  <c r="E24" i="113" s="1"/>
  <c r="E25" i="113" s="1"/>
  <c r="P28" i="113"/>
  <c r="P23" i="113" s="1"/>
  <c r="AA28" i="113"/>
  <c r="O23" i="113"/>
  <c r="G28" i="113"/>
  <c r="R28" i="113"/>
  <c r="L16" i="65"/>
  <c r="P16" i="65" s="1"/>
  <c r="L16" i="115"/>
  <c r="P16" i="115" s="1"/>
  <c r="Q16" i="115" s="1"/>
  <c r="AS15" i="60"/>
  <c r="BE15" i="60" s="1"/>
  <c r="BQ15" i="60" s="1"/>
  <c r="CC15" i="60" s="1"/>
  <c r="P17" i="56"/>
  <c r="R14" i="56"/>
  <c r="F17" i="76"/>
  <c r="R16" i="56"/>
  <c r="F19" i="76"/>
  <c r="F19" i="91" s="1"/>
  <c r="Q23" i="113"/>
  <c r="AC28" i="113"/>
  <c r="AB28" i="113" l="1"/>
  <c r="R17" i="56"/>
  <c r="AA23" i="113"/>
  <c r="AM28" i="113"/>
  <c r="Q16" i="65"/>
  <c r="U28" i="76"/>
  <c r="S28" i="113"/>
  <c r="G23" i="113"/>
  <c r="G24" i="113" s="1"/>
  <c r="G25" i="113" s="1"/>
  <c r="H28" i="113"/>
  <c r="R23" i="113"/>
  <c r="AD28" i="113"/>
  <c r="AB23" i="113"/>
  <c r="AN28" i="113"/>
  <c r="AC23" i="113"/>
  <c r="AO28" i="113"/>
  <c r="F40" i="76"/>
  <c r="F17" i="91"/>
  <c r="AM23" i="113" l="1"/>
  <c r="AY28" i="113"/>
  <c r="S23" i="113"/>
  <c r="AE28" i="113"/>
  <c r="H23" i="113"/>
  <c r="H24" i="113" s="1"/>
  <c r="H25" i="113" s="1"/>
  <c r="T28" i="113"/>
  <c r="I28" i="113"/>
  <c r="U37" i="76"/>
  <c r="F40" i="91"/>
  <c r="AO23" i="113"/>
  <c r="BA28" i="113"/>
  <c r="AN23" i="113"/>
  <c r="AZ28" i="113"/>
  <c r="AD23" i="113"/>
  <c r="AP28" i="113"/>
  <c r="AY23" i="113" l="1"/>
  <c r="BK28" i="113"/>
  <c r="AZ23" i="113"/>
  <c r="BL28" i="113"/>
  <c r="BA23" i="113"/>
  <c r="BM28" i="113"/>
  <c r="AP23" i="113"/>
  <c r="BB28" i="113"/>
  <c r="I23" i="113"/>
  <c r="I24" i="113" s="1"/>
  <c r="I25" i="113" s="1"/>
  <c r="U28" i="113"/>
  <c r="J28" i="113"/>
  <c r="AE23" i="113"/>
  <c r="AQ28" i="113"/>
  <c r="T23" i="113"/>
  <c r="AF28" i="113"/>
  <c r="BK23" i="113" l="1"/>
  <c r="BW28" i="113"/>
  <c r="BW23" i="113" s="1"/>
  <c r="K28" i="113"/>
  <c r="J23" i="113"/>
  <c r="J24" i="113" s="1"/>
  <c r="J25" i="113" s="1"/>
  <c r="V28" i="113"/>
  <c r="AQ23" i="113"/>
  <c r="BC28" i="113"/>
  <c r="U23" i="113"/>
  <c r="AG28" i="113"/>
  <c r="AF23" i="113"/>
  <c r="AR28" i="113"/>
  <c r="BN28" i="113"/>
  <c r="BB23" i="113"/>
  <c r="BM23" i="113"/>
  <c r="BY28" i="113"/>
  <c r="BX28" i="113"/>
  <c r="BL23" i="113"/>
  <c r="V23" i="113" l="1"/>
  <c r="AH28" i="113"/>
  <c r="BY23" i="113"/>
  <c r="BN23" i="113"/>
  <c r="BZ28" i="113"/>
  <c r="AG23" i="113"/>
  <c r="AS28" i="113"/>
  <c r="BC23" i="113"/>
  <c r="BO28" i="113"/>
  <c r="BX23" i="113"/>
  <c r="AR23" i="113"/>
  <c r="BD28" i="113"/>
  <c r="K23" i="113"/>
  <c r="K24" i="113" s="1"/>
  <c r="K25" i="113" s="1"/>
  <c r="L28" i="113"/>
  <c r="W28" i="113"/>
  <c r="BZ23" i="113" l="1"/>
  <c r="W23" i="113"/>
  <c r="AI28" i="113"/>
  <c r="BP28" i="113"/>
  <c r="BD23" i="113"/>
  <c r="AS23" i="113"/>
  <c r="BE28" i="113"/>
  <c r="L23" i="113"/>
  <c r="L24" i="113" s="1"/>
  <c r="L25" i="113" s="1"/>
  <c r="M28" i="113"/>
  <c r="X28" i="113"/>
  <c r="BO23" i="113"/>
  <c r="CA28" i="113"/>
  <c r="AH23" i="113"/>
  <c r="AT28" i="113"/>
  <c r="AI23" i="113" l="1"/>
  <c r="AU28" i="113"/>
  <c r="AJ28" i="113"/>
  <c r="X23" i="113"/>
  <c r="CA23" i="113"/>
  <c r="M23" i="113"/>
  <c r="M24" i="113" s="1"/>
  <c r="M25" i="113" s="1"/>
  <c r="N28" i="113"/>
  <c r="Y28" i="113"/>
  <c r="BE23" i="113"/>
  <c r="BQ28" i="113"/>
  <c r="BP23" i="113"/>
  <c r="CB28" i="113"/>
  <c r="AT23" i="113"/>
  <c r="BF28" i="113"/>
  <c r="Y23" i="113" l="1"/>
  <c r="AK28" i="113"/>
  <c r="AJ23" i="113"/>
  <c r="AV28" i="113"/>
  <c r="N23" i="113"/>
  <c r="N24" i="113" s="1"/>
  <c r="N25" i="113" s="1"/>
  <c r="C26" i="113" s="1"/>
  <c r="Z28" i="113"/>
  <c r="AU23" i="113"/>
  <c r="BG28" i="113"/>
  <c r="CB23" i="113"/>
  <c r="BQ23" i="113"/>
  <c r="CC28" i="113"/>
  <c r="BF23" i="113"/>
  <c r="BR28" i="113"/>
  <c r="BG23" i="113" l="1"/>
  <c r="BS28" i="113"/>
  <c r="BR23" i="113"/>
  <c r="CD28" i="113"/>
  <c r="C27" i="113"/>
  <c r="C29" i="113" s="1"/>
  <c r="C31" i="113" s="1"/>
  <c r="C33" i="113"/>
  <c r="D26" i="113"/>
  <c r="AK23" i="113"/>
  <c r="AW28" i="113"/>
  <c r="CC23" i="113"/>
  <c r="Z23" i="113"/>
  <c r="AL28" i="113"/>
  <c r="AV23" i="113"/>
  <c r="BH28" i="113"/>
  <c r="AW23" i="113" l="1"/>
  <c r="BI28" i="113"/>
  <c r="BH23" i="113"/>
  <c r="BT28" i="113"/>
  <c r="C36" i="113"/>
  <c r="C38" i="113" s="1"/>
  <c r="CD23" i="113"/>
  <c r="CE28" i="113"/>
  <c r="BS23" i="113"/>
  <c r="AL23" i="113"/>
  <c r="AX28" i="113"/>
  <c r="D27" i="113"/>
  <c r="D29" i="113" s="1"/>
  <c r="D31" i="113" s="1"/>
  <c r="D36" i="113" s="1"/>
  <c r="D38" i="113" s="1"/>
  <c r="D33" i="113"/>
  <c r="E26" i="113"/>
  <c r="E27" i="113" l="1"/>
  <c r="E29" i="113" s="1"/>
  <c r="E31" i="113" s="1"/>
  <c r="E33" i="113"/>
  <c r="F26" i="113"/>
  <c r="CE23" i="113"/>
  <c r="D41" i="113"/>
  <c r="E13" i="60"/>
  <c r="D14" i="55"/>
  <c r="D17" i="55" s="1"/>
  <c r="BT23" i="113"/>
  <c r="CF28" i="113"/>
  <c r="BU28" i="113"/>
  <c r="BI23" i="113"/>
  <c r="AX23" i="113"/>
  <c r="BJ28" i="113"/>
  <c r="C41" i="113"/>
  <c r="D13" i="60"/>
  <c r="C14" i="55"/>
  <c r="D16" i="60" l="1"/>
  <c r="D11" i="60"/>
  <c r="CF23" i="113"/>
  <c r="E16" i="60"/>
  <c r="E11" i="60"/>
  <c r="G26" i="113"/>
  <c r="F33" i="113"/>
  <c r="F27" i="113"/>
  <c r="F29" i="113" s="1"/>
  <c r="F31" i="113" s="1"/>
  <c r="F36" i="113" s="1"/>
  <c r="F38" i="113" s="1"/>
  <c r="BJ23" i="113"/>
  <c r="BV28" i="113"/>
  <c r="BU23" i="113"/>
  <c r="CG28" i="113"/>
  <c r="C17" i="55"/>
  <c r="E36" i="113"/>
  <c r="E38" i="113" s="1"/>
  <c r="CG23" i="113" l="1"/>
  <c r="F41" i="113"/>
  <c r="F14" i="55"/>
  <c r="F17" i="55" s="1"/>
  <c r="G13" i="60"/>
  <c r="E18" i="60"/>
  <c r="E41" i="113"/>
  <c r="E14" i="55"/>
  <c r="F13" i="60"/>
  <c r="BV23" i="113"/>
  <c r="CH28" i="113"/>
  <c r="G33" i="113"/>
  <c r="G27" i="113"/>
  <c r="G29" i="113" s="1"/>
  <c r="G31" i="113" s="1"/>
  <c r="G36" i="113" s="1"/>
  <c r="G38" i="113" s="1"/>
  <c r="H26" i="113"/>
  <c r="D18" i="60"/>
  <c r="F16" i="60" l="1"/>
  <c r="F11" i="60"/>
  <c r="G41" i="113"/>
  <c r="G14" i="55"/>
  <c r="G17" i="55" s="1"/>
  <c r="H13" i="60"/>
  <c r="CH23" i="113"/>
  <c r="E17" i="55"/>
  <c r="G16" i="60"/>
  <c r="G11" i="60"/>
  <c r="H27" i="113"/>
  <c r="H29" i="113" s="1"/>
  <c r="H31" i="113" s="1"/>
  <c r="H36" i="113" s="1"/>
  <c r="H38" i="113" s="1"/>
  <c r="I26" i="113"/>
  <c r="H33" i="113"/>
  <c r="I27" i="113" l="1"/>
  <c r="I29" i="113" s="1"/>
  <c r="I31" i="113" s="1"/>
  <c r="I36" i="113" s="1"/>
  <c r="I38" i="113" s="1"/>
  <c r="I33" i="113"/>
  <c r="J26" i="113"/>
  <c r="H41" i="113"/>
  <c r="H14" i="55"/>
  <c r="I13" i="60"/>
  <c r="H16" i="60"/>
  <c r="H11" i="60"/>
  <c r="F18" i="60"/>
  <c r="G18" i="60"/>
  <c r="H18" i="60" l="1"/>
  <c r="J27" i="113"/>
  <c r="J29" i="113" s="1"/>
  <c r="J31" i="113" s="1"/>
  <c r="J36" i="113" s="1"/>
  <c r="J38" i="113" s="1"/>
  <c r="J33" i="113"/>
  <c r="K26" i="113"/>
  <c r="I16" i="60"/>
  <c r="I11" i="60"/>
  <c r="H17" i="55"/>
  <c r="I14" i="55"/>
  <c r="I17" i="55" s="1"/>
  <c r="J13" i="60"/>
  <c r="I41" i="113"/>
  <c r="K27" i="113" l="1"/>
  <c r="K29" i="113" s="1"/>
  <c r="K31" i="113" s="1"/>
  <c r="K36" i="113" s="1"/>
  <c r="K38" i="113" s="1"/>
  <c r="K33" i="113"/>
  <c r="L26" i="113"/>
  <c r="J11" i="60"/>
  <c r="J16" i="60"/>
  <c r="I18" i="60"/>
  <c r="J41" i="113"/>
  <c r="J14" i="55"/>
  <c r="K13" i="60"/>
  <c r="J18" i="60" l="1"/>
  <c r="C11" i="72" s="1"/>
  <c r="C17" i="78"/>
  <c r="J17" i="55"/>
  <c r="L27" i="113"/>
  <c r="L29" i="113" s="1"/>
  <c r="L31" i="113" s="1"/>
  <c r="L36" i="113" s="1"/>
  <c r="L38" i="113" s="1"/>
  <c r="L33" i="113"/>
  <c r="M26" i="113"/>
  <c r="K41" i="113"/>
  <c r="K14" i="55"/>
  <c r="K17" i="55" s="1"/>
  <c r="L13" i="60"/>
  <c r="K16" i="60"/>
  <c r="K11" i="60"/>
  <c r="L16" i="60" l="1"/>
  <c r="L11" i="60"/>
  <c r="L41" i="113"/>
  <c r="L14" i="55"/>
  <c r="L17" i="55" s="1"/>
  <c r="M13" i="60"/>
  <c r="K18" i="60"/>
  <c r="D11" i="72" s="1"/>
  <c r="D17" i="78"/>
  <c r="M27" i="113"/>
  <c r="M29" i="113" s="1"/>
  <c r="M31" i="113" s="1"/>
  <c r="M36" i="113" s="1"/>
  <c r="M38" i="113" s="1"/>
  <c r="N26" i="113"/>
  <c r="M33" i="113"/>
  <c r="N27" i="113" l="1"/>
  <c r="N29" i="113" s="1"/>
  <c r="N31" i="113" s="1"/>
  <c r="N33" i="113"/>
  <c r="M16" i="60"/>
  <c r="M11" i="60"/>
  <c r="M14" i="55"/>
  <c r="M17" i="55" s="1"/>
  <c r="M41" i="113"/>
  <c r="N13" i="60"/>
  <c r="L18" i="60"/>
  <c r="E11" i="72" s="1"/>
  <c r="E17" i="78"/>
  <c r="M34" i="113"/>
  <c r="N111" i="60" s="1"/>
  <c r="I34" i="113"/>
  <c r="J111" i="60" s="1"/>
  <c r="L34" i="113"/>
  <c r="M111" i="60" s="1"/>
  <c r="N36" i="113" l="1"/>
  <c r="N38" i="113" s="1"/>
  <c r="O26" i="113"/>
  <c r="N16" i="60"/>
  <c r="N11" i="60"/>
  <c r="N34" i="113"/>
  <c r="O111" i="60" s="1"/>
  <c r="C34" i="113"/>
  <c r="D111" i="60" s="1"/>
  <c r="D34" i="113"/>
  <c r="E111" i="60" s="1"/>
  <c r="F34" i="113"/>
  <c r="G111" i="60" s="1"/>
  <c r="E34" i="113"/>
  <c r="F111" i="60" s="1"/>
  <c r="J34" i="113"/>
  <c r="K111" i="60" s="1"/>
  <c r="G34" i="113"/>
  <c r="H111" i="60" s="1"/>
  <c r="K34" i="113"/>
  <c r="L111" i="60" s="1"/>
  <c r="H34" i="113"/>
  <c r="I111" i="60" s="1"/>
  <c r="M18" i="60"/>
  <c r="F11" i="72" s="1"/>
  <c r="F17" i="78"/>
  <c r="O27" i="113" l="1"/>
  <c r="O29" i="113" s="1"/>
  <c r="O31" i="113" s="1"/>
  <c r="O24" i="113"/>
  <c r="O25" i="113" s="1"/>
  <c r="P26" i="113"/>
  <c r="O33" i="113"/>
  <c r="N41" i="113"/>
  <c r="N14" i="55"/>
  <c r="O13" i="60"/>
  <c r="N18" i="60"/>
  <c r="G11" i="72" s="1"/>
  <c r="G17" i="78"/>
  <c r="P13" i="60" l="1"/>
  <c r="O16" i="60"/>
  <c r="O11" i="60"/>
  <c r="P27" i="113"/>
  <c r="P29" i="113" s="1"/>
  <c r="P31" i="113" s="1"/>
  <c r="Q13" i="60" s="1"/>
  <c r="P33" i="113"/>
  <c r="P24" i="113"/>
  <c r="P25" i="113" s="1"/>
  <c r="Q26" i="113"/>
  <c r="N17" i="55"/>
  <c r="P14" i="55"/>
  <c r="P17" i="55" l="1"/>
  <c r="R14" i="55"/>
  <c r="R17" i="55" s="1"/>
  <c r="S21" i="76"/>
  <c r="Q16" i="60"/>
  <c r="Q11" i="60"/>
  <c r="Q27" i="113"/>
  <c r="Q29" i="113" s="1"/>
  <c r="Q31" i="113" s="1"/>
  <c r="R13" i="60" s="1"/>
  <c r="Q24" i="113"/>
  <c r="Q25" i="113" s="1"/>
  <c r="Q33" i="113"/>
  <c r="R26" i="113"/>
  <c r="O18" i="60"/>
  <c r="H11" i="72" s="1"/>
  <c r="H17" i="78"/>
  <c r="P16" i="60"/>
  <c r="P11" i="60"/>
  <c r="R27" i="113" l="1"/>
  <c r="R29" i="113" s="1"/>
  <c r="R31" i="113" s="1"/>
  <c r="S26" i="113"/>
  <c r="R24" i="113"/>
  <c r="R25" i="113" s="1"/>
  <c r="R33" i="113"/>
  <c r="P18" i="60"/>
  <c r="I11" i="72" s="1"/>
  <c r="I17" i="78"/>
  <c r="Q18" i="60"/>
  <c r="J17" i="78"/>
  <c r="R16" i="60"/>
  <c r="R11" i="60"/>
  <c r="J11" i="72" l="1"/>
  <c r="S27" i="113"/>
  <c r="S29" i="113" s="1"/>
  <c r="S31" i="113" s="1"/>
  <c r="T13" i="60" s="1"/>
  <c r="S24" i="113"/>
  <c r="S25" i="113" s="1"/>
  <c r="T26" i="113"/>
  <c r="S33" i="113"/>
  <c r="R18" i="60"/>
  <c r="K11" i="72" s="1"/>
  <c r="K17" i="78"/>
  <c r="S13" i="60"/>
  <c r="T16" i="60" l="1"/>
  <c r="T11" i="60"/>
  <c r="T24" i="113"/>
  <c r="T25" i="113" s="1"/>
  <c r="T33" i="113"/>
  <c r="U26" i="113"/>
  <c r="T27" i="113"/>
  <c r="T29" i="113" s="1"/>
  <c r="T31" i="113" s="1"/>
  <c r="U13" i="60" s="1"/>
  <c r="S16" i="60"/>
  <c r="S11" i="60"/>
  <c r="S18" i="60" l="1"/>
  <c r="L17" i="78"/>
  <c r="U27" i="113"/>
  <c r="U29" i="113" s="1"/>
  <c r="U31" i="113" s="1"/>
  <c r="V13" i="60" s="1"/>
  <c r="U24" i="113"/>
  <c r="U25" i="113" s="1"/>
  <c r="U33" i="113"/>
  <c r="V26" i="113"/>
  <c r="U11" i="60"/>
  <c r="U16" i="60"/>
  <c r="N17" i="78" s="1"/>
  <c r="L11" i="72"/>
  <c r="M17" i="78"/>
  <c r="V27" i="113" l="1"/>
  <c r="V29" i="113" s="1"/>
  <c r="V31" i="113" s="1"/>
  <c r="W13" i="60" s="1"/>
  <c r="V24" i="113"/>
  <c r="V25" i="113" s="1"/>
  <c r="W26" i="113"/>
  <c r="V33" i="113"/>
  <c r="O17" i="78"/>
  <c r="V16" i="60"/>
  <c r="V11" i="60"/>
  <c r="W11" i="60" l="1"/>
  <c r="W16" i="60"/>
  <c r="Q17" i="78" s="1"/>
  <c r="P17" i="78"/>
  <c r="W24" i="113"/>
  <c r="W25" i="113" s="1"/>
  <c r="W27" i="113"/>
  <c r="W29" i="113" s="1"/>
  <c r="W31" i="113" s="1"/>
  <c r="X13" i="60" s="1"/>
  <c r="X26" i="113"/>
  <c r="W33" i="113"/>
  <c r="X16" i="60" l="1"/>
  <c r="X11" i="60"/>
  <c r="X27" i="113"/>
  <c r="X29" i="113" s="1"/>
  <c r="X31" i="113" s="1"/>
  <c r="Y13" i="60" s="1"/>
  <c r="X24" i="113"/>
  <c r="X25" i="113" s="1"/>
  <c r="X33" i="113"/>
  <c r="Y26" i="113"/>
  <c r="D14" i="65" l="1"/>
  <c r="Y16" i="60"/>
  <c r="Y11" i="60"/>
  <c r="D14" i="115"/>
  <c r="R17" i="78"/>
  <c r="Y27" i="113"/>
  <c r="Y29" i="113" s="1"/>
  <c r="Y31" i="113" s="1"/>
  <c r="Z13" i="60" s="1"/>
  <c r="Y24" i="113"/>
  <c r="Y25" i="113" s="1"/>
  <c r="Z26" i="113"/>
  <c r="Y33" i="113"/>
  <c r="Z11" i="60" l="1"/>
  <c r="E14" i="65"/>
  <c r="E14" i="115"/>
  <c r="Z16" i="60"/>
  <c r="C6" i="81"/>
  <c r="T17" i="78"/>
  <c r="D12" i="115"/>
  <c r="D17" i="115"/>
  <c r="D17" i="65"/>
  <c r="D12" i="65"/>
  <c r="Z27" i="113"/>
  <c r="Z29" i="113" s="1"/>
  <c r="Z31" i="113" s="1"/>
  <c r="Z24" i="113"/>
  <c r="Z25" i="113" s="1"/>
  <c r="Z33" i="113"/>
  <c r="S34" i="113" l="1"/>
  <c r="T111" i="60" s="1"/>
  <c r="AA13" i="60"/>
  <c r="AA26" i="113"/>
  <c r="X34" i="113"/>
  <c r="Y111" i="60" s="1"/>
  <c r="E12" i="115"/>
  <c r="E17" i="115"/>
  <c r="T34" i="113"/>
  <c r="U111" i="60" s="1"/>
  <c r="E12" i="65"/>
  <c r="E17" i="65"/>
  <c r="U17" i="78"/>
  <c r="D6" i="81"/>
  <c r="U34" i="113"/>
  <c r="V111" i="60" s="1"/>
  <c r="Z34" i="113"/>
  <c r="AA111" i="60" s="1"/>
  <c r="O34" i="113"/>
  <c r="P111" i="60" s="1"/>
  <c r="P34" i="113"/>
  <c r="Q111" i="60" s="1"/>
  <c r="Q34" i="113"/>
  <c r="R111" i="60" s="1"/>
  <c r="R34" i="113"/>
  <c r="S111" i="60" s="1"/>
  <c r="W34" i="113"/>
  <c r="X111" i="60" s="1"/>
  <c r="V34" i="113"/>
  <c r="W111" i="60" s="1"/>
  <c r="Y34" i="113"/>
  <c r="Z111" i="60" s="1"/>
  <c r="AA27" i="113" l="1"/>
  <c r="AA29" i="113" s="1"/>
  <c r="AA31" i="113" s="1"/>
  <c r="AA24" i="113"/>
  <c r="AA25" i="113" s="1"/>
  <c r="AA33" i="113"/>
  <c r="AB26" i="113"/>
  <c r="F14" i="115"/>
  <c r="AA16" i="60"/>
  <c r="F14" i="65"/>
  <c r="AA11" i="60"/>
  <c r="AB13" i="60" l="1"/>
  <c r="AB27" i="113"/>
  <c r="AB29" i="113" s="1"/>
  <c r="AB31" i="113" s="1"/>
  <c r="AC13" i="60" s="1"/>
  <c r="AB24" i="113"/>
  <c r="AB25" i="113" s="1"/>
  <c r="AC26" i="113"/>
  <c r="AB33" i="113"/>
  <c r="E6" i="81"/>
  <c r="V17" i="78"/>
  <c r="F12" i="65"/>
  <c r="F17" i="65"/>
  <c r="F17" i="115"/>
  <c r="F12" i="115"/>
  <c r="AC24" i="113" l="1"/>
  <c r="AC25" i="113" s="1"/>
  <c r="AC27" i="113"/>
  <c r="AC29" i="113" s="1"/>
  <c r="AC31" i="113" s="1"/>
  <c r="AD13" i="60" s="1"/>
  <c r="AD26" i="113"/>
  <c r="AC33" i="113"/>
  <c r="AB16" i="60"/>
  <c r="G14" i="65"/>
  <c r="AB11" i="60"/>
  <c r="G14" i="115"/>
  <c r="AC11" i="60"/>
  <c r="H14" i="115"/>
  <c r="AC16" i="60"/>
  <c r="H14" i="65"/>
  <c r="H17" i="115" l="1"/>
  <c r="H12" i="115"/>
  <c r="AD24" i="113"/>
  <c r="AD25" i="113" s="1"/>
  <c r="AD27" i="113"/>
  <c r="AD29" i="113" s="1"/>
  <c r="AD31" i="113" s="1"/>
  <c r="AD33" i="113"/>
  <c r="AE26" i="113"/>
  <c r="G17" i="65"/>
  <c r="G12" i="65"/>
  <c r="I14" i="65"/>
  <c r="AD16" i="60"/>
  <c r="I14" i="115"/>
  <c r="AD11" i="60"/>
  <c r="H12" i="65"/>
  <c r="H17" i="65"/>
  <c r="F6" i="81"/>
  <c r="W17" i="78"/>
  <c r="G6" i="81"/>
  <c r="X17" i="78"/>
  <c r="G12" i="115"/>
  <c r="G17" i="115"/>
  <c r="AE13" i="60" l="1"/>
  <c r="I12" i="115"/>
  <c r="I17" i="115"/>
  <c r="AE27" i="113"/>
  <c r="AE29" i="113" s="1"/>
  <c r="AE31" i="113" s="1"/>
  <c r="AF13" i="60" s="1"/>
  <c r="AE24" i="113"/>
  <c r="AE25" i="113" s="1"/>
  <c r="AE33" i="113"/>
  <c r="AF26" i="113"/>
  <c r="I17" i="65"/>
  <c r="I12" i="65"/>
  <c r="H6" i="81"/>
  <c r="F24" i="81" s="1"/>
  <c r="F25" i="81" s="1"/>
  <c r="F26" i="81" s="1"/>
  <c r="Y17" i="78"/>
  <c r="J14" i="115" l="1"/>
  <c r="J14" i="65"/>
  <c r="AE16" i="60"/>
  <c r="AE11" i="60"/>
  <c r="K14" i="65"/>
  <c r="K14" i="115"/>
  <c r="AF16" i="60"/>
  <c r="AF11" i="60"/>
  <c r="AF27" i="113"/>
  <c r="AF29" i="113" s="1"/>
  <c r="AF31" i="113" s="1"/>
  <c r="AG13" i="60" s="1"/>
  <c r="AF33" i="113"/>
  <c r="AG26" i="113"/>
  <c r="AF24" i="113"/>
  <c r="AF25" i="113" s="1"/>
  <c r="AG16" i="60" l="1"/>
  <c r="L14" i="65"/>
  <c r="L14" i="115"/>
  <c r="AG11" i="60"/>
  <c r="J6" i="81"/>
  <c r="AA17" i="78"/>
  <c r="J17" i="115"/>
  <c r="J12" i="115"/>
  <c r="K17" i="115"/>
  <c r="K12" i="115"/>
  <c r="AG27" i="113"/>
  <c r="AG29" i="113" s="1"/>
  <c r="AG31" i="113" s="1"/>
  <c r="AG24" i="113"/>
  <c r="AG25" i="113" s="1"/>
  <c r="AH26" i="113"/>
  <c r="AG33" i="113"/>
  <c r="K12" i="65"/>
  <c r="K17" i="65"/>
  <c r="I6" i="81"/>
  <c r="Z17" i="78"/>
  <c r="J12" i="65"/>
  <c r="J17" i="65"/>
  <c r="AH13" i="60" l="1"/>
  <c r="L17" i="65"/>
  <c r="L12" i="65"/>
  <c r="L17" i="115"/>
  <c r="L12" i="115"/>
  <c r="AH27" i="113"/>
  <c r="AH29" i="113" s="1"/>
  <c r="AH31" i="113" s="1"/>
  <c r="AI13" i="60" s="1"/>
  <c r="AH24" i="113"/>
  <c r="AH25" i="113" s="1"/>
  <c r="AI26" i="113"/>
  <c r="AH33" i="113"/>
  <c r="K6" i="81"/>
  <c r="AB17" i="78"/>
  <c r="AI11" i="60" l="1"/>
  <c r="N14" i="65"/>
  <c r="N14" i="115"/>
  <c r="AI16" i="60"/>
  <c r="M14" i="115"/>
  <c r="AH16" i="60"/>
  <c r="AH11" i="60"/>
  <c r="M14" i="65"/>
  <c r="AI27" i="113"/>
  <c r="AI29" i="113" s="1"/>
  <c r="AI31" i="113" s="1"/>
  <c r="AJ13" i="60" s="1"/>
  <c r="AI24" i="113"/>
  <c r="AI25" i="113" s="1"/>
  <c r="AI33" i="113"/>
  <c r="AJ26" i="113"/>
  <c r="M12" i="65" l="1"/>
  <c r="M17" i="65"/>
  <c r="M6" i="81"/>
  <c r="AD17" i="78"/>
  <c r="N12" i="115"/>
  <c r="N17" i="115"/>
  <c r="AJ11" i="60"/>
  <c r="O14" i="65"/>
  <c r="AJ16" i="60"/>
  <c r="O14" i="115"/>
  <c r="AC17" i="78"/>
  <c r="L6" i="81"/>
  <c r="N12" i="65"/>
  <c r="N17" i="65"/>
  <c r="AJ27" i="113"/>
  <c r="AJ29" i="113" s="1"/>
  <c r="AJ31" i="113" s="1"/>
  <c r="AK13" i="60" s="1"/>
  <c r="AJ24" i="113"/>
  <c r="AJ25" i="113" s="1"/>
  <c r="AK26" i="113"/>
  <c r="AJ33" i="113"/>
  <c r="M17" i="115"/>
  <c r="M12" i="115"/>
  <c r="AK16" i="60" l="1"/>
  <c r="AK11" i="60"/>
  <c r="N6" i="81"/>
  <c r="O6" i="81" s="1"/>
  <c r="F27" i="81" s="1"/>
  <c r="F29" i="81" s="1"/>
  <c r="F31" i="81" s="1"/>
  <c r="F33" i="81" s="1"/>
  <c r="AE17" i="78"/>
  <c r="AK27" i="113"/>
  <c r="AK29" i="113" s="1"/>
  <c r="AK31" i="113" s="1"/>
  <c r="AL13" i="60" s="1"/>
  <c r="AK24" i="113"/>
  <c r="AK25" i="113" s="1"/>
  <c r="AK33" i="113"/>
  <c r="AL26" i="113"/>
  <c r="O17" i="65"/>
  <c r="O12" i="65"/>
  <c r="P12" i="65" s="1"/>
  <c r="P14" i="65"/>
  <c r="J14" i="61"/>
  <c r="J16" i="61" s="1"/>
  <c r="O17" i="115"/>
  <c r="O12" i="115"/>
  <c r="P14" i="115"/>
  <c r="P12" i="115" l="1"/>
  <c r="S28" i="76"/>
  <c r="P17" i="65"/>
  <c r="D14" i="61"/>
  <c r="Q14" i="65"/>
  <c r="C12" i="61"/>
  <c r="AL24" i="113"/>
  <c r="AL25" i="113" s="1"/>
  <c r="AL27" i="113"/>
  <c r="AL29" i="113" s="1"/>
  <c r="AL31" i="113" s="1"/>
  <c r="AL33" i="113"/>
  <c r="AF17" i="78"/>
  <c r="AF23" i="78" s="1"/>
  <c r="P17" i="115"/>
  <c r="Q14" i="115"/>
  <c r="AL16" i="60"/>
  <c r="AL11" i="60"/>
  <c r="Q17" i="115" l="1"/>
  <c r="J39" i="44"/>
  <c r="AL34" i="113"/>
  <c r="AM111" i="60" s="1"/>
  <c r="AB34" i="113"/>
  <c r="AC111" i="60" s="1"/>
  <c r="AA34" i="113"/>
  <c r="AB111" i="60" s="1"/>
  <c r="AD34" i="113"/>
  <c r="AE111" i="60" s="1"/>
  <c r="AE34" i="113"/>
  <c r="AF111" i="60" s="1"/>
  <c r="AC34" i="113"/>
  <c r="AD111" i="60" s="1"/>
  <c r="AI34" i="113"/>
  <c r="AJ111" i="60" s="1"/>
  <c r="AF34" i="113"/>
  <c r="AG111" i="60" s="1"/>
  <c r="AG34" i="113"/>
  <c r="AH111" i="60" s="1"/>
  <c r="I39" i="44"/>
  <c r="Q17" i="65"/>
  <c r="S39" i="44" s="1"/>
  <c r="AM13" i="60"/>
  <c r="AM26" i="113"/>
  <c r="AH34" i="113"/>
  <c r="AI111" i="60" s="1"/>
  <c r="F14" i="61"/>
  <c r="D16" i="61"/>
  <c r="I81" i="44"/>
  <c r="AK34" i="113"/>
  <c r="AL111" i="60" s="1"/>
  <c r="AJ34" i="113"/>
  <c r="AK111" i="60" s="1"/>
  <c r="C16" i="61"/>
  <c r="F12" i="61"/>
  <c r="F16" i="61" s="1"/>
  <c r="H16" i="61" s="1"/>
  <c r="S37" i="76"/>
  <c r="AM11" i="60" l="1"/>
  <c r="AM16" i="60"/>
  <c r="I94" i="44"/>
  <c r="C104" i="44" s="1"/>
  <c r="K39" i="44"/>
  <c r="M39" i="44"/>
  <c r="L39" i="44"/>
  <c r="AM27" i="113"/>
  <c r="AM29" i="113" s="1"/>
  <c r="AM31" i="113" s="1"/>
  <c r="AM24" i="113"/>
  <c r="AM25" i="113" s="1"/>
  <c r="AM33" i="113"/>
  <c r="AN26" i="113"/>
  <c r="O39" i="44" l="1"/>
  <c r="N39" i="44"/>
  <c r="AN13" i="60"/>
  <c r="V82" i="44"/>
  <c r="AN27" i="113"/>
  <c r="AN29" i="113" s="1"/>
  <c r="AN31" i="113" s="1"/>
  <c r="AO13" i="60" s="1"/>
  <c r="AN24" i="113"/>
  <c r="AN25" i="113" s="1"/>
  <c r="AO26" i="113"/>
  <c r="AN33" i="113"/>
  <c r="C107" i="44"/>
  <c r="C105" i="44"/>
  <c r="D104" i="44"/>
  <c r="AO11" i="60" l="1"/>
  <c r="AO16" i="60"/>
  <c r="AN11" i="60"/>
  <c r="AN16" i="60"/>
  <c r="AA39" i="44"/>
  <c r="AH35" i="44"/>
  <c r="D107" i="44"/>
  <c r="D105" i="44"/>
  <c r="C108" i="44"/>
  <c r="AO27" i="113"/>
  <c r="AO29" i="113" s="1"/>
  <c r="AO31" i="113" s="1"/>
  <c r="AO24" i="113"/>
  <c r="AO25" i="113" s="1"/>
  <c r="AP26" i="113"/>
  <c r="AO33" i="113"/>
  <c r="D108" i="44" l="1"/>
  <c r="E108" i="44" s="1"/>
  <c r="F108" i="44" s="1"/>
  <c r="AP13" i="60"/>
  <c r="AP27" i="113"/>
  <c r="AP29" i="113" s="1"/>
  <c r="AP31" i="113" s="1"/>
  <c r="AQ13" i="60" s="1"/>
  <c r="AP24" i="113"/>
  <c r="AP25" i="113" s="1"/>
  <c r="AP33" i="113"/>
  <c r="AQ26" i="113"/>
  <c r="AQ16" i="60" l="1"/>
  <c r="AQ11" i="60"/>
  <c r="AQ27" i="113"/>
  <c r="AQ29" i="113" s="1"/>
  <c r="AQ31" i="113" s="1"/>
  <c r="AR13" i="60" s="1"/>
  <c r="AQ24" i="113"/>
  <c r="AQ25" i="113" s="1"/>
  <c r="AR26" i="113"/>
  <c r="AQ33" i="113"/>
  <c r="AP16" i="60"/>
  <c r="AP11" i="60"/>
  <c r="AR16" i="60" l="1"/>
  <c r="AR11" i="60"/>
  <c r="AR27" i="113"/>
  <c r="AR29" i="113" s="1"/>
  <c r="AR31" i="113" s="1"/>
  <c r="AS13" i="60" s="1"/>
  <c r="AR33" i="113"/>
  <c r="AS26" i="113"/>
  <c r="AR24" i="113"/>
  <c r="AR25" i="113" s="1"/>
  <c r="AS27" i="113" l="1"/>
  <c r="AS29" i="113" s="1"/>
  <c r="AS31" i="113" s="1"/>
  <c r="AS24" i="113"/>
  <c r="AS25" i="113" s="1"/>
  <c r="AT26" i="113"/>
  <c r="AS33" i="113"/>
  <c r="AS16" i="60"/>
  <c r="AS11" i="60"/>
  <c r="AT27" i="113" l="1"/>
  <c r="AT29" i="113" s="1"/>
  <c r="AT31" i="113" s="1"/>
  <c r="AU13" i="60" s="1"/>
  <c r="AT24" i="113"/>
  <c r="AT25" i="113" s="1"/>
  <c r="AT33" i="113"/>
  <c r="AU26" i="113"/>
  <c r="AT13" i="60"/>
  <c r="AU24" i="113" l="1"/>
  <c r="AU25" i="113" s="1"/>
  <c r="AU33" i="113"/>
  <c r="AU27" i="113"/>
  <c r="AU29" i="113" s="1"/>
  <c r="AU31" i="113" s="1"/>
  <c r="AV13" i="60" s="1"/>
  <c r="AV26" i="113"/>
  <c r="AT16" i="60"/>
  <c r="AT11" i="60"/>
  <c r="AU11" i="60"/>
  <c r="AU16" i="60"/>
  <c r="AV27" i="113" l="1"/>
  <c r="AV29" i="113" s="1"/>
  <c r="AV31" i="113" s="1"/>
  <c r="AW13" i="60" s="1"/>
  <c r="AV24" i="113"/>
  <c r="AV25" i="113" s="1"/>
  <c r="AW26" i="113"/>
  <c r="AV33" i="113"/>
  <c r="AV16" i="60"/>
  <c r="AV11" i="60"/>
  <c r="AW27" i="113" l="1"/>
  <c r="AW29" i="113" s="1"/>
  <c r="AW31" i="113" s="1"/>
  <c r="AX13" i="60" s="1"/>
  <c r="AW24" i="113"/>
  <c r="AW25" i="113" s="1"/>
  <c r="AW33" i="113"/>
  <c r="AX26" i="113"/>
  <c r="AW16" i="60"/>
  <c r="AW11" i="60"/>
  <c r="AX16" i="60" l="1"/>
  <c r="AX11" i="60"/>
  <c r="AX27" i="113"/>
  <c r="AX29" i="113" s="1"/>
  <c r="AX31" i="113" s="1"/>
  <c r="AX24" i="113"/>
  <c r="AX25" i="113" s="1"/>
  <c r="AX33" i="113"/>
  <c r="AR34" i="113" l="1"/>
  <c r="AS111" i="60" s="1"/>
  <c r="AU34" i="113"/>
  <c r="AV111" i="60" s="1"/>
  <c r="AQ34" i="113"/>
  <c r="AR111" i="60" s="1"/>
  <c r="AT34" i="113"/>
  <c r="AU111" i="60" s="1"/>
  <c r="AY13" i="60"/>
  <c r="AY26" i="113"/>
  <c r="AX34" i="113"/>
  <c r="AY111" i="60" s="1"/>
  <c r="AM34" i="113"/>
  <c r="AN111" i="60" s="1"/>
  <c r="AN34" i="113"/>
  <c r="AO111" i="60" s="1"/>
  <c r="AO34" i="113"/>
  <c r="AP111" i="60" s="1"/>
  <c r="AP34" i="113"/>
  <c r="AQ111" i="60" s="1"/>
  <c r="AS34" i="113"/>
  <c r="AT111" i="60" s="1"/>
  <c r="AV34" i="113"/>
  <c r="AW111" i="60" s="1"/>
  <c r="AW34" i="113"/>
  <c r="AX111" i="60" s="1"/>
  <c r="AY11" i="60" l="1"/>
  <c r="AY16" i="60"/>
  <c r="AY24" i="113"/>
  <c r="AY25" i="113" s="1"/>
  <c r="AY33" i="113"/>
  <c r="AZ26" i="113"/>
  <c r="AY27" i="113"/>
  <c r="AY29" i="113" s="1"/>
  <c r="AY31" i="113" s="1"/>
  <c r="AZ13" i="60" l="1"/>
  <c r="AZ24" i="113"/>
  <c r="AZ25" i="113" s="1"/>
  <c r="AZ33" i="113"/>
  <c r="AZ27" i="113"/>
  <c r="AZ29" i="113" s="1"/>
  <c r="AZ31" i="113" s="1"/>
  <c r="BA13" i="60" s="1"/>
  <c r="BA26" i="113"/>
  <c r="AZ16" i="60" l="1"/>
  <c r="AZ11" i="60"/>
  <c r="BA24" i="113"/>
  <c r="BA25" i="113" s="1"/>
  <c r="BA27" i="113"/>
  <c r="BA29" i="113" s="1"/>
  <c r="BA31" i="113" s="1"/>
  <c r="BB13" i="60" s="1"/>
  <c r="BA33" i="113"/>
  <c r="BB26" i="113"/>
  <c r="BA16" i="60"/>
  <c r="BA11" i="60"/>
  <c r="BB27" i="113" l="1"/>
  <c r="BB29" i="113" s="1"/>
  <c r="BB31" i="113" s="1"/>
  <c r="BB24" i="113"/>
  <c r="BB25" i="113" s="1"/>
  <c r="BB33" i="113"/>
  <c r="BC26" i="113"/>
  <c r="BB16" i="60"/>
  <c r="BB11" i="60"/>
  <c r="BC27" i="113" l="1"/>
  <c r="BC29" i="113" s="1"/>
  <c r="BC31" i="113" s="1"/>
  <c r="BD13" i="60" s="1"/>
  <c r="BC33" i="113"/>
  <c r="BD26" i="113"/>
  <c r="BC24" i="113"/>
  <c r="BC25" i="113" s="1"/>
  <c r="BC13" i="60"/>
  <c r="BC16" i="60" l="1"/>
  <c r="BC11" i="60"/>
  <c r="BD16" i="60"/>
  <c r="BD11" i="60"/>
  <c r="BD27" i="113"/>
  <c r="BD29" i="113" s="1"/>
  <c r="BD31" i="113" s="1"/>
  <c r="BE13" i="60" s="1"/>
  <c r="BD24" i="113"/>
  <c r="BD25" i="113" s="1"/>
  <c r="BD33" i="113"/>
  <c r="BE26" i="113"/>
  <c r="BE27" i="113" l="1"/>
  <c r="BE29" i="113" s="1"/>
  <c r="BE31" i="113" s="1"/>
  <c r="BE24" i="113"/>
  <c r="BE25" i="113" s="1"/>
  <c r="BE33" i="113"/>
  <c r="BF26" i="113"/>
  <c r="BE16" i="60"/>
  <c r="BE11" i="60"/>
  <c r="BF13" i="60" l="1"/>
  <c r="BF27" i="113"/>
  <c r="BF29" i="113" s="1"/>
  <c r="BF31" i="113" s="1"/>
  <c r="BG13" i="60" s="1"/>
  <c r="BF24" i="113"/>
  <c r="BF25" i="113" s="1"/>
  <c r="BG26" i="113"/>
  <c r="BF33" i="113"/>
  <c r="BG16" i="60" l="1"/>
  <c r="BG11" i="60"/>
  <c r="BG27" i="113"/>
  <c r="BG29" i="113" s="1"/>
  <c r="BG31" i="113" s="1"/>
  <c r="BH13" i="60" s="1"/>
  <c r="BG24" i="113"/>
  <c r="BG25" i="113" s="1"/>
  <c r="BH26" i="113"/>
  <c r="BG33" i="113"/>
  <c r="BF16" i="60"/>
  <c r="BF11" i="60"/>
  <c r="BH27" i="113" l="1"/>
  <c r="BH29" i="113" s="1"/>
  <c r="BH31" i="113" s="1"/>
  <c r="BI13" i="60" s="1"/>
  <c r="BH24" i="113"/>
  <c r="BH25" i="113" s="1"/>
  <c r="BH33" i="113"/>
  <c r="BI26" i="113"/>
  <c r="BH16" i="60"/>
  <c r="BH11" i="60"/>
  <c r="BI16" i="60" l="1"/>
  <c r="BI11" i="60"/>
  <c r="BI24" i="113"/>
  <c r="BI25" i="113" s="1"/>
  <c r="BI27" i="113"/>
  <c r="BI29" i="113" s="1"/>
  <c r="BI31" i="113" s="1"/>
  <c r="BJ13" i="60" s="1"/>
  <c r="BJ26" i="113"/>
  <c r="BI33" i="113"/>
  <c r="BJ27" i="113" l="1"/>
  <c r="BJ29" i="113" s="1"/>
  <c r="BJ31" i="113" s="1"/>
  <c r="BJ33" i="113"/>
  <c r="BJ24" i="113"/>
  <c r="BJ25" i="113" s="1"/>
  <c r="BJ16" i="60"/>
  <c r="BJ11" i="60"/>
  <c r="BJ34" i="113" l="1"/>
  <c r="BK111" i="60" s="1"/>
  <c r="AZ34" i="113"/>
  <c r="BA111" i="60" s="1"/>
  <c r="AY34" i="113"/>
  <c r="AZ111" i="60" s="1"/>
  <c r="BA34" i="113"/>
  <c r="BB111" i="60" s="1"/>
  <c r="BB34" i="113"/>
  <c r="BC111" i="60" s="1"/>
  <c r="BC34" i="113"/>
  <c r="BD111" i="60" s="1"/>
  <c r="BH34" i="113"/>
  <c r="BI111" i="60" s="1"/>
  <c r="BE34" i="113"/>
  <c r="BF111" i="60" s="1"/>
  <c r="BI34" i="113"/>
  <c r="BJ111" i="60" s="1"/>
  <c r="BF34" i="113"/>
  <c r="BG111" i="60" s="1"/>
  <c r="BK13" i="60"/>
  <c r="BK26" i="113"/>
  <c r="BD34" i="113"/>
  <c r="BE111" i="60" s="1"/>
  <c r="BG34" i="113"/>
  <c r="BH111" i="60" s="1"/>
  <c r="BK24" i="113" l="1"/>
  <c r="BK25" i="113" s="1"/>
  <c r="BK27" i="113"/>
  <c r="BK29" i="113" s="1"/>
  <c r="BK31" i="113" s="1"/>
  <c r="BK33" i="113"/>
  <c r="BL26" i="113"/>
  <c r="BK11" i="60"/>
  <c r="BK16" i="60"/>
  <c r="BL13" i="60" l="1"/>
  <c r="BL24" i="113"/>
  <c r="BL25" i="113" s="1"/>
  <c r="BL27" i="113"/>
  <c r="BL29" i="113" s="1"/>
  <c r="BL31" i="113" s="1"/>
  <c r="BM13" i="60" s="1"/>
  <c r="BM26" i="113"/>
  <c r="BL33" i="113"/>
  <c r="BL16" i="60" l="1"/>
  <c r="BL11" i="60"/>
  <c r="BM27" i="113"/>
  <c r="BM29" i="113" s="1"/>
  <c r="BM31" i="113" s="1"/>
  <c r="BM24" i="113"/>
  <c r="BM25" i="113" s="1"/>
  <c r="BM33" i="113"/>
  <c r="BN26" i="113"/>
  <c r="BM16" i="60"/>
  <c r="BM11" i="60"/>
  <c r="BN24" i="113" l="1"/>
  <c r="BN25" i="113" s="1"/>
  <c r="BO26" i="113"/>
  <c r="BN27" i="113"/>
  <c r="BN29" i="113" s="1"/>
  <c r="BN31" i="113" s="1"/>
  <c r="BO13" i="60" s="1"/>
  <c r="BN33" i="113"/>
  <c r="BN13" i="60"/>
  <c r="BO16" i="60" l="1"/>
  <c r="BO11" i="60"/>
  <c r="BO27" i="113"/>
  <c r="BO29" i="113" s="1"/>
  <c r="BO31" i="113" s="1"/>
  <c r="BP13" i="60" s="1"/>
  <c r="BO24" i="113"/>
  <c r="BO25" i="113" s="1"/>
  <c r="BP26" i="113"/>
  <c r="BO33" i="113"/>
  <c r="BN16" i="60"/>
  <c r="BN11" i="60"/>
  <c r="BP16" i="60" l="1"/>
  <c r="BP11" i="60"/>
  <c r="BP27" i="113"/>
  <c r="BP29" i="113" s="1"/>
  <c r="BP31" i="113" s="1"/>
  <c r="BP24" i="113"/>
  <c r="BP25" i="113" s="1"/>
  <c r="BP33" i="113"/>
  <c r="BQ26" i="113"/>
  <c r="BQ27" i="113" l="1"/>
  <c r="BQ29" i="113" s="1"/>
  <c r="BQ31" i="113" s="1"/>
  <c r="BR13" i="60" s="1"/>
  <c r="BQ24" i="113"/>
  <c r="BQ25" i="113" s="1"/>
  <c r="BQ33" i="113"/>
  <c r="BR26" i="113"/>
  <c r="BQ13" i="60"/>
  <c r="BR27" i="113" l="1"/>
  <c r="BR29" i="113" s="1"/>
  <c r="BR31" i="113" s="1"/>
  <c r="BS13" i="60" s="1"/>
  <c r="BS26" i="113"/>
  <c r="BR24" i="113"/>
  <c r="BR25" i="113" s="1"/>
  <c r="BR33" i="113"/>
  <c r="BQ16" i="60"/>
  <c r="BQ11" i="60"/>
  <c r="BR16" i="60"/>
  <c r="BR11" i="60"/>
  <c r="BS27" i="113" l="1"/>
  <c r="BS29" i="113" s="1"/>
  <c r="BS31" i="113" s="1"/>
  <c r="BT13" i="60" s="1"/>
  <c r="BS24" i="113"/>
  <c r="BS25" i="113" s="1"/>
  <c r="BT26" i="113"/>
  <c r="BS33" i="113"/>
  <c r="BS16" i="60"/>
  <c r="BS11" i="60"/>
  <c r="BT16" i="60" l="1"/>
  <c r="BT11" i="60"/>
  <c r="BT27" i="113"/>
  <c r="BT29" i="113" s="1"/>
  <c r="BT31" i="113" s="1"/>
  <c r="BU13" i="60" s="1"/>
  <c r="BU26" i="113"/>
  <c r="BT33" i="113"/>
  <c r="BT24" i="113"/>
  <c r="BT25" i="113" s="1"/>
  <c r="BU11" i="60" l="1"/>
  <c r="BU16" i="60"/>
  <c r="BU24" i="113"/>
  <c r="BU25" i="113" s="1"/>
  <c r="BU27" i="113"/>
  <c r="BU29" i="113" s="1"/>
  <c r="BU31" i="113" s="1"/>
  <c r="BV13" i="60" s="1"/>
  <c r="BU33" i="113"/>
  <c r="BV26" i="113"/>
  <c r="BV27" i="113" l="1"/>
  <c r="BV29" i="113" s="1"/>
  <c r="BV31" i="113" s="1"/>
  <c r="BV33" i="113"/>
  <c r="BV24" i="113"/>
  <c r="BV25" i="113" s="1"/>
  <c r="BV16" i="60"/>
  <c r="BV11" i="60"/>
  <c r="BS34" i="113" l="1"/>
  <c r="BT111" i="60" s="1"/>
  <c r="BU34" i="113"/>
  <c r="BV111" i="60" s="1"/>
  <c r="BR34" i="113"/>
  <c r="BS111" i="60" s="1"/>
  <c r="BV34" i="113"/>
  <c r="BW111" i="60" s="1"/>
  <c r="BK34" i="113"/>
  <c r="BL111" i="60" s="1"/>
  <c r="BL34" i="113"/>
  <c r="BM111" i="60" s="1"/>
  <c r="BM34" i="113"/>
  <c r="BN111" i="60" s="1"/>
  <c r="BN34" i="113"/>
  <c r="BO111" i="60" s="1"/>
  <c r="BO34" i="113"/>
  <c r="BP111" i="60" s="1"/>
  <c r="BP34" i="113"/>
  <c r="BQ111" i="60" s="1"/>
  <c r="BQ34" i="113"/>
  <c r="BR111" i="60" s="1"/>
  <c r="BW13" i="60"/>
  <c r="BW26" i="113"/>
  <c r="BT34" i="113"/>
  <c r="BU111" i="60" s="1"/>
  <c r="BW16" i="60" l="1"/>
  <c r="BW11" i="60"/>
  <c r="BW27" i="113"/>
  <c r="BW29" i="113" s="1"/>
  <c r="BW31" i="113" s="1"/>
  <c r="BX13" i="60" s="1"/>
  <c r="BW24" i="113"/>
  <c r="BW25" i="113" s="1"/>
  <c r="BW33" i="113"/>
  <c r="BX26" i="113"/>
  <c r="BX27" i="113" l="1"/>
  <c r="BX29" i="113" s="1"/>
  <c r="BX31" i="113" s="1"/>
  <c r="BY13" i="60" s="1"/>
  <c r="BX24" i="113"/>
  <c r="BX25" i="113" s="1"/>
  <c r="BY26" i="113"/>
  <c r="BX33" i="113"/>
  <c r="BX11" i="60"/>
  <c r="BX16" i="60"/>
  <c r="BY27" i="113" l="1"/>
  <c r="BY29" i="113" s="1"/>
  <c r="BY31" i="113" s="1"/>
  <c r="BZ13" i="60" s="1"/>
  <c r="BY33" i="113"/>
  <c r="BY24" i="113"/>
  <c r="BY25" i="113" s="1"/>
  <c r="BZ26" i="113"/>
  <c r="BY11" i="60"/>
  <c r="BY16" i="60"/>
  <c r="BZ16" i="60" l="1"/>
  <c r="BZ11" i="60"/>
  <c r="BZ27" i="113"/>
  <c r="BZ29" i="113" s="1"/>
  <c r="BZ31" i="113" s="1"/>
  <c r="CA13" i="60" s="1"/>
  <c r="BZ24" i="113"/>
  <c r="BZ25" i="113" s="1"/>
  <c r="BZ33" i="113"/>
  <c r="CA26" i="113"/>
  <c r="CA11" i="60" l="1"/>
  <c r="CA16" i="60"/>
  <c r="CA24" i="113"/>
  <c r="CA25" i="113" s="1"/>
  <c r="CA27" i="113"/>
  <c r="CA29" i="113" s="1"/>
  <c r="CA31" i="113" s="1"/>
  <c r="CB13" i="60" s="1"/>
  <c r="CB26" i="113"/>
  <c r="CA33" i="113"/>
  <c r="CB27" i="113" l="1"/>
  <c r="CB29" i="113" s="1"/>
  <c r="CB31" i="113" s="1"/>
  <c r="CC13" i="60" s="1"/>
  <c r="CC26" i="113"/>
  <c r="CB33" i="113"/>
  <c r="CB24" i="113"/>
  <c r="CB25" i="113" s="1"/>
  <c r="CB16" i="60"/>
  <c r="CB11" i="60"/>
  <c r="CC27" i="113" l="1"/>
  <c r="CC29" i="113" s="1"/>
  <c r="CC31" i="113" s="1"/>
  <c r="CD13" i="60" s="1"/>
  <c r="CC24" i="113"/>
  <c r="CC25" i="113" s="1"/>
  <c r="CC33" i="113"/>
  <c r="CD26" i="113"/>
  <c r="CC16" i="60"/>
  <c r="CC11" i="60"/>
  <c r="CD16" i="60" l="1"/>
  <c r="CD11" i="60"/>
  <c r="CD27" i="113"/>
  <c r="CD29" i="113" s="1"/>
  <c r="CD31" i="113" s="1"/>
  <c r="CE13" i="60" s="1"/>
  <c r="CD33" i="113"/>
  <c r="CD24" i="113"/>
  <c r="CD25" i="113" s="1"/>
  <c r="CE26" i="113"/>
  <c r="CE27" i="113" l="1"/>
  <c r="CE29" i="113" s="1"/>
  <c r="CE31" i="113" s="1"/>
  <c r="CF13" i="60" s="1"/>
  <c r="CE24" i="113"/>
  <c r="CE25" i="113" s="1"/>
  <c r="CE33" i="113"/>
  <c r="CF26" i="113"/>
  <c r="CE16" i="60"/>
  <c r="CE11" i="60"/>
  <c r="CF27" i="113" l="1"/>
  <c r="CF29" i="113" s="1"/>
  <c r="CF31" i="113" s="1"/>
  <c r="CG13" i="60" s="1"/>
  <c r="CF24" i="113"/>
  <c r="CF25" i="113" s="1"/>
  <c r="CG26" i="113"/>
  <c r="CF33" i="113"/>
  <c r="CF16" i="60"/>
  <c r="CF11" i="60"/>
  <c r="CG24" i="113" l="1"/>
  <c r="CG25" i="113" s="1"/>
  <c r="CG27" i="113"/>
  <c r="CG29" i="113" s="1"/>
  <c r="CG31" i="113" s="1"/>
  <c r="CH13" i="60" s="1"/>
  <c r="CH26" i="113"/>
  <c r="CG33" i="113"/>
  <c r="CG11" i="60"/>
  <c r="CG16" i="60"/>
  <c r="CH24" i="113" l="1"/>
  <c r="CH25" i="113" s="1"/>
  <c r="CH27" i="113"/>
  <c r="CH29" i="113" s="1"/>
  <c r="CH31" i="113" s="1"/>
  <c r="CI13" i="60" s="1"/>
  <c r="CH33" i="113"/>
  <c r="CH16" i="60"/>
  <c r="CH11" i="60"/>
  <c r="CD34" i="113" l="1"/>
  <c r="CE111" i="60" s="1"/>
  <c r="CB34" i="113"/>
  <c r="CC111" i="60" s="1"/>
  <c r="CF34" i="113"/>
  <c r="CG111" i="60" s="1"/>
  <c r="CI11" i="60"/>
  <c r="CI16" i="60"/>
  <c r="CH34" i="113"/>
  <c r="CI111" i="60" s="1"/>
  <c r="BW34" i="113"/>
  <c r="BX111" i="60" s="1"/>
  <c r="BX34" i="113"/>
  <c r="BY111" i="60" s="1"/>
  <c r="BY34" i="113"/>
  <c r="BZ111" i="60" s="1"/>
  <c r="CA34" i="113"/>
  <c r="CB111" i="60" s="1"/>
  <c r="BZ34" i="113"/>
  <c r="CA111" i="60" s="1"/>
  <c r="CC34" i="113"/>
  <c r="CD111" i="60" s="1"/>
  <c r="CE34" i="113"/>
  <c r="CF111" i="60" s="1"/>
  <c r="CG34" i="113"/>
  <c r="CH111" i="60" s="1"/>
  <c r="AG17" i="78" l="1"/>
  <c r="S22" i="83"/>
  <c r="AH17" i="78"/>
  <c r="S23" i="83"/>
  <c r="S24" i="83"/>
  <c r="AI17" i="78"/>
  <c r="S25" i="83"/>
  <c r="AJ17" i="78"/>
  <c r="AK17" i="78"/>
  <c r="S26" i="83"/>
  <c r="AL17" i="78"/>
  <c r="S27" i="83"/>
  <c r="AG11" i="72"/>
  <c r="AH23" i="78" l="1"/>
  <c r="AI23" i="78"/>
  <c r="AL23" i="78"/>
  <c r="AK23" i="78"/>
  <c r="AG23" i="78"/>
  <c r="AJ23" i="78"/>
  <c r="C31" i="20"/>
  <c r="D33" i="60"/>
  <c r="D29" i="60" s="1"/>
  <c r="D34" i="60" l="1"/>
  <c r="P33" i="60"/>
  <c r="P29" i="60" l="1"/>
  <c r="P34" i="60"/>
  <c r="AB33" i="60"/>
  <c r="D36" i="60"/>
  <c r="D113" i="60"/>
  <c r="AN33" i="60" l="1"/>
  <c r="AB34" i="60"/>
  <c r="G34" i="115"/>
  <c r="AB29" i="60"/>
  <c r="G34" i="65"/>
  <c r="P36" i="60"/>
  <c r="I13" i="72" s="1"/>
  <c r="I19" i="78"/>
  <c r="P113" i="60"/>
  <c r="G30" i="115" l="1"/>
  <c r="G35" i="115"/>
  <c r="F14" i="81"/>
  <c r="W19" i="78"/>
  <c r="AB113" i="60"/>
  <c r="G30" i="65"/>
  <c r="G35" i="65"/>
  <c r="AN34" i="60"/>
  <c r="AN113" i="60" s="1"/>
  <c r="AZ33" i="60"/>
  <c r="AN29" i="60"/>
  <c r="AZ29" i="60" l="1"/>
  <c r="BL33" i="60"/>
  <c r="AZ34" i="60"/>
  <c r="AZ113" i="60" s="1"/>
  <c r="BL29" i="60" l="1"/>
  <c r="BX33" i="60"/>
  <c r="BL34" i="60"/>
  <c r="BL113" i="60" s="1"/>
  <c r="BX29" i="60" l="1"/>
  <c r="BX34" i="60"/>
  <c r="BX113" i="60" s="1"/>
  <c r="P30" i="20"/>
  <c r="J31" i="20"/>
  <c r="K33" i="60"/>
  <c r="J33" i="60"/>
  <c r="J34" i="60" s="1"/>
  <c r="I31" i="20"/>
  <c r="L31" i="20"/>
  <c r="M33" i="60"/>
  <c r="F31" i="20"/>
  <c r="G33" i="60"/>
  <c r="G34" i="60" s="1"/>
  <c r="E31" i="20"/>
  <c r="F33" i="60"/>
  <c r="R33" i="60" s="1"/>
  <c r="R34" i="60" s="1"/>
  <c r="M31" i="20"/>
  <c r="N33" i="60"/>
  <c r="N29" i="60" s="1"/>
  <c r="G31" i="20"/>
  <c r="H33" i="60"/>
  <c r="H29" i="60" s="1"/>
  <c r="K31" i="20"/>
  <c r="L33" i="60"/>
  <c r="L34" i="60" s="1"/>
  <c r="N31" i="20"/>
  <c r="O33" i="60"/>
  <c r="O29" i="60" s="1"/>
  <c r="D31" i="20"/>
  <c r="E33" i="60"/>
  <c r="Q33" i="60" s="1"/>
  <c r="H31" i="20"/>
  <c r="I33" i="60"/>
  <c r="U33" i="60" s="1"/>
  <c r="X33" i="60" l="1"/>
  <c r="X29" i="60" s="1"/>
  <c r="V33" i="60"/>
  <c r="AH33" i="60" s="1"/>
  <c r="Q34" i="60"/>
  <c r="J19" i="78" s="1"/>
  <c r="AC33" i="60"/>
  <c r="AO33" i="60" s="1"/>
  <c r="BA33" i="60" s="1"/>
  <c r="N34" i="60"/>
  <c r="N113" i="60" s="1"/>
  <c r="T33" i="60"/>
  <c r="T29" i="60" s="1"/>
  <c r="Z33" i="60"/>
  <c r="E34" i="65" s="1"/>
  <c r="G29" i="60"/>
  <c r="O34" i="60"/>
  <c r="H19" i="78" s="1"/>
  <c r="S33" i="60"/>
  <c r="S34" i="60" s="1"/>
  <c r="L29" i="60"/>
  <c r="U29" i="60"/>
  <c r="AG33" i="60"/>
  <c r="L36" i="60"/>
  <c r="E19" i="78"/>
  <c r="L113" i="60"/>
  <c r="R36" i="60"/>
  <c r="K19" i="78"/>
  <c r="R113" i="60"/>
  <c r="U34" i="60"/>
  <c r="G36" i="60"/>
  <c r="G113" i="60"/>
  <c r="J36" i="60"/>
  <c r="J113" i="60"/>
  <c r="C19" i="78"/>
  <c r="H34" i="60"/>
  <c r="K29" i="60"/>
  <c r="W33" i="60"/>
  <c r="K34" i="60"/>
  <c r="J29" i="60"/>
  <c r="I29" i="60"/>
  <c r="I34" i="60"/>
  <c r="R29" i="60"/>
  <c r="AD33" i="60"/>
  <c r="E29" i="60"/>
  <c r="E34" i="60"/>
  <c r="AA33" i="60"/>
  <c r="F29" i="60"/>
  <c r="F34" i="60"/>
  <c r="M29" i="60"/>
  <c r="M34" i="60"/>
  <c r="Y33" i="60"/>
  <c r="Q29" i="60"/>
  <c r="P31" i="20"/>
  <c r="R30" i="20"/>
  <c r="R31" i="20" s="1"/>
  <c r="U23" i="76"/>
  <c r="X34" i="60" l="1"/>
  <c r="AF33" i="60"/>
  <c r="AJ33" i="60"/>
  <c r="AJ29" i="60" s="1"/>
  <c r="V29" i="60"/>
  <c r="V34" i="60"/>
  <c r="P19" i="78" s="1"/>
  <c r="T34" i="60"/>
  <c r="T113" i="60" s="1"/>
  <c r="S29" i="60"/>
  <c r="AC34" i="60"/>
  <c r="X19" i="78" s="1"/>
  <c r="G19" i="78"/>
  <c r="Z29" i="60"/>
  <c r="N36" i="60"/>
  <c r="G13" i="72" s="1"/>
  <c r="O36" i="60"/>
  <c r="H13" i="72" s="1"/>
  <c r="AO34" i="60"/>
  <c r="AO113" i="60" s="1"/>
  <c r="C13" i="72"/>
  <c r="Q36" i="60"/>
  <c r="J13" i="72" s="1"/>
  <c r="AL33" i="60"/>
  <c r="AL34" i="60" s="1"/>
  <c r="AL113" i="60" s="1"/>
  <c r="O113" i="60"/>
  <c r="AC29" i="60"/>
  <c r="E34" i="115"/>
  <c r="E30" i="115" s="1"/>
  <c r="H34" i="65"/>
  <c r="H30" i="65" s="1"/>
  <c r="AO29" i="60"/>
  <c r="Q113" i="60"/>
  <c r="H34" i="115"/>
  <c r="H30" i="115" s="1"/>
  <c r="Z34" i="60"/>
  <c r="D14" i="81" s="1"/>
  <c r="AE33" i="60"/>
  <c r="J34" i="65" s="1"/>
  <c r="E13" i="72"/>
  <c r="K13" i="72"/>
  <c r="E36" i="60"/>
  <c r="E113" i="60"/>
  <c r="S36" i="60"/>
  <c r="L19" i="78"/>
  <c r="S113" i="60"/>
  <c r="R19" i="78"/>
  <c r="X113" i="60"/>
  <c r="L34" i="115"/>
  <c r="AG29" i="60"/>
  <c r="L34" i="65"/>
  <c r="AS33" i="60"/>
  <c r="AG34" i="60"/>
  <c r="F36" i="60"/>
  <c r="F113" i="60"/>
  <c r="I36" i="60"/>
  <c r="I113" i="60"/>
  <c r="AG19" i="78"/>
  <c r="N19" i="78"/>
  <c r="U113" i="60"/>
  <c r="E30" i="65"/>
  <c r="E35" i="65"/>
  <c r="M36" i="60"/>
  <c r="F13" i="72" s="1"/>
  <c r="F19" i="78"/>
  <c r="M113" i="60"/>
  <c r="F34" i="115"/>
  <c r="F34" i="65"/>
  <c r="AA29" i="60"/>
  <c r="AM33" i="60"/>
  <c r="AA34" i="60"/>
  <c r="W29" i="60"/>
  <c r="AI33" i="60"/>
  <c r="W34" i="60"/>
  <c r="Y29" i="60"/>
  <c r="Y34" i="60"/>
  <c r="D34" i="115"/>
  <c r="AK33" i="60"/>
  <c r="D34" i="65"/>
  <c r="AD29" i="60"/>
  <c r="I34" i="115"/>
  <c r="I34" i="65"/>
  <c r="AD34" i="60"/>
  <c r="AP33" i="60"/>
  <c r="H36" i="60"/>
  <c r="H113" i="60"/>
  <c r="BA29" i="60"/>
  <c r="BA34" i="60"/>
  <c r="BA113" i="60" s="1"/>
  <c r="BM33" i="60"/>
  <c r="AH29" i="60"/>
  <c r="M34" i="115"/>
  <c r="AH34" i="60"/>
  <c r="M34" i="65"/>
  <c r="AT33" i="60"/>
  <c r="K36" i="60"/>
  <c r="D13" i="72" s="1"/>
  <c r="D19" i="78"/>
  <c r="K113" i="60"/>
  <c r="U22" i="83"/>
  <c r="AF29" i="60"/>
  <c r="K34" i="115"/>
  <c r="K34" i="65"/>
  <c r="AR33" i="60"/>
  <c r="AF34" i="60"/>
  <c r="O34" i="65" l="1"/>
  <c r="AJ34" i="60"/>
  <c r="N14" i="81" s="1"/>
  <c r="AQ33" i="60"/>
  <c r="BC33" i="60" s="1"/>
  <c r="M19" i="78"/>
  <c r="O19" i="78" s="1"/>
  <c r="V113" i="60"/>
  <c r="O34" i="115"/>
  <c r="O30" i="115" s="1"/>
  <c r="AV33" i="60"/>
  <c r="AV29" i="60" s="1"/>
  <c r="L13" i="72"/>
  <c r="AE34" i="60"/>
  <c r="I14" i="81" s="1"/>
  <c r="G14" i="81"/>
  <c r="AE29" i="60"/>
  <c r="J34" i="115"/>
  <c r="J30" i="115" s="1"/>
  <c r="AL29" i="60"/>
  <c r="AC113" i="60"/>
  <c r="H35" i="115"/>
  <c r="Z113" i="60"/>
  <c r="U19" i="78"/>
  <c r="AX33" i="60"/>
  <c r="BJ33" i="60" s="1"/>
  <c r="H35" i="65"/>
  <c r="E35" i="115"/>
  <c r="AG13" i="72"/>
  <c r="U23" i="83"/>
  <c r="M35" i="115"/>
  <c r="M30" i="115"/>
  <c r="Y113" i="60"/>
  <c r="T19" i="78"/>
  <c r="C14" i="81"/>
  <c r="O30" i="65"/>
  <c r="O35" i="65"/>
  <c r="K30" i="115"/>
  <c r="K35" i="115"/>
  <c r="I30" i="115"/>
  <c r="I35" i="115"/>
  <c r="D35" i="115"/>
  <c r="D30" i="115"/>
  <c r="AM29" i="60"/>
  <c r="AM34" i="60"/>
  <c r="AM113" i="60" s="1"/>
  <c r="AY33" i="60"/>
  <c r="L30" i="65"/>
  <c r="L35" i="65"/>
  <c r="J14" i="81"/>
  <c r="AA19" i="78"/>
  <c r="AF113" i="60"/>
  <c r="J30" i="65"/>
  <c r="J35" i="65"/>
  <c r="AP29" i="60"/>
  <c r="AP34" i="60"/>
  <c r="AP113" i="60" s="1"/>
  <c r="BB33" i="60"/>
  <c r="AR29" i="60"/>
  <c r="BD33" i="60"/>
  <c r="AR34" i="60"/>
  <c r="AR113" i="60" s="1"/>
  <c r="AT29" i="60"/>
  <c r="BF33" i="60"/>
  <c r="AT34" i="60"/>
  <c r="AT113" i="60" s="1"/>
  <c r="H14" i="81"/>
  <c r="Y19" i="78"/>
  <c r="AD113" i="60"/>
  <c r="D30" i="65"/>
  <c r="D35" i="65"/>
  <c r="W113" i="60"/>
  <c r="Q19" i="78"/>
  <c r="F30" i="65"/>
  <c r="F35" i="65"/>
  <c r="K14" i="81"/>
  <c r="AB19" i="78"/>
  <c r="AG113" i="60"/>
  <c r="L30" i="115"/>
  <c r="L35" i="115"/>
  <c r="AH19" i="78"/>
  <c r="L14" i="81"/>
  <c r="AC19" i="78"/>
  <c r="AH113" i="60"/>
  <c r="K35" i="65"/>
  <c r="K30" i="65"/>
  <c r="M30" i="65"/>
  <c r="M35" i="65"/>
  <c r="BM29" i="60"/>
  <c r="BY33" i="60"/>
  <c r="BM34" i="60"/>
  <c r="BM113" i="60" s="1"/>
  <c r="I30" i="65"/>
  <c r="I35" i="65"/>
  <c r="AK29" i="60"/>
  <c r="AK34" i="60"/>
  <c r="AK113" i="60" s="1"/>
  <c r="AW33" i="60"/>
  <c r="AI29" i="60"/>
  <c r="N34" i="115"/>
  <c r="N34" i="65"/>
  <c r="AI34" i="60"/>
  <c r="AU33" i="60"/>
  <c r="E14" i="81"/>
  <c r="V19" i="78"/>
  <c r="AA113" i="60"/>
  <c r="F30" i="115"/>
  <c r="F35" i="115"/>
  <c r="AG25" i="78"/>
  <c r="AS29" i="60"/>
  <c r="AS34" i="60"/>
  <c r="AS113" i="60" s="1"/>
  <c r="BE33" i="60"/>
  <c r="AE19" i="78" l="1"/>
  <c r="AJ113" i="60"/>
  <c r="O35" i="115"/>
  <c r="AQ34" i="60"/>
  <c r="AQ113" i="60" s="1"/>
  <c r="AQ29" i="60"/>
  <c r="AE113" i="60"/>
  <c r="H24" i="81"/>
  <c r="H25" i="81" s="1"/>
  <c r="H26" i="81" s="1"/>
  <c r="BH33" i="60"/>
  <c r="BT33" i="60" s="1"/>
  <c r="AV34" i="60"/>
  <c r="AV113" i="60" s="1"/>
  <c r="Z19" i="78"/>
  <c r="J35" i="115"/>
  <c r="AX34" i="60"/>
  <c r="AX113" i="60" s="1"/>
  <c r="AX29" i="60"/>
  <c r="U24" i="83"/>
  <c r="N30" i="65"/>
  <c r="P30" i="65" s="1"/>
  <c r="N35" i="65"/>
  <c r="BE29" i="60"/>
  <c r="BQ33" i="60"/>
  <c r="BE34" i="60"/>
  <c r="BE113" i="60" s="1"/>
  <c r="N30" i="115"/>
  <c r="P30" i="115" s="1"/>
  <c r="N35" i="115"/>
  <c r="BY29" i="60"/>
  <c r="BY34" i="60"/>
  <c r="BY113" i="60" s="1"/>
  <c r="AI19" i="78"/>
  <c r="P34" i="65"/>
  <c r="BD29" i="60"/>
  <c r="BP33" i="60"/>
  <c r="BD34" i="60"/>
  <c r="BD113" i="60" s="1"/>
  <c r="AH25" i="78"/>
  <c r="BJ29" i="60"/>
  <c r="BJ34" i="60"/>
  <c r="BJ113" i="60" s="1"/>
  <c r="BV33" i="60"/>
  <c r="AY29" i="60"/>
  <c r="AY34" i="60"/>
  <c r="AY113" i="60" s="1"/>
  <c r="BK33" i="60"/>
  <c r="P34" i="115"/>
  <c r="AU29" i="60"/>
  <c r="AU34" i="60"/>
  <c r="AU113" i="60" s="1"/>
  <c r="BG33" i="60"/>
  <c r="M14" i="81"/>
  <c r="O14" i="81" s="1"/>
  <c r="AD19" i="78"/>
  <c r="AI113" i="60"/>
  <c r="AW29" i="60"/>
  <c r="AW34" i="60"/>
  <c r="AW113" i="60" s="1"/>
  <c r="BI33" i="60"/>
  <c r="BF29" i="60"/>
  <c r="BF34" i="60"/>
  <c r="BF113" i="60" s="1"/>
  <c r="BR33" i="60"/>
  <c r="BB29" i="60"/>
  <c r="BN33" i="60"/>
  <c r="BB34" i="60"/>
  <c r="BB113" i="60" s="1"/>
  <c r="BC29" i="60"/>
  <c r="BO33" i="60"/>
  <c r="BC34" i="60"/>
  <c r="BH29" i="60" l="1"/>
  <c r="AF19" i="78"/>
  <c r="AF25" i="78" s="1"/>
  <c r="BH34" i="60"/>
  <c r="BH113" i="60" s="1"/>
  <c r="H27" i="81"/>
  <c r="H29" i="81" s="1"/>
  <c r="H31" i="81" s="1"/>
  <c r="H33" i="81" s="1"/>
  <c r="BO29" i="60"/>
  <c r="BO34" i="60"/>
  <c r="CA33" i="60"/>
  <c r="BT29" i="60"/>
  <c r="CF33" i="60"/>
  <c r="BT34" i="60"/>
  <c r="BT113" i="60" s="1"/>
  <c r="P35" i="115"/>
  <c r="Q34" i="115"/>
  <c r="BV29" i="60"/>
  <c r="BV34" i="60"/>
  <c r="BV113" i="60" s="1"/>
  <c r="CH33" i="60"/>
  <c r="BR29" i="60"/>
  <c r="BR34" i="60"/>
  <c r="BR113" i="60" s="1"/>
  <c r="CD33" i="60"/>
  <c r="BG29" i="60"/>
  <c r="BS33" i="60"/>
  <c r="BG34" i="60"/>
  <c r="BG113" i="60" s="1"/>
  <c r="BK29" i="60"/>
  <c r="BW33" i="60"/>
  <c r="BK34" i="60"/>
  <c r="BK113" i="60" s="1"/>
  <c r="BN29" i="60"/>
  <c r="BN34" i="60"/>
  <c r="BN113" i="60" s="1"/>
  <c r="BZ33" i="60"/>
  <c r="BI29" i="60"/>
  <c r="BU33" i="60"/>
  <c r="BI34" i="60"/>
  <c r="BI113" i="60" s="1"/>
  <c r="BP29" i="60"/>
  <c r="BP34" i="60"/>
  <c r="BP113" i="60" s="1"/>
  <c r="CB33" i="60"/>
  <c r="Q34" i="65"/>
  <c r="P35" i="65"/>
  <c r="U30" i="76"/>
  <c r="BC113" i="60"/>
  <c r="C27" i="61"/>
  <c r="AJ19" i="78"/>
  <c r="AI25" i="78"/>
  <c r="BQ29" i="60"/>
  <c r="CC33" i="60"/>
  <c r="BQ34" i="60"/>
  <c r="BQ113" i="60" s="1"/>
  <c r="U25" i="83"/>
  <c r="AK19" i="78" l="1"/>
  <c r="AK25" i="78" s="1"/>
  <c r="U26" i="83"/>
  <c r="CC29" i="60"/>
  <c r="CC34" i="60"/>
  <c r="CC113" i="60" s="1"/>
  <c r="BZ29" i="60"/>
  <c r="BZ34" i="60"/>
  <c r="BZ113" i="60" s="1"/>
  <c r="BO113" i="60"/>
  <c r="AJ25" i="78"/>
  <c r="Q35" i="65"/>
  <c r="S41" i="44" s="1"/>
  <c r="I41" i="44"/>
  <c r="BW29" i="60"/>
  <c r="BW34" i="60"/>
  <c r="BW113" i="60" s="1"/>
  <c r="CI33" i="60"/>
  <c r="BS29" i="60"/>
  <c r="BS34" i="60"/>
  <c r="BS113" i="60" s="1"/>
  <c r="CE33" i="60"/>
  <c r="CH29" i="60"/>
  <c r="CH34" i="60"/>
  <c r="CH113" i="60" s="1"/>
  <c r="I85" i="44"/>
  <c r="CA29" i="60"/>
  <c r="CA34" i="60"/>
  <c r="CA113" i="60" s="1"/>
  <c r="F27" i="61"/>
  <c r="F34" i="61" s="1"/>
  <c r="C34" i="61"/>
  <c r="U40" i="76"/>
  <c r="BU29" i="60"/>
  <c r="BU34" i="60"/>
  <c r="BU113" i="60" s="1"/>
  <c r="CG33" i="60"/>
  <c r="CF29" i="60"/>
  <c r="CF34" i="60"/>
  <c r="CF113" i="60" s="1"/>
  <c r="CB29" i="60"/>
  <c r="CB34" i="60"/>
  <c r="CB113" i="60" s="1"/>
  <c r="CD29" i="60"/>
  <c r="CD34" i="60"/>
  <c r="CD113" i="60" s="1"/>
  <c r="Q35" i="115"/>
  <c r="J41" i="44"/>
  <c r="CI29" i="60" l="1"/>
  <c r="CI34" i="60"/>
  <c r="CI113" i="60" s="1"/>
  <c r="L41" i="44"/>
  <c r="CG29" i="60"/>
  <c r="CG34" i="60"/>
  <c r="CG113" i="60" s="1"/>
  <c r="K41" i="44"/>
  <c r="M41" i="44"/>
  <c r="H34" i="61"/>
  <c r="I87" i="44"/>
  <c r="CE29" i="60"/>
  <c r="CE34" i="60"/>
  <c r="CE113" i="60" s="1"/>
  <c r="AL19" i="78"/>
  <c r="U27" i="83"/>
  <c r="AL25" i="78" l="1"/>
  <c r="O41" i="44"/>
  <c r="N41" i="44"/>
  <c r="V84" i="44"/>
  <c r="AA41" i="44" l="1"/>
  <c r="AH39" i="44"/>
  <c r="C38" i="20"/>
  <c r="C86" i="113" s="1"/>
  <c r="P37" i="20"/>
  <c r="E38" i="20"/>
  <c r="E86" i="113" s="1"/>
  <c r="L38" i="20"/>
  <c r="L86" i="113" s="1"/>
  <c r="N38" i="20"/>
  <c r="N86" i="113" s="1"/>
  <c r="K38" i="20"/>
  <c r="K86" i="113" s="1"/>
  <c r="H38" i="20"/>
  <c r="H86" i="113" s="1"/>
  <c r="J38" i="20"/>
  <c r="J86" i="113" s="1"/>
  <c r="F38" i="20"/>
  <c r="F86" i="113" s="1"/>
  <c r="M38" i="20"/>
  <c r="M86" i="113" s="1"/>
  <c r="G38" i="20"/>
  <c r="G86" i="113" s="1"/>
  <c r="I38" i="20"/>
  <c r="I86" i="113" s="1"/>
  <c r="D38" i="20"/>
  <c r="D86" i="113" s="1"/>
  <c r="C82" i="113" s="1"/>
  <c r="D82" i="113" l="1"/>
  <c r="O82" i="113"/>
  <c r="O77" i="113" s="1"/>
  <c r="D77" i="113"/>
  <c r="D78" i="113" s="1"/>
  <c r="D79" i="113" s="1"/>
  <c r="P82" i="113"/>
  <c r="E82" i="113"/>
  <c r="C77" i="113"/>
  <c r="C78" i="113" s="1"/>
  <c r="C79" i="113" s="1"/>
  <c r="AA82" i="113"/>
  <c r="P38" i="20"/>
  <c r="U24" i="76"/>
  <c r="U25" i="76" s="1"/>
  <c r="E19" i="76"/>
  <c r="R37" i="20"/>
  <c r="R38" i="20" s="1"/>
  <c r="AA77" i="113" l="1"/>
  <c r="AM82" i="113"/>
  <c r="P77" i="113"/>
  <c r="AB82" i="113"/>
  <c r="E40" i="76"/>
  <c r="H19" i="76"/>
  <c r="M19" i="76" s="1"/>
  <c r="P19" i="76" s="1"/>
  <c r="E19" i="91"/>
  <c r="E77" i="113"/>
  <c r="E78" i="113" s="1"/>
  <c r="E79" i="113" s="1"/>
  <c r="Q82" i="113"/>
  <c r="F82" i="113"/>
  <c r="AM77" i="113" l="1"/>
  <c r="AY82" i="113"/>
  <c r="F77" i="113"/>
  <c r="F78" i="113" s="1"/>
  <c r="F79" i="113" s="1"/>
  <c r="R82" i="113"/>
  <c r="G82" i="113"/>
  <c r="E40" i="91"/>
  <c r="H19" i="91"/>
  <c r="M19" i="91" s="1"/>
  <c r="P19" i="91" s="1"/>
  <c r="Q77" i="113"/>
  <c r="AC82" i="113"/>
  <c r="AB77" i="113"/>
  <c r="AN82" i="113"/>
  <c r="AC77" i="113" l="1"/>
  <c r="AO82" i="113"/>
  <c r="AN77" i="113"/>
  <c r="AZ82" i="113"/>
  <c r="G77" i="113"/>
  <c r="G78" i="113" s="1"/>
  <c r="G79" i="113" s="1"/>
  <c r="S82" i="113"/>
  <c r="H82" i="113"/>
  <c r="AY77" i="113"/>
  <c r="BK82" i="113"/>
  <c r="R77" i="113"/>
  <c r="AD82" i="113"/>
  <c r="BK77" i="113" l="1"/>
  <c r="BW82" i="113"/>
  <c r="S77" i="113"/>
  <c r="AE82" i="113"/>
  <c r="H77" i="113"/>
  <c r="H78" i="113" s="1"/>
  <c r="H79" i="113" s="1"/>
  <c r="I82" i="113"/>
  <c r="T82" i="113"/>
  <c r="BL82" i="113"/>
  <c r="AZ77" i="113"/>
  <c r="AO77" i="113"/>
  <c r="BA82" i="113"/>
  <c r="AD77" i="113"/>
  <c r="AP82" i="113"/>
  <c r="BA77" i="113" l="1"/>
  <c r="BM82" i="113"/>
  <c r="I77" i="113"/>
  <c r="I78" i="113" s="1"/>
  <c r="I79" i="113" s="1"/>
  <c r="J82" i="113"/>
  <c r="U82" i="113"/>
  <c r="AP77" i="113"/>
  <c r="BB82" i="113"/>
  <c r="BX82" i="113"/>
  <c r="BL77" i="113"/>
  <c r="T77" i="113"/>
  <c r="AF82" i="113"/>
  <c r="AE77" i="113"/>
  <c r="AQ82" i="113"/>
  <c r="BW77" i="113"/>
  <c r="BB77" i="113" l="1"/>
  <c r="BN82" i="113"/>
  <c r="AQ77" i="113"/>
  <c r="BC82" i="113"/>
  <c r="AF77" i="113"/>
  <c r="AR82" i="113"/>
  <c r="BX77" i="113"/>
  <c r="U77" i="113"/>
  <c r="AG82" i="113"/>
  <c r="BM77" i="113"/>
  <c r="BY82" i="113"/>
  <c r="J77" i="113"/>
  <c r="J78" i="113" s="1"/>
  <c r="J79" i="113" s="1"/>
  <c r="V82" i="113"/>
  <c r="K82" i="113"/>
  <c r="BC77" i="113" l="1"/>
  <c r="BO82" i="113"/>
  <c r="K77" i="113"/>
  <c r="K78" i="113" s="1"/>
  <c r="K79" i="113" s="1"/>
  <c r="L82" i="113"/>
  <c r="W82" i="113"/>
  <c r="AR77" i="113"/>
  <c r="BD82" i="113"/>
  <c r="BY77" i="113"/>
  <c r="V77" i="113"/>
  <c r="AH82" i="113"/>
  <c r="BN77" i="113"/>
  <c r="BZ82" i="113"/>
  <c r="AG77" i="113"/>
  <c r="AS82" i="113"/>
  <c r="AS77" i="113" l="1"/>
  <c r="BE82" i="113"/>
  <c r="BZ77" i="113"/>
  <c r="BD77" i="113"/>
  <c r="BP82" i="113"/>
  <c r="AH77" i="113"/>
  <c r="AT82" i="113"/>
  <c r="W77" i="113"/>
  <c r="AI82" i="113"/>
  <c r="BO77" i="113"/>
  <c r="CA82" i="113"/>
  <c r="L77" i="113"/>
  <c r="L78" i="113" s="1"/>
  <c r="L79" i="113" s="1"/>
  <c r="X82" i="113"/>
  <c r="M82" i="113"/>
  <c r="M77" i="113" l="1"/>
  <c r="M78" i="113" s="1"/>
  <c r="M79" i="113" s="1"/>
  <c r="N82" i="113"/>
  <c r="Y82" i="113"/>
  <c r="BP77" i="113"/>
  <c r="CB82" i="113"/>
  <c r="X77" i="113"/>
  <c r="AJ82" i="113"/>
  <c r="AT77" i="113"/>
  <c r="BF82" i="113"/>
  <c r="BE77" i="113"/>
  <c r="BQ82" i="113"/>
  <c r="CA77" i="113"/>
  <c r="AI77" i="113"/>
  <c r="AU82" i="113"/>
  <c r="CB77" i="113" l="1"/>
  <c r="Y77" i="113"/>
  <c r="AK82" i="113"/>
  <c r="BQ77" i="113"/>
  <c r="CC82" i="113"/>
  <c r="N77" i="113"/>
  <c r="N78" i="113" s="1"/>
  <c r="N79" i="113" s="1"/>
  <c r="C80" i="113" s="1"/>
  <c r="Z82" i="113"/>
  <c r="AU77" i="113"/>
  <c r="BG82" i="113"/>
  <c r="BF77" i="113"/>
  <c r="BR82" i="113"/>
  <c r="AV82" i="113"/>
  <c r="AJ77" i="113"/>
  <c r="Z77" i="113" l="1"/>
  <c r="AL82" i="113"/>
  <c r="BR77" i="113"/>
  <c r="CD82" i="113"/>
  <c r="AV77" i="113"/>
  <c r="BH82" i="113"/>
  <c r="CC77" i="113"/>
  <c r="BG77" i="113"/>
  <c r="BS82" i="113"/>
  <c r="C81" i="113"/>
  <c r="C83" i="113" s="1"/>
  <c r="C85" i="113" s="1"/>
  <c r="C87" i="113"/>
  <c r="D80" i="113"/>
  <c r="AK77" i="113"/>
  <c r="AW82" i="113"/>
  <c r="BS77" i="113" l="1"/>
  <c r="CE82" i="113"/>
  <c r="D81" i="113"/>
  <c r="D83" i="113" s="1"/>
  <c r="D85" i="113" s="1"/>
  <c r="D90" i="113" s="1"/>
  <c r="D87" i="113"/>
  <c r="E80" i="113"/>
  <c r="AW77" i="113"/>
  <c r="BI82" i="113"/>
  <c r="C90" i="113"/>
  <c r="AL77" i="113"/>
  <c r="AX82" i="113"/>
  <c r="CD77" i="113"/>
  <c r="BH77" i="113"/>
  <c r="BT82" i="113"/>
  <c r="BT77" i="113" l="1"/>
  <c r="CF82" i="113"/>
  <c r="D94" i="113"/>
  <c r="E42" i="60" s="1"/>
  <c r="Q42" i="60" s="1"/>
  <c r="AC42" i="60" s="1"/>
  <c r="D93" i="113"/>
  <c r="D92" i="113"/>
  <c r="AX77" i="113"/>
  <c r="BJ82" i="113"/>
  <c r="E81" i="113"/>
  <c r="E83" i="113" s="1"/>
  <c r="E85" i="113" s="1"/>
  <c r="E90" i="113" s="1"/>
  <c r="E87" i="113"/>
  <c r="F80" i="113"/>
  <c r="C93" i="113"/>
  <c r="C94" i="113"/>
  <c r="D42" i="60" s="1"/>
  <c r="P42" i="60" s="1"/>
  <c r="AB42" i="60" s="1"/>
  <c r="C92" i="113"/>
  <c r="CE77" i="113"/>
  <c r="BI77" i="113"/>
  <c r="BU82" i="113"/>
  <c r="F81" i="113" l="1"/>
  <c r="F83" i="113" s="1"/>
  <c r="F85" i="113" s="1"/>
  <c r="F87" i="113"/>
  <c r="G80" i="113"/>
  <c r="CF77" i="113"/>
  <c r="G43" i="115"/>
  <c r="G43" i="65"/>
  <c r="AN42" i="60"/>
  <c r="AZ42" i="60" s="1"/>
  <c r="BL42" i="60" s="1"/>
  <c r="BX42" i="60" s="1"/>
  <c r="D28" i="55"/>
  <c r="D95" i="113"/>
  <c r="E40" i="60"/>
  <c r="AO42" i="60"/>
  <c r="BA42" i="60" s="1"/>
  <c r="BM42" i="60" s="1"/>
  <c r="BY42" i="60" s="1"/>
  <c r="H43" i="65"/>
  <c r="H43" i="115"/>
  <c r="C95" i="113"/>
  <c r="C28" i="55"/>
  <c r="D40" i="60"/>
  <c r="E94" i="113"/>
  <c r="F42" i="60" s="1"/>
  <c r="R42" i="60" s="1"/>
  <c r="AD42" i="60" s="1"/>
  <c r="E92" i="113"/>
  <c r="E93" i="113"/>
  <c r="CG82" i="113"/>
  <c r="BU77" i="113"/>
  <c r="D41" i="60"/>
  <c r="P41" i="60" s="1"/>
  <c r="AB41" i="60" s="1"/>
  <c r="C29" i="55"/>
  <c r="BJ77" i="113"/>
  <c r="BV82" i="113"/>
  <c r="D29" i="55"/>
  <c r="E41" i="60"/>
  <c r="Q41" i="60" s="1"/>
  <c r="AC41" i="60" s="1"/>
  <c r="BV77" i="113" l="1"/>
  <c r="CH82" i="113"/>
  <c r="D31" i="55"/>
  <c r="G81" i="113"/>
  <c r="G83" i="113" s="1"/>
  <c r="G85" i="113" s="1"/>
  <c r="G90" i="113" s="1"/>
  <c r="G87" i="113"/>
  <c r="H80" i="113"/>
  <c r="G42" i="115"/>
  <c r="G42" i="65"/>
  <c r="AN41" i="60"/>
  <c r="AZ41" i="60" s="1"/>
  <c r="BL41" i="60" s="1"/>
  <c r="BX41" i="60" s="1"/>
  <c r="D38" i="60"/>
  <c r="D43" i="60"/>
  <c r="P40" i="60"/>
  <c r="E95" i="113"/>
  <c r="E28" i="55"/>
  <c r="F40" i="60"/>
  <c r="C31" i="55"/>
  <c r="CG77" i="113"/>
  <c r="E29" i="55"/>
  <c r="F41" i="60"/>
  <c r="R41" i="60" s="1"/>
  <c r="AD41" i="60" s="1"/>
  <c r="H42" i="65"/>
  <c r="H42" i="115"/>
  <c r="AO41" i="60"/>
  <c r="BA41" i="60" s="1"/>
  <c r="BM41" i="60" s="1"/>
  <c r="BY41" i="60" s="1"/>
  <c r="I43" i="65"/>
  <c r="I43" i="115"/>
  <c r="AP42" i="60"/>
  <c r="BB42" i="60" s="1"/>
  <c r="BN42" i="60" s="1"/>
  <c r="BZ42" i="60" s="1"/>
  <c r="E38" i="60"/>
  <c r="E43" i="60"/>
  <c r="Q40" i="60"/>
  <c r="F90" i="113"/>
  <c r="E31" i="55" l="1"/>
  <c r="I42" i="115"/>
  <c r="I42" i="65"/>
  <c r="AP41" i="60"/>
  <c r="BB41" i="60" s="1"/>
  <c r="BN41" i="60" s="1"/>
  <c r="BZ41" i="60" s="1"/>
  <c r="CH77" i="113"/>
  <c r="E106" i="60"/>
  <c r="E45" i="60"/>
  <c r="E108" i="60" s="1"/>
  <c r="E102" i="60" s="1"/>
  <c r="F57" i="64"/>
  <c r="G94" i="113"/>
  <c r="H42" i="60" s="1"/>
  <c r="T42" i="60" s="1"/>
  <c r="AF42" i="60" s="1"/>
  <c r="G92" i="113"/>
  <c r="G93" i="113"/>
  <c r="H81" i="113"/>
  <c r="H83" i="113" s="1"/>
  <c r="H85" i="113" s="1"/>
  <c r="H87" i="113"/>
  <c r="I80" i="113"/>
  <c r="F94" i="113"/>
  <c r="G42" i="60" s="1"/>
  <c r="S42" i="60" s="1"/>
  <c r="AE42" i="60" s="1"/>
  <c r="F93" i="113"/>
  <c r="F92" i="113"/>
  <c r="P38" i="60"/>
  <c r="P43" i="60"/>
  <c r="AB40" i="60"/>
  <c r="Q38" i="60"/>
  <c r="Q43" i="60"/>
  <c r="AC40" i="60"/>
  <c r="F43" i="60"/>
  <c r="F38" i="60"/>
  <c r="R40" i="60"/>
  <c r="D106" i="60"/>
  <c r="D45" i="60"/>
  <c r="D108" i="60" s="1"/>
  <c r="D102" i="60" s="1"/>
  <c r="AO40" i="60" l="1"/>
  <c r="AC38" i="60"/>
  <c r="AC43" i="60"/>
  <c r="H41" i="115"/>
  <c r="H41" i="65"/>
  <c r="P45" i="60"/>
  <c r="P108" i="60" s="1"/>
  <c r="P102" i="60" s="1"/>
  <c r="I25" i="72" s="1"/>
  <c r="I20" i="78"/>
  <c r="I21" i="78" s="1"/>
  <c r="Q57" i="64"/>
  <c r="H90" i="113"/>
  <c r="R43" i="60"/>
  <c r="R38" i="60"/>
  <c r="AD40" i="60"/>
  <c r="G29" i="55"/>
  <c r="H41" i="60"/>
  <c r="T41" i="60" s="1"/>
  <c r="AF41" i="60" s="1"/>
  <c r="I81" i="113"/>
  <c r="I83" i="113" s="1"/>
  <c r="I85" i="113" s="1"/>
  <c r="I90" i="113" s="1"/>
  <c r="I87" i="113"/>
  <c r="J80" i="113"/>
  <c r="G95" i="113"/>
  <c r="G28" i="55"/>
  <c r="H40" i="60"/>
  <c r="J43" i="115"/>
  <c r="J43" i="65"/>
  <c r="AQ42" i="60"/>
  <c r="BC42" i="60" s="1"/>
  <c r="BO42" i="60" s="1"/>
  <c r="CA42" i="60" s="1"/>
  <c r="Q45" i="60"/>
  <c r="Q108" i="60" s="1"/>
  <c r="Q102" i="60" s="1"/>
  <c r="J25" i="72" s="1"/>
  <c r="J20" i="78"/>
  <c r="J21" i="78" s="1"/>
  <c r="F58" i="64"/>
  <c r="F99" i="60"/>
  <c r="F95" i="113"/>
  <c r="F28" i="55"/>
  <c r="G40" i="60"/>
  <c r="F106" i="60"/>
  <c r="F45" i="60"/>
  <c r="F108" i="60" s="1"/>
  <c r="F102" i="60" s="1"/>
  <c r="G41" i="115"/>
  <c r="G41" i="65"/>
  <c r="AB38" i="60"/>
  <c r="AN40" i="60"/>
  <c r="AB43" i="60"/>
  <c r="F29" i="55"/>
  <c r="G41" i="60"/>
  <c r="S41" i="60" s="1"/>
  <c r="AE41" i="60" s="1"/>
  <c r="K43" i="65"/>
  <c r="K43" i="115"/>
  <c r="AR42" i="60"/>
  <c r="BD42" i="60" s="1"/>
  <c r="BP42" i="60" s="1"/>
  <c r="CB42" i="60" s="1"/>
  <c r="E57" i="64"/>
  <c r="G57" i="64" l="1"/>
  <c r="G58" i="64" s="1"/>
  <c r="G31" i="55"/>
  <c r="H94" i="113"/>
  <c r="I42" i="60" s="1"/>
  <c r="U42" i="60" s="1"/>
  <c r="AG42" i="60" s="1"/>
  <c r="H93" i="113"/>
  <c r="H92" i="113"/>
  <c r="H44" i="115"/>
  <c r="H39" i="115"/>
  <c r="G44" i="115"/>
  <c r="G39" i="115"/>
  <c r="H43" i="60"/>
  <c r="H38" i="60"/>
  <c r="T40" i="60"/>
  <c r="Q58" i="64"/>
  <c r="Q99" i="60"/>
  <c r="J18" i="72" s="1"/>
  <c r="G10" i="81"/>
  <c r="X20" i="78"/>
  <c r="X21" i="78" s="1"/>
  <c r="J81" i="113"/>
  <c r="J83" i="113" s="1"/>
  <c r="J85" i="113" s="1"/>
  <c r="J90" i="113" s="1"/>
  <c r="K80" i="113"/>
  <c r="J87" i="113"/>
  <c r="I41" i="115"/>
  <c r="AD43" i="60"/>
  <c r="I41" i="65"/>
  <c r="AD38" i="60"/>
  <c r="AP40" i="60"/>
  <c r="E58" i="64"/>
  <c r="E99" i="60"/>
  <c r="F10" i="81"/>
  <c r="W20" i="78"/>
  <c r="W21" i="78" s="1"/>
  <c r="F31" i="55"/>
  <c r="AN43" i="60"/>
  <c r="AZ40" i="60"/>
  <c r="AN38" i="60"/>
  <c r="I94" i="113"/>
  <c r="J42" i="60" s="1"/>
  <c r="V42" i="60" s="1"/>
  <c r="AH42" i="60" s="1"/>
  <c r="I92" i="113"/>
  <c r="I93" i="113"/>
  <c r="K42" i="115"/>
  <c r="K42" i="65"/>
  <c r="AR41" i="60"/>
  <c r="BD41" i="60" s="1"/>
  <c r="BP41" i="60" s="1"/>
  <c r="CB41" i="60" s="1"/>
  <c r="K20" i="78"/>
  <c r="K21" i="78" s="1"/>
  <c r="R45" i="60"/>
  <c r="R108" i="60" s="1"/>
  <c r="R102" i="60" s="1"/>
  <c r="K25" i="72" s="1"/>
  <c r="G44" i="65"/>
  <c r="G107" i="65" s="1"/>
  <c r="G39" i="65"/>
  <c r="S40" i="60"/>
  <c r="G43" i="60"/>
  <c r="G38" i="60"/>
  <c r="J14" i="72"/>
  <c r="J15" i="72" s="1"/>
  <c r="J42" i="65"/>
  <c r="J42" i="115"/>
  <c r="AQ41" i="60"/>
  <c r="BC41" i="60" s="1"/>
  <c r="BO41" i="60" s="1"/>
  <c r="CA41" i="60" s="1"/>
  <c r="R57" i="64"/>
  <c r="I14" i="72"/>
  <c r="I15" i="72" s="1"/>
  <c r="H44" i="65"/>
  <c r="H107" i="65" s="1"/>
  <c r="H39" i="65"/>
  <c r="AO43" i="60"/>
  <c r="AO38" i="60"/>
  <c r="BA40" i="60"/>
  <c r="G99" i="60" l="1"/>
  <c r="K14" i="72"/>
  <c r="K15" i="72" s="1"/>
  <c r="M43" i="65"/>
  <c r="M43" i="115"/>
  <c r="AT42" i="60"/>
  <c r="BF42" i="60" s="1"/>
  <c r="BR42" i="60" s="1"/>
  <c r="CD42" i="60" s="1"/>
  <c r="I44" i="65"/>
  <c r="I107" i="65" s="1"/>
  <c r="I39" i="65"/>
  <c r="K81" i="113"/>
  <c r="K83" i="113" s="1"/>
  <c r="K85" i="113" s="1"/>
  <c r="K90" i="113" s="1"/>
  <c r="K87" i="113"/>
  <c r="L80" i="113"/>
  <c r="L43" i="65"/>
  <c r="L43" i="115"/>
  <c r="AS42" i="60"/>
  <c r="BE42" i="60" s="1"/>
  <c r="BQ42" i="60" s="1"/>
  <c r="CC42" i="60" s="1"/>
  <c r="BM40" i="60"/>
  <c r="BA43" i="60"/>
  <c r="BA38" i="60"/>
  <c r="J94" i="113"/>
  <c r="K42" i="60" s="1"/>
  <c r="W42" i="60" s="1"/>
  <c r="AI42" i="60" s="1"/>
  <c r="J93" i="113"/>
  <c r="J92" i="113"/>
  <c r="H106" i="60"/>
  <c r="H45" i="60"/>
  <c r="H108" i="60" s="1"/>
  <c r="H102" i="60" s="1"/>
  <c r="H114" i="115"/>
  <c r="H107" i="115"/>
  <c r="R58" i="64"/>
  <c r="R99" i="60"/>
  <c r="K18" i="72" s="1"/>
  <c r="H112" i="115"/>
  <c r="H10" i="81"/>
  <c r="G24" i="81" s="1"/>
  <c r="Y20" i="78"/>
  <c r="Y21" i="78" s="1"/>
  <c r="G106" i="60"/>
  <c r="G45" i="60"/>
  <c r="G108" i="60" s="1"/>
  <c r="G102" i="60" s="1"/>
  <c r="I29" i="55"/>
  <c r="J41" i="60"/>
  <c r="V41" i="60" s="1"/>
  <c r="AH41" i="60" s="1"/>
  <c r="AZ43" i="60"/>
  <c r="AZ38" i="60"/>
  <c r="BL40" i="60"/>
  <c r="AP43" i="60"/>
  <c r="AP38" i="60"/>
  <c r="BB40" i="60"/>
  <c r="I39" i="115"/>
  <c r="I44" i="115"/>
  <c r="G112" i="115"/>
  <c r="H28" i="55"/>
  <c r="H95" i="113"/>
  <c r="I40" i="60"/>
  <c r="S38" i="60"/>
  <c r="S43" i="60"/>
  <c r="AE40" i="60"/>
  <c r="I95" i="113"/>
  <c r="I28" i="55"/>
  <c r="J40" i="60"/>
  <c r="S57" i="64"/>
  <c r="T43" i="60"/>
  <c r="T38" i="60"/>
  <c r="AF40" i="60"/>
  <c r="G107" i="115"/>
  <c r="G114" i="115"/>
  <c r="H29" i="55"/>
  <c r="I41" i="60"/>
  <c r="U41" i="60" s="1"/>
  <c r="AG41" i="60" s="1"/>
  <c r="H57" i="64" l="1"/>
  <c r="H58" i="64" s="1"/>
  <c r="I31" i="55"/>
  <c r="J29" i="55"/>
  <c r="K41" i="60"/>
  <c r="W41" i="60" s="1"/>
  <c r="AI41" i="60" s="1"/>
  <c r="H99" i="60"/>
  <c r="I57" i="64"/>
  <c r="S58" i="64"/>
  <c r="S99" i="60"/>
  <c r="H31" i="55"/>
  <c r="I114" i="115"/>
  <c r="I107" i="115"/>
  <c r="M42" i="115"/>
  <c r="M42" i="65"/>
  <c r="AT41" i="60"/>
  <c r="BF41" i="60" s="1"/>
  <c r="BR41" i="60" s="1"/>
  <c r="CD41" i="60" s="1"/>
  <c r="N43" i="65"/>
  <c r="N43" i="115"/>
  <c r="AU42" i="60"/>
  <c r="BG42" i="60" s="1"/>
  <c r="BS42" i="60" s="1"/>
  <c r="CE42" i="60" s="1"/>
  <c r="L81" i="113"/>
  <c r="L83" i="113" s="1"/>
  <c r="L85" i="113" s="1"/>
  <c r="L90" i="113" s="1"/>
  <c r="M80" i="113"/>
  <c r="L87" i="113"/>
  <c r="M20" i="78"/>
  <c r="M21" i="78" s="1"/>
  <c r="L20" i="78"/>
  <c r="L21" i="78" s="1"/>
  <c r="S45" i="60"/>
  <c r="S108" i="60" s="1"/>
  <c r="S102" i="60" s="1"/>
  <c r="L42" i="115"/>
  <c r="L42" i="65"/>
  <c r="AS41" i="60"/>
  <c r="BE41" i="60" s="1"/>
  <c r="BQ41" i="60" s="1"/>
  <c r="CC41" i="60" s="1"/>
  <c r="AF38" i="60"/>
  <c r="K41" i="65"/>
  <c r="AF43" i="60"/>
  <c r="K41" i="115"/>
  <c r="AR40" i="60"/>
  <c r="I112" i="115"/>
  <c r="BL43" i="60"/>
  <c r="BX40" i="60"/>
  <c r="BL38" i="60"/>
  <c r="J43" i="60"/>
  <c r="J38" i="60"/>
  <c r="V40" i="60"/>
  <c r="AE38" i="60"/>
  <c r="J41" i="115"/>
  <c r="AQ40" i="60"/>
  <c r="AE43" i="60"/>
  <c r="J41" i="65"/>
  <c r="I43" i="60"/>
  <c r="I38" i="60"/>
  <c r="U40" i="60"/>
  <c r="BB43" i="60"/>
  <c r="BB38" i="60"/>
  <c r="BN40" i="60"/>
  <c r="J95" i="113"/>
  <c r="J28" i="55"/>
  <c r="J31" i="55" s="1"/>
  <c r="K40" i="60"/>
  <c r="BM43" i="60"/>
  <c r="BY40" i="60"/>
  <c r="BM38" i="60"/>
  <c r="K94" i="113"/>
  <c r="L42" i="60" s="1"/>
  <c r="X42" i="60" s="1"/>
  <c r="AJ42" i="60" s="1"/>
  <c r="K93" i="113"/>
  <c r="K92" i="113"/>
  <c r="L14" i="72" l="1"/>
  <c r="L68" i="72" s="1"/>
  <c r="O43" i="65"/>
  <c r="O43" i="115"/>
  <c r="AV42" i="60"/>
  <c r="BH42" i="60" s="1"/>
  <c r="BT42" i="60" s="1"/>
  <c r="CF42" i="60" s="1"/>
  <c r="K44" i="65"/>
  <c r="K107" i="65" s="1"/>
  <c r="K39" i="65"/>
  <c r="L18" i="72"/>
  <c r="I106" i="60"/>
  <c r="I45" i="60"/>
  <c r="I108" i="60" s="1"/>
  <c r="I102" i="60" s="1"/>
  <c r="J44" i="115"/>
  <c r="J39" i="115"/>
  <c r="J106" i="60"/>
  <c r="C20" i="78"/>
  <c r="J45" i="60"/>
  <c r="J108" i="60" s="1"/>
  <c r="J102" i="60" s="1"/>
  <c r="C25" i="72" s="1"/>
  <c r="AR43" i="60"/>
  <c r="AR38" i="60"/>
  <c r="BD40" i="60"/>
  <c r="BN43" i="60"/>
  <c r="BN38" i="60"/>
  <c r="BZ40" i="60"/>
  <c r="AQ43" i="60"/>
  <c r="BC40" i="60"/>
  <c r="AQ38" i="60"/>
  <c r="BX38" i="60"/>
  <c r="BX43" i="60"/>
  <c r="K95" i="113"/>
  <c r="K28" i="55"/>
  <c r="L40" i="60"/>
  <c r="W40" i="60"/>
  <c r="K43" i="60"/>
  <c r="K38" i="60"/>
  <c r="M81" i="113"/>
  <c r="M83" i="113" s="1"/>
  <c r="M85" i="113" s="1"/>
  <c r="M90" i="113" s="1"/>
  <c r="N80" i="113"/>
  <c r="M87" i="113"/>
  <c r="N42" i="65"/>
  <c r="N42" i="115"/>
  <c r="AU41" i="60"/>
  <c r="BG41" i="60" s="1"/>
  <c r="BS41" i="60" s="1"/>
  <c r="CE41" i="60" s="1"/>
  <c r="J44" i="65"/>
  <c r="J107" i="65" s="1"/>
  <c r="J39" i="65"/>
  <c r="K39" i="115"/>
  <c r="K44" i="115"/>
  <c r="K29" i="55"/>
  <c r="L41" i="60"/>
  <c r="X41" i="60" s="1"/>
  <c r="AJ41" i="60" s="1"/>
  <c r="BY43" i="60"/>
  <c r="BY38" i="60"/>
  <c r="U43" i="60"/>
  <c r="U38" i="60"/>
  <c r="AG40" i="60"/>
  <c r="I10" i="81"/>
  <c r="Z20" i="78"/>
  <c r="Z21" i="78" s="1"/>
  <c r="V43" i="60"/>
  <c r="P20" i="78" s="1"/>
  <c r="P21" i="78" s="1"/>
  <c r="V38" i="60"/>
  <c r="AH40" i="60"/>
  <c r="J10" i="81"/>
  <c r="AA20" i="78"/>
  <c r="AA21" i="78" s="1"/>
  <c r="L25" i="72"/>
  <c r="L94" i="113"/>
  <c r="M42" i="60" s="1"/>
  <c r="Y42" i="60" s="1"/>
  <c r="L93" i="113"/>
  <c r="L92" i="113"/>
  <c r="T57" i="64"/>
  <c r="I58" i="64"/>
  <c r="I99" i="60"/>
  <c r="L15" i="72" l="1"/>
  <c r="C14" i="72"/>
  <c r="J57" i="64"/>
  <c r="J58" i="64" s="1"/>
  <c r="N20" i="78"/>
  <c r="N21" i="78" s="1"/>
  <c r="BD38" i="60"/>
  <c r="BD43" i="60"/>
  <c r="BP40" i="60"/>
  <c r="K114" i="115"/>
  <c r="K107" i="115"/>
  <c r="C15" i="72"/>
  <c r="M94" i="113"/>
  <c r="N42" i="60" s="1"/>
  <c r="Z42" i="60" s="1"/>
  <c r="M93" i="113"/>
  <c r="M92" i="113"/>
  <c r="W38" i="60"/>
  <c r="W43" i="60"/>
  <c r="Q20" i="78" s="1"/>
  <c r="Q21" i="78" s="1"/>
  <c r="AI40" i="60"/>
  <c r="BZ43" i="60"/>
  <c r="BZ38" i="60"/>
  <c r="C21" i="78"/>
  <c r="L29" i="55"/>
  <c r="M41" i="60"/>
  <c r="Y41" i="60" s="1"/>
  <c r="D43" i="115"/>
  <c r="AK42" i="60"/>
  <c r="AW42" i="60" s="1"/>
  <c r="BI42" i="60" s="1"/>
  <c r="BU42" i="60" s="1"/>
  <c r="CG42" i="60" s="1"/>
  <c r="D43" i="65"/>
  <c r="K112" i="115"/>
  <c r="BC43" i="60"/>
  <c r="BC38" i="60"/>
  <c r="BO40" i="60"/>
  <c r="J112" i="115"/>
  <c r="L95" i="113"/>
  <c r="L28" i="55"/>
  <c r="M40" i="60"/>
  <c r="L41" i="65"/>
  <c r="AG43" i="60"/>
  <c r="AG38" i="60"/>
  <c r="L41" i="115"/>
  <c r="AS40" i="60"/>
  <c r="L43" i="60"/>
  <c r="L38" i="60"/>
  <c r="X40" i="60"/>
  <c r="T58" i="64"/>
  <c r="T99" i="60"/>
  <c r="AH38" i="60"/>
  <c r="M41" i="115"/>
  <c r="AH43" i="60"/>
  <c r="M41" i="65"/>
  <c r="AT40" i="60"/>
  <c r="O42" i="65"/>
  <c r="J23" i="61" s="1"/>
  <c r="J24" i="61" s="1"/>
  <c r="O42" i="115"/>
  <c r="AV41" i="60"/>
  <c r="BH41" i="60" s="1"/>
  <c r="BT41" i="60" s="1"/>
  <c r="CF41" i="60" s="1"/>
  <c r="N87" i="113"/>
  <c r="N81" i="113"/>
  <c r="N83" i="113" s="1"/>
  <c r="N85" i="113" s="1"/>
  <c r="D20" i="78"/>
  <c r="D21" i="78" s="1"/>
  <c r="K106" i="60"/>
  <c r="K45" i="60"/>
  <c r="K108" i="60" s="1"/>
  <c r="K102" i="60" s="1"/>
  <c r="D25" i="72" s="1"/>
  <c r="K31" i="55"/>
  <c r="J107" i="115"/>
  <c r="J114" i="115"/>
  <c r="K57" i="64"/>
  <c r="L31" i="55" l="1"/>
  <c r="J99" i="60"/>
  <c r="C18" i="72" s="1"/>
  <c r="I88" i="113"/>
  <c r="J114" i="60" s="1"/>
  <c r="J110" i="60" s="1"/>
  <c r="K58" i="64"/>
  <c r="K99" i="60"/>
  <c r="D18" i="72" s="1"/>
  <c r="AJ40" i="60"/>
  <c r="X38" i="60"/>
  <c r="X43" i="60"/>
  <c r="R20" i="78" s="1"/>
  <c r="R21" i="78" s="1"/>
  <c r="M38" i="60"/>
  <c r="M43" i="60"/>
  <c r="Y40" i="60"/>
  <c r="M29" i="55"/>
  <c r="N41" i="60"/>
  <c r="Z41" i="60" s="1"/>
  <c r="BP43" i="60"/>
  <c r="CB40" i="60"/>
  <c r="BP38" i="60"/>
  <c r="N88" i="113"/>
  <c r="O114" i="60" s="1"/>
  <c r="O110" i="60" s="1"/>
  <c r="G5" i="80" s="1"/>
  <c r="D88" i="113"/>
  <c r="E114" i="60" s="1"/>
  <c r="E110" i="60" s="1"/>
  <c r="C88" i="113"/>
  <c r="D114" i="60" s="1"/>
  <c r="D110" i="60" s="1"/>
  <c r="F88" i="113"/>
  <c r="G114" i="60" s="1"/>
  <c r="G110" i="60" s="1"/>
  <c r="G88" i="113"/>
  <c r="H114" i="60" s="1"/>
  <c r="H110" i="60" s="1"/>
  <c r="H88" i="113"/>
  <c r="I114" i="60" s="1"/>
  <c r="I110" i="60" s="1"/>
  <c r="AT43" i="60"/>
  <c r="AT38" i="60"/>
  <c r="BF40" i="60"/>
  <c r="L57" i="64"/>
  <c r="K10" i="81"/>
  <c r="AB20" i="78"/>
  <c r="AB21" i="78" s="1"/>
  <c r="E88" i="113"/>
  <c r="F114" i="60" s="1"/>
  <c r="F110" i="60" s="1"/>
  <c r="E43" i="115"/>
  <c r="E43" i="65"/>
  <c r="AL42" i="60"/>
  <c r="AX42" i="60" s="1"/>
  <c r="BJ42" i="60" s="1"/>
  <c r="BV42" i="60" s="1"/>
  <c r="CH42" i="60" s="1"/>
  <c r="N90" i="113"/>
  <c r="O80" i="113"/>
  <c r="M44" i="115"/>
  <c r="M39" i="115"/>
  <c r="D42" i="65"/>
  <c r="D42" i="115"/>
  <c r="AK41" i="60"/>
  <c r="AW41" i="60" s="1"/>
  <c r="BI41" i="60" s="1"/>
  <c r="BU41" i="60" s="1"/>
  <c r="CG41" i="60" s="1"/>
  <c r="N41" i="115"/>
  <c r="AU40" i="60"/>
  <c r="AI38" i="60"/>
  <c r="AI43" i="60"/>
  <c r="N41" i="65"/>
  <c r="M18" i="72"/>
  <c r="L106" i="60"/>
  <c r="L45" i="60"/>
  <c r="L108" i="60" s="1"/>
  <c r="L102" i="60" s="1"/>
  <c r="E25" i="72" s="1"/>
  <c r="E20" i="78"/>
  <c r="E21" i="78" s="1"/>
  <c r="L39" i="65"/>
  <c r="L44" i="65"/>
  <c r="L107" i="65" s="1"/>
  <c r="L88" i="113"/>
  <c r="M114" i="60" s="1"/>
  <c r="M110" i="60" s="1"/>
  <c r="E5" i="80" s="1"/>
  <c r="J88" i="113"/>
  <c r="K114" i="60" s="1"/>
  <c r="K110" i="60" s="1"/>
  <c r="C5" i="80" s="1"/>
  <c r="D14" i="72"/>
  <c r="M44" i="65"/>
  <c r="M107" i="65" s="1"/>
  <c r="M39" i="65"/>
  <c r="AS43" i="60"/>
  <c r="AS38" i="60"/>
  <c r="BE40" i="60"/>
  <c r="M88" i="113"/>
  <c r="N114" i="60" s="1"/>
  <c r="N110" i="60" s="1"/>
  <c r="F5" i="80" s="1"/>
  <c r="L10" i="81"/>
  <c r="AC20" i="78"/>
  <c r="AC21" i="78" s="1"/>
  <c r="L44" i="115"/>
  <c r="L39" i="115"/>
  <c r="BO43" i="60"/>
  <c r="CA40" i="60"/>
  <c r="BO38" i="60"/>
  <c r="K88" i="113"/>
  <c r="L114" i="60" s="1"/>
  <c r="L110" i="60" s="1"/>
  <c r="D5" i="80" s="1"/>
  <c r="M28" i="55"/>
  <c r="M31" i="55" s="1"/>
  <c r="M95" i="113"/>
  <c r="N40" i="60"/>
  <c r="CA43" i="60" l="1"/>
  <c r="CA38" i="60"/>
  <c r="C7" i="80"/>
  <c r="C8" i="80"/>
  <c r="C9" i="80" s="1"/>
  <c r="C10" i="80" s="1"/>
  <c r="C28" i="80" s="1"/>
  <c r="AU43" i="60"/>
  <c r="BG40" i="60"/>
  <c r="AU38" i="60"/>
  <c r="M112" i="115"/>
  <c r="M114" i="115"/>
  <c r="M107" i="115"/>
  <c r="E14" i="72"/>
  <c r="E15" i="72" s="1"/>
  <c r="BF43" i="60"/>
  <c r="BF38" i="60"/>
  <c r="BR40" i="60"/>
  <c r="E42" i="115"/>
  <c r="E42" i="65"/>
  <c r="AL41" i="60"/>
  <c r="AX41" i="60" s="1"/>
  <c r="BJ41" i="60" s="1"/>
  <c r="BV41" i="60" s="1"/>
  <c r="CH41" i="60" s="1"/>
  <c r="F7" i="80"/>
  <c r="F8" i="80"/>
  <c r="F9" i="80" s="1"/>
  <c r="F10" i="80" s="1"/>
  <c r="F28" i="80" s="1"/>
  <c r="BE43" i="60"/>
  <c r="BE38" i="60"/>
  <c r="BQ40" i="60"/>
  <c r="L58" i="64"/>
  <c r="L99" i="60"/>
  <c r="E18" i="72" s="1"/>
  <c r="CB43" i="60"/>
  <c r="CB38" i="60"/>
  <c r="L112" i="115"/>
  <c r="G8" i="80"/>
  <c r="G9" i="80" s="1"/>
  <c r="G10" i="80" s="1"/>
  <c r="G28" i="80" s="1"/>
  <c r="G7" i="80"/>
  <c r="M106" i="60"/>
  <c r="F20" i="78"/>
  <c r="M45" i="60"/>
  <c r="M108" i="60" s="1"/>
  <c r="M102" i="60" s="1"/>
  <c r="F25" i="72" s="1"/>
  <c r="AJ38" i="60"/>
  <c r="O41" i="115"/>
  <c r="O41" i="65"/>
  <c r="AJ43" i="60"/>
  <c r="AV40" i="60"/>
  <c r="N43" i="60"/>
  <c r="Z40" i="60"/>
  <c r="N38" i="60"/>
  <c r="L114" i="115"/>
  <c r="L107" i="115"/>
  <c r="E7" i="80"/>
  <c r="E8" i="80"/>
  <c r="E9" i="80" s="1"/>
  <c r="E10" i="80" s="1"/>
  <c r="E28" i="80" s="1"/>
  <c r="N39" i="65"/>
  <c r="N44" i="65"/>
  <c r="N107" i="65" s="1"/>
  <c r="N39" i="115"/>
  <c r="N44" i="115"/>
  <c r="D7" i="80"/>
  <c r="D8" i="80"/>
  <c r="D9" i="80" s="1"/>
  <c r="D10" i="80" s="1"/>
  <c r="D28" i="80" s="1"/>
  <c r="M10" i="81"/>
  <c r="AD20" i="78"/>
  <c r="AD21" i="78" s="1"/>
  <c r="O81" i="113"/>
  <c r="O83" i="113" s="1"/>
  <c r="O85" i="113" s="1"/>
  <c r="O78" i="113"/>
  <c r="O79" i="113" s="1"/>
  <c r="P80" i="113"/>
  <c r="O87" i="113"/>
  <c r="D15" i="72"/>
  <c r="N94" i="113"/>
  <c r="O42" i="60" s="1"/>
  <c r="AA42" i="60" s="1"/>
  <c r="N93" i="113"/>
  <c r="N92" i="113"/>
  <c r="M57" i="64"/>
  <c r="Y43" i="60"/>
  <c r="D41" i="65"/>
  <c r="Y38" i="60"/>
  <c r="AK40" i="60"/>
  <c r="D41" i="115"/>
  <c r="D44" i="115" l="1"/>
  <c r="D39" i="115"/>
  <c r="C10" i="81"/>
  <c r="T20" i="78"/>
  <c r="N29" i="55"/>
  <c r="P29" i="55" s="1"/>
  <c r="O41" i="60"/>
  <c r="AA41" i="60" s="1"/>
  <c r="P81" i="113"/>
  <c r="P83" i="113" s="1"/>
  <c r="P85" i="113" s="1"/>
  <c r="P78" i="113"/>
  <c r="P79" i="113" s="1"/>
  <c r="Q80" i="113"/>
  <c r="P87" i="113"/>
  <c r="N114" i="115"/>
  <c r="N107" i="115"/>
  <c r="E41" i="115"/>
  <c r="Z38" i="60"/>
  <c r="E41" i="65"/>
  <c r="AL40" i="60"/>
  <c r="Z43" i="60"/>
  <c r="O44" i="65"/>
  <c r="O107" i="65" s="1"/>
  <c r="O39" i="65"/>
  <c r="BR43" i="60"/>
  <c r="CD40" i="60"/>
  <c r="BR38" i="60"/>
  <c r="N57" i="64"/>
  <c r="AK43" i="60"/>
  <c r="AW40" i="60"/>
  <c r="AK38" i="60"/>
  <c r="M58" i="64"/>
  <c r="M99" i="60"/>
  <c r="F18" i="72" s="1"/>
  <c r="F43" i="115"/>
  <c r="P43" i="115" s="1"/>
  <c r="Q43" i="115" s="1"/>
  <c r="F43" i="65"/>
  <c r="P43" i="65" s="1"/>
  <c r="AM42" i="60"/>
  <c r="AY42" i="60" s="1"/>
  <c r="BK42" i="60" s="1"/>
  <c r="BW42" i="60" s="1"/>
  <c r="CI42" i="60" s="1"/>
  <c r="N112" i="115"/>
  <c r="N106" i="60"/>
  <c r="G20" i="78"/>
  <c r="G21" i="78" s="1"/>
  <c r="N45" i="60"/>
  <c r="N108" i="60" s="1"/>
  <c r="N102" i="60" s="1"/>
  <c r="G25" i="72" s="1"/>
  <c r="O39" i="115"/>
  <c r="O44" i="115"/>
  <c r="F21" i="78"/>
  <c r="F14" i="72"/>
  <c r="AV43" i="60"/>
  <c r="BH40" i="60"/>
  <c r="AV38" i="60"/>
  <c r="BG43" i="60"/>
  <c r="BS40" i="60"/>
  <c r="BG38" i="60"/>
  <c r="D44" i="65"/>
  <c r="D107" i="65" s="1"/>
  <c r="D39" i="65"/>
  <c r="N95" i="113"/>
  <c r="N28" i="55"/>
  <c r="O40" i="60"/>
  <c r="O57" i="64"/>
  <c r="N10" i="81"/>
  <c r="AE20" i="78"/>
  <c r="AE21" i="78" s="1"/>
  <c r="BQ43" i="60"/>
  <c r="BQ38" i="60"/>
  <c r="CC40" i="60"/>
  <c r="G14" i="72" l="1"/>
  <c r="G15" i="72" s="1"/>
  <c r="F15" i="72"/>
  <c r="O107" i="115"/>
  <c r="O114" i="115"/>
  <c r="E44" i="65"/>
  <c r="E107" i="65" s="1"/>
  <c r="E39" i="65"/>
  <c r="O99" i="60"/>
  <c r="H18" i="72" s="1"/>
  <c r="O58" i="64"/>
  <c r="O43" i="60"/>
  <c r="O38" i="60"/>
  <c r="AA40" i="60"/>
  <c r="BS43" i="60"/>
  <c r="BS38" i="60"/>
  <c r="CE40" i="60"/>
  <c r="BH43" i="60"/>
  <c r="BH38" i="60"/>
  <c r="BT40" i="60"/>
  <c r="O112" i="115"/>
  <c r="P113" i="65"/>
  <c r="U31" i="76"/>
  <c r="Q43" i="65"/>
  <c r="Q113" i="65" s="1"/>
  <c r="N58" i="64"/>
  <c r="N99" i="60"/>
  <c r="G18" i="72" s="1"/>
  <c r="D112" i="115"/>
  <c r="N31" i="55"/>
  <c r="P28" i="55"/>
  <c r="AW43" i="60"/>
  <c r="AW38" i="60"/>
  <c r="BI40" i="60"/>
  <c r="U20" i="78"/>
  <c r="U21" i="78" s="1"/>
  <c r="D10" i="81"/>
  <c r="E44" i="115"/>
  <c r="E39" i="115"/>
  <c r="Q81" i="113"/>
  <c r="Q83" i="113" s="1"/>
  <c r="Q85" i="113" s="1"/>
  <c r="Q78" i="113"/>
  <c r="Q79" i="113" s="1"/>
  <c r="R80" i="113"/>
  <c r="Q87" i="113"/>
  <c r="F42" i="115"/>
  <c r="P42" i="115" s="1"/>
  <c r="Q42" i="115" s="1"/>
  <c r="F42" i="65"/>
  <c r="P42" i="65" s="1"/>
  <c r="AM41" i="60"/>
  <c r="AY41" i="60" s="1"/>
  <c r="BK41" i="60" s="1"/>
  <c r="BW41" i="60" s="1"/>
  <c r="CI41" i="60" s="1"/>
  <c r="T21" i="78"/>
  <c r="D114" i="115"/>
  <c r="D107" i="115"/>
  <c r="CC43" i="60"/>
  <c r="CC38" i="60"/>
  <c r="CD43" i="60"/>
  <c r="CD38" i="60"/>
  <c r="AL43" i="60"/>
  <c r="AX40" i="60"/>
  <c r="AL38" i="60"/>
  <c r="R29" i="55"/>
  <c r="T24" i="76"/>
  <c r="T25" i="76" s="1"/>
  <c r="G18" i="76"/>
  <c r="U32" i="76" l="1"/>
  <c r="U41" i="76"/>
  <c r="U42" i="76" s="1"/>
  <c r="F41" i="115"/>
  <c r="F41" i="65"/>
  <c r="AA38" i="60"/>
  <c r="AA43" i="60"/>
  <c r="AM40" i="60"/>
  <c r="P112" i="65"/>
  <c r="Q18" i="76"/>
  <c r="Q42" i="65"/>
  <c r="Q112" i="65" s="1"/>
  <c r="T31" i="76"/>
  <c r="D23" i="61"/>
  <c r="F23" i="61" s="1"/>
  <c r="BI43" i="60"/>
  <c r="BI38" i="60"/>
  <c r="BU40" i="60"/>
  <c r="H18" i="76"/>
  <c r="M18" i="76" s="1"/>
  <c r="P18" i="76" s="1"/>
  <c r="G18" i="91"/>
  <c r="H18" i="91" s="1"/>
  <c r="M18" i="91" s="1"/>
  <c r="P18" i="91" s="1"/>
  <c r="AX38" i="60"/>
  <c r="AX43" i="60"/>
  <c r="BJ40" i="60"/>
  <c r="E112" i="115"/>
  <c r="CE43" i="60"/>
  <c r="CE38" i="60"/>
  <c r="O106" i="60"/>
  <c r="H20" i="78"/>
  <c r="O45" i="60"/>
  <c r="O108" i="60" s="1"/>
  <c r="O102" i="60" s="1"/>
  <c r="H25" i="72" s="1"/>
  <c r="R81" i="113"/>
  <c r="R83" i="113" s="1"/>
  <c r="R85" i="113" s="1"/>
  <c r="R78" i="113"/>
  <c r="R79" i="113" s="1"/>
  <c r="R87" i="113"/>
  <c r="S80" i="113"/>
  <c r="E114" i="115"/>
  <c r="E107" i="115"/>
  <c r="P31" i="55"/>
  <c r="R28" i="55"/>
  <c r="R31" i="55" s="1"/>
  <c r="G17" i="76"/>
  <c r="S24" i="76"/>
  <c r="S25" i="76" s="1"/>
  <c r="S113" i="65"/>
  <c r="BT43" i="60"/>
  <c r="BT38" i="60"/>
  <c r="CF40" i="60"/>
  <c r="H21" i="78" l="1"/>
  <c r="O21" i="78" s="1"/>
  <c r="O20" i="78"/>
  <c r="H14" i="72"/>
  <c r="F44" i="65"/>
  <c r="F107" i="65" s="1"/>
  <c r="F39" i="65"/>
  <c r="P41" i="65"/>
  <c r="CF43" i="60"/>
  <c r="CF38" i="60"/>
  <c r="BU43" i="60"/>
  <c r="BU38" i="60"/>
  <c r="CG40" i="60"/>
  <c r="P57" i="64"/>
  <c r="AM43" i="60"/>
  <c r="AY40" i="60"/>
  <c r="AM38" i="60"/>
  <c r="F39" i="115"/>
  <c r="F44" i="115"/>
  <c r="P41" i="115"/>
  <c r="S81" i="113"/>
  <c r="S83" i="113" s="1"/>
  <c r="S85" i="113" s="1"/>
  <c r="S78" i="113"/>
  <c r="S79" i="113" s="1"/>
  <c r="T80" i="113"/>
  <c r="S87" i="113"/>
  <c r="BJ43" i="60"/>
  <c r="BV40" i="60"/>
  <c r="BJ38" i="60"/>
  <c r="E10" i="81"/>
  <c r="V20" i="78"/>
  <c r="V23" i="83"/>
  <c r="AH20" i="78"/>
  <c r="T32" i="76"/>
  <c r="T41" i="76"/>
  <c r="T42" i="76" s="1"/>
  <c r="G40" i="76"/>
  <c r="H17" i="76"/>
  <c r="H40" i="76" s="1"/>
  <c r="G17" i="91"/>
  <c r="S112" i="65"/>
  <c r="G40" i="91" l="1"/>
  <c r="H17" i="91"/>
  <c r="BV43" i="60"/>
  <c r="BV38" i="60"/>
  <c r="CH40" i="60"/>
  <c r="F112" i="115"/>
  <c r="P39" i="115"/>
  <c r="P58" i="64"/>
  <c r="P99" i="60"/>
  <c r="H15" i="72"/>
  <c r="F114" i="115"/>
  <c r="P114" i="115" s="1"/>
  <c r="F107" i="115"/>
  <c r="V21" i="78"/>
  <c r="AF21" i="78" s="1"/>
  <c r="AF27" i="78" s="1"/>
  <c r="AF20" i="78"/>
  <c r="AF26" i="78" s="1"/>
  <c r="AH26" i="78"/>
  <c r="AH21" i="78"/>
  <c r="AH27" i="78" s="1"/>
  <c r="T81" i="113"/>
  <c r="T83" i="113" s="1"/>
  <c r="T85" i="113" s="1"/>
  <c r="T78" i="113"/>
  <c r="T79" i="113" s="1"/>
  <c r="U80" i="113"/>
  <c r="T87" i="113"/>
  <c r="CG43" i="60"/>
  <c r="CG38" i="60"/>
  <c r="D22" i="61"/>
  <c r="P111" i="65"/>
  <c r="Q17" i="76"/>
  <c r="M17" i="76" s="1"/>
  <c r="Q41" i="65"/>
  <c r="S31" i="76"/>
  <c r="P44" i="65"/>
  <c r="P107" i="65" s="1"/>
  <c r="O10" i="81"/>
  <c r="G25" i="81"/>
  <c r="G26" i="81" s="1"/>
  <c r="P44" i="115"/>
  <c r="Q41" i="115"/>
  <c r="AY43" i="60"/>
  <c r="AY38" i="60"/>
  <c r="BK40" i="60"/>
  <c r="P39" i="65"/>
  <c r="BK43" i="60" l="1"/>
  <c r="BK38" i="60"/>
  <c r="BW40" i="60"/>
  <c r="C20" i="61"/>
  <c r="S32" i="76"/>
  <c r="S41" i="76"/>
  <c r="S42" i="76" s="1"/>
  <c r="F22" i="61"/>
  <c r="D24" i="61"/>
  <c r="U81" i="113"/>
  <c r="U83" i="113" s="1"/>
  <c r="U85" i="113" s="1"/>
  <c r="U78" i="113"/>
  <c r="U79" i="113" s="1"/>
  <c r="V80" i="113"/>
  <c r="U87" i="113"/>
  <c r="G27" i="81"/>
  <c r="G29" i="81" s="1"/>
  <c r="G31" i="81" s="1"/>
  <c r="G33" i="81" s="1"/>
  <c r="Q111" i="65"/>
  <c r="Q44" i="65"/>
  <c r="S42" i="44" s="1"/>
  <c r="I42" i="44"/>
  <c r="H40" i="91"/>
  <c r="Q44" i="115"/>
  <c r="J42" i="44"/>
  <c r="P17" i="76"/>
  <c r="J17" i="76"/>
  <c r="M40" i="76"/>
  <c r="CH43" i="60"/>
  <c r="CH38" i="60"/>
  <c r="P107" i="115"/>
  <c r="I88" i="44"/>
  <c r="I18" i="72"/>
  <c r="K42" i="44" l="1"/>
  <c r="M42" i="44"/>
  <c r="L42" i="44"/>
  <c r="BW43" i="60"/>
  <c r="CI40" i="60"/>
  <c r="BW38" i="60"/>
  <c r="J17" i="91"/>
  <c r="J40" i="76"/>
  <c r="C24" i="61"/>
  <c r="F20" i="61"/>
  <c r="F24" i="61" s="1"/>
  <c r="I92" i="44"/>
  <c r="I96" i="44"/>
  <c r="S111" i="65"/>
  <c r="Q114" i="65"/>
  <c r="V78" i="113"/>
  <c r="V79" i="113" s="1"/>
  <c r="V81" i="113"/>
  <c r="V83" i="113" s="1"/>
  <c r="V85" i="113" s="1"/>
  <c r="W80" i="113"/>
  <c r="V87" i="113"/>
  <c r="J40" i="91" l="1"/>
  <c r="M17" i="91"/>
  <c r="CI43" i="60"/>
  <c r="CI38" i="60"/>
  <c r="V85" i="44"/>
  <c r="Q118" i="65"/>
  <c r="R113" i="65"/>
  <c r="R112" i="65"/>
  <c r="H24" i="61"/>
  <c r="W81" i="113"/>
  <c r="W83" i="113" s="1"/>
  <c r="W85" i="113" s="1"/>
  <c r="W78" i="113"/>
  <c r="W79" i="113" s="1"/>
  <c r="X80" i="113"/>
  <c r="W87" i="113"/>
  <c r="R111" i="65"/>
  <c r="O42" i="44"/>
  <c r="N42" i="44"/>
  <c r="AA42" i="44" l="1"/>
  <c r="AH37" i="44"/>
  <c r="M40" i="91"/>
  <c r="P17" i="91"/>
  <c r="X81" i="113"/>
  <c r="X83" i="113" s="1"/>
  <c r="X85" i="113" s="1"/>
  <c r="X78" i="113"/>
  <c r="X79" i="113" s="1"/>
  <c r="X87" i="113"/>
  <c r="Y80" i="113"/>
  <c r="AG14" i="72"/>
  <c r="AG15" i="72" s="1"/>
  <c r="AG20" i="78"/>
  <c r="V22" i="83"/>
  <c r="V24" i="83"/>
  <c r="V25" i="83"/>
  <c r="V26" i="83"/>
  <c r="AI20" i="78"/>
  <c r="V27" i="83"/>
  <c r="AJ20" i="78"/>
  <c r="AL20" i="78"/>
  <c r="AK20" i="78"/>
  <c r="AL26" i="78" l="1"/>
  <c r="AL21" i="78"/>
  <c r="AL27" i="78" s="1"/>
  <c r="AG26" i="78"/>
  <c r="AG21" i="78"/>
  <c r="AG27" i="78" s="1"/>
  <c r="AI26" i="78"/>
  <c r="AI21" i="78"/>
  <c r="AI27" i="78" s="1"/>
  <c r="AK26" i="78"/>
  <c r="AK21" i="78"/>
  <c r="AK27" i="78" s="1"/>
  <c r="AJ26" i="78"/>
  <c r="AJ21" i="78"/>
  <c r="AJ27" i="78" s="1"/>
  <c r="Y81" i="113"/>
  <c r="Y83" i="113" s="1"/>
  <c r="Y85" i="113" s="1"/>
  <c r="Y78" i="113"/>
  <c r="Y79" i="113" s="1"/>
  <c r="Z80" i="113"/>
  <c r="Y87" i="113"/>
  <c r="Z81" i="113" l="1"/>
  <c r="Z83" i="113" s="1"/>
  <c r="Z85" i="113" s="1"/>
  <c r="AA80" i="113" s="1"/>
  <c r="Z78" i="113"/>
  <c r="Z79" i="113" s="1"/>
  <c r="Z87" i="113"/>
  <c r="Y88" i="113" l="1"/>
  <c r="Z114" i="60" s="1"/>
  <c r="Z110" i="60" s="1"/>
  <c r="R5" i="80" s="1"/>
  <c r="R7" i="80" s="1"/>
  <c r="U88" i="113"/>
  <c r="V114" i="60" s="1"/>
  <c r="V110" i="60" s="1"/>
  <c r="N5" i="80" s="1"/>
  <c r="X88" i="113"/>
  <c r="Y114" i="60" s="1"/>
  <c r="Y110" i="60" s="1"/>
  <c r="Q5" i="80" s="1"/>
  <c r="T88" i="113"/>
  <c r="U114" i="60" s="1"/>
  <c r="U110" i="60" s="1"/>
  <c r="M5" i="80" s="1"/>
  <c r="Z88" i="113"/>
  <c r="AA114" i="60" s="1"/>
  <c r="AA110" i="60" s="1"/>
  <c r="S5" i="80" s="1"/>
  <c r="Q88" i="113"/>
  <c r="R114" i="60" s="1"/>
  <c r="R110" i="60" s="1"/>
  <c r="J5" i="80" s="1"/>
  <c r="J80" i="80" s="1"/>
  <c r="P88" i="113"/>
  <c r="Q114" i="60" s="1"/>
  <c r="Q110" i="60" s="1"/>
  <c r="I5" i="80" s="1"/>
  <c r="O88" i="113"/>
  <c r="P114" i="60" s="1"/>
  <c r="P110" i="60" s="1"/>
  <c r="H5" i="80" s="1"/>
  <c r="R88" i="113"/>
  <c r="S114" i="60" s="1"/>
  <c r="S110" i="60" s="1"/>
  <c r="K5" i="80" s="1"/>
  <c r="K80" i="80" s="1"/>
  <c r="S88" i="113"/>
  <c r="T114" i="60" s="1"/>
  <c r="T110" i="60" s="1"/>
  <c r="L5" i="80" s="1"/>
  <c r="W88" i="113"/>
  <c r="X114" i="60" s="1"/>
  <c r="X110" i="60" s="1"/>
  <c r="P5" i="80" s="1"/>
  <c r="AA78" i="113"/>
  <c r="AA79" i="113" s="1"/>
  <c r="AA81" i="113"/>
  <c r="AA83" i="113" s="1"/>
  <c r="AA85" i="113" s="1"/>
  <c r="AB80" i="113"/>
  <c r="AA87" i="113"/>
  <c r="V88" i="113"/>
  <c r="W114" i="60" s="1"/>
  <c r="W110" i="60" s="1"/>
  <c r="O5" i="80" s="1"/>
  <c r="R8" i="80" l="1"/>
  <c r="R9" i="80" s="1"/>
  <c r="R10" i="80" s="1"/>
  <c r="N7" i="80"/>
  <c r="Q7" i="80"/>
  <c r="Q8" i="80"/>
  <c r="Q9" i="80" s="1"/>
  <c r="Q10" i="80" s="1"/>
  <c r="Q56" i="80" s="1"/>
  <c r="N8" i="80"/>
  <c r="N9" i="80" s="1"/>
  <c r="N10" i="80" s="1"/>
  <c r="N28" i="80" s="1"/>
  <c r="M7" i="80"/>
  <c r="M8" i="80"/>
  <c r="M9" i="80" s="1"/>
  <c r="M10" i="80" s="1"/>
  <c r="L7" i="80"/>
  <c r="L8" i="80"/>
  <c r="L9" i="80" s="1"/>
  <c r="L10" i="80" s="1"/>
  <c r="S7" i="80"/>
  <c r="S8" i="80"/>
  <c r="S9" i="80" s="1"/>
  <c r="S10" i="80" s="1"/>
  <c r="R56" i="80"/>
  <c r="R28" i="80"/>
  <c r="AB81" i="113"/>
  <c r="AB83" i="113" s="1"/>
  <c r="AB85" i="113" s="1"/>
  <c r="AC80" i="113"/>
  <c r="AB78" i="113"/>
  <c r="AB79" i="113" s="1"/>
  <c r="AB87" i="113"/>
  <c r="J7" i="80"/>
  <c r="J8" i="80"/>
  <c r="J9" i="80" s="1"/>
  <c r="J10" i="80" s="1"/>
  <c r="K8" i="80"/>
  <c r="K9" i="80" s="1"/>
  <c r="K10" i="80" s="1"/>
  <c r="K7" i="80"/>
  <c r="O7" i="80"/>
  <c r="O8" i="80"/>
  <c r="O9" i="80" s="1"/>
  <c r="O10" i="80" s="1"/>
  <c r="H7" i="80"/>
  <c r="H80" i="80"/>
  <c r="H8" i="80"/>
  <c r="H9" i="80" s="1"/>
  <c r="H10" i="80" s="1"/>
  <c r="P7" i="80"/>
  <c r="P8" i="80"/>
  <c r="P9" i="80" s="1"/>
  <c r="P10" i="80" s="1"/>
  <c r="I7" i="80"/>
  <c r="I8" i="80"/>
  <c r="I9" i="80" s="1"/>
  <c r="I10" i="80" s="1"/>
  <c r="I80" i="80"/>
  <c r="I65" i="80" s="1"/>
  <c r="Q28" i="80" l="1"/>
  <c r="N56" i="80"/>
  <c r="N69" i="80" s="1"/>
  <c r="J56" i="80"/>
  <c r="J28" i="80"/>
  <c r="AC81" i="113"/>
  <c r="AC83" i="113" s="1"/>
  <c r="AC85" i="113" s="1"/>
  <c r="AC78" i="113"/>
  <c r="AC79" i="113" s="1"/>
  <c r="AD80" i="113"/>
  <c r="AC87" i="113"/>
  <c r="M56" i="80"/>
  <c r="M28" i="80"/>
  <c r="O28" i="80"/>
  <c r="O56" i="80"/>
  <c r="R69" i="80"/>
  <c r="R62" i="80"/>
  <c r="R67" i="80"/>
  <c r="H28" i="80"/>
  <c r="L28" i="80"/>
  <c r="L56" i="80"/>
  <c r="Q69" i="80"/>
  <c r="Q62" i="80"/>
  <c r="Q67" i="80"/>
  <c r="K28" i="80"/>
  <c r="K56" i="80"/>
  <c r="P28" i="80"/>
  <c r="P56" i="80"/>
  <c r="I28" i="80"/>
  <c r="I56" i="80"/>
  <c r="S56" i="80"/>
  <c r="S28" i="80"/>
  <c r="N62" i="80" l="1"/>
  <c r="N67" i="80"/>
  <c r="I69" i="80"/>
  <c r="I67" i="80"/>
  <c r="I62" i="80"/>
  <c r="K67" i="80"/>
  <c r="K69" i="80"/>
  <c r="K62" i="80"/>
  <c r="M67" i="80"/>
  <c r="M62" i="80"/>
  <c r="M69" i="80"/>
  <c r="P69" i="80"/>
  <c r="P67" i="80"/>
  <c r="P62" i="80"/>
  <c r="L69" i="80"/>
  <c r="L62" i="80"/>
  <c r="L67" i="80"/>
  <c r="O62" i="80"/>
  <c r="O69" i="80"/>
  <c r="O67" i="80"/>
  <c r="S67" i="80"/>
  <c r="S62" i="80"/>
  <c r="S69" i="80"/>
  <c r="AD81" i="113"/>
  <c r="AD83" i="113" s="1"/>
  <c r="AD85" i="113" s="1"/>
  <c r="AD78" i="113"/>
  <c r="AD79" i="113" s="1"/>
  <c r="AD87" i="113"/>
  <c r="AE80" i="113"/>
  <c r="J62" i="80"/>
  <c r="J69" i="80"/>
  <c r="J67" i="80"/>
  <c r="I72" i="80" l="1"/>
  <c r="AE78" i="113"/>
  <c r="AE79" i="113" s="1"/>
  <c r="AE81" i="113"/>
  <c r="AE83" i="113" s="1"/>
  <c r="AE85" i="113" s="1"/>
  <c r="AE87" i="113"/>
  <c r="AF80" i="113"/>
  <c r="AF81" i="113" l="1"/>
  <c r="AF83" i="113" s="1"/>
  <c r="AF85" i="113" s="1"/>
  <c r="AF78" i="113"/>
  <c r="AF79" i="113" s="1"/>
  <c r="AG80" i="113"/>
  <c r="AF87" i="113"/>
  <c r="AG81" i="113" l="1"/>
  <c r="AG83" i="113" s="1"/>
  <c r="AG85" i="113" s="1"/>
  <c r="AG78" i="113"/>
  <c r="AG79" i="113" s="1"/>
  <c r="AG87" i="113"/>
  <c r="AH80" i="113"/>
  <c r="AH81" i="113" l="1"/>
  <c r="AH83" i="113" s="1"/>
  <c r="AH85" i="113" s="1"/>
  <c r="AH78" i="113"/>
  <c r="AH79" i="113" s="1"/>
  <c r="AH87" i="113"/>
  <c r="AI80" i="113"/>
  <c r="AI81" i="113" l="1"/>
  <c r="AI83" i="113" s="1"/>
  <c r="AI85" i="113" s="1"/>
  <c r="AI78" i="113"/>
  <c r="AI79" i="113" s="1"/>
  <c r="AJ80" i="113"/>
  <c r="AI87" i="113"/>
  <c r="AJ81" i="113" l="1"/>
  <c r="AJ83" i="113" s="1"/>
  <c r="AJ85" i="113" s="1"/>
  <c r="AJ78" i="113"/>
  <c r="AJ79" i="113" s="1"/>
  <c r="AJ87" i="113"/>
  <c r="AK80" i="113"/>
  <c r="AK81" i="113" l="1"/>
  <c r="AK83" i="113" s="1"/>
  <c r="AK85" i="113" s="1"/>
  <c r="AK78" i="113"/>
  <c r="AK79" i="113" s="1"/>
  <c r="AL80" i="113"/>
  <c r="AK87" i="113"/>
  <c r="AL81" i="113" l="1"/>
  <c r="AL83" i="113" s="1"/>
  <c r="AL85" i="113" s="1"/>
  <c r="AM80" i="113" s="1"/>
  <c r="AL78" i="113"/>
  <c r="AL79" i="113" s="1"/>
  <c r="AL87" i="113"/>
  <c r="AJ88" i="113" s="1"/>
  <c r="AK114" i="60" s="1"/>
  <c r="AK110" i="60" s="1"/>
  <c r="AC5" i="80" s="1"/>
  <c r="AG88" i="113" l="1"/>
  <c r="AH114" i="60" s="1"/>
  <c r="AH110" i="60" s="1"/>
  <c r="Z5" i="80" s="1"/>
  <c r="Z7" i="80" s="1"/>
  <c r="AK88" i="113"/>
  <c r="AL114" i="60" s="1"/>
  <c r="AL110" i="60" s="1"/>
  <c r="AD5" i="80" s="1"/>
  <c r="AC8" i="80"/>
  <c r="AC9" i="80" s="1"/>
  <c r="AC10" i="80" s="1"/>
  <c r="AC7" i="80"/>
  <c r="AL88" i="113"/>
  <c r="AM114" i="60" s="1"/>
  <c r="AM110" i="60" s="1"/>
  <c r="AE5" i="80" s="1"/>
  <c r="AA88" i="113"/>
  <c r="AB114" i="60" s="1"/>
  <c r="AB110" i="60" s="1"/>
  <c r="T5" i="80" s="1"/>
  <c r="AC88" i="113"/>
  <c r="AD114" i="60" s="1"/>
  <c r="AD110" i="60" s="1"/>
  <c r="V5" i="80" s="1"/>
  <c r="AB88" i="113"/>
  <c r="AC114" i="60" s="1"/>
  <c r="AC110" i="60" s="1"/>
  <c r="U5" i="80" s="1"/>
  <c r="AF88" i="113"/>
  <c r="AG114" i="60" s="1"/>
  <c r="AG110" i="60" s="1"/>
  <c r="Y5" i="80" s="1"/>
  <c r="AD88" i="113"/>
  <c r="AE114" i="60" s="1"/>
  <c r="AE110" i="60" s="1"/>
  <c r="W5" i="80" s="1"/>
  <c r="AE88" i="113"/>
  <c r="AF114" i="60" s="1"/>
  <c r="AF110" i="60" s="1"/>
  <c r="X5" i="80" s="1"/>
  <c r="AI88" i="113"/>
  <c r="AJ114" i="60" s="1"/>
  <c r="AJ110" i="60" s="1"/>
  <c r="AB5" i="80" s="1"/>
  <c r="AH88" i="113"/>
  <c r="AI114" i="60" s="1"/>
  <c r="AI110" i="60" s="1"/>
  <c r="AA5" i="80" s="1"/>
  <c r="AM81" i="113"/>
  <c r="AM83" i="113" s="1"/>
  <c r="AM85" i="113" s="1"/>
  <c r="AM78" i="113"/>
  <c r="AM79" i="113" s="1"/>
  <c r="AM87" i="113"/>
  <c r="AN80" i="113"/>
  <c r="Z8" i="80" l="1"/>
  <c r="Z9" i="80" s="1"/>
  <c r="Z10" i="80" s="1"/>
  <c r="Z28" i="80" s="1"/>
  <c r="AD7" i="80"/>
  <c r="AD8" i="80"/>
  <c r="AD9" i="80" s="1"/>
  <c r="AD10" i="80" s="1"/>
  <c r="AD56" i="80" s="1"/>
  <c r="T7" i="80"/>
  <c r="T8" i="80"/>
  <c r="T9" i="80" s="1"/>
  <c r="T10" i="80" s="1"/>
  <c r="AE7" i="80"/>
  <c r="AE8" i="80"/>
  <c r="AE9" i="80" s="1"/>
  <c r="AE10" i="80" s="1"/>
  <c r="W7" i="80"/>
  <c r="W8" i="80"/>
  <c r="W9" i="80" s="1"/>
  <c r="W10" i="80" s="1"/>
  <c r="AA7" i="80"/>
  <c r="AA8" i="80"/>
  <c r="AA9" i="80" s="1"/>
  <c r="AA10" i="80" s="1"/>
  <c r="AB7" i="80"/>
  <c r="AB8" i="80"/>
  <c r="AB9" i="80" s="1"/>
  <c r="AB10" i="80" s="1"/>
  <c r="U7" i="80"/>
  <c r="U8" i="80"/>
  <c r="U9" i="80" s="1"/>
  <c r="U10" i="80" s="1"/>
  <c r="AC28" i="80"/>
  <c r="AC56" i="80"/>
  <c r="Y7" i="80"/>
  <c r="Y8" i="80"/>
  <c r="Y9" i="80" s="1"/>
  <c r="Y10" i="80" s="1"/>
  <c r="AN81" i="113"/>
  <c r="AN83" i="113" s="1"/>
  <c r="AN85" i="113" s="1"/>
  <c r="AN78" i="113"/>
  <c r="AN79" i="113" s="1"/>
  <c r="AN87" i="113"/>
  <c r="AO80" i="113"/>
  <c r="X7" i="80"/>
  <c r="X8" i="80"/>
  <c r="X9" i="80" s="1"/>
  <c r="X10" i="80" s="1"/>
  <c r="V8" i="80"/>
  <c r="V9" i="80" s="1"/>
  <c r="V10" i="80" s="1"/>
  <c r="V7" i="80"/>
  <c r="Z56" i="80" l="1"/>
  <c r="L77" i="80"/>
  <c r="L78" i="80" s="1"/>
  <c r="AD28" i="80"/>
  <c r="AB28" i="80"/>
  <c r="AB56" i="80"/>
  <c r="AO78" i="113"/>
  <c r="AO79" i="113" s="1"/>
  <c r="AO81" i="113"/>
  <c r="AO83" i="113" s="1"/>
  <c r="AO85" i="113" s="1"/>
  <c r="AO87" i="113"/>
  <c r="AP80" i="113"/>
  <c r="AE56" i="80"/>
  <c r="AE28" i="80"/>
  <c r="X28" i="80"/>
  <c r="X56" i="80"/>
  <c r="AC62" i="80"/>
  <c r="AC69" i="80"/>
  <c r="AC67" i="80"/>
  <c r="U56" i="80"/>
  <c r="U28" i="80"/>
  <c r="V28" i="80"/>
  <c r="V56" i="80"/>
  <c r="Y28" i="80"/>
  <c r="Y56" i="80"/>
  <c r="AA28" i="80"/>
  <c r="AA56" i="80"/>
  <c r="T56" i="80"/>
  <c r="T28" i="80"/>
  <c r="W56" i="80"/>
  <c r="W28" i="80"/>
  <c r="Z69" i="80"/>
  <c r="Z62" i="80"/>
  <c r="Z67" i="80"/>
  <c r="AD67" i="80"/>
  <c r="AD62" i="80"/>
  <c r="AD69" i="80"/>
  <c r="L86" i="80" l="1"/>
  <c r="R80" i="80"/>
  <c r="L80" i="80"/>
  <c r="L65" i="80" s="1"/>
  <c r="L72" i="80" s="1"/>
  <c r="L85" i="80" s="1"/>
  <c r="P80" i="80"/>
  <c r="P65" i="80" s="1"/>
  <c r="P72" i="80" s="1"/>
  <c r="P85" i="80" s="1"/>
  <c r="Q80" i="80"/>
  <c r="N80" i="80"/>
  <c r="N65" i="80" s="1"/>
  <c r="N72" i="80" s="1"/>
  <c r="N85" i="80" s="1"/>
  <c r="O80" i="80"/>
  <c r="O65" i="80" s="1"/>
  <c r="O72" i="80" s="1"/>
  <c r="O85" i="80" s="1"/>
  <c r="S80" i="80"/>
  <c r="S65" i="80" s="1"/>
  <c r="S72" i="80" s="1"/>
  <c r="S85" i="80" s="1"/>
  <c r="M80" i="80"/>
  <c r="M65" i="80" s="1"/>
  <c r="M72" i="80" s="1"/>
  <c r="M85" i="80" s="1"/>
  <c r="W80" i="80"/>
  <c r="T80" i="80"/>
  <c r="T65" i="80" s="1"/>
  <c r="V80" i="80"/>
  <c r="U80" i="80"/>
  <c r="U65" i="80" s="1"/>
  <c r="U69" i="80"/>
  <c r="U67" i="80"/>
  <c r="U62" i="80"/>
  <c r="AP81" i="113"/>
  <c r="AP83" i="113" s="1"/>
  <c r="AP85" i="113" s="1"/>
  <c r="AP78" i="113"/>
  <c r="AP79" i="113" s="1"/>
  <c r="AQ80" i="113"/>
  <c r="AP87" i="113"/>
  <c r="Q65" i="80"/>
  <c r="Q72" i="80" s="1"/>
  <c r="Q85" i="80" s="1"/>
  <c r="R65" i="80"/>
  <c r="R72" i="80" s="1"/>
  <c r="R85" i="80" s="1"/>
  <c r="J65" i="80"/>
  <c r="J72" i="80" s="1"/>
  <c r="K65" i="80"/>
  <c r="K72" i="80" s="1"/>
  <c r="T62" i="80"/>
  <c r="T69" i="80"/>
  <c r="T67" i="80"/>
  <c r="AA69" i="80"/>
  <c r="AA67" i="80"/>
  <c r="AA62" i="80"/>
  <c r="V62" i="80"/>
  <c r="V69" i="80"/>
  <c r="V67" i="80"/>
  <c r="Y69" i="80"/>
  <c r="Y67" i="80"/>
  <c r="Y62" i="80"/>
  <c r="AE62" i="80"/>
  <c r="AE67" i="80"/>
  <c r="AE69" i="80"/>
  <c r="X62" i="80"/>
  <c r="X67" i="80"/>
  <c r="X69" i="80"/>
  <c r="AB67" i="80"/>
  <c r="AB62" i="80"/>
  <c r="AB69" i="80"/>
  <c r="W62" i="80"/>
  <c r="W69" i="80"/>
  <c r="W67" i="80"/>
  <c r="M86" i="80" l="1"/>
  <c r="N86" i="80" s="1"/>
  <c r="O86" i="80" s="1"/>
  <c r="O87" i="80" s="1"/>
  <c r="O89" i="80" s="1"/>
  <c r="L93" i="80"/>
  <c r="M93" i="80" s="1"/>
  <c r="N93" i="80" s="1"/>
  <c r="L84" i="80"/>
  <c r="L92" i="80" s="1"/>
  <c r="L87" i="80"/>
  <c r="L89" i="80" s="1"/>
  <c r="O84" i="80"/>
  <c r="O92" i="80" s="1"/>
  <c r="U72" i="80"/>
  <c r="U85" i="80" s="1"/>
  <c r="T72" i="80"/>
  <c r="T85" i="80" s="1"/>
  <c r="AQ81" i="113"/>
  <c r="AQ83" i="113" s="1"/>
  <c r="AQ85" i="113" s="1"/>
  <c r="AQ78" i="113"/>
  <c r="AQ79" i="113" s="1"/>
  <c r="AR80" i="113"/>
  <c r="AQ87" i="113"/>
  <c r="M87" i="80" l="1"/>
  <c r="M89" i="80" s="1"/>
  <c r="N87" i="80"/>
  <c r="N89" i="80" s="1"/>
  <c r="O93" i="80"/>
  <c r="P93" i="80" s="1"/>
  <c r="Q93" i="80" s="1"/>
  <c r="P86" i="80"/>
  <c r="R84" i="80"/>
  <c r="R92" i="80" s="1"/>
  <c r="P92" i="80"/>
  <c r="Q92" i="80" s="1"/>
  <c r="O98" i="80"/>
  <c r="M92" i="80"/>
  <c r="N92" i="80" s="1"/>
  <c r="L97" i="80"/>
  <c r="L98" i="80"/>
  <c r="AR81" i="113"/>
  <c r="AR83" i="113" s="1"/>
  <c r="AR85" i="113" s="1"/>
  <c r="AR78" i="113"/>
  <c r="AR79" i="113" s="1"/>
  <c r="AR87" i="113"/>
  <c r="AS80" i="113"/>
  <c r="M97" i="80" l="1"/>
  <c r="T17" i="60"/>
  <c r="O97" i="80"/>
  <c r="Q86" i="80"/>
  <c r="P87" i="80"/>
  <c r="P89" i="80" s="1"/>
  <c r="S92" i="80"/>
  <c r="T92" i="80" s="1"/>
  <c r="R98" i="80"/>
  <c r="L103" i="80"/>
  <c r="M98" i="80"/>
  <c r="N98" i="80" s="1"/>
  <c r="P98" i="80"/>
  <c r="Q98" i="80" s="1"/>
  <c r="O103" i="80"/>
  <c r="AS81" i="113"/>
  <c r="AS83" i="113" s="1"/>
  <c r="AS85" i="113" s="1"/>
  <c r="AS78" i="113"/>
  <c r="AS79" i="113" s="1"/>
  <c r="AT80" i="113"/>
  <c r="AS87" i="113"/>
  <c r="N97" i="80" l="1"/>
  <c r="V17" i="60" s="1"/>
  <c r="U17" i="60"/>
  <c r="U26" i="60" s="1"/>
  <c r="M103" i="80"/>
  <c r="T52" i="60"/>
  <c r="P103" i="80"/>
  <c r="W52" i="60"/>
  <c r="P97" i="80"/>
  <c r="W17" i="60"/>
  <c r="T26" i="60"/>
  <c r="T18" i="60"/>
  <c r="R86" i="80"/>
  <c r="Q87" i="80"/>
  <c r="Q89" i="80" s="1"/>
  <c r="R103" i="80"/>
  <c r="S98" i="80"/>
  <c r="T98" i="80" s="1"/>
  <c r="AT81" i="113"/>
  <c r="AT83" i="113" s="1"/>
  <c r="AT85" i="113" s="1"/>
  <c r="AT78" i="113"/>
  <c r="AT79" i="113" s="1"/>
  <c r="AU80" i="113"/>
  <c r="AT87" i="113"/>
  <c r="U18" i="60" l="1"/>
  <c r="T60" i="60"/>
  <c r="T61" i="60" s="1"/>
  <c r="T53" i="60"/>
  <c r="Q97" i="80"/>
  <c r="Y17" i="60" s="1"/>
  <c r="D18" i="115" s="1"/>
  <c r="D19" i="115" s="1"/>
  <c r="X17" i="60"/>
  <c r="N103" i="80"/>
  <c r="V52" i="60" s="1"/>
  <c r="U52" i="60"/>
  <c r="U60" i="60" s="1"/>
  <c r="U61" i="60" s="1"/>
  <c r="M11" i="72"/>
  <c r="S103" i="80"/>
  <c r="Z52" i="60"/>
  <c r="T35" i="60"/>
  <c r="T27" i="60"/>
  <c r="Q103" i="80"/>
  <c r="Y52" i="60" s="1"/>
  <c r="X52" i="60"/>
  <c r="X60" i="60" s="1"/>
  <c r="X61" i="60" s="1"/>
  <c r="S86" i="80"/>
  <c r="R93" i="80"/>
  <c r="R87" i="80"/>
  <c r="R89" i="80" s="1"/>
  <c r="W18" i="60"/>
  <c r="W26" i="60"/>
  <c r="N11" i="72"/>
  <c r="U27" i="60"/>
  <c r="U35" i="60"/>
  <c r="AU81" i="113"/>
  <c r="AU83" i="113" s="1"/>
  <c r="AU85" i="113" s="1"/>
  <c r="AU78" i="113"/>
  <c r="AU79" i="113" s="1"/>
  <c r="AV80" i="113"/>
  <c r="AU87" i="113"/>
  <c r="V26" i="60"/>
  <c r="V18" i="60"/>
  <c r="U53" i="60"/>
  <c r="Y26" i="60" l="1"/>
  <c r="X53" i="60"/>
  <c r="D18" i="65"/>
  <c r="D19" i="65" s="1"/>
  <c r="X26" i="60"/>
  <c r="X18" i="60"/>
  <c r="R11" i="72" s="1"/>
  <c r="T44" i="60"/>
  <c r="T45" i="60" s="1"/>
  <c r="T36" i="60"/>
  <c r="M13" i="72" s="1"/>
  <c r="Y18" i="60"/>
  <c r="T11" i="72" s="1"/>
  <c r="M12" i="72"/>
  <c r="T103" i="80"/>
  <c r="AB52" i="60" s="1"/>
  <c r="G53" i="65" s="1"/>
  <c r="G54" i="65" s="1"/>
  <c r="AA52" i="60"/>
  <c r="AA60" i="60" s="1"/>
  <c r="AA61" i="60" s="1"/>
  <c r="S93" i="80"/>
  <c r="T93" i="80" s="1"/>
  <c r="R97" i="80"/>
  <c r="Z17" i="60" s="1"/>
  <c r="T86" i="80"/>
  <c r="S87" i="80"/>
  <c r="S89" i="80" s="1"/>
  <c r="U44" i="60"/>
  <c r="U45" i="60" s="1"/>
  <c r="N14" i="72" s="1"/>
  <c r="U36" i="60"/>
  <c r="N12" i="72"/>
  <c r="O11" i="72"/>
  <c r="Y53" i="60"/>
  <c r="D53" i="65"/>
  <c r="D54" i="65" s="1"/>
  <c r="Y60" i="60"/>
  <c r="D53" i="115"/>
  <c r="D54" i="115" s="1"/>
  <c r="V53" i="60"/>
  <c r="V60" i="60"/>
  <c r="V61" i="60" s="1"/>
  <c r="Z53" i="60"/>
  <c r="E53" i="65"/>
  <c r="E54" i="65" s="1"/>
  <c r="E53" i="115"/>
  <c r="E54" i="115" s="1"/>
  <c r="Z60" i="60"/>
  <c r="V27" i="60"/>
  <c r="V35" i="60"/>
  <c r="AV81" i="113"/>
  <c r="AV83" i="113" s="1"/>
  <c r="AV85" i="113" s="1"/>
  <c r="AV78" i="113"/>
  <c r="AV79" i="113" s="1"/>
  <c r="AW80" i="113"/>
  <c r="AV87" i="113"/>
  <c r="W53" i="60"/>
  <c r="W60" i="60"/>
  <c r="W61" i="60" s="1"/>
  <c r="P11" i="72"/>
  <c r="Y27" i="60"/>
  <c r="D27" i="65"/>
  <c r="D28" i="65" s="1"/>
  <c r="Y35" i="60"/>
  <c r="D27" i="115"/>
  <c r="D28" i="115" s="1"/>
  <c r="W35" i="60"/>
  <c r="W27" i="60"/>
  <c r="Q11" i="72"/>
  <c r="AB60" i="60" l="1"/>
  <c r="AB53" i="60"/>
  <c r="G53" i="115"/>
  <c r="G54" i="115" s="1"/>
  <c r="AA53" i="60"/>
  <c r="O12" i="72"/>
  <c r="T108" i="60"/>
  <c r="T102" i="60" s="1"/>
  <c r="M25" i="72" s="1"/>
  <c r="M14" i="72"/>
  <c r="M15" i="72" s="1"/>
  <c r="F53" i="65"/>
  <c r="F54" i="65" s="1"/>
  <c r="F53" i="115"/>
  <c r="F54" i="115" s="1"/>
  <c r="X27" i="60"/>
  <c r="R12" i="72" s="1"/>
  <c r="X35" i="60"/>
  <c r="U57" i="64"/>
  <c r="F61" i="65"/>
  <c r="F62" i="65" s="1"/>
  <c r="U86" i="80"/>
  <c r="T87" i="80"/>
  <c r="T89" i="80" s="1"/>
  <c r="S97" i="80"/>
  <c r="F61" i="115"/>
  <c r="F62" i="115" s="1"/>
  <c r="T12" i="72"/>
  <c r="V57" i="64"/>
  <c r="V58" i="64" s="1"/>
  <c r="Q12" i="72"/>
  <c r="U108" i="60"/>
  <c r="U102" i="60" s="1"/>
  <c r="G61" i="115"/>
  <c r="G62" i="115" s="1"/>
  <c r="AB61" i="60"/>
  <c r="G61" i="65"/>
  <c r="G62" i="65" s="1"/>
  <c r="Y61" i="60"/>
  <c r="D61" i="65"/>
  <c r="D62" i="65" s="1"/>
  <c r="D61" i="115"/>
  <c r="D62" i="115" s="1"/>
  <c r="AW81" i="113"/>
  <c r="AW83" i="113" s="1"/>
  <c r="AW85" i="113" s="1"/>
  <c r="AW78" i="113"/>
  <c r="AW79" i="113" s="1"/>
  <c r="AW87" i="113"/>
  <c r="AX80" i="113"/>
  <c r="V36" i="60"/>
  <c r="P13" i="72" s="1"/>
  <c r="V44" i="60"/>
  <c r="V45" i="60" s="1"/>
  <c r="N68" i="72"/>
  <c r="E61" i="115"/>
  <c r="E62" i="115" s="1"/>
  <c r="E61" i="65"/>
  <c r="E62" i="65" s="1"/>
  <c r="Z61" i="60"/>
  <c r="W44" i="60"/>
  <c r="W45" i="60" s="1"/>
  <c r="Q14" i="72" s="1"/>
  <c r="W36" i="60"/>
  <c r="Q13" i="72" s="1"/>
  <c r="Y36" i="60"/>
  <c r="D36" i="115"/>
  <c r="D37" i="115" s="1"/>
  <c r="D36" i="65"/>
  <c r="D37" i="65" s="1"/>
  <c r="Y44" i="60"/>
  <c r="P12" i="72"/>
  <c r="N13" i="72"/>
  <c r="O14" i="72" l="1"/>
  <c r="O68" i="72" s="1"/>
  <c r="X44" i="60"/>
  <c r="X45" i="60" s="1"/>
  <c r="X36" i="60"/>
  <c r="R13" i="72" s="1"/>
  <c r="T97" i="80"/>
  <c r="AB17" i="60" s="1"/>
  <c r="AA17" i="60"/>
  <c r="F18" i="65" s="1"/>
  <c r="F19" i="65" s="1"/>
  <c r="U58" i="64"/>
  <c r="U99" i="60"/>
  <c r="N18" i="72" s="1"/>
  <c r="O18" i="72" s="1"/>
  <c r="M68" i="72"/>
  <c r="Z26" i="60"/>
  <c r="Z18" i="60"/>
  <c r="U11" i="72" s="1"/>
  <c r="E18" i="115"/>
  <c r="E19" i="115" s="1"/>
  <c r="E18" i="65"/>
  <c r="E19" i="65" s="1"/>
  <c r="V86" i="80"/>
  <c r="W86" i="80" s="1"/>
  <c r="U93" i="80"/>
  <c r="V93" i="80" s="1"/>
  <c r="W93" i="80" s="1"/>
  <c r="U87" i="80"/>
  <c r="U89" i="80" s="1"/>
  <c r="V99" i="60"/>
  <c r="P18" i="72" s="1"/>
  <c r="Q68" i="72"/>
  <c r="W108" i="60"/>
  <c r="W102" i="60" s="1"/>
  <c r="Q25" i="72" s="1"/>
  <c r="X57" i="64"/>
  <c r="X58" i="64" s="1"/>
  <c r="Q15" i="72"/>
  <c r="P14" i="72"/>
  <c r="W57" i="64"/>
  <c r="N25" i="72"/>
  <c r="O25" i="72" s="1"/>
  <c r="AX81" i="113"/>
  <c r="AX83" i="113" s="1"/>
  <c r="AX85" i="113" s="1"/>
  <c r="AY80" i="113" s="1"/>
  <c r="AX78" i="113"/>
  <c r="AX79" i="113" s="1"/>
  <c r="AX87" i="113"/>
  <c r="V108" i="60"/>
  <c r="V102" i="60" s="1"/>
  <c r="P25" i="72" s="1"/>
  <c r="T13" i="72"/>
  <c r="O13" i="72"/>
  <c r="N15" i="72"/>
  <c r="Y45" i="60"/>
  <c r="D45" i="65"/>
  <c r="D46" i="65" s="1"/>
  <c r="D45" i="115"/>
  <c r="D46" i="115" s="1"/>
  <c r="D103" i="115" s="1"/>
  <c r="F18" i="115" l="1"/>
  <c r="F19" i="115" s="1"/>
  <c r="AA18" i="60"/>
  <c r="V11" i="72" s="1"/>
  <c r="AA26" i="60"/>
  <c r="AA27" i="60" s="1"/>
  <c r="AQ88" i="113"/>
  <c r="AR114" i="60" s="1"/>
  <c r="AR110" i="60" s="1"/>
  <c r="AJ5" i="80" s="1"/>
  <c r="AJ8" i="80" s="1"/>
  <c r="AJ9" i="80" s="1"/>
  <c r="AJ10" i="80" s="1"/>
  <c r="R14" i="72"/>
  <c r="R68" i="72" s="1"/>
  <c r="X108" i="60"/>
  <c r="X102" i="60" s="1"/>
  <c r="R25" i="72" s="1"/>
  <c r="Y57" i="64"/>
  <c r="E27" i="65"/>
  <c r="E28" i="65" s="1"/>
  <c r="Z35" i="60"/>
  <c r="E27" i="115"/>
  <c r="E28" i="115" s="1"/>
  <c r="Z27" i="60"/>
  <c r="U12" i="72" s="1"/>
  <c r="D109" i="115"/>
  <c r="X99" i="60"/>
  <c r="R18" i="72" s="1"/>
  <c r="AP88" i="113"/>
  <c r="AQ114" i="60" s="1"/>
  <c r="AQ110" i="60" s="1"/>
  <c r="AI5" i="80" s="1"/>
  <c r="D109" i="65"/>
  <c r="P68" i="72"/>
  <c r="P15" i="72"/>
  <c r="AX88" i="113"/>
  <c r="AY114" i="60" s="1"/>
  <c r="AY110" i="60" s="1"/>
  <c r="AQ5" i="80" s="1"/>
  <c r="AM88" i="113"/>
  <c r="AN114" i="60" s="1"/>
  <c r="AN110" i="60" s="1"/>
  <c r="AF5" i="80" s="1"/>
  <c r="AN88" i="113"/>
  <c r="AO114" i="60" s="1"/>
  <c r="AO110" i="60" s="1"/>
  <c r="AG5" i="80" s="1"/>
  <c r="AO88" i="113"/>
  <c r="AP114" i="60" s="1"/>
  <c r="AP110" i="60" s="1"/>
  <c r="AH5" i="80" s="1"/>
  <c r="AR88" i="113"/>
  <c r="AS114" i="60" s="1"/>
  <c r="AS110" i="60" s="1"/>
  <c r="AK5" i="80" s="1"/>
  <c r="AT88" i="113"/>
  <c r="AU114" i="60" s="1"/>
  <c r="AU110" i="60" s="1"/>
  <c r="AM5" i="80" s="1"/>
  <c r="AU88" i="113"/>
  <c r="AV114" i="60" s="1"/>
  <c r="AV110" i="60" s="1"/>
  <c r="AN5" i="80" s="1"/>
  <c r="AS88" i="113"/>
  <c r="AT114" i="60" s="1"/>
  <c r="AT110" i="60" s="1"/>
  <c r="AL5" i="80" s="1"/>
  <c r="W58" i="64"/>
  <c r="W99" i="60"/>
  <c r="T14" i="72"/>
  <c r="T15" i="72" s="1"/>
  <c r="Z57" i="64"/>
  <c r="AW88" i="113"/>
  <c r="AX114" i="60" s="1"/>
  <c r="AX110" i="60" s="1"/>
  <c r="AP5" i="80" s="1"/>
  <c r="O15" i="72"/>
  <c r="F27" i="65"/>
  <c r="F28" i="65" s="1"/>
  <c r="AY81" i="113"/>
  <c r="AY83" i="113" s="1"/>
  <c r="AY85" i="113" s="1"/>
  <c r="AY78" i="113"/>
  <c r="AY79" i="113" s="1"/>
  <c r="AY87" i="113"/>
  <c r="AZ80" i="113"/>
  <c r="G18" i="65"/>
  <c r="G19" i="65" s="1"/>
  <c r="AB18" i="60"/>
  <c r="G18" i="115"/>
  <c r="G19" i="115" s="1"/>
  <c r="AB26" i="60"/>
  <c r="Y108" i="60"/>
  <c r="Y102" i="60" s="1"/>
  <c r="T25" i="72" s="1"/>
  <c r="D103" i="65"/>
  <c r="AV88" i="113"/>
  <c r="AW114" i="60" s="1"/>
  <c r="AW110" i="60" s="1"/>
  <c r="AO5" i="80" s="1"/>
  <c r="AA35" i="60" l="1"/>
  <c r="AA44" i="60" s="1"/>
  <c r="F27" i="115"/>
  <c r="F28" i="115" s="1"/>
  <c r="AJ7" i="80"/>
  <c r="Y58" i="64"/>
  <c r="Y99" i="60"/>
  <c r="R15" i="72"/>
  <c r="E36" i="115"/>
  <c r="E37" i="115" s="1"/>
  <c r="Z44" i="60"/>
  <c r="E36" i="65"/>
  <c r="E37" i="65" s="1"/>
  <c r="Z36" i="60"/>
  <c r="U13" i="72" s="1"/>
  <c r="AI7" i="80"/>
  <c r="AI8" i="80"/>
  <c r="AI9" i="80" s="1"/>
  <c r="AI10" i="80" s="1"/>
  <c r="AI56" i="80" s="1"/>
  <c r="AO7" i="80"/>
  <c r="AO8" i="80"/>
  <c r="AO9" i="80" s="1"/>
  <c r="AO10" i="80" s="1"/>
  <c r="AZ78" i="113"/>
  <c r="AZ79" i="113" s="1"/>
  <c r="AZ81" i="113"/>
  <c r="AZ83" i="113" s="1"/>
  <c r="AZ85" i="113" s="1"/>
  <c r="BA80" i="113"/>
  <c r="AZ87" i="113"/>
  <c r="W11" i="72"/>
  <c r="Z58" i="64"/>
  <c r="Z99" i="60"/>
  <c r="AH7" i="80"/>
  <c r="AH8" i="80"/>
  <c r="AH9" i="80" s="1"/>
  <c r="AH10" i="80" s="1"/>
  <c r="V12" i="72"/>
  <c r="AN7" i="80"/>
  <c r="AN8" i="80"/>
  <c r="AN9" i="80" s="1"/>
  <c r="AN10" i="80" s="1"/>
  <c r="AG7" i="80"/>
  <c r="AG8" i="80"/>
  <c r="AG9" i="80" s="1"/>
  <c r="AG10" i="80" s="1"/>
  <c r="AP7" i="80"/>
  <c r="AP8" i="80"/>
  <c r="AP9" i="80" s="1"/>
  <c r="AP10" i="80" s="1"/>
  <c r="AK7" i="80"/>
  <c r="AK8" i="80"/>
  <c r="AK9" i="80" s="1"/>
  <c r="AK10" i="80" s="1"/>
  <c r="AQ8" i="80"/>
  <c r="AQ9" i="80" s="1"/>
  <c r="AQ10" i="80" s="1"/>
  <c r="AQ7" i="80"/>
  <c r="AL7" i="80"/>
  <c r="AL8" i="80"/>
  <c r="AL9" i="80" s="1"/>
  <c r="AL10" i="80" s="1"/>
  <c r="G27" i="65"/>
  <c r="G28" i="65" s="1"/>
  <c r="G27" i="115"/>
  <c r="G28" i="115" s="1"/>
  <c r="AB27" i="60"/>
  <c r="W12" i="72" s="1"/>
  <c r="AB35" i="60"/>
  <c r="Q18" i="72"/>
  <c r="AM8" i="80"/>
  <c r="AM9" i="80" s="1"/>
  <c r="AM10" i="80" s="1"/>
  <c r="AM7" i="80"/>
  <c r="AF7" i="80"/>
  <c r="AF8" i="80"/>
  <c r="AF9" i="80" s="1"/>
  <c r="AF10" i="80" s="1"/>
  <c r="AJ28" i="80"/>
  <c r="AJ56" i="80"/>
  <c r="F36" i="65" l="1"/>
  <c r="F37" i="65" s="1"/>
  <c r="AA36" i="60"/>
  <c r="F36" i="115"/>
  <c r="F37" i="115" s="1"/>
  <c r="T18" i="72"/>
  <c r="D100" i="65"/>
  <c r="D100" i="115"/>
  <c r="X77" i="80"/>
  <c r="X78" i="80" s="1"/>
  <c r="AH80" i="80" s="1"/>
  <c r="E45" i="115"/>
  <c r="E46" i="115" s="1"/>
  <c r="E45" i="65"/>
  <c r="E46" i="65" s="1"/>
  <c r="Z45" i="60"/>
  <c r="AI28" i="80"/>
  <c r="AF56" i="80"/>
  <c r="AF28" i="80"/>
  <c r="AH56" i="80"/>
  <c r="AH28" i="80"/>
  <c r="AJ69" i="80"/>
  <c r="AJ67" i="80"/>
  <c r="AJ62" i="80"/>
  <c r="G36" i="65"/>
  <c r="G37" i="65" s="1"/>
  <c r="G36" i="115"/>
  <c r="G37" i="115" s="1"/>
  <c r="AB44" i="60"/>
  <c r="AB36" i="60"/>
  <c r="W13" i="72" s="1"/>
  <c r="AQ56" i="80"/>
  <c r="AQ28" i="80"/>
  <c r="AN56" i="80"/>
  <c r="AN28" i="80"/>
  <c r="V13" i="72"/>
  <c r="BA81" i="113"/>
  <c r="BA83" i="113" s="1"/>
  <c r="BA85" i="113" s="1"/>
  <c r="BA78" i="113"/>
  <c r="BA79" i="113" s="1"/>
  <c r="BA87" i="113"/>
  <c r="BB80" i="113"/>
  <c r="AO28" i="80"/>
  <c r="AO56" i="80"/>
  <c r="AM28" i="80"/>
  <c r="AM56" i="80"/>
  <c r="AK56" i="80"/>
  <c r="AK28" i="80"/>
  <c r="AI62" i="80"/>
  <c r="AI67" i="80"/>
  <c r="AI69" i="80"/>
  <c r="AP56" i="80"/>
  <c r="AP28" i="80"/>
  <c r="AL28" i="80"/>
  <c r="AL56" i="80"/>
  <c r="AG28" i="80"/>
  <c r="AG56" i="80"/>
  <c r="E100" i="115"/>
  <c r="E100" i="65"/>
  <c r="U18" i="72"/>
  <c r="AA45" i="60"/>
  <c r="F45" i="115"/>
  <c r="F46" i="115" s="1"/>
  <c r="F45" i="65"/>
  <c r="F46" i="65" s="1"/>
  <c r="AG80" i="80" l="1"/>
  <c r="AG65" i="80" s="1"/>
  <c r="AB80" i="80"/>
  <c r="AB65" i="80" s="1"/>
  <c r="AB72" i="80" s="1"/>
  <c r="AB85" i="80" s="1"/>
  <c r="AD80" i="80"/>
  <c r="AD65" i="80" s="1"/>
  <c r="AD72" i="80" s="1"/>
  <c r="AD85" i="80" s="1"/>
  <c r="AE80" i="80"/>
  <c r="AE65" i="80" s="1"/>
  <c r="AE72" i="80" s="1"/>
  <c r="AE85" i="80" s="1"/>
  <c r="AF80" i="80"/>
  <c r="AF65" i="80" s="1"/>
  <c r="X80" i="80"/>
  <c r="X65" i="80" s="1"/>
  <c r="X72" i="80" s="1"/>
  <c r="X85" i="80" s="1"/>
  <c r="AI80" i="80"/>
  <c r="AA80" i="80"/>
  <c r="AA65" i="80" s="1"/>
  <c r="AA72" i="80" s="1"/>
  <c r="AA85" i="80" s="1"/>
  <c r="AC80" i="80"/>
  <c r="AC65" i="80" s="1"/>
  <c r="AC72" i="80" s="1"/>
  <c r="AC85" i="80" s="1"/>
  <c r="Y80" i="80"/>
  <c r="Y65" i="80" s="1"/>
  <c r="Y72" i="80" s="1"/>
  <c r="Y85" i="80" s="1"/>
  <c r="Z80" i="80"/>
  <c r="Z65" i="80" s="1"/>
  <c r="Z72" i="80" s="1"/>
  <c r="Z85" i="80" s="1"/>
  <c r="X86" i="80"/>
  <c r="X93" i="80" s="1"/>
  <c r="Y93" i="80" s="1"/>
  <c r="Z93" i="80" s="1"/>
  <c r="Z108" i="60"/>
  <c r="Z102" i="60" s="1"/>
  <c r="U25" i="72" s="1"/>
  <c r="U14" i="72"/>
  <c r="U15" i="72" s="1"/>
  <c r="AA57" i="64"/>
  <c r="E109" i="65"/>
  <c r="E103" i="65"/>
  <c r="E103" i="115"/>
  <c r="E109" i="115"/>
  <c r="Y86" i="80"/>
  <c r="Z86" i="80" s="1"/>
  <c r="AA86" i="80" s="1"/>
  <c r="W65" i="80"/>
  <c r="W72" i="80" s="1"/>
  <c r="W85" i="80" s="1"/>
  <c r="W87" i="80" s="1"/>
  <c r="W89" i="80" s="1"/>
  <c r="V65" i="80"/>
  <c r="V72" i="80" s="1"/>
  <c r="V85" i="80" s="1"/>
  <c r="AL67" i="80"/>
  <c r="AL62" i="80"/>
  <c r="AL69" i="80"/>
  <c r="BB78" i="113"/>
  <c r="BB79" i="113" s="1"/>
  <c r="BB81" i="113"/>
  <c r="BB83" i="113" s="1"/>
  <c r="BB85" i="113" s="1"/>
  <c r="BC80" i="113"/>
  <c r="BB87" i="113"/>
  <c r="AK69" i="80"/>
  <c r="AK62" i="80"/>
  <c r="AK67" i="80"/>
  <c r="AB45" i="60"/>
  <c r="G45" i="65"/>
  <c r="G46" i="65" s="1"/>
  <c r="G45" i="115"/>
  <c r="G46" i="115" s="1"/>
  <c r="F103" i="65"/>
  <c r="F109" i="65"/>
  <c r="AM67" i="80"/>
  <c r="AM69" i="80"/>
  <c r="AM62" i="80"/>
  <c r="AG69" i="80"/>
  <c r="AG62" i="80"/>
  <c r="AG67" i="80"/>
  <c r="AN62" i="80"/>
  <c r="AN67" i="80"/>
  <c r="AN69" i="80"/>
  <c r="AQ62" i="80"/>
  <c r="AQ69" i="80"/>
  <c r="AQ67" i="80"/>
  <c r="AH67" i="80"/>
  <c r="AH62" i="80"/>
  <c r="AH69" i="80"/>
  <c r="F103" i="115"/>
  <c r="F109" i="115"/>
  <c r="V14" i="72"/>
  <c r="AA108" i="60"/>
  <c r="AA102" i="60" s="1"/>
  <c r="AB57" i="64"/>
  <c r="AP62" i="80"/>
  <c r="AP69" i="80"/>
  <c r="AP67" i="80"/>
  <c r="AO67" i="80"/>
  <c r="AO69" i="80"/>
  <c r="AO62" i="80"/>
  <c r="AF69" i="80"/>
  <c r="AF62" i="80"/>
  <c r="AF67" i="80"/>
  <c r="Y87" i="80" l="1"/>
  <c r="Y89" i="80" s="1"/>
  <c r="AB86" i="80"/>
  <c r="AC86" i="80" s="1"/>
  <c r="AD86" i="80" s="1"/>
  <c r="AD87" i="80" s="1"/>
  <c r="AD89" i="80" s="1"/>
  <c r="AA93" i="80"/>
  <c r="AB93" i="80" s="1"/>
  <c r="AC93" i="80" s="1"/>
  <c r="AA58" i="64"/>
  <c r="AA99" i="60"/>
  <c r="Z87" i="80"/>
  <c r="Z89" i="80" s="1"/>
  <c r="V87" i="80"/>
  <c r="V89" i="80" s="1"/>
  <c r="U84" i="80"/>
  <c r="U92" i="80" s="1"/>
  <c r="AA84" i="80"/>
  <c r="AA92" i="80" s="1"/>
  <c r="AA87" i="80"/>
  <c r="AA89" i="80" s="1"/>
  <c r="X84" i="80"/>
  <c r="X92" i="80" s="1"/>
  <c r="X87" i="80"/>
  <c r="X89" i="80" s="1"/>
  <c r="AF72" i="80"/>
  <c r="AF85" i="80" s="1"/>
  <c r="AG72" i="80"/>
  <c r="AG85" i="80" s="1"/>
  <c r="W14" i="72"/>
  <c r="AB108" i="60"/>
  <c r="AB102" i="60" s="1"/>
  <c r="W25" i="72" s="1"/>
  <c r="AC57" i="64"/>
  <c r="G109" i="65"/>
  <c r="G103" i="65"/>
  <c r="BC78" i="113"/>
  <c r="BC79" i="113" s="1"/>
  <c r="BC81" i="113"/>
  <c r="BC83" i="113" s="1"/>
  <c r="BC85" i="113" s="1"/>
  <c r="BC87" i="113"/>
  <c r="BD80" i="113"/>
  <c r="AB58" i="64"/>
  <c r="AB99" i="60"/>
  <c r="V25" i="72"/>
  <c r="V68" i="72"/>
  <c r="V15" i="72"/>
  <c r="G109" i="115"/>
  <c r="G103" i="115"/>
  <c r="AB87" i="80" l="1"/>
  <c r="AB89" i="80" s="1"/>
  <c r="AC87" i="80"/>
  <c r="AC89" i="80" s="1"/>
  <c r="F100" i="115"/>
  <c r="F100" i="65"/>
  <c r="V18" i="72"/>
  <c r="AE86" i="80"/>
  <c r="AD93" i="80"/>
  <c r="AE93" i="80" s="1"/>
  <c r="AF93" i="80" s="1"/>
  <c r="X98" i="80"/>
  <c r="X97" i="80"/>
  <c r="Y92" i="80"/>
  <c r="Z92" i="80" s="1"/>
  <c r="AD84" i="80"/>
  <c r="AD92" i="80" s="1"/>
  <c r="U97" i="80"/>
  <c r="AC17" i="60" s="1"/>
  <c r="V92" i="80"/>
  <c r="W92" i="80" s="1"/>
  <c r="U98" i="80"/>
  <c r="AB92" i="80"/>
  <c r="AC92" i="80" s="1"/>
  <c r="AA98" i="80"/>
  <c r="AA97" i="80"/>
  <c r="G100" i="115"/>
  <c r="G100" i="65"/>
  <c r="W18" i="72"/>
  <c r="AC58" i="64"/>
  <c r="AC99" i="60"/>
  <c r="BD81" i="113"/>
  <c r="BD83" i="113" s="1"/>
  <c r="BD85" i="113" s="1"/>
  <c r="BD78" i="113"/>
  <c r="BD79" i="113" s="1"/>
  <c r="BE80" i="113"/>
  <c r="BD87" i="113"/>
  <c r="W15" i="72"/>
  <c r="W68" i="72"/>
  <c r="AB97" i="80" l="1"/>
  <c r="AI17" i="60"/>
  <c r="Y97" i="80"/>
  <c r="AF17" i="60"/>
  <c r="AF86" i="80"/>
  <c r="AE87" i="80"/>
  <c r="AE89" i="80" s="1"/>
  <c r="AD97" i="80"/>
  <c r="AE92" i="80"/>
  <c r="AF92" i="80" s="1"/>
  <c r="AD98" i="80"/>
  <c r="V97" i="80"/>
  <c r="AA103" i="80"/>
  <c r="AB98" i="80"/>
  <c r="AC98" i="80" s="1"/>
  <c r="V98" i="80"/>
  <c r="W98" i="80" s="1"/>
  <c r="U103" i="80"/>
  <c r="AC52" i="60" s="1"/>
  <c r="X103" i="80"/>
  <c r="Y98" i="80"/>
  <c r="Z98" i="80" s="1"/>
  <c r="BE81" i="113"/>
  <c r="BE83" i="113" s="1"/>
  <c r="BE85" i="113" s="1"/>
  <c r="BE78" i="113"/>
  <c r="BE79" i="113" s="1"/>
  <c r="BE87" i="113"/>
  <c r="BF80" i="113"/>
  <c r="H100" i="115"/>
  <c r="H100" i="65"/>
  <c r="X18" i="72"/>
  <c r="Y103" i="80" l="1"/>
  <c r="AF52" i="60"/>
  <c r="AB103" i="80"/>
  <c r="AI52" i="60"/>
  <c r="AE97" i="80"/>
  <c r="AL17" i="60"/>
  <c r="Z97" i="80"/>
  <c r="AH17" i="60" s="1"/>
  <c r="M18" i="115" s="1"/>
  <c r="M19" i="115" s="1"/>
  <c r="AG17" i="60"/>
  <c r="L18" i="65" s="1"/>
  <c r="L19" i="65" s="1"/>
  <c r="W97" i="80"/>
  <c r="AE17" i="60" s="1"/>
  <c r="AE26" i="60" s="1"/>
  <c r="AD17" i="60"/>
  <c r="I18" i="65" s="1"/>
  <c r="I19" i="65" s="1"/>
  <c r="AC97" i="80"/>
  <c r="AK17" i="60" s="1"/>
  <c r="AJ17" i="60"/>
  <c r="O18" i="65" s="1"/>
  <c r="O19" i="65" s="1"/>
  <c r="AG86" i="80"/>
  <c r="AF87" i="80"/>
  <c r="AF89" i="80" s="1"/>
  <c r="AD103" i="80"/>
  <c r="AE98" i="80"/>
  <c r="AF98" i="80" s="1"/>
  <c r="V103" i="80"/>
  <c r="AC18" i="60"/>
  <c r="H18" i="115"/>
  <c r="H19" i="115" s="1"/>
  <c r="AC26" i="60"/>
  <c r="H18" i="65"/>
  <c r="H19" i="65" s="1"/>
  <c r="N18" i="115"/>
  <c r="N19" i="115" s="1"/>
  <c r="AI26" i="60"/>
  <c r="N18" i="65"/>
  <c r="N19" i="65" s="1"/>
  <c r="AI18" i="60"/>
  <c r="BF81" i="113"/>
  <c r="BF83" i="113" s="1"/>
  <c r="BF85" i="113" s="1"/>
  <c r="BF78" i="113"/>
  <c r="BF79" i="113" s="1"/>
  <c r="BG80" i="113"/>
  <c r="BF87" i="113"/>
  <c r="J18" i="115"/>
  <c r="J19" i="115" s="1"/>
  <c r="AE18" i="60"/>
  <c r="K18" i="65"/>
  <c r="K19" i="65" s="1"/>
  <c r="K18" i="115"/>
  <c r="K19" i="115" s="1"/>
  <c r="AF18" i="60"/>
  <c r="AF26" i="60"/>
  <c r="J18" i="65" l="1"/>
  <c r="J19" i="65" s="1"/>
  <c r="M18" i="65"/>
  <c r="M19" i="65" s="1"/>
  <c r="L18" i="115"/>
  <c r="L19" i="115" s="1"/>
  <c r="AJ18" i="60"/>
  <c r="AE11" i="72" s="1"/>
  <c r="AH26" i="60"/>
  <c r="AH35" i="60" s="1"/>
  <c r="AE103" i="80"/>
  <c r="AL52" i="60"/>
  <c r="AL53" i="60" s="1"/>
  <c r="AJ26" i="60"/>
  <c r="AJ27" i="60" s="1"/>
  <c r="W103" i="80"/>
  <c r="AE52" i="60" s="1"/>
  <c r="J53" i="65" s="1"/>
  <c r="J54" i="65" s="1"/>
  <c r="AD52" i="60"/>
  <c r="AD53" i="60" s="1"/>
  <c r="AG26" i="60"/>
  <c r="L27" i="65" s="1"/>
  <c r="L28" i="65" s="1"/>
  <c r="AC103" i="80"/>
  <c r="AK52" i="60" s="1"/>
  <c r="AK53" i="60" s="1"/>
  <c r="AJ52" i="60"/>
  <c r="O53" i="65" s="1"/>
  <c r="O54" i="65" s="1"/>
  <c r="O18" i="115"/>
  <c r="O19" i="115" s="1"/>
  <c r="AH18" i="60"/>
  <c r="AC11" i="72" s="1"/>
  <c r="AG18" i="60"/>
  <c r="AB11" i="72" s="1"/>
  <c r="AF97" i="80"/>
  <c r="AN17" i="60" s="1"/>
  <c r="AM17" i="60"/>
  <c r="Z103" i="80"/>
  <c r="AH52" i="60" s="1"/>
  <c r="AH60" i="60" s="1"/>
  <c r="AG52" i="60"/>
  <c r="L53" i="115" s="1"/>
  <c r="L54" i="115" s="1"/>
  <c r="AH86" i="80"/>
  <c r="AI86" i="80" s="1"/>
  <c r="AG93" i="80"/>
  <c r="AH93" i="80" s="1"/>
  <c r="AI93" i="80" s="1"/>
  <c r="AG87" i="80"/>
  <c r="AG89" i="80" s="1"/>
  <c r="I18" i="115"/>
  <c r="I19" i="115" s="1"/>
  <c r="X11" i="72"/>
  <c r="AC53" i="60"/>
  <c r="H53" i="115"/>
  <c r="H54" i="115" s="1"/>
  <c r="AC60" i="60"/>
  <c r="H53" i="65"/>
  <c r="H54" i="65" s="1"/>
  <c r="AD26" i="60"/>
  <c r="I27" i="115" s="1"/>
  <c r="I28" i="115" s="1"/>
  <c r="AD18" i="60"/>
  <c r="H27" i="115"/>
  <c r="H28" i="115" s="1"/>
  <c r="H27" i="65"/>
  <c r="H28" i="65" s="1"/>
  <c r="AC27" i="60"/>
  <c r="X12" i="72" s="1"/>
  <c r="AC35" i="60"/>
  <c r="P19" i="65"/>
  <c r="S12" i="65" s="1"/>
  <c r="AI53" i="60"/>
  <c r="N53" i="115"/>
  <c r="N54" i="115" s="1"/>
  <c r="N53" i="65"/>
  <c r="N54" i="65" s="1"/>
  <c r="AI60" i="60"/>
  <c r="Z11" i="72"/>
  <c r="AK26" i="60"/>
  <c r="AK18" i="60"/>
  <c r="BG81" i="113"/>
  <c r="BG83" i="113" s="1"/>
  <c r="BG85" i="113" s="1"/>
  <c r="BG78" i="113"/>
  <c r="BG79" i="113" s="1"/>
  <c r="BH80" i="113"/>
  <c r="BG87" i="113"/>
  <c r="N27" i="115"/>
  <c r="N28" i="115" s="1"/>
  <c r="N27" i="65"/>
  <c r="N28" i="65" s="1"/>
  <c r="AI27" i="60"/>
  <c r="AI35" i="60"/>
  <c r="AA11" i="72"/>
  <c r="K53" i="115"/>
  <c r="K54" i="115" s="1"/>
  <c r="AF53" i="60"/>
  <c r="K53" i="65"/>
  <c r="K54" i="65" s="1"/>
  <c r="AF60" i="60"/>
  <c r="AD11" i="72"/>
  <c r="AL18" i="60"/>
  <c r="AL26" i="60"/>
  <c r="K27" i="115"/>
  <c r="K28" i="115" s="1"/>
  <c r="K27" i="65"/>
  <c r="K28" i="65" s="1"/>
  <c r="AF27" i="60"/>
  <c r="AA12" i="72" s="1"/>
  <c r="AF35" i="60"/>
  <c r="J27" i="115"/>
  <c r="J28" i="115" s="1"/>
  <c r="J27" i="65"/>
  <c r="J28" i="65" s="1"/>
  <c r="AE27" i="60"/>
  <c r="AE35" i="60"/>
  <c r="M53" i="115" l="1"/>
  <c r="M54" i="115" s="1"/>
  <c r="M53" i="65"/>
  <c r="M54" i="65" s="1"/>
  <c r="AG35" i="60"/>
  <c r="AG36" i="60" s="1"/>
  <c r="J53" i="115"/>
  <c r="J54" i="115" s="1"/>
  <c r="O27" i="115"/>
  <c r="O28" i="115" s="1"/>
  <c r="AH53" i="60"/>
  <c r="L27" i="115"/>
  <c r="L28" i="115" s="1"/>
  <c r="AH27" i="60"/>
  <c r="O27" i="65"/>
  <c r="O28" i="65" s="1"/>
  <c r="M27" i="65"/>
  <c r="M28" i="65" s="1"/>
  <c r="P19" i="115"/>
  <c r="U39" i="44" s="1"/>
  <c r="M27" i="115"/>
  <c r="M28" i="115" s="1"/>
  <c r="AJ53" i="60"/>
  <c r="AE12" i="72" s="1"/>
  <c r="AG60" i="60"/>
  <c r="L61" i="65" s="1"/>
  <c r="L62" i="65" s="1"/>
  <c r="L36" i="115"/>
  <c r="L37" i="115" s="1"/>
  <c r="AK60" i="60"/>
  <c r="AK61" i="60" s="1"/>
  <c r="AE53" i="60"/>
  <c r="Z12" i="72" s="1"/>
  <c r="AJ60" i="60"/>
  <c r="O61" i="115" s="1"/>
  <c r="O62" i="115" s="1"/>
  <c r="AJ35" i="60"/>
  <c r="AJ44" i="60" s="1"/>
  <c r="AE60" i="60"/>
  <c r="J61" i="65" s="1"/>
  <c r="J62" i="65" s="1"/>
  <c r="L53" i="65"/>
  <c r="L54" i="65" s="1"/>
  <c r="AG53" i="60"/>
  <c r="AG27" i="60"/>
  <c r="O53" i="115"/>
  <c r="O54" i="115" s="1"/>
  <c r="AF103" i="80"/>
  <c r="AN52" i="60" s="1"/>
  <c r="AN60" i="60" s="1"/>
  <c r="AN61" i="60" s="1"/>
  <c r="AM52" i="60"/>
  <c r="AM53" i="60" s="1"/>
  <c r="AL60" i="60"/>
  <c r="AL61" i="60" s="1"/>
  <c r="I53" i="115"/>
  <c r="I54" i="115" s="1"/>
  <c r="I53" i="65"/>
  <c r="I54" i="65" s="1"/>
  <c r="AD27" i="60"/>
  <c r="AD60" i="60"/>
  <c r="I27" i="65"/>
  <c r="I28" i="65" s="1"/>
  <c r="AD35" i="60"/>
  <c r="I36" i="65" s="1"/>
  <c r="I37" i="65" s="1"/>
  <c r="H61" i="65"/>
  <c r="H62" i="65" s="1"/>
  <c r="AC61" i="60"/>
  <c r="H61" i="115"/>
  <c r="H62" i="115" s="1"/>
  <c r="H36" i="65"/>
  <c r="H37" i="65" s="1"/>
  <c r="H36" i="115"/>
  <c r="H37" i="115" s="1"/>
  <c r="AC44" i="60"/>
  <c r="AC36" i="60"/>
  <c r="Y11" i="72"/>
  <c r="AF11" i="72" s="1"/>
  <c r="AH11" i="72"/>
  <c r="AD61" i="60"/>
  <c r="AD12" i="72"/>
  <c r="N61" i="115"/>
  <c r="N62" i="115" s="1"/>
  <c r="AI61" i="60"/>
  <c r="N61" i="65"/>
  <c r="N62" i="65" s="1"/>
  <c r="BH78" i="113"/>
  <c r="BH79" i="113" s="1"/>
  <c r="BH81" i="113"/>
  <c r="BH83" i="113" s="1"/>
  <c r="BH85" i="113" s="1"/>
  <c r="BH87" i="113"/>
  <c r="BI80" i="113"/>
  <c r="M61" i="115"/>
  <c r="M62" i="115" s="1"/>
  <c r="M61" i="65"/>
  <c r="M62" i="65" s="1"/>
  <c r="AH61" i="60"/>
  <c r="M36" i="115"/>
  <c r="M37" i="115" s="1"/>
  <c r="M36" i="65"/>
  <c r="M37" i="65" s="1"/>
  <c r="AH44" i="60"/>
  <c r="AH36" i="60"/>
  <c r="K36" i="65"/>
  <c r="K37" i="65" s="1"/>
  <c r="K36" i="115"/>
  <c r="K37" i="115" s="1"/>
  <c r="AF44" i="60"/>
  <c r="AF36" i="60"/>
  <c r="AL27" i="60"/>
  <c r="AL35" i="60"/>
  <c r="K61" i="115"/>
  <c r="K62" i="115" s="1"/>
  <c r="K61" i="65"/>
  <c r="K62" i="65" s="1"/>
  <c r="AF61" i="60"/>
  <c r="AI36" i="60"/>
  <c r="N36" i="65"/>
  <c r="N37" i="65" s="1"/>
  <c r="N36" i="115"/>
  <c r="N37" i="115" s="1"/>
  <c r="AI44" i="60"/>
  <c r="J36" i="65"/>
  <c r="J37" i="65" s="1"/>
  <c r="AE36" i="60"/>
  <c r="J36" i="115"/>
  <c r="J37" i="115" s="1"/>
  <c r="AE44" i="60"/>
  <c r="AK27" i="60"/>
  <c r="AK35" i="60"/>
  <c r="O61" i="65" l="1"/>
  <c r="O62" i="65" s="1"/>
  <c r="AG44" i="60"/>
  <c r="L45" i="65" s="1"/>
  <c r="L46" i="65" s="1"/>
  <c r="S12" i="115"/>
  <c r="L36" i="65"/>
  <c r="L37" i="65" s="1"/>
  <c r="P28" i="115"/>
  <c r="U40" i="44" s="1"/>
  <c r="O36" i="65"/>
  <c r="O37" i="65" s="1"/>
  <c r="O36" i="115"/>
  <c r="O37" i="115" s="1"/>
  <c r="AC12" i="72"/>
  <c r="AN53" i="60"/>
  <c r="AM60" i="60"/>
  <c r="AM61" i="60" s="1"/>
  <c r="P28" i="65"/>
  <c r="S21" i="65" s="1"/>
  <c r="L61" i="115"/>
  <c r="L62" i="115" s="1"/>
  <c r="AE61" i="60"/>
  <c r="Z13" i="72" s="1"/>
  <c r="P54" i="65"/>
  <c r="C83" i="44" s="1"/>
  <c r="AG61" i="60"/>
  <c r="AB13" i="72" s="1"/>
  <c r="J61" i="115"/>
  <c r="J62" i="115" s="1"/>
  <c r="AJ36" i="60"/>
  <c r="P54" i="115"/>
  <c r="D83" i="44" s="1"/>
  <c r="E83" i="44" s="1"/>
  <c r="H83" i="44" s="1"/>
  <c r="AB12" i="72"/>
  <c r="AJ61" i="60"/>
  <c r="AC13" i="72"/>
  <c r="X13" i="72"/>
  <c r="AD36" i="60"/>
  <c r="Y13" i="72" s="1"/>
  <c r="I36" i="115"/>
  <c r="I37" i="115" s="1"/>
  <c r="AD44" i="60"/>
  <c r="AD45" i="60" s="1"/>
  <c r="I61" i="115"/>
  <c r="I62" i="115" s="1"/>
  <c r="I61" i="65"/>
  <c r="I62" i="65" s="1"/>
  <c r="Y12" i="72"/>
  <c r="AH12" i="72"/>
  <c r="H45" i="115"/>
  <c r="H46" i="115" s="1"/>
  <c r="H103" i="115" s="1"/>
  <c r="H45" i="65"/>
  <c r="H46" i="65" s="1"/>
  <c r="H109" i="65" s="1"/>
  <c r="AC45" i="60"/>
  <c r="AC108" i="60" s="1"/>
  <c r="AC102" i="60" s="1"/>
  <c r="X25" i="72" s="1"/>
  <c r="I45" i="65"/>
  <c r="I46" i="65" s="1"/>
  <c r="AD13" i="72"/>
  <c r="AA13" i="72"/>
  <c r="AF45" i="60"/>
  <c r="AF108" i="60" s="1"/>
  <c r="AF102" i="60" s="1"/>
  <c r="AA25" i="72" s="1"/>
  <c r="K45" i="115"/>
  <c r="K46" i="115" s="1"/>
  <c r="K109" i="115" s="1"/>
  <c r="K45" i="65"/>
  <c r="K46" i="65" s="1"/>
  <c r="K109" i="65" s="1"/>
  <c r="AM18" i="60"/>
  <c r="AM26" i="60"/>
  <c r="BI81" i="113"/>
  <c r="BI83" i="113" s="1"/>
  <c r="BI85" i="113" s="1"/>
  <c r="BI78" i="113"/>
  <c r="BI79" i="113" s="1"/>
  <c r="BI87" i="113"/>
  <c r="BJ80" i="113"/>
  <c r="AJ45" i="60"/>
  <c r="O45" i="115"/>
  <c r="O46" i="115" s="1"/>
  <c r="O45" i="65"/>
  <c r="O46" i="65" s="1"/>
  <c r="AI45" i="60"/>
  <c r="AI108" i="60" s="1"/>
  <c r="AI102" i="60" s="1"/>
  <c r="AD25" i="72" s="1"/>
  <c r="N45" i="65"/>
  <c r="N46" i="65" s="1"/>
  <c r="N103" i="65" s="1"/>
  <c r="N45" i="115"/>
  <c r="N46" i="115" s="1"/>
  <c r="N103" i="115" s="1"/>
  <c r="AH45" i="60"/>
  <c r="M45" i="65"/>
  <c r="M46" i="65" s="1"/>
  <c r="M109" i="65" s="1"/>
  <c r="M45" i="115"/>
  <c r="M46" i="115" s="1"/>
  <c r="M109" i="115" s="1"/>
  <c r="V39" i="44"/>
  <c r="C81" i="44"/>
  <c r="D81" i="44"/>
  <c r="AE45" i="60"/>
  <c r="J45" i="65"/>
  <c r="J46" i="65" s="1"/>
  <c r="J109" i="65" s="1"/>
  <c r="J45" i="115"/>
  <c r="J46" i="115" s="1"/>
  <c r="AL36" i="60"/>
  <c r="AL44" i="60"/>
  <c r="AL45" i="60" s="1"/>
  <c r="AK36" i="60"/>
  <c r="AK44" i="60"/>
  <c r="AK45" i="60" s="1"/>
  <c r="AL57" i="64" s="1"/>
  <c r="P37" i="65" l="1"/>
  <c r="S30" i="65" s="1"/>
  <c r="L109" i="65"/>
  <c r="P37" i="115"/>
  <c r="S30" i="115" s="1"/>
  <c r="L45" i="115"/>
  <c r="L46" i="115" s="1"/>
  <c r="L103" i="115" s="1"/>
  <c r="AG45" i="60"/>
  <c r="AH57" i="64" s="1"/>
  <c r="AH58" i="64" s="1"/>
  <c r="S21" i="115"/>
  <c r="L103" i="65"/>
  <c r="L109" i="115"/>
  <c r="J103" i="115"/>
  <c r="AE13" i="72"/>
  <c r="AF13" i="72" s="1"/>
  <c r="AF12" i="72"/>
  <c r="H103" i="65"/>
  <c r="I45" i="115"/>
  <c r="I46" i="115" s="1"/>
  <c r="I109" i="115" s="1"/>
  <c r="AD108" i="60"/>
  <c r="AD102" i="60" s="1"/>
  <c r="Y25" i="72" s="1"/>
  <c r="AE57" i="64"/>
  <c r="AE58" i="64" s="1"/>
  <c r="H109" i="115"/>
  <c r="Y14" i="72"/>
  <c r="Y68" i="72" s="1"/>
  <c r="I103" i="65"/>
  <c r="AH13" i="72"/>
  <c r="P62" i="65"/>
  <c r="C86" i="44" s="1"/>
  <c r="P62" i="115"/>
  <c r="D86" i="44" s="1"/>
  <c r="I109" i="65"/>
  <c r="X14" i="72"/>
  <c r="AD57" i="64"/>
  <c r="M103" i="65"/>
  <c r="N109" i="115"/>
  <c r="F83" i="44"/>
  <c r="K103" i="65"/>
  <c r="N109" i="65"/>
  <c r="J109" i="115"/>
  <c r="M103" i="115"/>
  <c r="AL58" i="64"/>
  <c r="AL99" i="60"/>
  <c r="AN26" i="60"/>
  <c r="AN18" i="60"/>
  <c r="C94" i="44"/>
  <c r="AC14" i="72"/>
  <c r="AI57" i="64"/>
  <c r="AD14" i="72"/>
  <c r="AJ57" i="64"/>
  <c r="J103" i="65"/>
  <c r="AM57" i="64"/>
  <c r="AL108" i="60"/>
  <c r="AL102" i="60" s="1"/>
  <c r="Z14" i="72"/>
  <c r="Z68" i="72" s="1"/>
  <c r="AF57" i="64"/>
  <c r="P46" i="65"/>
  <c r="AE108" i="60"/>
  <c r="AE102" i="60" s="1"/>
  <c r="AH108" i="60"/>
  <c r="AH102" i="60" s="1"/>
  <c r="AC25" i="72" s="1"/>
  <c r="D94" i="44"/>
  <c r="E81" i="44"/>
  <c r="O103" i="65"/>
  <c r="O109" i="65"/>
  <c r="AM27" i="60"/>
  <c r="AM35" i="60"/>
  <c r="AA14" i="72"/>
  <c r="AG57" i="64"/>
  <c r="AB45" i="44"/>
  <c r="AH36" i="44"/>
  <c r="V40" i="44"/>
  <c r="AH38" i="44" s="1"/>
  <c r="D82" i="44"/>
  <c r="C82" i="44"/>
  <c r="C84" i="44" s="1"/>
  <c r="AK108" i="60"/>
  <c r="AK102" i="60" s="1"/>
  <c r="O109" i="115"/>
  <c r="O103" i="115"/>
  <c r="K103" i="115"/>
  <c r="AE14" i="72"/>
  <c r="AK57" i="64"/>
  <c r="AJ108" i="60"/>
  <c r="AJ102" i="60" s="1"/>
  <c r="AE25" i="72" s="1"/>
  <c r="BJ81" i="113"/>
  <c r="BJ83" i="113" s="1"/>
  <c r="BJ85" i="113" s="1"/>
  <c r="BK80" i="113" s="1"/>
  <c r="BJ78" i="113"/>
  <c r="BJ79" i="113" s="1"/>
  <c r="BJ87" i="113"/>
  <c r="U41" i="44" l="1"/>
  <c r="V41" i="44" s="1"/>
  <c r="AH99" i="60"/>
  <c r="M100" i="65" s="1"/>
  <c r="AG108" i="60"/>
  <c r="AG102" i="60" s="1"/>
  <c r="AB25" i="72" s="1"/>
  <c r="AB14" i="72"/>
  <c r="AB15" i="72" s="1"/>
  <c r="BD88" i="113"/>
  <c r="BE114" i="60" s="1"/>
  <c r="BE110" i="60" s="1"/>
  <c r="AW5" i="80" s="1"/>
  <c r="AW8" i="80" s="1"/>
  <c r="AW9" i="80" s="1"/>
  <c r="AW10" i="80" s="1"/>
  <c r="P46" i="115"/>
  <c r="P109" i="115" s="1"/>
  <c r="E86" i="44"/>
  <c r="F86" i="44" s="1"/>
  <c r="I103" i="115"/>
  <c r="P103" i="115" s="1"/>
  <c r="Y15" i="72"/>
  <c r="AE99" i="60"/>
  <c r="Z18" i="72" s="1"/>
  <c r="U43" i="44"/>
  <c r="V43" i="44" s="1"/>
  <c r="AD99" i="60"/>
  <c r="AD58" i="64"/>
  <c r="X68" i="72"/>
  <c r="X15" i="72"/>
  <c r="C85" i="44"/>
  <c r="C87" i="44" s="1"/>
  <c r="D85" i="44"/>
  <c r="P103" i="65"/>
  <c r="P46" i="76" s="1"/>
  <c r="AB47" i="44"/>
  <c r="AH40" i="44" s="1"/>
  <c r="AF14" i="72"/>
  <c r="AF68" i="72" s="1"/>
  <c r="AG58" i="64"/>
  <c r="AG99" i="60"/>
  <c r="L94" i="44"/>
  <c r="E94" i="44"/>
  <c r="S39" i="65"/>
  <c r="P109" i="65"/>
  <c r="AD68" i="72"/>
  <c r="AD15" i="72"/>
  <c r="BE88" i="113"/>
  <c r="BF114" i="60" s="1"/>
  <c r="BF110" i="60" s="1"/>
  <c r="AX5" i="80" s="1"/>
  <c r="Z25" i="72"/>
  <c r="AF25" i="72" s="1"/>
  <c r="AJ58" i="64"/>
  <c r="AJ99" i="60"/>
  <c r="J94" i="44"/>
  <c r="U42" i="44"/>
  <c r="BJ88" i="113"/>
  <c r="BK114" i="60" s="1"/>
  <c r="BK110" i="60" s="1"/>
  <c r="BC5" i="80" s="1"/>
  <c r="AZ88" i="113"/>
  <c r="BA114" i="60" s="1"/>
  <c r="BA110" i="60" s="1"/>
  <c r="AS5" i="80" s="1"/>
  <c r="AY88" i="113"/>
  <c r="AZ114" i="60" s="1"/>
  <c r="AZ110" i="60" s="1"/>
  <c r="AR5" i="80" s="1"/>
  <c r="BC88" i="113"/>
  <c r="BD114" i="60" s="1"/>
  <c r="BD110" i="60" s="1"/>
  <c r="AV5" i="80" s="1"/>
  <c r="BA88" i="113"/>
  <c r="BB114" i="60" s="1"/>
  <c r="BB110" i="60" s="1"/>
  <c r="AT5" i="80" s="1"/>
  <c r="BB88" i="113"/>
  <c r="BC114" i="60" s="1"/>
  <c r="BC110" i="60" s="1"/>
  <c r="AU5" i="80" s="1"/>
  <c r="BH88" i="113"/>
  <c r="BI114" i="60" s="1"/>
  <c r="BI110" i="60" s="1"/>
  <c r="BA5" i="80" s="1"/>
  <c r="AK99" i="60"/>
  <c r="AK58" i="64"/>
  <c r="Z15" i="72"/>
  <c r="AA68" i="72"/>
  <c r="AA15" i="72"/>
  <c r="BG88" i="113"/>
  <c r="BH114" i="60" s="1"/>
  <c r="BH110" i="60" s="1"/>
  <c r="AZ5" i="80" s="1"/>
  <c r="AF58" i="64"/>
  <c r="AF99" i="60"/>
  <c r="AM58" i="64"/>
  <c r="AM99" i="60"/>
  <c r="AI58" i="64"/>
  <c r="AI99" i="60"/>
  <c r="BK81" i="113"/>
  <c r="BK83" i="113" s="1"/>
  <c r="BK85" i="113" s="1"/>
  <c r="BK78" i="113"/>
  <c r="BK79" i="113" s="1"/>
  <c r="BL80" i="113"/>
  <c r="BK87" i="113"/>
  <c r="AE68" i="72"/>
  <c r="AE15" i="72"/>
  <c r="E82" i="44"/>
  <c r="D84" i="44"/>
  <c r="M100" i="115"/>
  <c r="AC18" i="72"/>
  <c r="AM36" i="60"/>
  <c r="AM44" i="60"/>
  <c r="AM45" i="60" s="1"/>
  <c r="AN57" i="64" s="1"/>
  <c r="H81" i="44"/>
  <c r="F81" i="44"/>
  <c r="BF88" i="113"/>
  <c r="BG114" i="60" s="1"/>
  <c r="BG110" i="60" s="1"/>
  <c r="AY5" i="80" s="1"/>
  <c r="BI88" i="113"/>
  <c r="BJ114" i="60" s="1"/>
  <c r="BJ110" i="60" s="1"/>
  <c r="BB5" i="80" s="1"/>
  <c r="AC68" i="72"/>
  <c r="AC15" i="72"/>
  <c r="AN27" i="60"/>
  <c r="AN35" i="60"/>
  <c r="AB68" i="72" l="1"/>
  <c r="AW7" i="80"/>
  <c r="S39" i="115"/>
  <c r="H86" i="44"/>
  <c r="J100" i="115"/>
  <c r="J100" i="65"/>
  <c r="AH18" i="72"/>
  <c r="I100" i="115"/>
  <c r="Y18" i="72"/>
  <c r="I100" i="65"/>
  <c r="E85" i="44"/>
  <c r="F85" i="44" s="1"/>
  <c r="P46" i="91"/>
  <c r="D87" i="44"/>
  <c r="E87" i="44" s="1"/>
  <c r="AN99" i="60"/>
  <c r="AN58" i="64"/>
  <c r="BL81" i="113"/>
  <c r="BL83" i="113" s="1"/>
  <c r="BL85" i="113" s="1"/>
  <c r="BL78" i="113"/>
  <c r="BL79" i="113" s="1"/>
  <c r="BL87" i="113"/>
  <c r="BM80" i="113"/>
  <c r="AT7" i="80"/>
  <c r="AT8" i="80"/>
  <c r="AT9" i="80" s="1"/>
  <c r="AT10" i="80" s="1"/>
  <c r="BC7" i="80"/>
  <c r="BC8" i="80"/>
  <c r="BC9" i="80" s="1"/>
  <c r="BC10" i="80" s="1"/>
  <c r="F94" i="44"/>
  <c r="H94" i="44"/>
  <c r="K94" i="44" s="1"/>
  <c r="AF15" i="72"/>
  <c r="AZ8" i="80"/>
  <c r="AZ9" i="80" s="1"/>
  <c r="AZ10" i="80" s="1"/>
  <c r="AZ7" i="80"/>
  <c r="AU7" i="80"/>
  <c r="AU8" i="80"/>
  <c r="AU9" i="80" s="1"/>
  <c r="AU10" i="80" s="1"/>
  <c r="AS7" i="80"/>
  <c r="AS8" i="80"/>
  <c r="AS9" i="80" s="1"/>
  <c r="AS10" i="80" s="1"/>
  <c r="L100" i="115"/>
  <c r="L100" i="65"/>
  <c r="AB18" i="72"/>
  <c r="AN44" i="60"/>
  <c r="AN45" i="60" s="1"/>
  <c r="AN36" i="60"/>
  <c r="BB7" i="80"/>
  <c r="BB8" i="80"/>
  <c r="BB9" i="80" s="1"/>
  <c r="BB10" i="80" s="1"/>
  <c r="N100" i="115"/>
  <c r="N100" i="65"/>
  <c r="AD18" i="72"/>
  <c r="K100" i="65"/>
  <c r="K100" i="115"/>
  <c r="AA18" i="72"/>
  <c r="AV7" i="80"/>
  <c r="AV8" i="80"/>
  <c r="AV9" i="80" s="1"/>
  <c r="AV10" i="80" s="1"/>
  <c r="O100" i="65"/>
  <c r="O100" i="115"/>
  <c r="AE18" i="72"/>
  <c r="AX7" i="80"/>
  <c r="AX8" i="80"/>
  <c r="AX9" i="80" s="1"/>
  <c r="AX10" i="80" s="1"/>
  <c r="AW56" i="80"/>
  <c r="AW28" i="80"/>
  <c r="AM108" i="60"/>
  <c r="AM102" i="60" s="1"/>
  <c r="AY7" i="80"/>
  <c r="AY8" i="80"/>
  <c r="AY9" i="80" s="1"/>
  <c r="AY10" i="80" s="1"/>
  <c r="H82" i="44"/>
  <c r="F82" i="44"/>
  <c r="E84" i="44"/>
  <c r="BA7" i="80"/>
  <c r="BA8" i="80"/>
  <c r="BA9" i="80" s="1"/>
  <c r="BA10" i="80" s="1"/>
  <c r="AR7" i="80"/>
  <c r="AR8" i="80"/>
  <c r="AR9" i="80" s="1"/>
  <c r="AR10" i="80" s="1"/>
  <c r="C88" i="44"/>
  <c r="D88" i="44"/>
  <c r="V42" i="44"/>
  <c r="U49" i="44"/>
  <c r="AB46" i="44"/>
  <c r="AJ77" i="80" l="1"/>
  <c r="AJ78" i="80" s="1"/>
  <c r="H85" i="44"/>
  <c r="AN108" i="60"/>
  <c r="AN102" i="60" s="1"/>
  <c r="C96" i="44"/>
  <c r="H84" i="44"/>
  <c r="F84" i="44"/>
  <c r="AW67" i="80"/>
  <c r="AW69" i="80"/>
  <c r="AW62" i="80"/>
  <c r="AX28" i="80"/>
  <c r="AX56" i="80"/>
  <c r="BB28" i="80"/>
  <c r="BB56" i="80"/>
  <c r="AF18" i="72"/>
  <c r="P100" i="65"/>
  <c r="AO57" i="64"/>
  <c r="AZ28" i="80"/>
  <c r="AZ56" i="80"/>
  <c r="P100" i="115"/>
  <c r="E88" i="44"/>
  <c r="AV28" i="80"/>
  <c r="AV56" i="80"/>
  <c r="D96" i="44"/>
  <c r="AS28" i="80"/>
  <c r="AS56" i="80"/>
  <c r="BC56" i="80"/>
  <c r="BC28" i="80"/>
  <c r="AT28" i="80"/>
  <c r="AT56" i="80"/>
  <c r="BM81" i="113"/>
  <c r="BM83" i="113" s="1"/>
  <c r="BM85" i="113" s="1"/>
  <c r="BM78" i="113"/>
  <c r="BM79" i="113" s="1"/>
  <c r="BN80" i="113"/>
  <c r="BM87" i="113"/>
  <c r="AH65" i="80"/>
  <c r="AH72" i="80" s="1"/>
  <c r="AH85" i="80" s="1"/>
  <c r="AY28" i="80"/>
  <c r="AY56" i="80"/>
  <c r="AR28" i="80"/>
  <c r="AR56" i="80"/>
  <c r="BA28" i="80"/>
  <c r="BA56" i="80"/>
  <c r="F87" i="44"/>
  <c r="H87" i="44"/>
  <c r="AU28" i="80"/>
  <c r="AU56" i="80"/>
  <c r="AJ86" i="80" l="1"/>
  <c r="AJ80" i="80"/>
  <c r="AJ65" i="80" s="1"/>
  <c r="AJ72" i="80" s="1"/>
  <c r="AJ85" i="80" s="1"/>
  <c r="AL80" i="80"/>
  <c r="AL65" i="80" s="1"/>
  <c r="AL72" i="80" s="1"/>
  <c r="AL85" i="80" s="1"/>
  <c r="AN80" i="80"/>
  <c r="AN65" i="80" s="1"/>
  <c r="AN72" i="80" s="1"/>
  <c r="AN85" i="80" s="1"/>
  <c r="AQ80" i="80"/>
  <c r="AQ65" i="80" s="1"/>
  <c r="AQ72" i="80" s="1"/>
  <c r="AQ85" i="80" s="1"/>
  <c r="AO80" i="80"/>
  <c r="AO65" i="80" s="1"/>
  <c r="AO72" i="80" s="1"/>
  <c r="AO85" i="80" s="1"/>
  <c r="AK80" i="80"/>
  <c r="AK65" i="80" s="1"/>
  <c r="AK72" i="80" s="1"/>
  <c r="AK85" i="80" s="1"/>
  <c r="AP80" i="80"/>
  <c r="AP65" i="80" s="1"/>
  <c r="AP72" i="80" s="1"/>
  <c r="AP85" i="80" s="1"/>
  <c r="AM80" i="80"/>
  <c r="AM65" i="80" s="1"/>
  <c r="AM72" i="80" s="1"/>
  <c r="AM85" i="80" s="1"/>
  <c r="AU80" i="80"/>
  <c r="AS80" i="80"/>
  <c r="AS65" i="80" s="1"/>
  <c r="AR80" i="80"/>
  <c r="AR65" i="80" s="1"/>
  <c r="AT80" i="80"/>
  <c r="AH87" i="80"/>
  <c r="AH89" i="80" s="1"/>
  <c r="AI65" i="80"/>
  <c r="AI72" i="80" s="1"/>
  <c r="AI85" i="80" s="1"/>
  <c r="AI87" i="80" s="1"/>
  <c r="AI89" i="80" s="1"/>
  <c r="AU67" i="80"/>
  <c r="AU62" i="80"/>
  <c r="AU69" i="80"/>
  <c r="AY67" i="80"/>
  <c r="AY62" i="80"/>
  <c r="AY69" i="80"/>
  <c r="AV62" i="80"/>
  <c r="AV67" i="80"/>
  <c r="AV69" i="80"/>
  <c r="P43" i="91"/>
  <c r="M48" i="44"/>
  <c r="BC69" i="80"/>
  <c r="BC67" i="80"/>
  <c r="BC62" i="80"/>
  <c r="L96" i="44"/>
  <c r="E96" i="44"/>
  <c r="AZ67" i="80"/>
  <c r="AZ62" i="80"/>
  <c r="AZ69" i="80"/>
  <c r="AO99" i="60"/>
  <c r="AO58" i="64"/>
  <c r="L48" i="44"/>
  <c r="P43" i="76"/>
  <c r="BA67" i="80"/>
  <c r="BA62" i="80"/>
  <c r="BA69" i="80"/>
  <c r="AR69" i="80"/>
  <c r="AR67" i="80"/>
  <c r="AR62" i="80"/>
  <c r="AT62" i="80"/>
  <c r="AT69" i="80"/>
  <c r="AT67" i="80"/>
  <c r="AS62" i="80"/>
  <c r="AS67" i="80"/>
  <c r="AS69" i="80"/>
  <c r="H88" i="44"/>
  <c r="F88" i="44"/>
  <c r="BB62" i="80"/>
  <c r="BB67" i="80"/>
  <c r="BB69" i="80"/>
  <c r="J96" i="44"/>
  <c r="BN81" i="113"/>
  <c r="BN83" i="113" s="1"/>
  <c r="BN85" i="113" s="1"/>
  <c r="BN78" i="113"/>
  <c r="BN79" i="113" s="1"/>
  <c r="BN87" i="113"/>
  <c r="BO80" i="113"/>
  <c r="AX69" i="80"/>
  <c r="AX67" i="80"/>
  <c r="AX62" i="80"/>
  <c r="AJ87" i="80" l="1"/>
  <c r="AJ89" i="80" s="1"/>
  <c r="AK86" i="80"/>
  <c r="AL86" i="80" s="1"/>
  <c r="AM86" i="80" s="1"/>
  <c r="AM87" i="80" s="1"/>
  <c r="AM89" i="80" s="1"/>
  <c r="AJ93" i="80"/>
  <c r="AK93" i="80" s="1"/>
  <c r="AL93" i="80" s="1"/>
  <c r="AG84" i="80"/>
  <c r="AG92" i="80" s="1"/>
  <c r="AM84" i="80"/>
  <c r="AM92" i="80" s="1"/>
  <c r="AJ84" i="80"/>
  <c r="AJ92" i="80" s="1"/>
  <c r="AS72" i="80"/>
  <c r="AS85" i="80" s="1"/>
  <c r="V91" i="44"/>
  <c r="C90" i="44"/>
  <c r="BO81" i="113"/>
  <c r="BO83" i="113" s="1"/>
  <c r="BO85" i="113" s="1"/>
  <c r="BO78" i="113"/>
  <c r="BO79" i="113" s="1"/>
  <c r="BO87" i="113"/>
  <c r="BP80" i="113"/>
  <c r="O48" i="44"/>
  <c r="N48" i="44"/>
  <c r="D90" i="44"/>
  <c r="AR72" i="80"/>
  <c r="AR85" i="80" s="1"/>
  <c r="F96" i="44"/>
  <c r="H96" i="44"/>
  <c r="K96" i="44" s="1"/>
  <c r="AL87" i="80" l="1"/>
  <c r="AL89" i="80" s="1"/>
  <c r="AN86" i="80"/>
  <c r="AM93" i="80"/>
  <c r="AN93" i="80" s="1"/>
  <c r="AO93" i="80" s="1"/>
  <c r="AK87" i="80"/>
  <c r="AK89" i="80" s="1"/>
  <c r="AP84" i="80"/>
  <c r="AP92" i="80" s="1"/>
  <c r="AQ92" i="80" s="1"/>
  <c r="AR92" i="80" s="1"/>
  <c r="AM98" i="80"/>
  <c r="AN92" i="80"/>
  <c r="AO92" i="80" s="1"/>
  <c r="AK92" i="80"/>
  <c r="AL92" i="80" s="1"/>
  <c r="AJ98" i="80"/>
  <c r="AJ97" i="80"/>
  <c r="AH92" i="80"/>
  <c r="AI92" i="80" s="1"/>
  <c r="AG98" i="80"/>
  <c r="AG97" i="80"/>
  <c r="AO17" i="60" s="1"/>
  <c r="C97" i="44"/>
  <c r="D97" i="44"/>
  <c r="E90" i="44"/>
  <c r="F90" i="44" s="1"/>
  <c r="BP81" i="113"/>
  <c r="BP83" i="113" s="1"/>
  <c r="BP85" i="113" s="1"/>
  <c r="BP78" i="113"/>
  <c r="BP79" i="113" s="1"/>
  <c r="BP87" i="113"/>
  <c r="BQ80" i="113"/>
  <c r="AM97" i="80" l="1"/>
  <c r="AN97" i="80" s="1"/>
  <c r="AK97" i="80"/>
  <c r="AR17" i="60"/>
  <c r="AO86" i="80"/>
  <c r="AN87" i="80"/>
  <c r="AN89" i="80" s="1"/>
  <c r="AP98" i="80"/>
  <c r="AP103" i="80" s="1"/>
  <c r="AH97" i="80"/>
  <c r="AP17" i="60" s="1"/>
  <c r="AJ103" i="80"/>
  <c r="AK98" i="80"/>
  <c r="AL98" i="80" s="1"/>
  <c r="AH98" i="80"/>
  <c r="AI98" i="80" s="1"/>
  <c r="AG103" i="80"/>
  <c r="AO52" i="60" s="1"/>
  <c r="AN98" i="80"/>
  <c r="AO98" i="80" s="1"/>
  <c r="AM103" i="80"/>
  <c r="BQ81" i="113"/>
  <c r="BQ83" i="113" s="1"/>
  <c r="BQ85" i="113" s="1"/>
  <c r="BQ78" i="113"/>
  <c r="BQ79" i="113" s="1"/>
  <c r="BR80" i="113"/>
  <c r="BQ87" i="113"/>
  <c r="E97" i="44"/>
  <c r="AU17" i="60" l="1"/>
  <c r="AU18" i="60" s="1"/>
  <c r="AN103" i="80"/>
  <c r="AU52" i="60"/>
  <c r="AQ103" i="80"/>
  <c r="AX52" i="60"/>
  <c r="AL97" i="80"/>
  <c r="AT17" i="60" s="1"/>
  <c r="AT18" i="60" s="1"/>
  <c r="AS17" i="60"/>
  <c r="AS26" i="60" s="1"/>
  <c r="AS35" i="60" s="1"/>
  <c r="AK103" i="80"/>
  <c r="AR52" i="60"/>
  <c r="AO97" i="80"/>
  <c r="AW17" i="60" s="1"/>
  <c r="AW18" i="60" s="1"/>
  <c r="AV17" i="60"/>
  <c r="AV26" i="60" s="1"/>
  <c r="AV27" i="60" s="1"/>
  <c r="AP86" i="80"/>
  <c r="AO87" i="80"/>
  <c r="AO89" i="80" s="1"/>
  <c r="AQ98" i="80"/>
  <c r="AR98" i="80" s="1"/>
  <c r="AI97" i="80"/>
  <c r="AH103" i="80"/>
  <c r="AP52" i="60" s="1"/>
  <c r="AO26" i="60"/>
  <c r="AO18" i="60"/>
  <c r="F97" i="44"/>
  <c r="AR18" i="60"/>
  <c r="AR26" i="60"/>
  <c r="BR81" i="113"/>
  <c r="BR83" i="113" s="1"/>
  <c r="BR85" i="113" s="1"/>
  <c r="BR78" i="113"/>
  <c r="BR79" i="113" s="1"/>
  <c r="BS80" i="113"/>
  <c r="BR87" i="113"/>
  <c r="AU26" i="60"/>
  <c r="AV18" i="60" l="1"/>
  <c r="AW26" i="60"/>
  <c r="AS27" i="60"/>
  <c r="AT26" i="60"/>
  <c r="AT27" i="60" s="1"/>
  <c r="AV35" i="60"/>
  <c r="AV36" i="60" s="1"/>
  <c r="AQ17" i="60"/>
  <c r="AQ26" i="60" s="1"/>
  <c r="AL103" i="80"/>
  <c r="AT52" i="60" s="1"/>
  <c r="AT53" i="60" s="1"/>
  <c r="AS52" i="60"/>
  <c r="AS53" i="60" s="1"/>
  <c r="AR103" i="80"/>
  <c r="AZ52" i="60" s="1"/>
  <c r="AY52" i="60"/>
  <c r="AS18" i="60"/>
  <c r="AO103" i="80"/>
  <c r="AW52" i="60" s="1"/>
  <c r="AW53" i="60" s="1"/>
  <c r="AV52" i="60"/>
  <c r="AV53" i="60" s="1"/>
  <c r="AQ86" i="80"/>
  <c r="AP93" i="80"/>
  <c r="AP87" i="80"/>
  <c r="AP89" i="80" s="1"/>
  <c r="AO53" i="60"/>
  <c r="AO60" i="60"/>
  <c r="AO61" i="60" s="1"/>
  <c r="AP18" i="60"/>
  <c r="AI11" i="72" s="1"/>
  <c r="AP26" i="60"/>
  <c r="AO35" i="60"/>
  <c r="AO27" i="60"/>
  <c r="AI103" i="80"/>
  <c r="AU27" i="60"/>
  <c r="AU35" i="60"/>
  <c r="AR35" i="60"/>
  <c r="AR27" i="60"/>
  <c r="AR53" i="60"/>
  <c r="AR60" i="60"/>
  <c r="AR61" i="60" s="1"/>
  <c r="BS78" i="113"/>
  <c r="BS79" i="113" s="1"/>
  <c r="BS81" i="113"/>
  <c r="BS83" i="113" s="1"/>
  <c r="BS85" i="113" s="1"/>
  <c r="BT80" i="113"/>
  <c r="BS87" i="113"/>
  <c r="AW27" i="60"/>
  <c r="AW35" i="60"/>
  <c r="AU60" i="60"/>
  <c r="AU61" i="60" s="1"/>
  <c r="AU53" i="60"/>
  <c r="AX53" i="60"/>
  <c r="AX60" i="60"/>
  <c r="AX61" i="60" s="1"/>
  <c r="AS36" i="60"/>
  <c r="AS44" i="60"/>
  <c r="AS45" i="60" s="1"/>
  <c r="AV44" i="60" l="1"/>
  <c r="AV45" i="60" s="1"/>
  <c r="AW57" i="64" s="1"/>
  <c r="AT35" i="60"/>
  <c r="AT44" i="60" s="1"/>
  <c r="AT45" i="60" s="1"/>
  <c r="AU57" i="64" s="1"/>
  <c r="AW60" i="60"/>
  <c r="AW61" i="60" s="1"/>
  <c r="AT60" i="60"/>
  <c r="AT61" i="60" s="1"/>
  <c r="AQ18" i="60"/>
  <c r="AV60" i="60"/>
  <c r="AV61" i="60" s="1"/>
  <c r="AV108" i="60" s="1"/>
  <c r="AV102" i="60" s="1"/>
  <c r="AQ27" i="60"/>
  <c r="AQ35" i="60"/>
  <c r="AQ36" i="60" s="1"/>
  <c r="AT57" i="64"/>
  <c r="AT99" i="60" s="1"/>
  <c r="AQ52" i="60"/>
  <c r="AQ53" i="60" s="1"/>
  <c r="AS60" i="60"/>
  <c r="AS61" i="60" s="1"/>
  <c r="AS108" i="60" s="1"/>
  <c r="AS102" i="60" s="1"/>
  <c r="AQ93" i="80"/>
  <c r="AR93" i="80" s="1"/>
  <c r="AP97" i="80"/>
  <c r="AX17" i="60" s="1"/>
  <c r="AR86" i="80"/>
  <c r="AQ87" i="80"/>
  <c r="AQ89" i="80" s="1"/>
  <c r="AO36" i="60"/>
  <c r="AO44" i="60"/>
  <c r="AO45" i="60" s="1"/>
  <c r="AP57" i="64" s="1"/>
  <c r="AQ60" i="60"/>
  <c r="AQ61" i="60" s="1"/>
  <c r="AP60" i="60"/>
  <c r="AP61" i="60" s="1"/>
  <c r="AP53" i="60"/>
  <c r="AP27" i="60"/>
  <c r="AP35" i="60"/>
  <c r="AR44" i="60"/>
  <c r="AR45" i="60" s="1"/>
  <c r="AS57" i="64" s="1"/>
  <c r="AR36" i="60"/>
  <c r="AW58" i="64"/>
  <c r="AW99" i="60"/>
  <c r="AU36" i="60"/>
  <c r="AU44" i="60"/>
  <c r="AU45" i="60" s="1"/>
  <c r="AV57" i="64" s="1"/>
  <c r="BT81" i="113"/>
  <c r="BT83" i="113" s="1"/>
  <c r="BT85" i="113" s="1"/>
  <c r="BT78" i="113"/>
  <c r="BT79" i="113" s="1"/>
  <c r="BT87" i="113"/>
  <c r="BU80" i="113"/>
  <c r="AY53" i="60"/>
  <c r="AY60" i="60"/>
  <c r="AY61" i="60" s="1"/>
  <c r="AW44" i="60"/>
  <c r="AW45" i="60" s="1"/>
  <c r="AX57" i="64" s="1"/>
  <c r="AW36" i="60"/>
  <c r="AT36" i="60"/>
  <c r="AT58" i="64" l="1"/>
  <c r="AQ44" i="60"/>
  <c r="AQ45" i="60" s="1"/>
  <c r="AR57" i="64" s="1"/>
  <c r="AR99" i="60" s="1"/>
  <c r="AS86" i="80"/>
  <c r="AR87" i="80"/>
  <c r="AR89" i="80" s="1"/>
  <c r="AQ97" i="80"/>
  <c r="AY17" i="60" s="1"/>
  <c r="AP99" i="60"/>
  <c r="AI18" i="72" s="1"/>
  <c r="AP58" i="64"/>
  <c r="AO108" i="60"/>
  <c r="AO102" i="60" s="1"/>
  <c r="AP36" i="60"/>
  <c r="AI13" i="72" s="1"/>
  <c r="AP44" i="60"/>
  <c r="AP45" i="60" s="1"/>
  <c r="AR108" i="60"/>
  <c r="AR102" i="60" s="1"/>
  <c r="AW108" i="60"/>
  <c r="AW102" i="60" s="1"/>
  <c r="AU99" i="60"/>
  <c r="AU58" i="64"/>
  <c r="AX99" i="60"/>
  <c r="AX58" i="64"/>
  <c r="BU81" i="113"/>
  <c r="BU83" i="113" s="1"/>
  <c r="BU85" i="113" s="1"/>
  <c r="BU78" i="113"/>
  <c r="BU79" i="113" s="1"/>
  <c r="BV80" i="113"/>
  <c r="BU87" i="113"/>
  <c r="AV58" i="64"/>
  <c r="AV99" i="60"/>
  <c r="AT108" i="60"/>
  <c r="AT102" i="60" s="1"/>
  <c r="AU108" i="60"/>
  <c r="AU102" i="60" s="1"/>
  <c r="AZ53" i="60"/>
  <c r="AZ60" i="60"/>
  <c r="AZ61" i="60" s="1"/>
  <c r="AS99" i="60"/>
  <c r="AS58" i="64"/>
  <c r="AR58" i="64" l="1"/>
  <c r="AQ108" i="60"/>
  <c r="AQ102" i="60" s="1"/>
  <c r="AX18" i="60"/>
  <c r="AX26" i="60"/>
  <c r="AR97" i="80"/>
  <c r="AT86" i="80"/>
  <c r="AU86" i="80" s="1"/>
  <c r="AS93" i="80"/>
  <c r="AT93" i="80" s="1"/>
  <c r="AU93" i="80" s="1"/>
  <c r="AS87" i="80"/>
  <c r="AS89" i="80" s="1"/>
  <c r="AP108" i="60"/>
  <c r="AP102" i="60" s="1"/>
  <c r="AI25" i="72" s="1"/>
  <c r="AI14" i="72"/>
  <c r="AQ57" i="64"/>
  <c r="BV81" i="113"/>
  <c r="BV83" i="113" s="1"/>
  <c r="BV85" i="113" s="1"/>
  <c r="BW80" i="113" s="1"/>
  <c r="BV78" i="113"/>
  <c r="BV79" i="113" s="1"/>
  <c r="BV87" i="113"/>
  <c r="AZ17" i="60" l="1"/>
  <c r="AZ18" i="60" s="1"/>
  <c r="AY26" i="60"/>
  <c r="AY18" i="60"/>
  <c r="AX27" i="60"/>
  <c r="AX35" i="60"/>
  <c r="AQ58" i="64"/>
  <c r="AQ99" i="60"/>
  <c r="BW78" i="113"/>
  <c r="BW79" i="113" s="1"/>
  <c r="BW81" i="113"/>
  <c r="BW83" i="113" s="1"/>
  <c r="BW85" i="113" s="1"/>
  <c r="BW87" i="113"/>
  <c r="BX80" i="113"/>
  <c r="BS88" i="113"/>
  <c r="BT114" i="60" s="1"/>
  <c r="BT110" i="60" s="1"/>
  <c r="BL5" i="80" s="1"/>
  <c r="BV88" i="113"/>
  <c r="BW114" i="60" s="1"/>
  <c r="BW110" i="60" s="1"/>
  <c r="BO5" i="80" s="1"/>
  <c r="BM88" i="113"/>
  <c r="BN114" i="60" s="1"/>
  <c r="BN110" i="60" s="1"/>
  <c r="BF5" i="80" s="1"/>
  <c r="BL88" i="113"/>
  <c r="BM114" i="60" s="1"/>
  <c r="BM110" i="60" s="1"/>
  <c r="BE5" i="80" s="1"/>
  <c r="BK88" i="113"/>
  <c r="BL114" i="60" s="1"/>
  <c r="BL110" i="60" s="1"/>
  <c r="BD5" i="80" s="1"/>
  <c r="BN88" i="113"/>
  <c r="BO114" i="60" s="1"/>
  <c r="BO110" i="60" s="1"/>
  <c r="BG5" i="80" s="1"/>
  <c r="BO88" i="113"/>
  <c r="BP114" i="60" s="1"/>
  <c r="BP110" i="60" s="1"/>
  <c r="BH5" i="80" s="1"/>
  <c r="BQ88" i="113"/>
  <c r="BR114" i="60" s="1"/>
  <c r="BR110" i="60" s="1"/>
  <c r="BJ5" i="80" s="1"/>
  <c r="BT88" i="113"/>
  <c r="BU114" i="60" s="1"/>
  <c r="BU110" i="60" s="1"/>
  <c r="BM5" i="80" s="1"/>
  <c r="BR88" i="113"/>
  <c r="BS114" i="60" s="1"/>
  <c r="BS110" i="60" s="1"/>
  <c r="BK5" i="80" s="1"/>
  <c r="BU88" i="113"/>
  <c r="BV114" i="60" s="1"/>
  <c r="BV110" i="60" s="1"/>
  <c r="BN5" i="80" s="1"/>
  <c r="BP88" i="113"/>
  <c r="BQ114" i="60" s="1"/>
  <c r="BQ110" i="60" s="1"/>
  <c r="BI5" i="80" s="1"/>
  <c r="AZ26" i="60" l="1"/>
  <c r="AX36" i="60"/>
  <c r="AX44" i="60"/>
  <c r="AX45" i="60" s="1"/>
  <c r="AY27" i="60"/>
  <c r="AY35" i="60"/>
  <c r="BI7" i="80"/>
  <c r="BI8" i="80"/>
  <c r="BI9" i="80" s="1"/>
  <c r="BI10" i="80" s="1"/>
  <c r="BJ7" i="80"/>
  <c r="BJ8" i="80"/>
  <c r="BJ9" i="80" s="1"/>
  <c r="BJ10" i="80" s="1"/>
  <c r="BE7" i="80"/>
  <c r="BE8" i="80"/>
  <c r="BE9" i="80" s="1"/>
  <c r="BE10" i="80" s="1"/>
  <c r="BF7" i="80"/>
  <c r="BF8" i="80"/>
  <c r="BF9" i="80" s="1"/>
  <c r="BF10" i="80" s="1"/>
  <c r="BK7" i="80"/>
  <c r="BK8" i="80"/>
  <c r="BK9" i="80" s="1"/>
  <c r="BK10" i="80" s="1"/>
  <c r="BG7" i="80"/>
  <c r="BG8" i="80"/>
  <c r="BG9" i="80" s="1"/>
  <c r="BG10" i="80" s="1"/>
  <c r="BO7" i="80"/>
  <c r="BO8" i="80"/>
  <c r="BO9" i="80" s="1"/>
  <c r="BO10" i="80" s="1"/>
  <c r="BH7" i="80"/>
  <c r="BH8" i="80"/>
  <c r="BH9" i="80" s="1"/>
  <c r="BH10" i="80" s="1"/>
  <c r="BX81" i="113"/>
  <c r="BX83" i="113" s="1"/>
  <c r="BX85" i="113" s="1"/>
  <c r="BX78" i="113"/>
  <c r="BX79" i="113" s="1"/>
  <c r="BX87" i="113"/>
  <c r="BY80" i="113"/>
  <c r="BN7" i="80"/>
  <c r="BN8" i="80"/>
  <c r="BN9" i="80" s="1"/>
  <c r="BN10" i="80" s="1"/>
  <c r="BM7" i="80"/>
  <c r="BM8" i="80"/>
  <c r="BM9" i="80" s="1"/>
  <c r="BM10" i="80" s="1"/>
  <c r="BD7" i="80"/>
  <c r="BD8" i="80"/>
  <c r="BD9" i="80" s="1"/>
  <c r="BD10" i="80" s="1"/>
  <c r="BL7" i="80"/>
  <c r="BL8" i="80"/>
  <c r="BL9" i="80" s="1"/>
  <c r="BL10" i="80" s="1"/>
  <c r="AZ27" i="60" l="1"/>
  <c r="AZ35" i="60"/>
  <c r="AY44" i="60"/>
  <c r="AY45" i="60" s="1"/>
  <c r="AY36" i="60"/>
  <c r="AY57" i="64"/>
  <c r="AX108" i="60"/>
  <c r="AX102" i="60" s="1"/>
  <c r="AV77" i="80"/>
  <c r="AV78" i="80" s="1"/>
  <c r="BM56" i="80"/>
  <c r="BM28" i="80"/>
  <c r="BI28" i="80"/>
  <c r="BI56" i="80"/>
  <c r="BO56" i="80"/>
  <c r="BO28" i="80"/>
  <c r="BD56" i="80"/>
  <c r="BD28" i="80"/>
  <c r="BN56" i="80"/>
  <c r="BN28" i="80"/>
  <c r="BK28" i="80"/>
  <c r="BK56" i="80"/>
  <c r="BJ28" i="80"/>
  <c r="BJ56" i="80"/>
  <c r="BL28" i="80"/>
  <c r="BL56" i="80"/>
  <c r="BY81" i="113"/>
  <c r="BY83" i="113" s="1"/>
  <c r="BY85" i="113" s="1"/>
  <c r="BY78" i="113"/>
  <c r="BY79" i="113" s="1"/>
  <c r="BZ80" i="113"/>
  <c r="BY87" i="113"/>
  <c r="BH28" i="80"/>
  <c r="BH56" i="80"/>
  <c r="BG28" i="80"/>
  <c r="BG56" i="80"/>
  <c r="BF28" i="80"/>
  <c r="BF56" i="80"/>
  <c r="BE56" i="80"/>
  <c r="BE28" i="80"/>
  <c r="AZ36" i="60" l="1"/>
  <c r="AZ44" i="60"/>
  <c r="AZ45" i="60" s="1"/>
  <c r="AV86" i="80"/>
  <c r="AW80" i="80"/>
  <c r="AW65" i="80" s="1"/>
  <c r="AW72" i="80" s="1"/>
  <c r="AW85" i="80" s="1"/>
  <c r="AZ80" i="80"/>
  <c r="AZ65" i="80" s="1"/>
  <c r="AZ72" i="80" s="1"/>
  <c r="AZ85" i="80" s="1"/>
  <c r="AV80" i="80"/>
  <c r="AV65" i="80" s="1"/>
  <c r="AV72" i="80" s="1"/>
  <c r="AV85" i="80" s="1"/>
  <c r="BC80" i="80"/>
  <c r="BC65" i="80" s="1"/>
  <c r="BC72" i="80" s="1"/>
  <c r="BC85" i="80" s="1"/>
  <c r="BB80" i="80"/>
  <c r="BB65" i="80" s="1"/>
  <c r="BB72" i="80" s="1"/>
  <c r="BB85" i="80" s="1"/>
  <c r="BA80" i="80"/>
  <c r="BA65" i="80" s="1"/>
  <c r="BA72" i="80" s="1"/>
  <c r="BA85" i="80" s="1"/>
  <c r="AX80" i="80"/>
  <c r="AX65" i="80" s="1"/>
  <c r="AX72" i="80" s="1"/>
  <c r="AX85" i="80" s="1"/>
  <c r="AY80" i="80"/>
  <c r="AY65" i="80" s="1"/>
  <c r="AY72" i="80" s="1"/>
  <c r="AY85" i="80" s="1"/>
  <c r="BG80" i="80"/>
  <c r="BD80" i="80"/>
  <c r="BD65" i="80" s="1"/>
  <c r="BF80" i="80"/>
  <c r="BE80" i="80"/>
  <c r="BE65" i="80" s="1"/>
  <c r="AY108" i="60"/>
  <c r="AY102" i="60" s="1"/>
  <c r="AY58" i="64"/>
  <c r="AY99" i="60"/>
  <c r="AZ57" i="64"/>
  <c r="BF62" i="80"/>
  <c r="BF69" i="80"/>
  <c r="BF67" i="80"/>
  <c r="BH67" i="80"/>
  <c r="BH62" i="80"/>
  <c r="BH69" i="80"/>
  <c r="AT65" i="80"/>
  <c r="AT72" i="80" s="1"/>
  <c r="AT85" i="80" s="1"/>
  <c r="AU65" i="80"/>
  <c r="AU72" i="80" s="1"/>
  <c r="AU85" i="80" s="1"/>
  <c r="AU87" i="80" s="1"/>
  <c r="AU89" i="80" s="1"/>
  <c r="BN69" i="80"/>
  <c r="BN67" i="80"/>
  <c r="BN62" i="80"/>
  <c r="BO67" i="80"/>
  <c r="BO62" i="80"/>
  <c r="BO69" i="80"/>
  <c r="BM62" i="80"/>
  <c r="BM69" i="80"/>
  <c r="BM67" i="80"/>
  <c r="BK67" i="80"/>
  <c r="BK69" i="80"/>
  <c r="BK62" i="80"/>
  <c r="BI67" i="80"/>
  <c r="BI69" i="80"/>
  <c r="BI62" i="80"/>
  <c r="BD69" i="80"/>
  <c r="BD67" i="80"/>
  <c r="BD62" i="80"/>
  <c r="BL62" i="80"/>
  <c r="BL69" i="80"/>
  <c r="BL67" i="80"/>
  <c r="BG69" i="80"/>
  <c r="BG62" i="80"/>
  <c r="BG67" i="80"/>
  <c r="BZ81" i="113"/>
  <c r="BZ83" i="113" s="1"/>
  <c r="BZ85" i="113" s="1"/>
  <c r="BZ78" i="113"/>
  <c r="BZ79" i="113" s="1"/>
  <c r="BZ87" i="113"/>
  <c r="CA80" i="113"/>
  <c r="BE69" i="80"/>
  <c r="BE62" i="80"/>
  <c r="BE67" i="80"/>
  <c r="BJ67" i="80"/>
  <c r="BJ62" i="80"/>
  <c r="BJ69" i="80"/>
  <c r="BA57" i="64" l="1"/>
  <c r="AZ108" i="60"/>
  <c r="AZ102" i="60" s="1"/>
  <c r="AZ99" i="60"/>
  <c r="AZ58" i="64"/>
  <c r="AW86" i="80"/>
  <c r="AX86" i="80" s="1"/>
  <c r="AY86" i="80" s="1"/>
  <c r="AV93" i="80"/>
  <c r="AW93" i="80" s="1"/>
  <c r="AX93" i="80" s="1"/>
  <c r="AY84" i="80"/>
  <c r="AY92" i="80" s="1"/>
  <c r="AT87" i="80"/>
  <c r="AT89" i="80" s="1"/>
  <c r="AS84" i="80"/>
  <c r="AS92" i="80" s="1"/>
  <c r="AV84" i="80"/>
  <c r="AV92" i="80" s="1"/>
  <c r="AV87" i="80"/>
  <c r="AV89" i="80" s="1"/>
  <c r="BD72" i="80"/>
  <c r="BD85" i="80" s="1"/>
  <c r="BE72" i="80"/>
  <c r="BE85" i="80" s="1"/>
  <c r="CA81" i="113"/>
  <c r="CA83" i="113" s="1"/>
  <c r="CA85" i="113" s="1"/>
  <c r="CA78" i="113"/>
  <c r="CA79" i="113" s="1"/>
  <c r="CB80" i="113"/>
  <c r="CA87" i="113"/>
  <c r="BA99" i="60" l="1"/>
  <c r="BA58" i="64"/>
  <c r="AZ86" i="80"/>
  <c r="AY93" i="80"/>
  <c r="AZ93" i="80" s="1"/>
  <c r="BA93" i="80" s="1"/>
  <c r="AY87" i="80"/>
  <c r="AY89" i="80" s="1"/>
  <c r="AX87" i="80"/>
  <c r="AX89" i="80" s="1"/>
  <c r="AW87" i="80"/>
  <c r="AW89" i="80" s="1"/>
  <c r="AV98" i="80"/>
  <c r="AV97" i="80"/>
  <c r="AW92" i="80"/>
  <c r="AX92" i="80" s="1"/>
  <c r="BB84" i="80"/>
  <c r="BB92" i="80" s="1"/>
  <c r="AS97" i="80"/>
  <c r="BA17" i="60" s="1"/>
  <c r="AT92" i="80"/>
  <c r="AU92" i="80" s="1"/>
  <c r="AS98" i="80"/>
  <c r="AY98" i="80"/>
  <c r="AZ92" i="80"/>
  <c r="BA92" i="80" s="1"/>
  <c r="CB81" i="113"/>
  <c r="CB83" i="113" s="1"/>
  <c r="CB85" i="113" s="1"/>
  <c r="CB78" i="113"/>
  <c r="CB79" i="113" s="1"/>
  <c r="CC80" i="113"/>
  <c r="CB87" i="113"/>
  <c r="AW97" i="80" l="1"/>
  <c r="BD17" i="60"/>
  <c r="AY97" i="80"/>
  <c r="BA86" i="80"/>
  <c r="AZ87" i="80"/>
  <c r="AZ89" i="80" s="1"/>
  <c r="BB98" i="80"/>
  <c r="BC92" i="80"/>
  <c r="BD92" i="80" s="1"/>
  <c r="AT97" i="80"/>
  <c r="AZ98" i="80"/>
  <c r="BA98" i="80" s="1"/>
  <c r="AY103" i="80"/>
  <c r="AT98" i="80"/>
  <c r="AU98" i="80" s="1"/>
  <c r="AS103" i="80"/>
  <c r="BA52" i="60" s="1"/>
  <c r="AV103" i="80"/>
  <c r="AW98" i="80"/>
  <c r="AX98" i="80" s="1"/>
  <c r="CC78" i="113"/>
  <c r="CC79" i="113" s="1"/>
  <c r="CC81" i="113"/>
  <c r="CC83" i="113" s="1"/>
  <c r="CC85" i="113" s="1"/>
  <c r="CC87" i="113"/>
  <c r="CD80" i="113"/>
  <c r="AU97" i="80" l="1"/>
  <c r="BC17" i="60" s="1"/>
  <c r="BB17" i="60"/>
  <c r="BB18" i="60" s="1"/>
  <c r="AZ97" i="80"/>
  <c r="BG17" i="60"/>
  <c r="AZ103" i="80"/>
  <c r="BG52" i="60"/>
  <c r="AW103" i="80"/>
  <c r="BD52" i="60"/>
  <c r="AX97" i="80"/>
  <c r="BF17" i="60" s="1"/>
  <c r="BE17" i="60"/>
  <c r="BE18" i="60" s="1"/>
  <c r="BB86" i="80"/>
  <c r="BA87" i="80"/>
  <c r="BA89" i="80" s="1"/>
  <c r="AT103" i="80"/>
  <c r="BA18" i="60"/>
  <c r="BA26" i="60"/>
  <c r="BC98" i="80"/>
  <c r="BD98" i="80" s="1"/>
  <c r="BB103" i="80"/>
  <c r="CD81" i="113"/>
  <c r="CD83" i="113" s="1"/>
  <c r="CD85" i="113" s="1"/>
  <c r="CD87" i="113"/>
  <c r="CD78" i="113"/>
  <c r="CD79" i="113" s="1"/>
  <c r="CE80" i="113"/>
  <c r="BE26" i="60"/>
  <c r="AX103" i="80" l="1"/>
  <c r="BF52" i="60" s="1"/>
  <c r="BE52" i="60"/>
  <c r="BE60" i="60" s="1"/>
  <c r="BE61" i="60" s="1"/>
  <c r="BA97" i="80"/>
  <c r="BI17" i="60" s="1"/>
  <c r="BH17" i="60"/>
  <c r="BH26" i="60" s="1"/>
  <c r="BC103" i="80"/>
  <c r="BJ52" i="60"/>
  <c r="AU103" i="80"/>
  <c r="BC52" i="60" s="1"/>
  <c r="BB52" i="60"/>
  <c r="BB53" i="60" s="1"/>
  <c r="BA103" i="80"/>
  <c r="BI52" i="60" s="1"/>
  <c r="BH52" i="60"/>
  <c r="BH53" i="60" s="1"/>
  <c r="BC86" i="80"/>
  <c r="BB93" i="80"/>
  <c r="BB87" i="80"/>
  <c r="BB89" i="80" s="1"/>
  <c r="BB26" i="60"/>
  <c r="BB27" i="60" s="1"/>
  <c r="BA53" i="60"/>
  <c r="BA60" i="60"/>
  <c r="BA61" i="60" s="1"/>
  <c r="BA27" i="60"/>
  <c r="BA35" i="60"/>
  <c r="BG26" i="60"/>
  <c r="BG18" i="60"/>
  <c r="CE81" i="113"/>
  <c r="CE83" i="113" s="1"/>
  <c r="CE85" i="113" s="1"/>
  <c r="CE78" i="113"/>
  <c r="CE79" i="113" s="1"/>
  <c r="CF80" i="113"/>
  <c r="CE87" i="113"/>
  <c r="BC26" i="60"/>
  <c r="BC18" i="60"/>
  <c r="BF18" i="60"/>
  <c r="BF26" i="60"/>
  <c r="BD18" i="60"/>
  <c r="BD26" i="60"/>
  <c r="BE35" i="60"/>
  <c r="BE27" i="60"/>
  <c r="AJ11" i="72"/>
  <c r="BH18" i="60" l="1"/>
  <c r="BE53" i="60"/>
  <c r="BH60" i="60"/>
  <c r="BH61" i="60" s="1"/>
  <c r="BD103" i="80"/>
  <c r="BL52" i="60" s="1"/>
  <c r="BL53" i="60" s="1"/>
  <c r="BK52" i="60"/>
  <c r="BK53" i="60" s="1"/>
  <c r="BB35" i="60"/>
  <c r="BB36" i="60" s="1"/>
  <c r="BC93" i="80"/>
  <c r="BD93" i="80" s="1"/>
  <c r="BB97" i="80"/>
  <c r="BJ17" i="60" s="1"/>
  <c r="BD86" i="80"/>
  <c r="BC87" i="80"/>
  <c r="BC89" i="80" s="1"/>
  <c r="BB60" i="60"/>
  <c r="BB61" i="60" s="1"/>
  <c r="BA44" i="60"/>
  <c r="BA45" i="60" s="1"/>
  <c r="BB57" i="64" s="1"/>
  <c r="BA36" i="60"/>
  <c r="AJ12" i="72"/>
  <c r="BH35" i="60"/>
  <c r="BH27" i="60"/>
  <c r="BE36" i="60"/>
  <c r="BE44" i="60"/>
  <c r="BE45" i="60" s="1"/>
  <c r="BF57" i="64" s="1"/>
  <c r="BC53" i="60"/>
  <c r="BC60" i="60"/>
  <c r="BC61" i="60" s="1"/>
  <c r="BJ53" i="60"/>
  <c r="BJ60" i="60"/>
  <c r="BJ61" i="60" s="1"/>
  <c r="BG27" i="60"/>
  <c r="BG35" i="60"/>
  <c r="BI18" i="60"/>
  <c r="BI26" i="60"/>
  <c r="BD53" i="60"/>
  <c r="BD60" i="60"/>
  <c r="BD61" i="60" s="1"/>
  <c r="BI53" i="60"/>
  <c r="BI60" i="60"/>
  <c r="BI61" i="60" s="1"/>
  <c r="BF60" i="60"/>
  <c r="BF61" i="60" s="1"/>
  <c r="BF53" i="60"/>
  <c r="BF27" i="60"/>
  <c r="BF35" i="60"/>
  <c r="BD27" i="60"/>
  <c r="BD35" i="60"/>
  <c r="BG53" i="60"/>
  <c r="BG60" i="60"/>
  <c r="BG61" i="60" s="1"/>
  <c r="BC27" i="60"/>
  <c r="BC35" i="60"/>
  <c r="CF78" i="113"/>
  <c r="CF79" i="113" s="1"/>
  <c r="CF81" i="113"/>
  <c r="CF83" i="113" s="1"/>
  <c r="CF85" i="113" s="1"/>
  <c r="CF87" i="113"/>
  <c r="CG80" i="113"/>
  <c r="BL60" i="60" l="1"/>
  <c r="BL61" i="60" s="1"/>
  <c r="BK60" i="60"/>
  <c r="BK61" i="60" s="1"/>
  <c r="AJ13" i="72"/>
  <c r="BB44" i="60"/>
  <c r="BB45" i="60" s="1"/>
  <c r="BC57" i="64" s="1"/>
  <c r="BC99" i="60" s="1"/>
  <c r="BE86" i="80"/>
  <c r="BD87" i="80"/>
  <c r="BD89" i="80" s="1"/>
  <c r="BC97" i="80"/>
  <c r="BA108" i="60"/>
  <c r="BA102" i="60" s="1"/>
  <c r="BB58" i="64"/>
  <c r="BB99" i="60"/>
  <c r="AJ18" i="72" s="1"/>
  <c r="BE108" i="60"/>
  <c r="BE102" i="60" s="1"/>
  <c r="CG78" i="113"/>
  <c r="CG79" i="113" s="1"/>
  <c r="CG81" i="113"/>
  <c r="CG83" i="113" s="1"/>
  <c r="CG85" i="113" s="1"/>
  <c r="CH80" i="113"/>
  <c r="CG87" i="113"/>
  <c r="BC44" i="60"/>
  <c r="BC45" i="60" s="1"/>
  <c r="BD57" i="64" s="1"/>
  <c r="BC36" i="60"/>
  <c r="BI27" i="60"/>
  <c r="BI35" i="60"/>
  <c r="BF36" i="60"/>
  <c r="BF44" i="60"/>
  <c r="BF45" i="60" s="1"/>
  <c r="BG57" i="64" s="1"/>
  <c r="BD36" i="60"/>
  <c r="BD44" i="60"/>
  <c r="BD45" i="60" s="1"/>
  <c r="BE57" i="64" s="1"/>
  <c r="BH44" i="60"/>
  <c r="BH45" i="60" s="1"/>
  <c r="BH36" i="60"/>
  <c r="BG36" i="60"/>
  <c r="BG44" i="60"/>
  <c r="BG45" i="60" s="1"/>
  <c r="BH57" i="64" s="1"/>
  <c r="BF58" i="64"/>
  <c r="BF99" i="60"/>
  <c r="BD97" i="80" l="1"/>
  <c r="BL17" i="60" s="1"/>
  <c r="BK17" i="60"/>
  <c r="BK18" i="60" s="1"/>
  <c r="BC58" i="64"/>
  <c r="BB108" i="60"/>
  <c r="BB102" i="60" s="1"/>
  <c r="BJ26" i="60"/>
  <c r="BJ18" i="60"/>
  <c r="BF86" i="80"/>
  <c r="BG86" i="80" s="1"/>
  <c r="BE93" i="80"/>
  <c r="BF93" i="80" s="1"/>
  <c r="BG93" i="80" s="1"/>
  <c r="BE87" i="80"/>
  <c r="BE89" i="80" s="1"/>
  <c r="BD108" i="60"/>
  <c r="BD102" i="60" s="1"/>
  <c r="BC108" i="60"/>
  <c r="BC102" i="60" s="1"/>
  <c r="BH58" i="64"/>
  <c r="BH99" i="60"/>
  <c r="BE99" i="60"/>
  <c r="BE58" i="64"/>
  <c r="BI57" i="64"/>
  <c r="BH108" i="60"/>
  <c r="BH102" i="60" s="1"/>
  <c r="BG58" i="64"/>
  <c r="BG99" i="60"/>
  <c r="BD99" i="60"/>
  <c r="BD58" i="64"/>
  <c r="BG108" i="60"/>
  <c r="BG102" i="60" s="1"/>
  <c r="BF108" i="60"/>
  <c r="BF102" i="60" s="1"/>
  <c r="CH81" i="113"/>
  <c r="CH83" i="113" s="1"/>
  <c r="CH85" i="113" s="1"/>
  <c r="CH78" i="113"/>
  <c r="CH79" i="113" s="1"/>
  <c r="CH87" i="113"/>
  <c r="BI36" i="60"/>
  <c r="BI44" i="60"/>
  <c r="BI45" i="60" s="1"/>
  <c r="BK26" i="60" l="1"/>
  <c r="BK27" i="60" s="1"/>
  <c r="BJ27" i="60"/>
  <c r="BJ35" i="60"/>
  <c r="CH88" i="113"/>
  <c r="CI114" i="60" s="1"/>
  <c r="CI110" i="60" s="1"/>
  <c r="CA5" i="80" s="1"/>
  <c r="BX88" i="113"/>
  <c r="BY114" i="60" s="1"/>
  <c r="BY110" i="60" s="1"/>
  <c r="BQ5" i="80" s="1"/>
  <c r="BW88" i="113"/>
  <c r="BX114" i="60" s="1"/>
  <c r="BX110" i="60" s="1"/>
  <c r="BP5" i="80" s="1"/>
  <c r="BY88" i="113"/>
  <c r="BZ114" i="60" s="1"/>
  <c r="BZ110" i="60" s="1"/>
  <c r="BR5" i="80" s="1"/>
  <c r="BZ88" i="113"/>
  <c r="CA114" i="60" s="1"/>
  <c r="CA110" i="60" s="1"/>
  <c r="BS5" i="80" s="1"/>
  <c r="CB88" i="113"/>
  <c r="CC114" i="60" s="1"/>
  <c r="CC110" i="60" s="1"/>
  <c r="BU5" i="80" s="1"/>
  <c r="CE88" i="113"/>
  <c r="CF114" i="60" s="1"/>
  <c r="CF110" i="60" s="1"/>
  <c r="BX5" i="80" s="1"/>
  <c r="CA88" i="113"/>
  <c r="CB114" i="60" s="1"/>
  <c r="CB110" i="60" s="1"/>
  <c r="BT5" i="80" s="1"/>
  <c r="CC88" i="113"/>
  <c r="CD114" i="60" s="1"/>
  <c r="CD110" i="60" s="1"/>
  <c r="BV5" i="80" s="1"/>
  <c r="CD88" i="113"/>
  <c r="CE114" i="60" s="1"/>
  <c r="CE110" i="60" s="1"/>
  <c r="BW5" i="80" s="1"/>
  <c r="CG88" i="113"/>
  <c r="CH114" i="60" s="1"/>
  <c r="CH110" i="60" s="1"/>
  <c r="BZ5" i="80" s="1"/>
  <c r="BL18" i="60"/>
  <c r="BL26" i="60"/>
  <c r="BI99" i="60"/>
  <c r="BI58" i="64"/>
  <c r="BI108" i="60"/>
  <c r="BI102" i="60" s="1"/>
  <c r="CF88" i="113"/>
  <c r="CG114" i="60" s="1"/>
  <c r="CG110" i="60" s="1"/>
  <c r="BY5" i="80" s="1"/>
  <c r="BJ57" i="64"/>
  <c r="BK35" i="60" l="1"/>
  <c r="BK44" i="60" s="1"/>
  <c r="BK45" i="60" s="1"/>
  <c r="BL57" i="64" s="1"/>
  <c r="BJ44" i="60"/>
  <c r="BJ45" i="60" s="1"/>
  <c r="BJ36" i="60"/>
  <c r="BJ99" i="60"/>
  <c r="BJ58" i="64"/>
  <c r="BW7" i="80"/>
  <c r="BW8" i="80"/>
  <c r="BW9" i="80" s="1"/>
  <c r="BW10" i="80" s="1"/>
  <c r="BU7" i="80"/>
  <c r="BU8" i="80"/>
  <c r="BU9" i="80" s="1"/>
  <c r="BU10" i="80" s="1"/>
  <c r="BQ7" i="80"/>
  <c r="BQ8" i="80"/>
  <c r="BQ9" i="80" s="1"/>
  <c r="BQ10" i="80" s="1"/>
  <c r="CC5" i="80"/>
  <c r="BK36" i="60"/>
  <c r="BV7" i="80"/>
  <c r="BV8" i="80"/>
  <c r="BV9" i="80" s="1"/>
  <c r="BV10" i="80" s="1"/>
  <c r="BS7" i="80"/>
  <c r="BS8" i="80"/>
  <c r="BS9" i="80" s="1"/>
  <c r="BS10" i="80" s="1"/>
  <c r="CA7" i="80"/>
  <c r="CA8" i="80"/>
  <c r="CA9" i="80" s="1"/>
  <c r="CA10" i="80" s="1"/>
  <c r="BY7" i="80"/>
  <c r="BY8" i="80"/>
  <c r="BY9" i="80" s="1"/>
  <c r="BY10" i="80" s="1"/>
  <c r="BT7" i="80"/>
  <c r="BT8" i="80"/>
  <c r="BT9" i="80" s="1"/>
  <c r="BT10" i="80" s="1"/>
  <c r="BR7" i="80"/>
  <c r="BR8" i="80"/>
  <c r="BR9" i="80" s="1"/>
  <c r="BR10" i="80" s="1"/>
  <c r="CD5" i="80"/>
  <c r="BL27" i="60"/>
  <c r="BL35" i="60"/>
  <c r="BZ7" i="80"/>
  <c r="BZ8" i="80"/>
  <c r="BZ9" i="80" s="1"/>
  <c r="BZ10" i="80" s="1"/>
  <c r="BX7" i="80"/>
  <c r="BX8" i="80"/>
  <c r="BX9" i="80" s="1"/>
  <c r="BX10" i="80" s="1"/>
  <c r="BP7" i="80"/>
  <c r="BP8" i="80"/>
  <c r="BP9" i="80" s="1"/>
  <c r="BP10" i="80" s="1"/>
  <c r="CB5" i="80"/>
  <c r="BH77" i="80" l="1"/>
  <c r="BH78" i="80" s="1"/>
  <c r="BJ108" i="60"/>
  <c r="BJ102" i="60" s="1"/>
  <c r="BK57" i="64"/>
  <c r="BW56" i="80"/>
  <c r="BW28" i="80"/>
  <c r="CB7" i="80"/>
  <c r="CB8" i="80"/>
  <c r="CB9" i="80" s="1"/>
  <c r="CB10" i="80" s="1"/>
  <c r="BX28" i="80"/>
  <c r="BX56" i="80"/>
  <c r="BV56" i="80"/>
  <c r="BV28" i="80"/>
  <c r="CC7" i="80"/>
  <c r="CC8" i="80"/>
  <c r="CC9" i="80" s="1"/>
  <c r="CC10" i="80" s="1"/>
  <c r="BZ28" i="80"/>
  <c r="BZ56" i="80"/>
  <c r="BR56" i="80"/>
  <c r="BR28" i="80"/>
  <c r="BL99" i="60"/>
  <c r="BL58" i="64"/>
  <c r="BP56" i="80"/>
  <c r="BP28" i="80"/>
  <c r="BL36" i="60"/>
  <c r="BL44" i="60"/>
  <c r="BL45" i="60" s="1"/>
  <c r="CD7" i="80"/>
  <c r="CD8" i="80"/>
  <c r="CD9" i="80" s="1"/>
  <c r="CD10" i="80" s="1"/>
  <c r="BY56" i="80"/>
  <c r="BY28" i="80"/>
  <c r="BS28" i="80"/>
  <c r="BS56" i="80"/>
  <c r="BU56" i="80"/>
  <c r="BU28" i="80"/>
  <c r="BT28" i="80"/>
  <c r="BT56" i="80"/>
  <c r="CA28" i="80"/>
  <c r="CA56" i="80"/>
  <c r="BK108" i="60"/>
  <c r="BK102" i="60" s="1"/>
  <c r="BQ56" i="80"/>
  <c r="BQ28" i="80"/>
  <c r="BT77" i="80" l="1"/>
  <c r="BT78" i="80" s="1"/>
  <c r="BT86" i="80" s="1"/>
  <c r="BH86" i="80"/>
  <c r="BK80" i="80"/>
  <c r="BK65" i="80" s="1"/>
  <c r="BK72" i="80" s="1"/>
  <c r="BK85" i="80" s="1"/>
  <c r="BI80" i="80"/>
  <c r="BI65" i="80" s="1"/>
  <c r="BI72" i="80" s="1"/>
  <c r="BI85" i="80" s="1"/>
  <c r="BM80" i="80"/>
  <c r="BM65" i="80" s="1"/>
  <c r="BM72" i="80" s="1"/>
  <c r="BM85" i="80" s="1"/>
  <c r="BH80" i="80"/>
  <c r="BL80" i="80"/>
  <c r="BL65" i="80" s="1"/>
  <c r="BL72" i="80" s="1"/>
  <c r="BL85" i="80" s="1"/>
  <c r="BO80" i="80"/>
  <c r="BO65" i="80" s="1"/>
  <c r="BO72" i="80" s="1"/>
  <c r="BO85" i="80" s="1"/>
  <c r="BN80" i="80"/>
  <c r="BN65" i="80" s="1"/>
  <c r="BN72" i="80" s="1"/>
  <c r="BN85" i="80" s="1"/>
  <c r="BJ80" i="80"/>
  <c r="BJ65" i="80" s="1"/>
  <c r="BJ72" i="80" s="1"/>
  <c r="BJ85" i="80" s="1"/>
  <c r="BP80" i="80"/>
  <c r="BP65" i="80" s="1"/>
  <c r="BR80" i="80"/>
  <c r="BQ80" i="80"/>
  <c r="BQ65" i="80" s="1"/>
  <c r="BS80" i="80"/>
  <c r="BK99" i="60"/>
  <c r="BK58" i="64"/>
  <c r="BL108" i="60"/>
  <c r="BL102" i="60" s="1"/>
  <c r="BU69" i="80"/>
  <c r="BU67" i="80"/>
  <c r="BU62" i="80"/>
  <c r="BY69" i="80"/>
  <c r="BY67" i="80"/>
  <c r="BY62" i="80"/>
  <c r="BV69" i="80"/>
  <c r="BV62" i="80"/>
  <c r="BV67" i="80"/>
  <c r="BW69" i="80"/>
  <c r="BW67" i="80"/>
  <c r="BW62" i="80"/>
  <c r="BQ67" i="80"/>
  <c r="BQ62" i="80"/>
  <c r="BQ69" i="80"/>
  <c r="CA67" i="80"/>
  <c r="CA69" i="80"/>
  <c r="CA62" i="80"/>
  <c r="BS69" i="80"/>
  <c r="BS67" i="80"/>
  <c r="BS62" i="80"/>
  <c r="CD28" i="80"/>
  <c r="CD56" i="80"/>
  <c r="BR67" i="80"/>
  <c r="BR69" i="80"/>
  <c r="BR62" i="80"/>
  <c r="CC56" i="80"/>
  <c r="CC28" i="80"/>
  <c r="CB56" i="80"/>
  <c r="CB28" i="80"/>
  <c r="BF65" i="80"/>
  <c r="BF72" i="80" s="1"/>
  <c r="BF85" i="80" s="1"/>
  <c r="BG65" i="80"/>
  <c r="BG72" i="80" s="1"/>
  <c r="BG85" i="80" s="1"/>
  <c r="BG87" i="80" s="1"/>
  <c r="BG89" i="80" s="1"/>
  <c r="BH65" i="80"/>
  <c r="BH72" i="80" s="1"/>
  <c r="BH85" i="80" s="1"/>
  <c r="BZ62" i="80"/>
  <c r="BZ67" i="80"/>
  <c r="BZ69" i="80"/>
  <c r="BX67" i="80"/>
  <c r="BX62" i="80"/>
  <c r="BX69" i="80"/>
  <c r="BM57" i="64"/>
  <c r="BT69" i="80"/>
  <c r="BT62" i="80"/>
  <c r="BT67" i="80"/>
  <c r="BP62" i="80"/>
  <c r="BP69" i="80"/>
  <c r="BP67" i="80"/>
  <c r="CB80" i="80" l="1"/>
  <c r="CB65" i="80" s="1"/>
  <c r="CD80" i="80"/>
  <c r="CD65" i="80" s="1"/>
  <c r="CA80" i="80"/>
  <c r="CA65" i="80" s="1"/>
  <c r="CA72" i="80" s="1"/>
  <c r="CA85" i="80" s="1"/>
  <c r="CC80" i="80"/>
  <c r="CC65" i="80" s="1"/>
  <c r="BZ80" i="80"/>
  <c r="BZ65" i="80" s="1"/>
  <c r="BZ72" i="80" s="1"/>
  <c r="BZ85" i="80" s="1"/>
  <c r="BU80" i="80"/>
  <c r="BU65" i="80" s="1"/>
  <c r="BU72" i="80" s="1"/>
  <c r="BU85" i="80" s="1"/>
  <c r="BX80" i="80"/>
  <c r="BX65" i="80" s="1"/>
  <c r="BX72" i="80" s="1"/>
  <c r="BX85" i="80" s="1"/>
  <c r="BT80" i="80"/>
  <c r="BT65" i="80" s="1"/>
  <c r="BY80" i="80"/>
  <c r="BY65" i="80" s="1"/>
  <c r="BY72" i="80" s="1"/>
  <c r="BY85" i="80" s="1"/>
  <c r="BW80" i="80"/>
  <c r="BW65" i="80" s="1"/>
  <c r="BW72" i="80" s="1"/>
  <c r="BW85" i="80" s="1"/>
  <c r="BV80" i="80"/>
  <c r="BV65" i="80" s="1"/>
  <c r="BV72" i="80" s="1"/>
  <c r="BV85" i="80" s="1"/>
  <c r="BI86" i="80"/>
  <c r="BJ86" i="80" s="1"/>
  <c r="BK86" i="80" s="1"/>
  <c r="BH93" i="80"/>
  <c r="BI93" i="80" s="1"/>
  <c r="BJ93" i="80" s="1"/>
  <c r="BU86" i="80"/>
  <c r="BV86" i="80" s="1"/>
  <c r="BW86" i="80" s="1"/>
  <c r="BT93" i="80"/>
  <c r="BU93" i="80" s="1"/>
  <c r="BV93" i="80" s="1"/>
  <c r="BH84" i="80"/>
  <c r="BH92" i="80" s="1"/>
  <c r="BH87" i="80"/>
  <c r="BH89" i="80" s="1"/>
  <c r="BF87" i="80"/>
  <c r="BF89" i="80" s="1"/>
  <c r="BE84" i="80"/>
  <c r="BE92" i="80" s="1"/>
  <c r="BK84" i="80"/>
  <c r="BK92" i="80" s="1"/>
  <c r="BR65" i="80"/>
  <c r="BR72" i="80" s="1"/>
  <c r="BR85" i="80" s="1"/>
  <c r="BS65" i="80"/>
  <c r="BS72" i="80" s="1"/>
  <c r="BS85" i="80" s="1"/>
  <c r="BQ72" i="80"/>
  <c r="BQ85" i="80" s="1"/>
  <c r="BP72" i="80"/>
  <c r="BP85" i="80" s="1"/>
  <c r="BM99" i="60"/>
  <c r="BM58" i="64"/>
  <c r="CC62" i="80"/>
  <c r="CC67" i="80"/>
  <c r="CC69" i="80"/>
  <c r="CB67" i="80"/>
  <c r="CB69" i="80"/>
  <c r="CB62" i="80"/>
  <c r="CD62" i="80"/>
  <c r="CD69" i="80"/>
  <c r="CD67" i="80"/>
  <c r="BT72" i="80"/>
  <c r="BT85" i="80" s="1"/>
  <c r="BV87" i="80" l="1"/>
  <c r="BV89" i="80" s="1"/>
  <c r="BJ87" i="80"/>
  <c r="BJ89" i="80" s="1"/>
  <c r="BL86" i="80"/>
  <c r="BK93" i="80"/>
  <c r="BL93" i="80" s="1"/>
  <c r="BM93" i="80" s="1"/>
  <c r="BK87" i="80"/>
  <c r="BK89" i="80" s="1"/>
  <c r="BX86" i="80"/>
  <c r="BY86" i="80" s="1"/>
  <c r="BZ86" i="80" s="1"/>
  <c r="BZ87" i="80" s="1"/>
  <c r="BZ89" i="80" s="1"/>
  <c r="BW93" i="80"/>
  <c r="BX93" i="80" s="1"/>
  <c r="BY93" i="80" s="1"/>
  <c r="BI87" i="80"/>
  <c r="BI89" i="80" s="1"/>
  <c r="BU87" i="80"/>
  <c r="BU89" i="80" s="1"/>
  <c r="BQ84" i="80"/>
  <c r="BQ92" i="80" s="1"/>
  <c r="BE97" i="80"/>
  <c r="BM17" i="60" s="1"/>
  <c r="BF92" i="80"/>
  <c r="BG92" i="80" s="1"/>
  <c r="BE98" i="80"/>
  <c r="BW84" i="80"/>
  <c r="BW92" i="80" s="1"/>
  <c r="BW87" i="80"/>
  <c r="BW89" i="80" s="1"/>
  <c r="BT84" i="80"/>
  <c r="BT92" i="80" s="1"/>
  <c r="BT87" i="80"/>
  <c r="BT89" i="80" s="1"/>
  <c r="BN84" i="80"/>
  <c r="BN92" i="80" s="1"/>
  <c r="BK98" i="80"/>
  <c r="BL92" i="80"/>
  <c r="BM92" i="80" s="1"/>
  <c r="BH98" i="80"/>
  <c r="BI92" i="80"/>
  <c r="BJ92" i="80" s="1"/>
  <c r="BH97" i="80"/>
  <c r="CD72" i="80"/>
  <c r="CC72" i="80"/>
  <c r="CC85" i="80" s="1"/>
  <c r="CB72" i="80"/>
  <c r="CB85" i="80" s="1"/>
  <c r="BI97" i="80" l="1"/>
  <c r="BP17" i="60"/>
  <c r="BK97" i="80"/>
  <c r="BY87" i="80"/>
  <c r="BY89" i="80" s="1"/>
  <c r="BX87" i="80"/>
  <c r="BX89" i="80" s="1"/>
  <c r="BM86" i="80"/>
  <c r="BL87" i="80"/>
  <c r="BL89" i="80" s="1"/>
  <c r="CA86" i="80"/>
  <c r="BZ93" i="80"/>
  <c r="CA93" i="80" s="1"/>
  <c r="CB93" i="80" s="1"/>
  <c r="BZ84" i="80"/>
  <c r="BZ92" i="80" s="1"/>
  <c r="CA92" i="80" s="1"/>
  <c r="CB92" i="80" s="1"/>
  <c r="BF97" i="80"/>
  <c r="CC84" i="80"/>
  <c r="CC92" i="80" s="1"/>
  <c r="BH103" i="80"/>
  <c r="BI98" i="80"/>
  <c r="BJ98" i="80" s="1"/>
  <c r="BU92" i="80"/>
  <c r="BV92" i="80" s="1"/>
  <c r="BT98" i="80"/>
  <c r="BT97" i="80"/>
  <c r="BN98" i="80"/>
  <c r="BO92" i="80"/>
  <c r="BP92" i="80" s="1"/>
  <c r="BW98" i="80"/>
  <c r="BX92" i="80"/>
  <c r="BY92" i="80" s="1"/>
  <c r="BW97" i="80"/>
  <c r="BK103" i="80"/>
  <c r="BL98" i="80"/>
  <c r="BM98" i="80" s="1"/>
  <c r="BF98" i="80"/>
  <c r="BG98" i="80" s="1"/>
  <c r="BE103" i="80"/>
  <c r="BM52" i="60" s="1"/>
  <c r="BQ98" i="80"/>
  <c r="BR92" i="80"/>
  <c r="BS92" i="80" s="1"/>
  <c r="BL103" i="80" l="1"/>
  <c r="BS52" i="60"/>
  <c r="BG97" i="80"/>
  <c r="BO17" i="60" s="1"/>
  <c r="BN17" i="60"/>
  <c r="BL97" i="80"/>
  <c r="BS17" i="60"/>
  <c r="BX97" i="80"/>
  <c r="CE17" i="60"/>
  <c r="BU97" i="80"/>
  <c r="CB17" i="60"/>
  <c r="BI103" i="80"/>
  <c r="BP52" i="60"/>
  <c r="BJ97" i="80"/>
  <c r="BR17" i="60" s="1"/>
  <c r="BQ17" i="60"/>
  <c r="CB86" i="80"/>
  <c r="CA87" i="80"/>
  <c r="CA89" i="80" s="1"/>
  <c r="BN86" i="80"/>
  <c r="BM87" i="80"/>
  <c r="BM89" i="80" s="1"/>
  <c r="BZ97" i="80"/>
  <c r="BZ98" i="80"/>
  <c r="CA98" i="80" s="1"/>
  <c r="CB98" i="80" s="1"/>
  <c r="BW103" i="80"/>
  <c r="BX98" i="80"/>
  <c r="BY98" i="80" s="1"/>
  <c r="BR98" i="80"/>
  <c r="BS98" i="80" s="1"/>
  <c r="BQ103" i="80"/>
  <c r="BF103" i="80"/>
  <c r="BT103" i="80"/>
  <c r="BU98" i="80"/>
  <c r="BV98" i="80" s="1"/>
  <c r="BN18" i="60"/>
  <c r="CC98" i="80"/>
  <c r="CC103" i="80" s="1"/>
  <c r="BN103" i="80"/>
  <c r="BO98" i="80"/>
  <c r="BP98" i="80" s="1"/>
  <c r="BM18" i="60"/>
  <c r="BM26" i="60"/>
  <c r="BQ26" i="60"/>
  <c r="BQ18" i="60"/>
  <c r="BR103" i="80" l="1"/>
  <c r="BY52" i="60"/>
  <c r="BU103" i="80"/>
  <c r="CB52" i="60"/>
  <c r="CA97" i="80"/>
  <c r="CH17" i="60"/>
  <c r="BJ103" i="80"/>
  <c r="BR52" i="60" s="1"/>
  <c r="BQ52" i="60"/>
  <c r="BQ53" i="60" s="1"/>
  <c r="BY97" i="80"/>
  <c r="CG17" i="60" s="1"/>
  <c r="CF17" i="60"/>
  <c r="CF26" i="60" s="1"/>
  <c r="BO103" i="80"/>
  <c r="BV52" i="60"/>
  <c r="BG103" i="80"/>
  <c r="BO52" i="60" s="1"/>
  <c r="BN52" i="60"/>
  <c r="BN53" i="60" s="1"/>
  <c r="BX103" i="80"/>
  <c r="CE52" i="60"/>
  <c r="BV97" i="80"/>
  <c r="CD17" i="60" s="1"/>
  <c r="CC17" i="60"/>
  <c r="CC26" i="60" s="1"/>
  <c r="BM97" i="80"/>
  <c r="BU17" i="60" s="1"/>
  <c r="BT17" i="60"/>
  <c r="BT18" i="60" s="1"/>
  <c r="BM103" i="80"/>
  <c r="BU52" i="60" s="1"/>
  <c r="BT52" i="60"/>
  <c r="BT60" i="60" s="1"/>
  <c r="BT61" i="60" s="1"/>
  <c r="BO86" i="80"/>
  <c r="BN93" i="80"/>
  <c r="BN87" i="80"/>
  <c r="BN89" i="80" s="1"/>
  <c r="CC86" i="80"/>
  <c r="CB87" i="80"/>
  <c r="CB89" i="80" s="1"/>
  <c r="BZ103" i="80"/>
  <c r="BN26" i="60"/>
  <c r="BN35" i="60" s="1"/>
  <c r="BM53" i="60"/>
  <c r="BM60" i="60"/>
  <c r="BM61" i="60" s="1"/>
  <c r="BM35" i="60"/>
  <c r="BM27" i="60"/>
  <c r="CF18" i="60"/>
  <c r="BO26" i="60"/>
  <c r="BO18" i="60"/>
  <c r="BR18" i="60"/>
  <c r="BR26" i="60"/>
  <c r="BQ27" i="60"/>
  <c r="BQ35" i="60"/>
  <c r="BS26" i="60"/>
  <c r="BS18" i="60"/>
  <c r="AK11" i="72"/>
  <c r="BT26" i="60"/>
  <c r="BP18" i="60"/>
  <c r="BP26" i="60"/>
  <c r="CC18" i="60"/>
  <c r="BT53" i="60"/>
  <c r="CA103" i="80" l="1"/>
  <c r="CH52" i="60"/>
  <c r="BY103" i="80"/>
  <c r="CG52" i="60" s="1"/>
  <c r="CF52" i="60"/>
  <c r="CF53" i="60" s="1"/>
  <c r="BP103" i="80"/>
  <c r="BX52" i="60" s="1"/>
  <c r="BW52" i="60"/>
  <c r="BW53" i="60" s="1"/>
  <c r="BV103" i="80"/>
  <c r="CD52" i="60" s="1"/>
  <c r="CC52" i="60"/>
  <c r="CC53" i="60" s="1"/>
  <c r="BQ60" i="60"/>
  <c r="BQ61" i="60" s="1"/>
  <c r="CB97" i="80"/>
  <c r="CI17" i="60"/>
  <c r="CI18" i="60" s="1"/>
  <c r="BS103" i="80"/>
  <c r="CA52" i="60" s="1"/>
  <c r="BZ52" i="60"/>
  <c r="CD86" i="80"/>
  <c r="CE86" i="80" s="1"/>
  <c r="CC93" i="80"/>
  <c r="CC97" i="80" s="1"/>
  <c r="CC87" i="80"/>
  <c r="CC89" i="80" s="1"/>
  <c r="BO93" i="80"/>
  <c r="BP93" i="80" s="1"/>
  <c r="BN97" i="80"/>
  <c r="BV17" i="60" s="1"/>
  <c r="BP86" i="80"/>
  <c r="BO87" i="80"/>
  <c r="BO89" i="80" s="1"/>
  <c r="BN27" i="60"/>
  <c r="AK12" i="72" s="1"/>
  <c r="BN60" i="60"/>
  <c r="BN61" i="60" s="1"/>
  <c r="BM44" i="60"/>
  <c r="BM45" i="60" s="1"/>
  <c r="BM36" i="60"/>
  <c r="CC27" i="60"/>
  <c r="CC35" i="60"/>
  <c r="BT27" i="60"/>
  <c r="BT35" i="60"/>
  <c r="BP27" i="60"/>
  <c r="BP35" i="60"/>
  <c r="BZ53" i="60"/>
  <c r="BZ60" i="60"/>
  <c r="BZ61" i="60" s="1"/>
  <c r="BS27" i="60"/>
  <c r="BS35" i="60"/>
  <c r="BV53" i="60"/>
  <c r="BV60" i="60"/>
  <c r="BV61" i="60" s="1"/>
  <c r="CF27" i="60"/>
  <c r="CF35" i="60"/>
  <c r="BY53" i="60"/>
  <c r="BY60" i="60"/>
  <c r="BY61" i="60" s="1"/>
  <c r="BN36" i="60"/>
  <c r="BN44" i="60"/>
  <c r="BN45" i="60" s="1"/>
  <c r="CG26" i="60"/>
  <c r="CG18" i="60"/>
  <c r="BQ44" i="60"/>
  <c r="BQ45" i="60" s="1"/>
  <c r="BR57" i="64" s="1"/>
  <c r="BQ36" i="60"/>
  <c r="BO53" i="60"/>
  <c r="BO60" i="60"/>
  <c r="BO61" i="60" s="1"/>
  <c r="BU53" i="60"/>
  <c r="BU60" i="60"/>
  <c r="BU61" i="60" s="1"/>
  <c r="BO27" i="60"/>
  <c r="BO35" i="60"/>
  <c r="BX53" i="60"/>
  <c r="BX60" i="60"/>
  <c r="BX61" i="60" s="1"/>
  <c r="BU26" i="60"/>
  <c r="BU18" i="60"/>
  <c r="CH26" i="60"/>
  <c r="CH18" i="60"/>
  <c r="BP53" i="60"/>
  <c r="BP60" i="60"/>
  <c r="BP61" i="60" s="1"/>
  <c r="CE26" i="60"/>
  <c r="CE18" i="60"/>
  <c r="BS60" i="60"/>
  <c r="BS61" i="60" s="1"/>
  <c r="BS53" i="60"/>
  <c r="CB26" i="60"/>
  <c r="CB18" i="60"/>
  <c r="BR27" i="60"/>
  <c r="BR35" i="60"/>
  <c r="CD26" i="60"/>
  <c r="CD18" i="60"/>
  <c r="BR53" i="60"/>
  <c r="BR60" i="60"/>
  <c r="BR61" i="60" s="1"/>
  <c r="CF60" i="60" l="1"/>
  <c r="CF61" i="60" s="1"/>
  <c r="BW60" i="60"/>
  <c r="BW61" i="60" s="1"/>
  <c r="CI26" i="60"/>
  <c r="CI27" i="60" s="1"/>
  <c r="AI12" i="72" s="1"/>
  <c r="AI15" i="72" s="1"/>
  <c r="CC60" i="60"/>
  <c r="CC61" i="60" s="1"/>
  <c r="CB103" i="80"/>
  <c r="CI52" i="60"/>
  <c r="CI60" i="60" s="1"/>
  <c r="CI61" i="60" s="1"/>
  <c r="AK13" i="72"/>
  <c r="BN108" i="60"/>
  <c r="BN102" i="60" s="1"/>
  <c r="BQ86" i="80"/>
  <c r="BP87" i="80"/>
  <c r="BP89" i="80" s="1"/>
  <c r="BO97" i="80"/>
  <c r="BM108" i="60"/>
  <c r="BM102" i="60" s="1"/>
  <c r="BN57" i="64"/>
  <c r="BN58" i="64" s="1"/>
  <c r="BR99" i="60"/>
  <c r="BR58" i="64"/>
  <c r="CF44" i="60"/>
  <c r="CF45" i="60" s="1"/>
  <c r="CG57" i="64" s="1"/>
  <c r="CF36" i="60"/>
  <c r="BR44" i="60"/>
  <c r="BR45" i="60" s="1"/>
  <c r="BS57" i="64" s="1"/>
  <c r="BR36" i="60"/>
  <c r="CE53" i="60"/>
  <c r="CE60" i="60"/>
  <c r="CE61" i="60" s="1"/>
  <c r="CH27" i="60"/>
  <c r="CH35" i="60"/>
  <c r="BS36" i="60"/>
  <c r="BS44" i="60"/>
  <c r="BS45" i="60" s="1"/>
  <c r="BT57" i="64" s="1"/>
  <c r="CB53" i="60"/>
  <c r="CB60" i="60"/>
  <c r="CB61" i="60" s="1"/>
  <c r="CC36" i="60"/>
  <c r="CC44" i="60"/>
  <c r="CC45" i="60" s="1"/>
  <c r="CD57" i="64" s="1"/>
  <c r="BQ108" i="60"/>
  <c r="BQ102" i="60" s="1"/>
  <c r="CD35" i="60"/>
  <c r="CD27" i="60"/>
  <c r="CG35" i="60"/>
  <c r="CG27" i="60"/>
  <c r="CD60" i="60"/>
  <c r="CD61" i="60" s="1"/>
  <c r="CD53" i="60"/>
  <c r="CH53" i="60"/>
  <c r="CH60" i="60"/>
  <c r="CH61" i="60" s="1"/>
  <c r="BP36" i="60"/>
  <c r="BP44" i="60"/>
  <c r="BP45" i="60" s="1"/>
  <c r="BQ57" i="64" s="1"/>
  <c r="CA53" i="60"/>
  <c r="CA60" i="60"/>
  <c r="CA61" i="60" s="1"/>
  <c r="CB27" i="60"/>
  <c r="CB35" i="60"/>
  <c r="CE27" i="60"/>
  <c r="CE35" i="60"/>
  <c r="BU27" i="60"/>
  <c r="BU35" i="60"/>
  <c r="CG53" i="60"/>
  <c r="CG60" i="60"/>
  <c r="CG61" i="60" s="1"/>
  <c r="BO44" i="60"/>
  <c r="BO45" i="60" s="1"/>
  <c r="BO36" i="60"/>
  <c r="AK14" i="72"/>
  <c r="BO57" i="64"/>
  <c r="BT36" i="60"/>
  <c r="BT44" i="60"/>
  <c r="BT45" i="60" s="1"/>
  <c r="CI35" i="60" l="1"/>
  <c r="CI36" i="60" s="1"/>
  <c r="CI53" i="60"/>
  <c r="BP97" i="80"/>
  <c r="BX17" i="60" s="1"/>
  <c r="BW17" i="60"/>
  <c r="BW26" i="60" s="1"/>
  <c r="AK15" i="72"/>
  <c r="BV18" i="60"/>
  <c r="BV26" i="60"/>
  <c r="BR86" i="80"/>
  <c r="BQ93" i="80"/>
  <c r="BQ87" i="80"/>
  <c r="BQ89" i="80" s="1"/>
  <c r="BN99" i="60"/>
  <c r="AK18" i="72" s="1"/>
  <c r="CF108" i="60"/>
  <c r="CF102" i="60" s="1"/>
  <c r="BT108" i="60"/>
  <c r="BT102" i="60" s="1"/>
  <c r="CC108" i="60"/>
  <c r="CC102" i="60" s="1"/>
  <c r="CD58" i="64"/>
  <c r="CD99" i="60"/>
  <c r="BS58" i="64"/>
  <c r="BS99" i="60"/>
  <c r="BO58" i="64"/>
  <c r="BO99" i="60"/>
  <c r="BU36" i="60"/>
  <c r="BU44" i="60"/>
  <c r="BU45" i="60" s="1"/>
  <c r="CG36" i="60"/>
  <c r="CG44" i="60"/>
  <c r="CG45" i="60" s="1"/>
  <c r="CH57" i="64" s="1"/>
  <c r="CD36" i="60"/>
  <c r="CD44" i="60"/>
  <c r="CD45" i="60" s="1"/>
  <c r="CE57" i="64" s="1"/>
  <c r="CB36" i="60"/>
  <c r="CB44" i="60"/>
  <c r="CB45" i="60" s="1"/>
  <c r="CC57" i="64" s="1"/>
  <c r="BQ99" i="60"/>
  <c r="BQ58" i="64"/>
  <c r="CE44" i="60"/>
  <c r="CE45" i="60" s="1"/>
  <c r="CF57" i="64" s="1"/>
  <c r="CE36" i="60"/>
  <c r="BP108" i="60"/>
  <c r="BP102" i="60" s="1"/>
  <c r="BT99" i="60"/>
  <c r="BT58" i="64"/>
  <c r="CG99" i="60"/>
  <c r="CG58" i="64"/>
  <c r="BO108" i="60"/>
  <c r="BO102" i="60" s="1"/>
  <c r="BP57" i="64"/>
  <c r="CI44" i="60"/>
  <c r="CI45" i="60" s="1"/>
  <c r="BS108" i="60"/>
  <c r="BS102" i="60" s="1"/>
  <c r="BR108" i="60"/>
  <c r="BR102" i="60" s="1"/>
  <c r="BU57" i="64"/>
  <c r="CH36" i="60"/>
  <c r="CH44" i="60"/>
  <c r="CH45" i="60" s="1"/>
  <c r="CI57" i="64" s="1"/>
  <c r="BW18" i="60" l="1"/>
  <c r="BR93" i="80"/>
  <c r="BS93" i="80" s="1"/>
  <c r="BQ97" i="80"/>
  <c r="BY17" i="60" s="1"/>
  <c r="BS86" i="80"/>
  <c r="BS87" i="80" s="1"/>
  <c r="BS89" i="80" s="1"/>
  <c r="BR87" i="80"/>
  <c r="BR89" i="80" s="1"/>
  <c r="BV27" i="60"/>
  <c r="BV35" i="60"/>
  <c r="CE108" i="60"/>
  <c r="CE102" i="60" s="1"/>
  <c r="CD108" i="60"/>
  <c r="CD102" i="60" s="1"/>
  <c r="CF99" i="60"/>
  <c r="CF58" i="64"/>
  <c r="CI99" i="60"/>
  <c r="CI58" i="64"/>
  <c r="AH14" i="72"/>
  <c r="AH15" i="72" s="1"/>
  <c r="AJ14" i="72"/>
  <c r="AJ15" i="72" s="1"/>
  <c r="CE99" i="60"/>
  <c r="CE58" i="64"/>
  <c r="BU108" i="60"/>
  <c r="BU102" i="60" s="1"/>
  <c r="BV57" i="64"/>
  <c r="CC58" i="64"/>
  <c r="CC99" i="60"/>
  <c r="CH99" i="60"/>
  <c r="CH58" i="64"/>
  <c r="CB108" i="60"/>
  <c r="CB102" i="60" s="1"/>
  <c r="BU99" i="60"/>
  <c r="BU58" i="64"/>
  <c r="BP99" i="60"/>
  <c r="BP58" i="64"/>
  <c r="BW27" i="60"/>
  <c r="BW35" i="60"/>
  <c r="CI108" i="60"/>
  <c r="CI102" i="60" s="1"/>
  <c r="CG108" i="60"/>
  <c r="CG102" i="60" s="1"/>
  <c r="CH108" i="60"/>
  <c r="CH102" i="60" s="1"/>
  <c r="BX18" i="60"/>
  <c r="BX26" i="60"/>
  <c r="BV44" i="60" l="1"/>
  <c r="BV45" i="60" s="1"/>
  <c r="BV36" i="60"/>
  <c r="BR97" i="80"/>
  <c r="BZ17" i="60" s="1"/>
  <c r="AG25" i="72"/>
  <c r="AH25" i="72"/>
  <c r="AJ25" i="72"/>
  <c r="AK25" i="72"/>
  <c r="AG18" i="72"/>
  <c r="BW36" i="60"/>
  <c r="BW44" i="60"/>
  <c r="BW45" i="60" s="1"/>
  <c r="BX27" i="60"/>
  <c r="BX35" i="60"/>
  <c r="BV99" i="60"/>
  <c r="BV58" i="64"/>
  <c r="BY18" i="60" l="1"/>
  <c r="BY26" i="60"/>
  <c r="BS97" i="80"/>
  <c r="CA17" i="60" s="1"/>
  <c r="BW57" i="64"/>
  <c r="BV108" i="60"/>
  <c r="BV102" i="60" s="1"/>
  <c r="BX44" i="60"/>
  <c r="BX45" i="60" s="1"/>
  <c r="BY57" i="64" s="1"/>
  <c r="BX36" i="60"/>
  <c r="BW108" i="60"/>
  <c r="BW102" i="60" s="1"/>
  <c r="BX57" i="64"/>
  <c r="BW58" i="64" l="1"/>
  <c r="BW99" i="60"/>
  <c r="BZ18" i="60"/>
  <c r="BZ26" i="60"/>
  <c r="CA26" i="60"/>
  <c r="CA18" i="60"/>
  <c r="BY27" i="60"/>
  <c r="BY35" i="60"/>
  <c r="AL11" i="72"/>
  <c r="BY99" i="60"/>
  <c r="BY58" i="64"/>
  <c r="BX58" i="64"/>
  <c r="BX99" i="60"/>
  <c r="BX108" i="60"/>
  <c r="BX102" i="60" s="1"/>
  <c r="BY44" i="60" l="1"/>
  <c r="BY45" i="60" s="1"/>
  <c r="BY36" i="60"/>
  <c r="BZ35" i="60"/>
  <c r="BZ27" i="60"/>
  <c r="AL12" i="72" s="1"/>
  <c r="CA27" i="60"/>
  <c r="CA35" i="60"/>
  <c r="BZ36" i="60" l="1"/>
  <c r="AL13" i="72" s="1"/>
  <c r="BZ44" i="60"/>
  <c r="BZ45" i="60" s="1"/>
  <c r="AL14" i="72" s="1"/>
  <c r="CA36" i="60"/>
  <c r="CA44" i="60"/>
  <c r="CA45" i="60" s="1"/>
  <c r="BZ57" i="64"/>
  <c r="BY108" i="60"/>
  <c r="BY102" i="60" s="1"/>
  <c r="O94" i="60"/>
  <c r="AA94" i="60" s="1"/>
  <c r="N94" i="60"/>
  <c r="Z94" i="60" s="1"/>
  <c r="M94" i="60"/>
  <c r="Y94" i="60" s="1"/>
  <c r="L94" i="60"/>
  <c r="X94" i="60" s="1"/>
  <c r="AJ94" i="60" s="1"/>
  <c r="K94" i="60"/>
  <c r="W94" i="60" s="1"/>
  <c r="AI94" i="60" s="1"/>
  <c r="J94" i="60"/>
  <c r="V94" i="60" s="1"/>
  <c r="AH94" i="60" s="1"/>
  <c r="I94" i="60"/>
  <c r="U94" i="60" s="1"/>
  <c r="AG94" i="60" s="1"/>
  <c r="H94" i="60"/>
  <c r="T94" i="60" s="1"/>
  <c r="AF94" i="60" s="1"/>
  <c r="G94" i="60"/>
  <c r="S94" i="60" s="1"/>
  <c r="AE94" i="60" s="1"/>
  <c r="F94" i="60"/>
  <c r="R94" i="60" s="1"/>
  <c r="AD94" i="60" s="1"/>
  <c r="E94" i="60"/>
  <c r="Q94" i="60" s="1"/>
  <c r="AC94" i="60" s="1"/>
  <c r="O92" i="60"/>
  <c r="AA92" i="60" s="1"/>
  <c r="N92" i="60"/>
  <c r="Z92" i="60" s="1"/>
  <c r="M92" i="60"/>
  <c r="Y92" i="60" s="1"/>
  <c r="L92" i="60"/>
  <c r="X92" i="60" s="1"/>
  <c r="AJ92" i="60" s="1"/>
  <c r="K92" i="60"/>
  <c r="W92" i="60" s="1"/>
  <c r="AI92" i="60" s="1"/>
  <c r="J92" i="60"/>
  <c r="V92" i="60" s="1"/>
  <c r="AH92" i="60" s="1"/>
  <c r="I92" i="60"/>
  <c r="U92" i="60" s="1"/>
  <c r="AG92" i="60" s="1"/>
  <c r="H92" i="60"/>
  <c r="T92" i="60" s="1"/>
  <c r="AF92" i="60" s="1"/>
  <c r="G92" i="60"/>
  <c r="S92" i="60" s="1"/>
  <c r="AE92" i="60" s="1"/>
  <c r="F92" i="60"/>
  <c r="R92" i="60" s="1"/>
  <c r="AD92" i="60" s="1"/>
  <c r="E92" i="60"/>
  <c r="Q92" i="60" s="1"/>
  <c r="AC92" i="60" s="1"/>
  <c r="O91" i="60"/>
  <c r="AA91" i="60" s="1"/>
  <c r="N91" i="60"/>
  <c r="Z91" i="60" s="1"/>
  <c r="M91" i="60"/>
  <c r="Y91" i="60" s="1"/>
  <c r="L91" i="60"/>
  <c r="X91" i="60" s="1"/>
  <c r="AJ91" i="60" s="1"/>
  <c r="K91" i="60"/>
  <c r="W91" i="60" s="1"/>
  <c r="AI91" i="60" s="1"/>
  <c r="J91" i="60"/>
  <c r="V91" i="60" s="1"/>
  <c r="AH91" i="60" s="1"/>
  <c r="I91" i="60"/>
  <c r="U91" i="60" s="1"/>
  <c r="AG91" i="60" s="1"/>
  <c r="H91" i="60"/>
  <c r="T91" i="60" s="1"/>
  <c r="AF91" i="60" s="1"/>
  <c r="G91" i="60"/>
  <c r="S91" i="60" s="1"/>
  <c r="AE91" i="60" s="1"/>
  <c r="F91" i="60"/>
  <c r="R91" i="60" s="1"/>
  <c r="AD91" i="60" s="1"/>
  <c r="E91" i="60"/>
  <c r="Q91" i="60" s="1"/>
  <c r="AC91" i="60" s="1"/>
  <c r="O90" i="60"/>
  <c r="AA90" i="60" s="1"/>
  <c r="N90" i="60"/>
  <c r="Z90" i="60" s="1"/>
  <c r="M90" i="60"/>
  <c r="Y90" i="60" s="1"/>
  <c r="L90" i="60"/>
  <c r="X90" i="60" s="1"/>
  <c r="AJ90" i="60" s="1"/>
  <c r="K90" i="60"/>
  <c r="W90" i="60" s="1"/>
  <c r="AI90" i="60" s="1"/>
  <c r="J90" i="60"/>
  <c r="V90" i="60" s="1"/>
  <c r="AH90" i="60" s="1"/>
  <c r="I90" i="60"/>
  <c r="U90" i="60" s="1"/>
  <c r="AG90" i="60" s="1"/>
  <c r="H90" i="60"/>
  <c r="T90" i="60" s="1"/>
  <c r="AF90" i="60" s="1"/>
  <c r="G90" i="60"/>
  <c r="S90" i="60" s="1"/>
  <c r="AE90" i="60" s="1"/>
  <c r="F90" i="60"/>
  <c r="R90" i="60" s="1"/>
  <c r="AD90" i="60" s="1"/>
  <c r="E90" i="60"/>
  <c r="Q90" i="60" s="1"/>
  <c r="AC90" i="60" s="1"/>
  <c r="AL15" i="72" l="1"/>
  <c r="CB57" i="64"/>
  <c r="CA108" i="60"/>
  <c r="CA102" i="60" s="1"/>
  <c r="CA57" i="64"/>
  <c r="BZ108" i="60"/>
  <c r="BZ102" i="60" s="1"/>
  <c r="AL25" i="72" s="1"/>
  <c r="BZ99" i="60"/>
  <c r="AL18" i="72" s="1"/>
  <c r="BZ58" i="64"/>
  <c r="E91" i="65"/>
  <c r="E91" i="115"/>
  <c r="AL90" i="60"/>
  <c r="AX90" i="60" s="1"/>
  <c r="BJ90" i="60" s="1"/>
  <c r="BV90" i="60" s="1"/>
  <c r="CH90" i="60" s="1"/>
  <c r="AL91" i="60"/>
  <c r="AX91" i="60" s="1"/>
  <c r="BJ91" i="60" s="1"/>
  <c r="BV91" i="60" s="1"/>
  <c r="CH91" i="60" s="1"/>
  <c r="E92" i="115"/>
  <c r="E92" i="65"/>
  <c r="E93" i="115"/>
  <c r="AL92" i="60"/>
  <c r="AX92" i="60" s="1"/>
  <c r="BJ92" i="60" s="1"/>
  <c r="BV92" i="60" s="1"/>
  <c r="CH92" i="60" s="1"/>
  <c r="E93" i="65"/>
  <c r="M95" i="115"/>
  <c r="AT94" i="60"/>
  <c r="BF94" i="60" s="1"/>
  <c r="BR94" i="60" s="1"/>
  <c r="CD94" i="60" s="1"/>
  <c r="M95" i="65"/>
  <c r="AQ90" i="60"/>
  <c r="BC90" i="60" s="1"/>
  <c r="BO90" i="60" s="1"/>
  <c r="CA90" i="60" s="1"/>
  <c r="J91" i="115"/>
  <c r="J91" i="65"/>
  <c r="N91" i="65"/>
  <c r="AU90" i="60"/>
  <c r="BG90" i="60" s="1"/>
  <c r="BS90" i="60" s="1"/>
  <c r="CE90" i="60" s="1"/>
  <c r="N91" i="115"/>
  <c r="AM90" i="60"/>
  <c r="AY90" i="60" s="1"/>
  <c r="BK90" i="60" s="1"/>
  <c r="BW90" i="60" s="1"/>
  <c r="CI90" i="60" s="1"/>
  <c r="F91" i="115"/>
  <c r="F91" i="65"/>
  <c r="J92" i="115"/>
  <c r="AQ91" i="60"/>
  <c r="BC91" i="60" s="1"/>
  <c r="BO91" i="60" s="1"/>
  <c r="CA91" i="60" s="1"/>
  <c r="J92" i="65"/>
  <c r="AU91" i="60"/>
  <c r="BG91" i="60" s="1"/>
  <c r="BS91" i="60" s="1"/>
  <c r="CE91" i="60" s="1"/>
  <c r="N92" i="115"/>
  <c r="N92" i="65"/>
  <c r="AM91" i="60"/>
  <c r="AY91" i="60" s="1"/>
  <c r="BK91" i="60" s="1"/>
  <c r="BW91" i="60" s="1"/>
  <c r="CI91" i="60" s="1"/>
  <c r="F92" i="65"/>
  <c r="F92" i="115"/>
  <c r="J93" i="65"/>
  <c r="AQ92" i="60"/>
  <c r="BC92" i="60" s="1"/>
  <c r="BO92" i="60" s="1"/>
  <c r="CA92" i="60" s="1"/>
  <c r="J93" i="115"/>
  <c r="AU92" i="60"/>
  <c r="BG92" i="60" s="1"/>
  <c r="BS92" i="60" s="1"/>
  <c r="CE92" i="60" s="1"/>
  <c r="N93" i="115"/>
  <c r="N93" i="65"/>
  <c r="F93" i="65"/>
  <c r="F93" i="115"/>
  <c r="AM92" i="60"/>
  <c r="AY92" i="60" s="1"/>
  <c r="BK92" i="60" s="1"/>
  <c r="BW92" i="60" s="1"/>
  <c r="CI92" i="60" s="1"/>
  <c r="J95" i="115"/>
  <c r="J95" i="65"/>
  <c r="AQ94" i="60"/>
  <c r="BC94" i="60" s="1"/>
  <c r="BO94" i="60" s="1"/>
  <c r="CA94" i="60" s="1"/>
  <c r="AU94" i="60"/>
  <c r="BG94" i="60" s="1"/>
  <c r="BS94" i="60" s="1"/>
  <c r="CE94" i="60" s="1"/>
  <c r="N95" i="65"/>
  <c r="N95" i="115"/>
  <c r="F95" i="65"/>
  <c r="F95" i="115"/>
  <c r="AM94" i="60"/>
  <c r="AY94" i="60" s="1"/>
  <c r="BK94" i="60" s="1"/>
  <c r="BW94" i="60" s="1"/>
  <c r="CI94" i="60" s="1"/>
  <c r="I91" i="115"/>
  <c r="AP90" i="60"/>
  <c r="BB90" i="60" s="1"/>
  <c r="BN90" i="60" s="1"/>
  <c r="BZ90" i="60" s="1"/>
  <c r="I91" i="65"/>
  <c r="I92" i="65"/>
  <c r="I92" i="115"/>
  <c r="AP91" i="60"/>
  <c r="BB91" i="60" s="1"/>
  <c r="BN91" i="60" s="1"/>
  <c r="BZ91" i="60" s="1"/>
  <c r="I93" i="65"/>
  <c r="AP92" i="60"/>
  <c r="BB92" i="60" s="1"/>
  <c r="BN92" i="60" s="1"/>
  <c r="BZ92" i="60" s="1"/>
  <c r="I93" i="115"/>
  <c r="I95" i="65"/>
  <c r="AP94" i="60"/>
  <c r="BB94" i="60" s="1"/>
  <c r="BN94" i="60" s="1"/>
  <c r="BZ94" i="60" s="1"/>
  <c r="I95" i="115"/>
  <c r="R79" i="20"/>
  <c r="D28" i="76" s="1"/>
  <c r="D90" i="60"/>
  <c r="P90" i="60" s="1"/>
  <c r="AB90" i="60" s="1"/>
  <c r="K91" i="65"/>
  <c r="K91" i="115"/>
  <c r="AR90" i="60"/>
  <c r="BD90" i="60" s="1"/>
  <c r="BP90" i="60" s="1"/>
  <c r="CB90" i="60" s="1"/>
  <c r="O91" i="115"/>
  <c r="AV90" i="60"/>
  <c r="BH90" i="60" s="1"/>
  <c r="BT90" i="60" s="1"/>
  <c r="CF90" i="60" s="1"/>
  <c r="O91" i="65"/>
  <c r="R80" i="20"/>
  <c r="D91" i="60"/>
  <c r="P91" i="60" s="1"/>
  <c r="AB91" i="60" s="1"/>
  <c r="K92" i="115"/>
  <c r="K92" i="65"/>
  <c r="AR91" i="60"/>
  <c r="BD91" i="60" s="1"/>
  <c r="BP91" i="60" s="1"/>
  <c r="CB91" i="60" s="1"/>
  <c r="O92" i="65"/>
  <c r="O92" i="115"/>
  <c r="AV91" i="60"/>
  <c r="BH91" i="60" s="1"/>
  <c r="BT91" i="60" s="1"/>
  <c r="CF91" i="60" s="1"/>
  <c r="R81" i="20"/>
  <c r="E29" i="76" s="1"/>
  <c r="D92" i="60"/>
  <c r="P92" i="60" s="1"/>
  <c r="AB92" i="60" s="1"/>
  <c r="AR92" i="60"/>
  <c r="BD92" i="60" s="1"/>
  <c r="BP92" i="60" s="1"/>
  <c r="CB92" i="60" s="1"/>
  <c r="K93" i="65"/>
  <c r="K93" i="115"/>
  <c r="AV92" i="60"/>
  <c r="BH92" i="60" s="1"/>
  <c r="BT92" i="60" s="1"/>
  <c r="CF92" i="60" s="1"/>
  <c r="O93" i="115"/>
  <c r="O93" i="65"/>
  <c r="D94" i="60"/>
  <c r="P94" i="60" s="1"/>
  <c r="AB94" i="60" s="1"/>
  <c r="R83" i="20"/>
  <c r="K95" i="115"/>
  <c r="AR94" i="60"/>
  <c r="BD94" i="60" s="1"/>
  <c r="BP94" i="60" s="1"/>
  <c r="CB94" i="60" s="1"/>
  <c r="K95" i="65"/>
  <c r="O95" i="65"/>
  <c r="AV94" i="60"/>
  <c r="BH94" i="60" s="1"/>
  <c r="BT94" i="60" s="1"/>
  <c r="CF94" i="60" s="1"/>
  <c r="O95" i="115"/>
  <c r="M91" i="115"/>
  <c r="AT90" i="60"/>
  <c r="BF90" i="60" s="1"/>
  <c r="BR90" i="60" s="1"/>
  <c r="CD90" i="60" s="1"/>
  <c r="M91" i="65"/>
  <c r="AT91" i="60"/>
  <c r="BF91" i="60" s="1"/>
  <c r="BR91" i="60" s="1"/>
  <c r="CD91" i="60" s="1"/>
  <c r="M92" i="115"/>
  <c r="M92" i="65"/>
  <c r="M93" i="65"/>
  <c r="M93" i="115"/>
  <c r="AT92" i="60"/>
  <c r="BF92" i="60" s="1"/>
  <c r="BR92" i="60" s="1"/>
  <c r="CD92" i="60" s="1"/>
  <c r="E95" i="65"/>
  <c r="AL94" i="60"/>
  <c r="AX94" i="60" s="1"/>
  <c r="BJ94" i="60" s="1"/>
  <c r="BV94" i="60" s="1"/>
  <c r="CH94" i="60" s="1"/>
  <c r="E95" i="115"/>
  <c r="H91" i="65"/>
  <c r="AO90" i="60"/>
  <c r="BA90" i="60" s="1"/>
  <c r="BM90" i="60" s="1"/>
  <c r="BY90" i="60" s="1"/>
  <c r="H91" i="115"/>
  <c r="L91" i="115"/>
  <c r="AS90" i="60"/>
  <c r="BE90" i="60" s="1"/>
  <c r="BQ90" i="60" s="1"/>
  <c r="CC90" i="60" s="1"/>
  <c r="L91" i="65"/>
  <c r="D91" i="65"/>
  <c r="AK90" i="60"/>
  <c r="AW90" i="60" s="1"/>
  <c r="BI90" i="60" s="1"/>
  <c r="BU90" i="60" s="1"/>
  <c r="CG90" i="60" s="1"/>
  <c r="D91" i="115"/>
  <c r="AO91" i="60"/>
  <c r="BA91" i="60" s="1"/>
  <c r="BM91" i="60" s="1"/>
  <c r="BY91" i="60" s="1"/>
  <c r="H92" i="65"/>
  <c r="H92" i="115"/>
  <c r="AS91" i="60"/>
  <c r="BE91" i="60" s="1"/>
  <c r="BQ91" i="60" s="1"/>
  <c r="CC91" i="60" s="1"/>
  <c r="L92" i="65"/>
  <c r="L92" i="115"/>
  <c r="AK91" i="60"/>
  <c r="AW91" i="60" s="1"/>
  <c r="BI91" i="60" s="1"/>
  <c r="BU91" i="60" s="1"/>
  <c r="CG91" i="60" s="1"/>
  <c r="D92" i="65"/>
  <c r="D92" i="115"/>
  <c r="H93" i="115"/>
  <c r="AO92" i="60"/>
  <c r="BA92" i="60" s="1"/>
  <c r="BM92" i="60" s="1"/>
  <c r="BY92" i="60" s="1"/>
  <c r="H93" i="65"/>
  <c r="AS92" i="60"/>
  <c r="BE92" i="60" s="1"/>
  <c r="BQ92" i="60" s="1"/>
  <c r="CC92" i="60" s="1"/>
  <c r="L93" i="115"/>
  <c r="L93" i="65"/>
  <c r="D93" i="65"/>
  <c r="D93" i="115"/>
  <c r="AK92" i="60"/>
  <c r="AW92" i="60" s="1"/>
  <c r="BI92" i="60" s="1"/>
  <c r="BU92" i="60" s="1"/>
  <c r="CG92" i="60" s="1"/>
  <c r="AO94" i="60"/>
  <c r="BA94" i="60" s="1"/>
  <c r="BM94" i="60" s="1"/>
  <c r="BY94" i="60" s="1"/>
  <c r="H95" i="65"/>
  <c r="H95" i="115"/>
  <c r="L95" i="65"/>
  <c r="AS94" i="60"/>
  <c r="BE94" i="60" s="1"/>
  <c r="BQ94" i="60" s="1"/>
  <c r="CC94" i="60" s="1"/>
  <c r="L95" i="115"/>
  <c r="D95" i="65"/>
  <c r="AK94" i="60"/>
  <c r="AW94" i="60" s="1"/>
  <c r="BI94" i="60" s="1"/>
  <c r="BU94" i="60" s="1"/>
  <c r="CG94" i="60" s="1"/>
  <c r="D95" i="115"/>
  <c r="CA99" i="60" l="1"/>
  <c r="CA58" i="64"/>
  <c r="CB58" i="64"/>
  <c r="CB99" i="60"/>
  <c r="G93" i="115"/>
  <c r="P93" i="115" s="1"/>
  <c r="Q93" i="115" s="1"/>
  <c r="G93" i="65"/>
  <c r="J53" i="61" s="1"/>
  <c r="J54" i="61" s="1"/>
  <c r="J59" i="61" s="1"/>
  <c r="AN92" i="60"/>
  <c r="AZ92" i="60" s="1"/>
  <c r="BL92" i="60" s="1"/>
  <c r="BX92" i="60" s="1"/>
  <c r="G92" i="65"/>
  <c r="P92" i="65" s="1"/>
  <c r="AN91" i="60"/>
  <c r="AZ91" i="60" s="1"/>
  <c r="BL91" i="60" s="1"/>
  <c r="BX91" i="60" s="1"/>
  <c r="G92" i="115"/>
  <c r="P92" i="115" s="1"/>
  <c r="Q92" i="115" s="1"/>
  <c r="G91" i="65"/>
  <c r="P91" i="65" s="1"/>
  <c r="AN90" i="60"/>
  <c r="AZ90" i="60" s="1"/>
  <c r="BL90" i="60" s="1"/>
  <c r="BX90" i="60" s="1"/>
  <c r="G91" i="115"/>
  <c r="P91" i="115" s="1"/>
  <c r="Q91" i="115" s="1"/>
  <c r="P93" i="65"/>
  <c r="G95" i="65"/>
  <c r="P95" i="65" s="1"/>
  <c r="AN94" i="60"/>
  <c r="AZ94" i="60" s="1"/>
  <c r="BL94" i="60" s="1"/>
  <c r="BX94" i="60" s="1"/>
  <c r="G95" i="115"/>
  <c r="P95" i="115" s="1"/>
  <c r="E29" i="91"/>
  <c r="P29" i="91" s="1"/>
  <c r="P29" i="76"/>
  <c r="P28" i="76"/>
  <c r="D28" i="91"/>
  <c r="P28" i="91" s="1"/>
  <c r="F44" i="61" l="1"/>
  <c r="Q91" i="65"/>
  <c r="P30" i="91"/>
  <c r="P30" i="76"/>
  <c r="Q92" i="65"/>
  <c r="R92" i="65" s="1"/>
  <c r="F45" i="61"/>
  <c r="D53" i="61"/>
  <c r="D54" i="61" s="1"/>
  <c r="D59" i="61" s="1"/>
  <c r="Q93" i="65"/>
  <c r="R93" i="65" s="1"/>
  <c r="I45" i="44"/>
  <c r="I46" i="44" s="1"/>
  <c r="P38" i="91"/>
  <c r="P38" i="76"/>
  <c r="Q95" i="65"/>
  <c r="Q95" i="115"/>
  <c r="J45" i="44"/>
  <c r="G45" i="44"/>
  <c r="R95" i="65" l="1"/>
  <c r="S66" i="65"/>
  <c r="G46" i="44"/>
  <c r="F45" i="44"/>
  <c r="F46" i="44" s="1"/>
  <c r="R91" i="65"/>
  <c r="S67" i="65"/>
  <c r="K45" i="44"/>
  <c r="J46" i="44"/>
  <c r="K46" i="44" l="1"/>
  <c r="J48" i="44"/>
  <c r="H46" i="44"/>
  <c r="H45" i="44"/>
  <c r="G64" i="60" l="1"/>
  <c r="H64" i="60"/>
  <c r="I64" i="60"/>
  <c r="J64" i="60"/>
  <c r="K64" i="60"/>
  <c r="L64" i="60"/>
  <c r="M64" i="60"/>
  <c r="N64" i="60"/>
  <c r="O64" i="60"/>
  <c r="F64" i="60"/>
  <c r="E64" i="60"/>
  <c r="D80" i="60" l="1"/>
  <c r="E89" i="60"/>
  <c r="E88" i="60" s="1"/>
  <c r="F89" i="60"/>
  <c r="F88" i="60" s="1"/>
  <c r="Q64" i="60"/>
  <c r="E63" i="60"/>
  <c r="F63" i="60"/>
  <c r="R64" i="60"/>
  <c r="O89" i="60"/>
  <c r="K89" i="60"/>
  <c r="G89" i="60"/>
  <c r="Y64" i="60"/>
  <c r="M63" i="60"/>
  <c r="I63" i="60"/>
  <c r="U64" i="60"/>
  <c r="N80" i="60"/>
  <c r="G31" i="78" s="1"/>
  <c r="J80" i="60"/>
  <c r="C31" i="78" s="1"/>
  <c r="O53" i="20"/>
  <c r="D64" i="60"/>
  <c r="E80" i="60"/>
  <c r="N89" i="60"/>
  <c r="J89" i="60"/>
  <c r="L63" i="60"/>
  <c r="X64" i="60"/>
  <c r="H63" i="60"/>
  <c r="T64" i="60"/>
  <c r="M80" i="60"/>
  <c r="I80" i="60"/>
  <c r="F80" i="60"/>
  <c r="M89" i="60"/>
  <c r="I89" i="60"/>
  <c r="AA64" i="60"/>
  <c r="O63" i="60"/>
  <c r="K63" i="60"/>
  <c r="W64" i="60"/>
  <c r="S64" i="60"/>
  <c r="G63" i="60"/>
  <c r="L80" i="60"/>
  <c r="H80" i="60"/>
  <c r="L89" i="60"/>
  <c r="H89" i="60"/>
  <c r="N63" i="60"/>
  <c r="Z64" i="60"/>
  <c r="V64" i="60"/>
  <c r="J63" i="60"/>
  <c r="O80" i="60"/>
  <c r="K80" i="60"/>
  <c r="G80" i="60"/>
  <c r="Q89" i="60" l="1"/>
  <c r="AC89" i="60" s="1"/>
  <c r="R89" i="60"/>
  <c r="AD89" i="60" s="1"/>
  <c r="V63" i="60"/>
  <c r="AH64" i="60"/>
  <c r="U89" i="60"/>
  <c r="I88" i="60"/>
  <c r="Y80" i="60"/>
  <c r="T31" i="78" s="1"/>
  <c r="M79" i="60"/>
  <c r="F20" i="72" s="1"/>
  <c r="AJ64" i="60"/>
  <c r="X63" i="60"/>
  <c r="G88" i="60"/>
  <c r="S89" i="60"/>
  <c r="O79" i="60"/>
  <c r="H20" i="72" s="1"/>
  <c r="AA80" i="60"/>
  <c r="V31" i="78" s="1"/>
  <c r="E32" i="78"/>
  <c r="X89" i="60"/>
  <c r="L88" i="60"/>
  <c r="S63" i="60"/>
  <c r="AE64" i="60"/>
  <c r="H31" i="78"/>
  <c r="F32" i="78"/>
  <c r="Y89" i="60"/>
  <c r="M88" i="60"/>
  <c r="T63" i="60"/>
  <c r="AF64" i="60"/>
  <c r="O69" i="20"/>
  <c r="J79" i="60"/>
  <c r="C20" i="72" s="1"/>
  <c r="V80" i="60"/>
  <c r="F31" i="78"/>
  <c r="W89" i="60"/>
  <c r="K88" i="60"/>
  <c r="D32" i="78"/>
  <c r="W80" i="60"/>
  <c r="K79" i="60"/>
  <c r="D20" i="72" s="1"/>
  <c r="F79" i="60"/>
  <c r="F107" i="60" s="1"/>
  <c r="F101" i="60" s="1"/>
  <c r="F103" i="60" s="1"/>
  <c r="R80" i="60"/>
  <c r="K31" i="78" s="1"/>
  <c r="R53" i="20"/>
  <c r="R60" i="20" s="1"/>
  <c r="O60" i="20"/>
  <c r="D25" i="76"/>
  <c r="E65" i="65"/>
  <c r="E64" i="65" s="1"/>
  <c r="AL64" i="60"/>
  <c r="E65" i="115"/>
  <c r="E64" i="115" s="1"/>
  <c r="Z63" i="60"/>
  <c r="T80" i="60"/>
  <c r="M31" i="78" s="1"/>
  <c r="H79" i="60"/>
  <c r="D31" i="78"/>
  <c r="J32" i="78"/>
  <c r="C32" i="78"/>
  <c r="C33" i="78" s="1"/>
  <c r="V89" i="60"/>
  <c r="J88" i="60"/>
  <c r="P80" i="60"/>
  <c r="D79" i="60"/>
  <c r="Z80" i="60"/>
  <c r="N79" i="60"/>
  <c r="H32" i="78"/>
  <c r="AA89" i="60"/>
  <c r="O88" i="60"/>
  <c r="AC64" i="60"/>
  <c r="Q63" i="60"/>
  <c r="H88" i="60"/>
  <c r="T89" i="60"/>
  <c r="E79" i="60"/>
  <c r="E107" i="60" s="1"/>
  <c r="E101" i="60" s="1"/>
  <c r="E103" i="60" s="1"/>
  <c r="Q80" i="60"/>
  <c r="G79" i="60"/>
  <c r="S80" i="60"/>
  <c r="L31" i="78" s="1"/>
  <c r="G20" i="72"/>
  <c r="X80" i="60"/>
  <c r="R31" i="78" s="1"/>
  <c r="L79" i="60"/>
  <c r="E20" i="72" s="1"/>
  <c r="W63" i="60"/>
  <c r="AI64" i="60"/>
  <c r="AA63" i="60"/>
  <c r="F65" i="115"/>
  <c r="F64" i="115" s="1"/>
  <c r="F65" i="65"/>
  <c r="F64" i="65" s="1"/>
  <c r="AM64" i="60"/>
  <c r="U80" i="60"/>
  <c r="N31" i="78" s="1"/>
  <c r="I79" i="60"/>
  <c r="E31" i="78"/>
  <c r="G32" i="78"/>
  <c r="G33" i="78" s="1"/>
  <c r="N88" i="60"/>
  <c r="Z89" i="60"/>
  <c r="D63" i="60"/>
  <c r="P64" i="60"/>
  <c r="U63" i="60"/>
  <c r="AG64" i="60"/>
  <c r="D65" i="65"/>
  <c r="AK64" i="60"/>
  <c r="Y63" i="60"/>
  <c r="D65" i="115"/>
  <c r="R63" i="60"/>
  <c r="AD64" i="60"/>
  <c r="D89" i="60"/>
  <c r="O78" i="20"/>
  <c r="Q88" i="60" l="1"/>
  <c r="J21" i="72" s="1"/>
  <c r="K32" i="78"/>
  <c r="K33" i="78" s="1"/>
  <c r="E33" i="78"/>
  <c r="R88" i="60"/>
  <c r="K21" i="72" s="1"/>
  <c r="D33" i="78"/>
  <c r="H107" i="60"/>
  <c r="H101" i="60" s="1"/>
  <c r="H103" i="60" s="1"/>
  <c r="F33" i="78"/>
  <c r="AC80" i="60"/>
  <c r="X31" i="78" s="1"/>
  <c r="Q79" i="60"/>
  <c r="Q107" i="60" s="1"/>
  <c r="Q101" i="60" s="1"/>
  <c r="V32" i="78"/>
  <c r="V33" i="78" s="1"/>
  <c r="F90" i="115"/>
  <c r="F89" i="115" s="1"/>
  <c r="AA88" i="60"/>
  <c r="AM89" i="60"/>
  <c r="F90" i="65"/>
  <c r="F89" i="65" s="1"/>
  <c r="AI80" i="60"/>
  <c r="AD31" i="78" s="1"/>
  <c r="W79" i="60"/>
  <c r="Q20" i="72" s="1"/>
  <c r="AJ63" i="60"/>
  <c r="O65" i="115"/>
  <c r="O64" i="115" s="1"/>
  <c r="O65" i="65"/>
  <c r="O64" i="65" s="1"/>
  <c r="AV64" i="60"/>
  <c r="D64" i="115"/>
  <c r="E17" i="81"/>
  <c r="R79" i="60"/>
  <c r="AD80" i="60"/>
  <c r="Y31" i="78" s="1"/>
  <c r="AH80" i="60"/>
  <c r="AC31" i="78" s="1"/>
  <c r="V79" i="60"/>
  <c r="P20" i="72" s="1"/>
  <c r="K65" i="65"/>
  <c r="K64" i="65" s="1"/>
  <c r="AF63" i="60"/>
  <c r="K65" i="115"/>
  <c r="K64" i="115" s="1"/>
  <c r="AR64" i="60"/>
  <c r="D90" i="115"/>
  <c r="AK89" i="60"/>
  <c r="Y88" i="60"/>
  <c r="T32" i="78"/>
  <c r="T33" i="78" s="1"/>
  <c r="D90" i="65"/>
  <c r="J65" i="65"/>
  <c r="J64" i="65" s="1"/>
  <c r="AQ64" i="60"/>
  <c r="AE63" i="60"/>
  <c r="J65" i="115"/>
  <c r="J64" i="115" s="1"/>
  <c r="G107" i="60"/>
  <c r="G101" i="60" s="1"/>
  <c r="G103" i="60" s="1"/>
  <c r="M65" i="115"/>
  <c r="M64" i="115" s="1"/>
  <c r="AT64" i="60"/>
  <c r="AH63" i="60"/>
  <c r="M65" i="65"/>
  <c r="M64" i="65" s="1"/>
  <c r="D88" i="60"/>
  <c r="D107" i="60" s="1"/>
  <c r="D101" i="60" s="1"/>
  <c r="D103" i="60" s="1"/>
  <c r="P89" i="60"/>
  <c r="D64" i="65"/>
  <c r="I31" i="78"/>
  <c r="P63" i="60"/>
  <c r="AB64" i="60"/>
  <c r="N65" i="115"/>
  <c r="N64" i="115" s="1"/>
  <c r="N65" i="65"/>
  <c r="N64" i="65" s="1"/>
  <c r="AU64" i="60"/>
  <c r="AI63" i="60"/>
  <c r="N32" i="78"/>
  <c r="N33" i="78" s="1"/>
  <c r="AG89" i="60"/>
  <c r="U88" i="60"/>
  <c r="I65" i="115"/>
  <c r="I64" i="115" s="1"/>
  <c r="AP64" i="60"/>
  <c r="AD63" i="60"/>
  <c r="I65" i="65"/>
  <c r="I64" i="65" s="1"/>
  <c r="L65" i="115"/>
  <c r="L64" i="115" s="1"/>
  <c r="AG63" i="60"/>
  <c r="L65" i="65"/>
  <c r="L64" i="65" s="1"/>
  <c r="AS64" i="60"/>
  <c r="E90" i="115"/>
  <c r="E89" i="115" s="1"/>
  <c r="E90" i="65"/>
  <c r="E89" i="65" s="1"/>
  <c r="U32" i="78"/>
  <c r="AL89" i="60"/>
  <c r="Z88" i="60"/>
  <c r="S79" i="60"/>
  <c r="L20" i="72" s="1"/>
  <c r="AE80" i="60"/>
  <c r="T88" i="60"/>
  <c r="AF89" i="60"/>
  <c r="M32" i="78"/>
  <c r="M33" i="78" s="1"/>
  <c r="H65" i="115"/>
  <c r="H64" i="115" s="1"/>
  <c r="AO64" i="60"/>
  <c r="AC63" i="60"/>
  <c r="H65" i="65"/>
  <c r="H64" i="65" s="1"/>
  <c r="AB80" i="60"/>
  <c r="P79" i="60"/>
  <c r="Y32" i="78"/>
  <c r="I90" i="115"/>
  <c r="I89" i="115" s="1"/>
  <c r="I90" i="65"/>
  <c r="I89" i="65" s="1"/>
  <c r="AP89" i="60"/>
  <c r="AD88" i="60"/>
  <c r="T79" i="60"/>
  <c r="M20" i="72" s="1"/>
  <c r="AF80" i="60"/>
  <c r="AX64" i="60"/>
  <c r="AL63" i="60"/>
  <c r="D25" i="91"/>
  <c r="P25" i="76"/>
  <c r="D21" i="72"/>
  <c r="D22" i="72" s="1"/>
  <c r="D23" i="72" s="1"/>
  <c r="D28" i="72" s="1"/>
  <c r="K107" i="60"/>
  <c r="K101" i="60" s="1"/>
  <c r="K103" i="60" s="1"/>
  <c r="AA79" i="60"/>
  <c r="V20" i="72" s="1"/>
  <c r="AM80" i="60"/>
  <c r="F81" i="115"/>
  <c r="F80" i="115" s="1"/>
  <c r="F81" i="65"/>
  <c r="F80" i="65" s="1"/>
  <c r="C17" i="81"/>
  <c r="D81" i="115"/>
  <c r="Y79" i="60"/>
  <c r="T20" i="72" s="1"/>
  <c r="AK80" i="60"/>
  <c r="D81" i="65"/>
  <c r="J31" i="78"/>
  <c r="J33" i="78" s="1"/>
  <c r="Z79" i="60"/>
  <c r="AL80" i="60"/>
  <c r="E81" i="65"/>
  <c r="E80" i="65" s="1"/>
  <c r="E81" i="115"/>
  <c r="E80" i="115" s="1"/>
  <c r="AH89" i="60"/>
  <c r="V88" i="60"/>
  <c r="P32" i="78"/>
  <c r="AO89" i="60"/>
  <c r="X32" i="78"/>
  <c r="AC88" i="60"/>
  <c r="X21" i="72" s="1"/>
  <c r="H90" i="115"/>
  <c r="H89" i="115" s="1"/>
  <c r="H90" i="65"/>
  <c r="H89" i="65" s="1"/>
  <c r="U20" i="72"/>
  <c r="F21" i="72"/>
  <c r="F22" i="72" s="1"/>
  <c r="F23" i="72" s="1"/>
  <c r="F28" i="72" s="1"/>
  <c r="M107" i="60"/>
  <c r="M101" i="60" s="1"/>
  <c r="M103" i="60" s="1"/>
  <c r="X88" i="60"/>
  <c r="AJ89" i="60"/>
  <c r="R32" i="78"/>
  <c r="R33" i="78" s="1"/>
  <c r="S88" i="60"/>
  <c r="AE89" i="60"/>
  <c r="L32" i="78"/>
  <c r="L33" i="78" s="1"/>
  <c r="R78" i="20"/>
  <c r="R84" i="20" s="1"/>
  <c r="D27" i="76"/>
  <c r="O84" i="20"/>
  <c r="AK63" i="60"/>
  <c r="AW64" i="60"/>
  <c r="N107" i="60"/>
  <c r="N101" i="60" s="1"/>
  <c r="N103" i="60" s="1"/>
  <c r="G21" i="72"/>
  <c r="G22" i="72" s="1"/>
  <c r="G23" i="72" s="1"/>
  <c r="G28" i="72" s="1"/>
  <c r="AG80" i="60"/>
  <c r="AB31" i="78" s="1"/>
  <c r="U79" i="60"/>
  <c r="N20" i="72" s="1"/>
  <c r="AY64" i="60"/>
  <c r="AM63" i="60"/>
  <c r="Q31" i="78"/>
  <c r="AJ80" i="60"/>
  <c r="X79" i="60"/>
  <c r="R20" i="72" s="1"/>
  <c r="O107" i="60"/>
  <c r="O101" i="60" s="1"/>
  <c r="O103" i="60" s="1"/>
  <c r="H21" i="72"/>
  <c r="H22" i="72" s="1"/>
  <c r="H23" i="72" s="1"/>
  <c r="H28" i="72" s="1"/>
  <c r="C21" i="72"/>
  <c r="J107" i="60"/>
  <c r="J101" i="60" s="1"/>
  <c r="J103" i="60" s="1"/>
  <c r="D17" i="81"/>
  <c r="U31" i="78"/>
  <c r="W88" i="60"/>
  <c r="Q32" i="78"/>
  <c r="AI89" i="60"/>
  <c r="R69" i="20"/>
  <c r="R75" i="20" s="1"/>
  <c r="O75" i="20"/>
  <c r="D26" i="76"/>
  <c r="H33" i="78"/>
  <c r="E21" i="72"/>
  <c r="E22" i="72" s="1"/>
  <c r="E23" i="72" s="1"/>
  <c r="E28" i="72" s="1"/>
  <c r="L107" i="60"/>
  <c r="L101" i="60" s="1"/>
  <c r="L103" i="60" s="1"/>
  <c r="I107" i="60"/>
  <c r="I101" i="60" s="1"/>
  <c r="I103" i="60" s="1"/>
  <c r="P31" i="78"/>
  <c r="R107" i="60" l="1"/>
  <c r="R101" i="60" s="1"/>
  <c r="R103" i="60" s="1"/>
  <c r="K20" i="72"/>
  <c r="K22" i="72" s="1"/>
  <c r="K23" i="72" s="1"/>
  <c r="K28" i="72" s="1"/>
  <c r="G17" i="81"/>
  <c r="D40" i="76"/>
  <c r="L17" i="81"/>
  <c r="P33" i="78"/>
  <c r="I20" i="72"/>
  <c r="J20" i="72"/>
  <c r="J22" i="72" s="1"/>
  <c r="J23" i="72" s="1"/>
  <c r="J28" i="72" s="1"/>
  <c r="H17" i="81"/>
  <c r="E108" i="115"/>
  <c r="E102" i="115" s="1"/>
  <c r="E104" i="115" s="1"/>
  <c r="N17" i="81"/>
  <c r="F108" i="65"/>
  <c r="F102" i="65" s="1"/>
  <c r="F104" i="65" s="1"/>
  <c r="BB64" i="60"/>
  <c r="AP63" i="60"/>
  <c r="I17" i="81"/>
  <c r="J90" i="115"/>
  <c r="J89" i="115" s="1"/>
  <c r="AE88" i="60"/>
  <c r="Z32" i="78"/>
  <c r="J90" i="65"/>
  <c r="J89" i="65" s="1"/>
  <c r="AQ89" i="60"/>
  <c r="X107" i="60"/>
  <c r="X101" i="60" s="1"/>
  <c r="X103" i="60" s="1"/>
  <c r="R21" i="72"/>
  <c r="R22" i="72" s="1"/>
  <c r="R23" i="72" s="1"/>
  <c r="R28" i="72" s="1"/>
  <c r="D80" i="65"/>
  <c r="J17" i="81"/>
  <c r="AR80" i="60"/>
  <c r="AF79" i="60"/>
  <c r="AA20" i="72" s="1"/>
  <c r="K81" i="115"/>
  <c r="K80" i="115" s="1"/>
  <c r="K81" i="65"/>
  <c r="K80" i="65" s="1"/>
  <c r="X33" i="78"/>
  <c r="AE79" i="60"/>
  <c r="Z20" i="72" s="1"/>
  <c r="J81" i="65"/>
  <c r="J80" i="65" s="1"/>
  <c r="AQ80" i="60"/>
  <c r="J81" i="115"/>
  <c r="J80" i="115" s="1"/>
  <c r="AX89" i="60"/>
  <c r="AL88" i="60"/>
  <c r="AU63" i="60"/>
  <c r="BG64" i="60"/>
  <c r="AB89" i="60"/>
  <c r="F17" i="81" s="1"/>
  <c r="I32" i="78"/>
  <c r="O32" i="78" s="1"/>
  <c r="P88" i="60"/>
  <c r="AA31" i="78"/>
  <c r="AV63" i="60"/>
  <c r="BH64" i="60"/>
  <c r="AY89" i="60"/>
  <c r="AM88" i="60"/>
  <c r="Q103" i="60"/>
  <c r="M66" i="72"/>
  <c r="AY63" i="60"/>
  <c r="BK64" i="60"/>
  <c r="O90" i="115"/>
  <c r="O89" i="115" s="1"/>
  <c r="AE32" i="78"/>
  <c r="AV89" i="60"/>
  <c r="AJ88" i="60"/>
  <c r="O90" i="65"/>
  <c r="O89" i="65" s="1"/>
  <c r="T107" i="60"/>
  <c r="T101" i="60" s="1"/>
  <c r="M21" i="72"/>
  <c r="M22" i="72" s="1"/>
  <c r="M23" i="72" s="1"/>
  <c r="M28" i="72" s="1"/>
  <c r="O81" i="115"/>
  <c r="O80" i="115" s="1"/>
  <c r="AV80" i="60"/>
  <c r="O81" i="65"/>
  <c r="O80" i="65" s="1"/>
  <c r="AJ79" i="60"/>
  <c r="AE20" i="72" s="1"/>
  <c r="BA89" i="60"/>
  <c r="AO88" i="60"/>
  <c r="Q33" i="78"/>
  <c r="K17" i="81"/>
  <c r="AS80" i="60"/>
  <c r="L81" i="115"/>
  <c r="L80" i="115" s="1"/>
  <c r="AG79" i="60"/>
  <c r="AB20" i="72" s="1"/>
  <c r="L81" i="65"/>
  <c r="L80" i="65" s="1"/>
  <c r="AW63" i="60"/>
  <c r="BI64" i="60"/>
  <c r="D27" i="91"/>
  <c r="P27" i="76"/>
  <c r="S107" i="60"/>
  <c r="S101" i="60" s="1"/>
  <c r="L21" i="72"/>
  <c r="L22" i="72" s="1"/>
  <c r="L23" i="72" s="1"/>
  <c r="L28" i="72" s="1"/>
  <c r="AK79" i="60"/>
  <c r="AW80" i="60"/>
  <c r="Q25" i="91"/>
  <c r="P25" i="91"/>
  <c r="G81" i="115"/>
  <c r="G80" i="115" s="1"/>
  <c r="AB79" i="60"/>
  <c r="AN80" i="60"/>
  <c r="G81" i="65"/>
  <c r="G80" i="65" s="1"/>
  <c r="U33" i="78"/>
  <c r="AS63" i="60"/>
  <c r="BE64" i="60"/>
  <c r="AQ63" i="60"/>
  <c r="BC64" i="60"/>
  <c r="T21" i="72"/>
  <c r="T22" i="72" s="1"/>
  <c r="Y107" i="60"/>
  <c r="Y101" i="60" s="1"/>
  <c r="AR63" i="60"/>
  <c r="BD64" i="60"/>
  <c r="O31" i="78"/>
  <c r="V21" i="72"/>
  <c r="V22" i="72" s="1"/>
  <c r="V23" i="72" s="1"/>
  <c r="V28" i="72" s="1"/>
  <c r="AA107" i="60"/>
  <c r="AA101" i="60" s="1"/>
  <c r="AO80" i="60"/>
  <c r="AC79" i="60"/>
  <c r="AC107" i="60" s="1"/>
  <c r="AC101" i="60" s="1"/>
  <c r="H81" i="65"/>
  <c r="H80" i="65" s="1"/>
  <c r="H108" i="65" s="1"/>
  <c r="H102" i="65" s="1"/>
  <c r="H104" i="65" s="1"/>
  <c r="H81" i="115"/>
  <c r="H80" i="115" s="1"/>
  <c r="H108" i="115" s="1"/>
  <c r="H102" i="115" s="1"/>
  <c r="H104" i="115" s="1"/>
  <c r="W107" i="60"/>
  <c r="W101" i="60" s="1"/>
  <c r="W103" i="60" s="1"/>
  <c r="Q21" i="72"/>
  <c r="Q22" i="72" s="1"/>
  <c r="Q23" i="72" s="1"/>
  <c r="Q28" i="72" s="1"/>
  <c r="M90" i="65"/>
  <c r="M89" i="65" s="1"/>
  <c r="AH88" i="60"/>
  <c r="AT89" i="60"/>
  <c r="AC32" i="78"/>
  <c r="AC33" i="78" s="1"/>
  <c r="M90" i="115"/>
  <c r="M89" i="115" s="1"/>
  <c r="D80" i="115"/>
  <c r="AM79" i="60"/>
  <c r="AY80" i="60"/>
  <c r="AX63" i="60"/>
  <c r="BJ64" i="60"/>
  <c r="AP88" i="60"/>
  <c r="BB89" i="60"/>
  <c r="BA64" i="60"/>
  <c r="AO63" i="60"/>
  <c r="U21" i="72"/>
  <c r="U22" i="72" s="1"/>
  <c r="U23" i="72" s="1"/>
  <c r="U28" i="72" s="1"/>
  <c r="Z107" i="60"/>
  <c r="Z101" i="60" s="1"/>
  <c r="L90" i="65"/>
  <c r="L89" i="65" s="1"/>
  <c r="AS89" i="60"/>
  <c r="AB32" i="78"/>
  <c r="AB33" i="78" s="1"/>
  <c r="L90" i="115"/>
  <c r="L89" i="115" s="1"/>
  <c r="AG88" i="60"/>
  <c r="AB63" i="60"/>
  <c r="G65" i="115"/>
  <c r="AN64" i="60"/>
  <c r="G65" i="65"/>
  <c r="W31" i="78"/>
  <c r="D89" i="65"/>
  <c r="D89" i="115"/>
  <c r="AD79" i="60"/>
  <c r="AD107" i="60" s="1"/>
  <c r="AD101" i="60" s="1"/>
  <c r="I81" i="65"/>
  <c r="I80" i="65" s="1"/>
  <c r="I108" i="65" s="1"/>
  <c r="I102" i="65" s="1"/>
  <c r="I104" i="65" s="1"/>
  <c r="AP80" i="60"/>
  <c r="I81" i="115"/>
  <c r="I80" i="115" s="1"/>
  <c r="I108" i="115" s="1"/>
  <c r="I102" i="115" s="1"/>
  <c r="I104" i="115" s="1"/>
  <c r="C22" i="72"/>
  <c r="AD32" i="78"/>
  <c r="AD33" i="78" s="1"/>
  <c r="AI88" i="60"/>
  <c r="N90" i="115"/>
  <c r="N89" i="115" s="1"/>
  <c r="AU89" i="60"/>
  <c r="N90" i="65"/>
  <c r="N89" i="65" s="1"/>
  <c r="P26" i="76"/>
  <c r="D26" i="91"/>
  <c r="V107" i="60"/>
  <c r="V101" i="60" s="1"/>
  <c r="V103" i="60" s="1"/>
  <c r="P21" i="72"/>
  <c r="P22" i="72" s="1"/>
  <c r="P23" i="72" s="1"/>
  <c r="P28" i="72" s="1"/>
  <c r="AX80" i="60"/>
  <c r="AL79" i="60"/>
  <c r="Y21" i="72"/>
  <c r="Y33" i="78"/>
  <c r="AA32" i="78"/>
  <c r="K90" i="65"/>
  <c r="K89" i="65" s="1"/>
  <c r="K90" i="115"/>
  <c r="K89" i="115" s="1"/>
  <c r="AF88" i="60"/>
  <c r="AR89" i="60"/>
  <c r="E108" i="65"/>
  <c r="E102" i="65" s="1"/>
  <c r="E104" i="65" s="1"/>
  <c r="N21" i="72"/>
  <c r="N22" i="72" s="1"/>
  <c r="N23" i="72" s="1"/>
  <c r="N28" i="72" s="1"/>
  <c r="U107" i="60"/>
  <c r="U101" i="60" s="1"/>
  <c r="AT63" i="60"/>
  <c r="BF64" i="60"/>
  <c r="Z31" i="78"/>
  <c r="AW89" i="60"/>
  <c r="AK88" i="60"/>
  <c r="M81" i="65"/>
  <c r="M80" i="65" s="1"/>
  <c r="AH79" i="60"/>
  <c r="AC20" i="72" s="1"/>
  <c r="M81" i="115"/>
  <c r="M80" i="115" s="1"/>
  <c r="AT80" i="60"/>
  <c r="AE31" i="78"/>
  <c r="M17" i="81"/>
  <c r="N81" i="115"/>
  <c r="N80" i="115" s="1"/>
  <c r="AU80" i="60"/>
  <c r="N81" i="65"/>
  <c r="N80" i="65" s="1"/>
  <c r="AI79" i="60"/>
  <c r="AD20" i="72" s="1"/>
  <c r="F108" i="115"/>
  <c r="F102" i="115" s="1"/>
  <c r="F104" i="115" s="1"/>
  <c r="I24" i="81" l="1"/>
  <c r="N66" i="72"/>
  <c r="N67" i="72" s="1"/>
  <c r="Z33" i="78"/>
  <c r="O108" i="115"/>
  <c r="O102" i="115" s="1"/>
  <c r="O104" i="115" s="1"/>
  <c r="O20" i="72"/>
  <c r="AE33" i="78"/>
  <c r="O33" i="78"/>
  <c r="I33" i="78"/>
  <c r="AK107" i="60"/>
  <c r="AK101" i="60" s="1"/>
  <c r="AK103" i="60" s="1"/>
  <c r="O108" i="65"/>
  <c r="O102" i="65" s="1"/>
  <c r="O104" i="65" s="1"/>
  <c r="Y20" i="72"/>
  <c r="Y22" i="72" s="1"/>
  <c r="Y23" i="72" s="1"/>
  <c r="Y28" i="72" s="1"/>
  <c r="K108" i="65"/>
  <c r="K102" i="65" s="1"/>
  <c r="K104" i="65" s="1"/>
  <c r="P40" i="76"/>
  <c r="P44" i="76" s="1"/>
  <c r="O17" i="81"/>
  <c r="M67" i="72"/>
  <c r="AL107" i="60"/>
  <c r="AL101" i="60" s="1"/>
  <c r="AL103" i="60" s="1"/>
  <c r="K108" i="115"/>
  <c r="K102" i="115" s="1"/>
  <c r="K104" i="115" s="1"/>
  <c r="AU88" i="60"/>
  <c r="BG89" i="60"/>
  <c r="G64" i="115"/>
  <c r="P64" i="115" s="1"/>
  <c r="P65" i="115"/>
  <c r="Q65" i="115" s="1"/>
  <c r="Z66" i="72"/>
  <c r="AC103" i="60"/>
  <c r="V66" i="72"/>
  <c r="Y103" i="60"/>
  <c r="BI80" i="60"/>
  <c r="AW79" i="60"/>
  <c r="AS79" i="60"/>
  <c r="BE80" i="60"/>
  <c r="BD80" i="60"/>
  <c r="AR79" i="60"/>
  <c r="BI89" i="60"/>
  <c r="AW88" i="60"/>
  <c r="AD103" i="60"/>
  <c r="AA66" i="72"/>
  <c r="D40" i="91"/>
  <c r="Q26" i="91"/>
  <c r="P26" i="91"/>
  <c r="N108" i="115"/>
  <c r="N102" i="115" s="1"/>
  <c r="N104" i="115" s="1"/>
  <c r="AP79" i="60"/>
  <c r="AP107" i="60" s="1"/>
  <c r="AP101" i="60" s="1"/>
  <c r="AP103" i="60" s="1"/>
  <c r="BB80" i="60"/>
  <c r="G64" i="65"/>
  <c r="P64" i="65" s="1"/>
  <c r="C39" i="61" s="1"/>
  <c r="P65" i="65"/>
  <c r="W20" i="72"/>
  <c r="AS88" i="60"/>
  <c r="BE89" i="60"/>
  <c r="BJ63" i="60"/>
  <c r="BV64" i="60"/>
  <c r="P81" i="115"/>
  <c r="Q81" i="115" s="1"/>
  <c r="Q87" i="115" s="1"/>
  <c r="AT88" i="60"/>
  <c r="BF89" i="60"/>
  <c r="BA80" i="60"/>
  <c r="AO79" i="60"/>
  <c r="AO107" i="60" s="1"/>
  <c r="AO101" i="60" s="1"/>
  <c r="AO103" i="60" s="1"/>
  <c r="BE63" i="60"/>
  <c r="BQ64" i="60"/>
  <c r="L108" i="65"/>
  <c r="L102" i="65" s="1"/>
  <c r="L104" i="65" s="1"/>
  <c r="BM89" i="60"/>
  <c r="BA88" i="60"/>
  <c r="AE21" i="72"/>
  <c r="AE22" i="72" s="1"/>
  <c r="AE23" i="72" s="1"/>
  <c r="AE28" i="72" s="1"/>
  <c r="AJ107" i="60"/>
  <c r="AJ101" i="60" s="1"/>
  <c r="AJ103" i="60" s="1"/>
  <c r="BW64" i="60"/>
  <c r="BK63" i="60"/>
  <c r="AM107" i="60"/>
  <c r="AM101" i="60" s="1"/>
  <c r="AM103" i="60" s="1"/>
  <c r="AA33" i="78"/>
  <c r="W32" i="78"/>
  <c r="AF32" i="78" s="1"/>
  <c r="AG32" i="78" s="1"/>
  <c r="AB88" i="60"/>
  <c r="G90" i="65"/>
  <c r="AN89" i="60"/>
  <c r="G90" i="115"/>
  <c r="AX88" i="60"/>
  <c r="BJ89" i="60"/>
  <c r="D108" i="65"/>
  <c r="D102" i="65" s="1"/>
  <c r="P80" i="65"/>
  <c r="C40" i="61" s="1"/>
  <c r="F40" i="61" s="1"/>
  <c r="BD89" i="60"/>
  <c r="AR88" i="60"/>
  <c r="AI107" i="60"/>
  <c r="AI101" i="60" s="1"/>
  <c r="AI103" i="60" s="1"/>
  <c r="AD21" i="72"/>
  <c r="AD22" i="72" s="1"/>
  <c r="AD23" i="72" s="1"/>
  <c r="AD28" i="72" s="1"/>
  <c r="C23" i="72"/>
  <c r="AZ64" i="60"/>
  <c r="AN63" i="60"/>
  <c r="AG107" i="60"/>
  <c r="AG101" i="60" s="1"/>
  <c r="AB21" i="72"/>
  <c r="AB22" i="72" s="1"/>
  <c r="AB23" i="72" s="1"/>
  <c r="AB28" i="72" s="1"/>
  <c r="BM64" i="60"/>
  <c r="BA63" i="60"/>
  <c r="D108" i="115"/>
  <c r="D102" i="115" s="1"/>
  <c r="P80" i="115"/>
  <c r="AH107" i="60"/>
  <c r="AH101" i="60" s="1"/>
  <c r="AC21" i="72"/>
  <c r="AC22" i="72" s="1"/>
  <c r="AC23" i="72" s="1"/>
  <c r="AC28" i="72" s="1"/>
  <c r="AA103" i="60"/>
  <c r="X66" i="72"/>
  <c r="BD63" i="60"/>
  <c r="BP64" i="60"/>
  <c r="BC63" i="60"/>
  <c r="BO64" i="60"/>
  <c r="AN79" i="60"/>
  <c r="AZ80" i="60"/>
  <c r="P27" i="91"/>
  <c r="Q27" i="91"/>
  <c r="BH89" i="60"/>
  <c r="AV88" i="60"/>
  <c r="AY88" i="60"/>
  <c r="BK89" i="60"/>
  <c r="BS64" i="60"/>
  <c r="BG63" i="60"/>
  <c r="Z21" i="72"/>
  <c r="Z22" i="72" s="1"/>
  <c r="Z23" i="72" s="1"/>
  <c r="Z28" i="72" s="1"/>
  <c r="Z67" i="72" s="1"/>
  <c r="AE107" i="60"/>
  <c r="AE101" i="60" s="1"/>
  <c r="BN64" i="60"/>
  <c r="BB63" i="60"/>
  <c r="BG80" i="60"/>
  <c r="AU79" i="60"/>
  <c r="BF80" i="60"/>
  <c r="AT79" i="60"/>
  <c r="T23" i="72"/>
  <c r="T28" i="72" s="1"/>
  <c r="S103" i="60"/>
  <c r="P66" i="72"/>
  <c r="P67" i="72" s="1"/>
  <c r="BH80" i="60"/>
  <c r="AV79" i="60"/>
  <c r="J108" i="65"/>
  <c r="J102" i="65" s="1"/>
  <c r="J104" i="65" s="1"/>
  <c r="U103" i="60"/>
  <c r="R66" i="72"/>
  <c r="R67" i="72" s="1"/>
  <c r="AX79" i="60"/>
  <c r="BJ80" i="60"/>
  <c r="BR64" i="60"/>
  <c r="BF63" i="60"/>
  <c r="AA21" i="72"/>
  <c r="AA22" i="72" s="1"/>
  <c r="AA23" i="72" s="1"/>
  <c r="AA28" i="72" s="1"/>
  <c r="AF107" i="60"/>
  <c r="AF101" i="60" s="1"/>
  <c r="X20" i="72"/>
  <c r="X22" i="72" s="1"/>
  <c r="X23" i="72" s="1"/>
  <c r="X28" i="72" s="1"/>
  <c r="N108" i="65"/>
  <c r="N102" i="65" s="1"/>
  <c r="N104" i="65" s="1"/>
  <c r="W66" i="72"/>
  <c r="Z103" i="60"/>
  <c r="BN89" i="60"/>
  <c r="BB88" i="60"/>
  <c r="AY79" i="60"/>
  <c r="BK80" i="60"/>
  <c r="M108" i="115"/>
  <c r="M102" i="115" s="1"/>
  <c r="M104" i="115" s="1"/>
  <c r="M108" i="65"/>
  <c r="M102" i="65" s="1"/>
  <c r="M104" i="65" s="1"/>
  <c r="BI63" i="60"/>
  <c r="BU64" i="60"/>
  <c r="L108" i="115"/>
  <c r="L102" i="115" s="1"/>
  <c r="L104" i="115" s="1"/>
  <c r="Q66" i="72"/>
  <c r="Q67" i="72" s="1"/>
  <c r="T103" i="60"/>
  <c r="BT64" i="60"/>
  <c r="BH63" i="60"/>
  <c r="P107" i="60"/>
  <c r="P101" i="60" s="1"/>
  <c r="I21" i="72"/>
  <c r="AG21" i="72"/>
  <c r="BC80" i="60"/>
  <c r="AQ79" i="60"/>
  <c r="P81" i="65"/>
  <c r="Q81" i="65" s="1"/>
  <c r="AQ88" i="60"/>
  <c r="BC89" i="60"/>
  <c r="J108" i="115"/>
  <c r="J102" i="115" s="1"/>
  <c r="J104" i="115" s="1"/>
  <c r="AF31" i="78"/>
  <c r="I25" i="81" l="1"/>
  <c r="P40" i="91"/>
  <c r="P44" i="91" s="1"/>
  <c r="P48" i="76"/>
  <c r="Q40" i="91"/>
  <c r="Q41" i="91" s="1"/>
  <c r="AW107" i="60"/>
  <c r="AW101" i="60" s="1"/>
  <c r="AW103" i="60" s="1"/>
  <c r="X67" i="72"/>
  <c r="AY107" i="60"/>
  <c r="AY101" i="60" s="1"/>
  <c r="AY103" i="60" s="1"/>
  <c r="AA67" i="72"/>
  <c r="BC88" i="60"/>
  <c r="BO89" i="60"/>
  <c r="BT63" i="60"/>
  <c r="CF64" i="60"/>
  <c r="CF63" i="60" s="1"/>
  <c r="CG64" i="60"/>
  <c r="CG63" i="60" s="1"/>
  <c r="BU63" i="60"/>
  <c r="BZ89" i="60"/>
  <c r="BZ88" i="60" s="1"/>
  <c r="BN88" i="60"/>
  <c r="BF79" i="60"/>
  <c r="BR80" i="60"/>
  <c r="BN63" i="60"/>
  <c r="BZ64" i="60"/>
  <c r="BZ63" i="60" s="1"/>
  <c r="AV107" i="60"/>
  <c r="AV101" i="60" s="1"/>
  <c r="AV103" i="60" s="1"/>
  <c r="CA64" i="60"/>
  <c r="CA63" i="60" s="1"/>
  <c r="BO63" i="60"/>
  <c r="AR107" i="60"/>
  <c r="AR101" i="60" s="1"/>
  <c r="AR103" i="60" s="1"/>
  <c r="AN88" i="60"/>
  <c r="AZ89" i="60"/>
  <c r="BM80" i="60"/>
  <c r="BA79" i="60"/>
  <c r="BA107" i="60" s="1"/>
  <c r="BA101" i="60" s="1"/>
  <c r="BA103" i="60" s="1"/>
  <c r="CH64" i="60"/>
  <c r="CH63" i="60" s="1"/>
  <c r="BV63" i="60"/>
  <c r="AF20" i="72"/>
  <c r="AG20" i="72" s="1"/>
  <c r="BP80" i="60"/>
  <c r="BD79" i="60"/>
  <c r="BU80" i="60"/>
  <c r="BI79" i="60"/>
  <c r="W33" i="78"/>
  <c r="AC66" i="72"/>
  <c r="AC67" i="72" s="1"/>
  <c r="AF103" i="60"/>
  <c r="BJ79" i="60"/>
  <c r="BV80" i="60"/>
  <c r="AH103" i="60"/>
  <c r="AE66" i="72"/>
  <c r="AE67" i="72" s="1"/>
  <c r="BM63" i="60"/>
  <c r="BY64" i="60"/>
  <c r="BY63" i="60" s="1"/>
  <c r="BL64" i="60"/>
  <c r="AZ63" i="60"/>
  <c r="AH32" i="78"/>
  <c r="AG41" i="78"/>
  <c r="F39" i="61"/>
  <c r="AG31" i="78"/>
  <c r="AF33" i="78"/>
  <c r="AG33" i="78" s="1"/>
  <c r="I22" i="72"/>
  <c r="O21" i="72"/>
  <c r="BW80" i="60"/>
  <c r="BK79" i="60"/>
  <c r="CE64" i="60"/>
  <c r="CE63" i="60" s="1"/>
  <c r="BS63" i="60"/>
  <c r="BH88" i="60"/>
  <c r="BT89" i="60"/>
  <c r="D104" i="115"/>
  <c r="AG103" i="60"/>
  <c r="AD66" i="72"/>
  <c r="AD67" i="72" s="1"/>
  <c r="C28" i="72"/>
  <c r="BD88" i="60"/>
  <c r="BP89" i="60"/>
  <c r="BJ88" i="60"/>
  <c r="BV89" i="60"/>
  <c r="G89" i="65"/>
  <c r="P90" i="65"/>
  <c r="Q90" i="65" s="1"/>
  <c r="BQ63" i="60"/>
  <c r="CC64" i="60"/>
  <c r="CC63" i="60" s="1"/>
  <c r="BR89" i="60"/>
  <c r="BF88" i="60"/>
  <c r="BN80" i="60"/>
  <c r="BB79" i="60"/>
  <c r="BB107" i="60" s="1"/>
  <c r="BB101" i="60" s="1"/>
  <c r="BB103" i="60" s="1"/>
  <c r="BQ80" i="60"/>
  <c r="BE79" i="60"/>
  <c r="BG88" i="60"/>
  <c r="BS89" i="60"/>
  <c r="BO80" i="60"/>
  <c r="BC79" i="60"/>
  <c r="D104" i="65"/>
  <c r="G89" i="115"/>
  <c r="P90" i="115"/>
  <c r="Q90" i="115" s="1"/>
  <c r="BW63" i="60"/>
  <c r="CI64" i="60"/>
  <c r="CI63" i="60" s="1"/>
  <c r="BM88" i="60"/>
  <c r="BY89" i="60"/>
  <c r="BY88" i="60" s="1"/>
  <c r="AQ107" i="60"/>
  <c r="AQ101" i="60" s="1"/>
  <c r="AQ103" i="60" s="1"/>
  <c r="R81" i="65"/>
  <c r="Q87" i="65"/>
  <c r="R87" i="65" s="1"/>
  <c r="P103" i="60"/>
  <c r="L66" i="72"/>
  <c r="L67" i="72" s="1"/>
  <c r="BR63" i="60"/>
  <c r="CD64" i="60"/>
  <c r="CD63" i="60" s="1"/>
  <c r="BT80" i="60"/>
  <c r="BH79" i="60"/>
  <c r="BS80" i="60"/>
  <c r="BG79" i="60"/>
  <c r="AB66" i="72"/>
  <c r="AB67" i="72" s="1"/>
  <c r="AE103" i="60"/>
  <c r="BW89" i="60"/>
  <c r="BK88" i="60"/>
  <c r="BK107" i="60" s="1"/>
  <c r="BK101" i="60" s="1"/>
  <c r="BK103" i="60" s="1"/>
  <c r="BL80" i="60"/>
  <c r="AZ79" i="60"/>
  <c r="CB64" i="60"/>
  <c r="CB63" i="60" s="1"/>
  <c r="BP63" i="60"/>
  <c r="AX107" i="60"/>
  <c r="AX101" i="60" s="1"/>
  <c r="AX103" i="60" s="1"/>
  <c r="AB107" i="60"/>
  <c r="AB101" i="60" s="1"/>
  <c r="W21" i="72"/>
  <c r="AF21" i="72" s="1"/>
  <c r="AH21" i="72"/>
  <c r="AT107" i="60"/>
  <c r="AT101" i="60" s="1"/>
  <c r="BQ89" i="60"/>
  <c r="BE88" i="60"/>
  <c r="Q65" i="65"/>
  <c r="F43" i="61"/>
  <c r="BU89" i="60"/>
  <c r="BI88" i="60"/>
  <c r="AS107" i="60"/>
  <c r="AS101" i="60" s="1"/>
  <c r="AS103" i="60" s="1"/>
  <c r="V67" i="72"/>
  <c r="Q72" i="115"/>
  <c r="D44" i="44"/>
  <c r="AU107" i="60"/>
  <c r="AU101" i="60" s="1"/>
  <c r="AU103" i="60" s="1"/>
  <c r="BD107" i="60" l="1"/>
  <c r="BD101" i="60" s="1"/>
  <c r="BD103" i="60" s="1"/>
  <c r="I26" i="81"/>
  <c r="I27" i="81"/>
  <c r="I29" i="81" s="1"/>
  <c r="P48" i="91"/>
  <c r="P50" i="91" s="1"/>
  <c r="BF107" i="60"/>
  <c r="BF101" i="60" s="1"/>
  <c r="BF103" i="60" s="1"/>
  <c r="BJ107" i="60"/>
  <c r="BJ101" i="60" s="1"/>
  <c r="BJ103" i="60" s="1"/>
  <c r="BI107" i="60"/>
  <c r="BI101" i="60" s="1"/>
  <c r="BI103" i="60" s="1"/>
  <c r="BE107" i="60"/>
  <c r="BE101" i="60" s="1"/>
  <c r="BE103" i="60" s="1"/>
  <c r="G89" i="44"/>
  <c r="CC89" i="60"/>
  <c r="CC88" i="60" s="1"/>
  <c r="BQ88" i="60"/>
  <c r="BX80" i="60"/>
  <c r="BX79" i="60" s="1"/>
  <c r="BL79" i="60"/>
  <c r="BT79" i="60"/>
  <c r="CF80" i="60"/>
  <c r="CF79" i="60" s="1"/>
  <c r="BG107" i="60"/>
  <c r="BG101" i="60" s="1"/>
  <c r="BG103" i="60" s="1"/>
  <c r="BZ80" i="60"/>
  <c r="BZ79" i="60" s="1"/>
  <c r="BZ107" i="60" s="1"/>
  <c r="BZ101" i="60" s="1"/>
  <c r="BZ103" i="60" s="1"/>
  <c r="BN79" i="60"/>
  <c r="BN107" i="60" s="1"/>
  <c r="BN101" i="60" s="1"/>
  <c r="BN103" i="60" s="1"/>
  <c r="CB80" i="60"/>
  <c r="CB79" i="60" s="1"/>
  <c r="BP79" i="60"/>
  <c r="AN107" i="60"/>
  <c r="AN101" i="60" s="1"/>
  <c r="AI21" i="72"/>
  <c r="BO88" i="60"/>
  <c r="CA89" i="60"/>
  <c r="CA88" i="60" s="1"/>
  <c r="C45" i="44"/>
  <c r="Q96" i="65"/>
  <c r="R90" i="65"/>
  <c r="CF89" i="60"/>
  <c r="CF88" i="60" s="1"/>
  <c r="BT88" i="60"/>
  <c r="I23" i="72"/>
  <c r="O22" i="72"/>
  <c r="AH20" i="72"/>
  <c r="AG22" i="72"/>
  <c r="AG23" i="72" s="1"/>
  <c r="AG28" i="72" s="1"/>
  <c r="BC107" i="60"/>
  <c r="BC101" i="60" s="1"/>
  <c r="BC103" i="60" s="1"/>
  <c r="C44" i="44"/>
  <c r="E44" i="44" s="1"/>
  <c r="S65" i="65"/>
  <c r="S68" i="65" s="1"/>
  <c r="Q72" i="65"/>
  <c r="S44" i="44" s="1"/>
  <c r="R65" i="65"/>
  <c r="R72" i="65" s="1"/>
  <c r="Y66" i="72"/>
  <c r="AB103" i="60"/>
  <c r="CI89" i="60"/>
  <c r="CI88" i="60" s="1"/>
  <c r="BW88" i="60"/>
  <c r="CE80" i="60"/>
  <c r="CE79" i="60" s="1"/>
  <c r="BS79" i="60"/>
  <c r="G108" i="115"/>
  <c r="G102" i="115" s="1"/>
  <c r="P89" i="115"/>
  <c r="P108" i="115" s="1"/>
  <c r="CA80" i="60"/>
  <c r="CA79" i="60" s="1"/>
  <c r="BO79" i="60"/>
  <c r="CC80" i="60"/>
  <c r="CC79" i="60" s="1"/>
  <c r="BQ79" i="60"/>
  <c r="BR88" i="60"/>
  <c r="CD89" i="60"/>
  <c r="CD88" i="60" s="1"/>
  <c r="G108" i="65"/>
  <c r="G102" i="65" s="1"/>
  <c r="P89" i="65"/>
  <c r="BH107" i="60"/>
  <c r="BH101" i="60" s="1"/>
  <c r="BH103" i="60" s="1"/>
  <c r="AH33" i="78"/>
  <c r="AG42" i="78"/>
  <c r="CG80" i="60"/>
  <c r="CG79" i="60" s="1"/>
  <c r="BU79" i="60"/>
  <c r="W22" i="72"/>
  <c r="BY80" i="60"/>
  <c r="BY79" i="60" s="1"/>
  <c r="BY107" i="60" s="1"/>
  <c r="BY101" i="60" s="1"/>
  <c r="BY103" i="60" s="1"/>
  <c r="BM79" i="60"/>
  <c r="BM107" i="60" s="1"/>
  <c r="BM101" i="60" s="1"/>
  <c r="BM103" i="60" s="1"/>
  <c r="M44" i="44"/>
  <c r="AT103" i="60"/>
  <c r="Q96" i="115"/>
  <c r="D45" i="44"/>
  <c r="CB89" i="60"/>
  <c r="CB88" i="60" s="1"/>
  <c r="BP88" i="60"/>
  <c r="BX64" i="60"/>
  <c r="BX63" i="60" s="1"/>
  <c r="BL63" i="60"/>
  <c r="CG89" i="60"/>
  <c r="CG88" i="60" s="1"/>
  <c r="BU88" i="60"/>
  <c r="BS88" i="60"/>
  <c r="CE89" i="60"/>
  <c r="CE88" i="60" s="1"/>
  <c r="CH89" i="60"/>
  <c r="CH88" i="60" s="1"/>
  <c r="BV88" i="60"/>
  <c r="CI80" i="60"/>
  <c r="CI79" i="60" s="1"/>
  <c r="BW79" i="60"/>
  <c r="AH31" i="78"/>
  <c r="AG40" i="78"/>
  <c r="AH41" i="78"/>
  <c r="AI32" i="78"/>
  <c r="CH80" i="60"/>
  <c r="CH79" i="60" s="1"/>
  <c r="BV79" i="60"/>
  <c r="BL89" i="60"/>
  <c r="AZ88" i="60"/>
  <c r="CD80" i="60"/>
  <c r="CD79" i="60" s="1"/>
  <c r="BR79" i="60"/>
  <c r="I31" i="81" l="1"/>
  <c r="I33" i="81" s="1"/>
  <c r="J33" i="81" s="1"/>
  <c r="BP107" i="60"/>
  <c r="BP101" i="60" s="1"/>
  <c r="BP103" i="60" s="1"/>
  <c r="BS107" i="60"/>
  <c r="BS101" i="60" s="1"/>
  <c r="BS103" i="60" s="1"/>
  <c r="CB107" i="60"/>
  <c r="CB101" i="60" s="1"/>
  <c r="CB103" i="60" s="1"/>
  <c r="BQ107" i="60"/>
  <c r="BQ101" i="60" s="1"/>
  <c r="BQ103" i="60" s="1"/>
  <c r="CE107" i="60"/>
  <c r="CE101" i="60" s="1"/>
  <c r="CE103" i="60" s="1"/>
  <c r="CG107" i="60"/>
  <c r="CG101" i="60" s="1"/>
  <c r="CG103" i="60" s="1"/>
  <c r="CI107" i="60"/>
  <c r="CI101" i="60" s="1"/>
  <c r="CI103" i="60" s="1"/>
  <c r="BT107" i="60"/>
  <c r="BT101" i="60" s="1"/>
  <c r="BT103" i="60" s="1"/>
  <c r="BU107" i="60"/>
  <c r="BU101" i="60" s="1"/>
  <c r="BU103" i="60" s="1"/>
  <c r="CF107" i="60"/>
  <c r="CF101" i="60" s="1"/>
  <c r="CF103" i="60" s="1"/>
  <c r="AI31" i="78"/>
  <c r="AH40" i="78"/>
  <c r="CH107" i="60"/>
  <c r="CH101" i="60" s="1"/>
  <c r="CH103" i="60" s="1"/>
  <c r="P108" i="65"/>
  <c r="C41" i="61"/>
  <c r="BW107" i="60"/>
  <c r="BW101" i="60" s="1"/>
  <c r="BW103" i="60" s="1"/>
  <c r="BO107" i="60"/>
  <c r="BO101" i="60" s="1"/>
  <c r="BO103" i="60" s="1"/>
  <c r="AZ107" i="60"/>
  <c r="AZ101" i="60" s="1"/>
  <c r="AJ21" i="72"/>
  <c r="AI41" i="78"/>
  <c r="AJ32" i="78"/>
  <c r="G104" i="65"/>
  <c r="P104" i="65" s="1"/>
  <c r="P102" i="65"/>
  <c r="G104" i="115"/>
  <c r="P104" i="115" s="1"/>
  <c r="P102" i="115"/>
  <c r="R102" i="115" s="1"/>
  <c r="I28" i="72"/>
  <c r="O28" i="72" s="1"/>
  <c r="O23" i="72"/>
  <c r="S45" i="44"/>
  <c r="R96" i="65"/>
  <c r="CC107" i="60"/>
  <c r="CC101" i="60" s="1"/>
  <c r="CC103" i="60" s="1"/>
  <c r="BX89" i="60"/>
  <c r="BX88" i="60" s="1"/>
  <c r="BX107" i="60" s="1"/>
  <c r="BX101" i="60" s="1"/>
  <c r="BX103" i="60" s="1"/>
  <c r="BL88" i="60"/>
  <c r="W23" i="72"/>
  <c r="W28" i="72" s="1"/>
  <c r="W67" i="72" s="1"/>
  <c r="AF22" i="72"/>
  <c r="AF23" i="72" s="1"/>
  <c r="AF28" i="72" s="1"/>
  <c r="AH42" i="78"/>
  <c r="AI33" i="78"/>
  <c r="CD107" i="60"/>
  <c r="CD101" i="60" s="1"/>
  <c r="CD103" i="60" s="1"/>
  <c r="L45" i="44"/>
  <c r="AN103" i="60"/>
  <c r="AH66" i="72"/>
  <c r="AH67" i="72" s="1"/>
  <c r="I95" i="44"/>
  <c r="L86" i="44"/>
  <c r="G92" i="44"/>
  <c r="G95" i="44"/>
  <c r="G99" i="44" s="1"/>
  <c r="BV107" i="60"/>
  <c r="BV101" i="60" s="1"/>
  <c r="BV103" i="60" s="1"/>
  <c r="D46" i="44"/>
  <c r="E45" i="44"/>
  <c r="M45" i="44"/>
  <c r="BR107" i="60"/>
  <c r="BR101" i="60" s="1"/>
  <c r="AF66" i="72"/>
  <c r="Y67" i="72"/>
  <c r="C46" i="44"/>
  <c r="L44" i="44"/>
  <c r="AI20" i="72"/>
  <c r="AH22" i="72"/>
  <c r="AH23" i="72" s="1"/>
  <c r="AH28" i="72" s="1"/>
  <c r="CA107" i="60"/>
  <c r="CA101" i="60" s="1"/>
  <c r="CA103" i="60" s="1"/>
  <c r="AF67" i="72" l="1"/>
  <c r="L46" i="44"/>
  <c r="V87" i="44"/>
  <c r="M46" i="44"/>
  <c r="D89" i="44"/>
  <c r="O45" i="44"/>
  <c r="N45" i="44"/>
  <c r="C89" i="44"/>
  <c r="V88" i="44"/>
  <c r="AJ41" i="78"/>
  <c r="AK32" i="78"/>
  <c r="AL21" i="72"/>
  <c r="BR103" i="60"/>
  <c r="AK66" i="72"/>
  <c r="AK67" i="72" s="1"/>
  <c r="BL107" i="60"/>
  <c r="BL101" i="60" s="1"/>
  <c r="AK21" i="72"/>
  <c r="E46" i="44"/>
  <c r="D47" i="44"/>
  <c r="AJ33" i="78"/>
  <c r="AI42" i="78"/>
  <c r="O44" i="44"/>
  <c r="AI22" i="72"/>
  <c r="AI23" i="72" s="1"/>
  <c r="AI28" i="72" s="1"/>
  <c r="AJ20" i="72"/>
  <c r="N44" i="44"/>
  <c r="AZ103" i="60"/>
  <c r="AI66" i="72"/>
  <c r="AI67" i="72" s="1"/>
  <c r="F41" i="61"/>
  <c r="F54" i="61" s="1"/>
  <c r="C54" i="61"/>
  <c r="C59" i="61" s="1"/>
  <c r="AJ31" i="78"/>
  <c r="AI40" i="78"/>
  <c r="AK31" i="78" l="1"/>
  <c r="AJ40" i="78"/>
  <c r="AL32" i="78"/>
  <c r="AL41" i="78" s="1"/>
  <c r="AK41" i="78"/>
  <c r="V45" i="44"/>
  <c r="W44" i="44"/>
  <c r="X44" i="44" s="1"/>
  <c r="W39" i="44"/>
  <c r="X39" i="44" s="1"/>
  <c r="Y39" i="44" s="1"/>
  <c r="Z39" i="44" s="1"/>
  <c r="W40" i="44"/>
  <c r="X40" i="44" s="1"/>
  <c r="Y40" i="44" s="1"/>
  <c r="Z40" i="44" s="1"/>
  <c r="M49" i="44"/>
  <c r="W41" i="44"/>
  <c r="X41" i="44" s="1"/>
  <c r="Y41" i="44" s="1"/>
  <c r="Z41" i="44" s="1"/>
  <c r="W43" i="44"/>
  <c r="X43" i="44" s="1"/>
  <c r="Y43" i="44" s="1"/>
  <c r="Z43" i="44" s="1"/>
  <c r="W42" i="44"/>
  <c r="X42" i="44" s="1"/>
  <c r="Y42" i="44" s="1"/>
  <c r="Z42" i="44" s="1"/>
  <c r="O46" i="44"/>
  <c r="V44" i="44"/>
  <c r="AA44" i="44"/>
  <c r="AB50" i="44"/>
  <c r="AB48" i="44"/>
  <c r="AH42" i="44" s="1"/>
  <c r="AH41" i="44"/>
  <c r="N46" i="44"/>
  <c r="AK20" i="72"/>
  <c r="AJ22" i="72"/>
  <c r="AJ23" i="72" s="1"/>
  <c r="AJ28" i="72" s="1"/>
  <c r="AK33" i="78"/>
  <c r="AJ42" i="78"/>
  <c r="BL103" i="60"/>
  <c r="AJ66" i="72"/>
  <c r="AJ67" i="72" s="1"/>
  <c r="W45" i="44"/>
  <c r="X45" i="44" s="1"/>
  <c r="H54" i="61"/>
  <c r="F59" i="61"/>
  <c r="H63" i="61" s="1"/>
  <c r="L49" i="44"/>
  <c r="V89" i="44"/>
  <c r="V92" i="44" s="1"/>
  <c r="C95" i="44"/>
  <c r="C92" i="44"/>
  <c r="E89" i="44"/>
  <c r="D95" i="44"/>
  <c r="D92" i="44"/>
  <c r="E92" i="44" l="1"/>
  <c r="F92" i="44" s="1"/>
  <c r="Y44" i="44"/>
  <c r="Z44" i="44" s="1"/>
  <c r="O49" i="44"/>
  <c r="F61" i="61"/>
  <c r="F63" i="61" s="1"/>
  <c r="C51" i="44"/>
  <c r="N49" i="44"/>
  <c r="AH43" i="44"/>
  <c r="D51" i="44"/>
  <c r="J95" i="44"/>
  <c r="C99" i="44"/>
  <c r="AL33" i="78"/>
  <c r="AL42" i="78" s="1"/>
  <c r="AK42" i="78"/>
  <c r="L95" i="44"/>
  <c r="D99" i="44"/>
  <c r="E95" i="44"/>
  <c r="F89" i="44"/>
  <c r="H89" i="44"/>
  <c r="AL20" i="72"/>
  <c r="AL22" i="72" s="1"/>
  <c r="AL23" i="72" s="1"/>
  <c r="AL28" i="72" s="1"/>
  <c r="AK22" i="72"/>
  <c r="AK23" i="72" s="1"/>
  <c r="AK28" i="72" s="1"/>
  <c r="AL31" i="78"/>
  <c r="AL40" i="78" s="1"/>
  <c r="AK40" i="78"/>
  <c r="H92" i="44" l="1"/>
  <c r="F95" i="44"/>
  <c r="H95" i="44"/>
  <c r="K95" i="44" s="1"/>
  <c r="E99" i="44"/>
  <c r="V49" i="44"/>
  <c r="AH34" i="44" s="1"/>
  <c r="AH33" i="44"/>
  <c r="F99" i="44" l="1"/>
  <c r="H99" i="44"/>
</calcChain>
</file>

<file path=xl/comments1.xml><?xml version="1.0" encoding="utf-8"?>
<comments xmlns="http://schemas.openxmlformats.org/spreadsheetml/2006/main">
  <authors>
    <author>gsmith</author>
  </authors>
  <commentList>
    <comment ref="B69" authorId="0" shape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  <comment ref="B70" authorId="0" shape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  <comment ref="B71" authorId="0" shapeId="0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</commentList>
</comments>
</file>

<file path=xl/comments2.xml><?xml version="1.0" encoding="utf-8"?>
<comments xmlns="http://schemas.openxmlformats.org/spreadsheetml/2006/main">
  <authors>
    <author>ldcotten</author>
  </authors>
  <commentList>
    <comment ref="R130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1269 cust @ $105
12 cust @$210
1 cust @$220
36 cust @$245</t>
        </r>
      </text>
    </comment>
    <comment ref="B135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Firm
</t>
        </r>
      </text>
    </comment>
    <comment ref="B146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Interr
</t>
        </r>
      </text>
    </comment>
    <comment ref="R162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comments3.xml><?xml version="1.0" encoding="utf-8"?>
<comments xmlns="http://schemas.openxmlformats.org/spreadsheetml/2006/main">
  <authors>
    <author>ldcotten</author>
  </authors>
  <commentList>
    <comment ref="S168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comments4.xml><?xml version="1.0" encoding="utf-8"?>
<comments xmlns="http://schemas.openxmlformats.org/spreadsheetml/2006/main">
  <authors>
    <author>ldcotten</author>
  </authors>
  <commentList>
    <comment ref="S126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1269 cust @ $105
12 cust @$210
1 cust @$220
36 cust @$245</t>
        </r>
      </text>
    </comment>
    <comment ref="B131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Firm
</t>
        </r>
      </text>
    </comment>
    <comment ref="B142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Interr
</t>
        </r>
      </text>
    </comment>
    <comment ref="S158" authorId="0" shapeId="0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sharedStrings.xml><?xml version="1.0" encoding="utf-8"?>
<sst xmlns="http://schemas.openxmlformats.org/spreadsheetml/2006/main" count="2297" uniqueCount="720">
  <si>
    <t>EFM Charges</t>
  </si>
  <si>
    <t>Trans Admin Fee</t>
  </si>
  <si>
    <t>Parking Fee</t>
  </si>
  <si>
    <t xml:space="preserve">INTERRUPTIBLE CUSTOMERS </t>
  </si>
  <si>
    <t>COMP</t>
  </si>
  <si>
    <t>Month</t>
  </si>
  <si>
    <t>Rate</t>
  </si>
  <si>
    <t>G-1</t>
  </si>
  <si>
    <t>Actual</t>
  </si>
  <si>
    <t>WESTERN KENTUCKY GAS COMPANY</t>
  </si>
  <si>
    <t xml:space="preserve">Page 18 of 19 </t>
  </si>
  <si>
    <t>BILL FREQUENCY ANALYSIS</t>
  </si>
  <si>
    <t>Line</t>
  </si>
  <si>
    <t>(a)</t>
  </si>
  <si>
    <t>(b)</t>
  </si>
  <si>
    <t>(c)</t>
  </si>
  <si>
    <t>(d)</t>
  </si>
  <si>
    <t>No.</t>
  </si>
  <si>
    <t>Number Of</t>
  </si>
  <si>
    <t>Total</t>
  </si>
  <si>
    <t>Bills</t>
  </si>
  <si>
    <t>Mcf</t>
  </si>
  <si>
    <t>Revenue</t>
  </si>
  <si>
    <t>FIRM BILLS</t>
  </si>
  <si>
    <t>Sales: 1-300</t>
  </si>
  <si>
    <t>Sales: 301-15000</t>
  </si>
  <si>
    <t>CLASS TOTAL</t>
  </si>
  <si>
    <t>Class of Customers</t>
  </si>
  <si>
    <t>Sales: 301-1500</t>
  </si>
  <si>
    <t>Sales: Over 1500</t>
  </si>
  <si>
    <t>RESIDENTIAL (Rate G-1)</t>
  </si>
  <si>
    <t>FIRM COMMERCIAL (Rate G-1)</t>
  </si>
  <si>
    <t>Firm Transport: 1-300</t>
  </si>
  <si>
    <t>Firm Transport: 301-15000</t>
  </si>
  <si>
    <t>Firm Transport: Over 1500</t>
  </si>
  <si>
    <t>Firm Sales: 1-300</t>
  </si>
  <si>
    <t>Firm Sales: 301-15000</t>
  </si>
  <si>
    <t>Firm Sales: Over 1500</t>
  </si>
  <si>
    <t>Firm LVS: 1-300</t>
  </si>
  <si>
    <t>Firm LVS: 301-15000</t>
  </si>
  <si>
    <t>Firm LVS: Over 1500</t>
  </si>
  <si>
    <t>T-4: 1-300</t>
  </si>
  <si>
    <t>T-4: 301-15000</t>
  </si>
  <si>
    <t>T-4: Over 1500</t>
  </si>
  <si>
    <t>Interrupt Sales:  Over 15000</t>
  </si>
  <si>
    <t>Interrupt Sales:  1-15000</t>
  </si>
  <si>
    <t>Interrupt Transport:  1-15000</t>
  </si>
  <si>
    <t>Interrupt Transport:  Over 15000</t>
  </si>
  <si>
    <t>Interrupt LVS:  1-15000</t>
  </si>
  <si>
    <t>Interrupt LVS:  Over 15000</t>
  </si>
  <si>
    <t>T-4 OVerrun: 1-300</t>
  </si>
  <si>
    <t>T-4 Overrun: 301-15000</t>
  </si>
  <si>
    <t>T-4 Over Run: Over 1500</t>
  </si>
  <si>
    <t>Special Contracts</t>
  </si>
  <si>
    <t xml:space="preserve">LARGE INTERRUPTIBLE CUSTOMERS </t>
  </si>
  <si>
    <t>T-3 Interr Carriage:  1-15000</t>
  </si>
  <si>
    <t>T-3 Interr Carriage:  Over 15000</t>
  </si>
  <si>
    <t>T-4 Overrun: 1-300</t>
  </si>
  <si>
    <t>T-4 Firm Carriage: 1-300</t>
  </si>
  <si>
    <t>T-4 Firm Carriage: 301-15000</t>
  </si>
  <si>
    <t>T-4 Firm Carriage: Over 1500</t>
  </si>
  <si>
    <t>Various</t>
  </si>
  <si>
    <t>EFM Fee</t>
  </si>
  <si>
    <t>TOTAL REVENUES</t>
  </si>
  <si>
    <t>Other Revenue</t>
  </si>
  <si>
    <t>Difference</t>
  </si>
  <si>
    <t>Margin</t>
  </si>
  <si>
    <t>Billed Sales Margin</t>
  </si>
  <si>
    <t>Unbilled Sales Margin</t>
  </si>
  <si>
    <t>Total Sales Margin</t>
  </si>
  <si>
    <t>Transportation</t>
  </si>
  <si>
    <t xml:space="preserve"> Total Sales/Tr Margin</t>
  </si>
  <si>
    <t xml:space="preserve"> Total Gross Profit</t>
  </si>
  <si>
    <t>Add WNA</t>
  </si>
  <si>
    <t>&lt;&lt; This includes $650,933 for Banner Adj and Oracle Additions</t>
  </si>
  <si>
    <t>&lt;&lt; This includes EFM Fees which may actually be shown in Other Revenue</t>
  </si>
  <si>
    <t xml:space="preserve"> Mcf from Financial Stats &gt;&gt;</t>
  </si>
  <si>
    <t>Why No Overrun??</t>
  </si>
  <si>
    <t>&lt;&lt; EFM Fees in Other Revenue?</t>
  </si>
  <si>
    <t>CLASS TOTAL (Mcf/month)</t>
  </si>
  <si>
    <t>FIRM INDUSTRIAL (Rate G-1)</t>
  </si>
  <si>
    <t>Sales: Over 15000</t>
  </si>
  <si>
    <t>FIRM PUBLIC AUTHORITY (Rate G-1)</t>
  </si>
  <si>
    <t>INTERRUPTIBLE COMMERCIAL (G-2)</t>
  </si>
  <si>
    <t>INT BILLS</t>
  </si>
  <si>
    <t>Sales: 1-15000</t>
  </si>
  <si>
    <t>INTERRUPTIBLE INDUSTRIAL (G-2)</t>
  </si>
  <si>
    <t>TRANSPORTATION BILLS</t>
  </si>
  <si>
    <t>TRANSPORTATION (T-4)</t>
  </si>
  <si>
    <t>TRANSPORTATION (T-3)</t>
  </si>
  <si>
    <t>SPECIAL CONTRACTS</t>
  </si>
  <si>
    <t>Transported Volumes</t>
  </si>
  <si>
    <t>Charges for Transport Volumes</t>
  </si>
  <si>
    <t>ATMOS ENERGY CORPORATION - KENTUCKY</t>
  </si>
  <si>
    <t>Residential</t>
  </si>
  <si>
    <t>Customers</t>
  </si>
  <si>
    <t>Total Revenue</t>
  </si>
  <si>
    <t>Commercial Firm</t>
  </si>
  <si>
    <t>Industrial Firm</t>
  </si>
  <si>
    <t>Late Payment Fees</t>
  </si>
  <si>
    <t>Atmos Energy - Kentucky</t>
  </si>
  <si>
    <t>Normalization Of Volumes For Weather</t>
  </si>
  <si>
    <t>Lagged</t>
  </si>
  <si>
    <t>Normal</t>
  </si>
  <si>
    <t>Product</t>
  </si>
  <si>
    <t>Customer</t>
  </si>
  <si>
    <t>Volumes</t>
  </si>
  <si>
    <t>Ddays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</si>
  <si>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</si>
  <si>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</si>
  <si>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</si>
  <si>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</si>
  <si>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</si>
  <si>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</si>
  <si>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</si>
  <si>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</si>
  <si>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</si>
  <si>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Actual &amp; Normal Degree Days</t>
  </si>
  <si>
    <t>Lagged Actual</t>
  </si>
  <si>
    <t>Lagged Normal</t>
  </si>
  <si>
    <t>Mo. Ddays (1)</t>
  </si>
  <si>
    <t xml:space="preserve">   (1)</t>
  </si>
  <si>
    <t>Based upon 16th of previous month through 15th of billing month.</t>
  </si>
  <si>
    <t xml:space="preserve">   (2)</t>
  </si>
  <si>
    <t>Commercial</t>
  </si>
  <si>
    <t>Comment</t>
  </si>
  <si>
    <t>Service</t>
  </si>
  <si>
    <t>T-4 Bill</t>
  </si>
  <si>
    <t>T-4 0-300 Mcf/mo</t>
  </si>
  <si>
    <t>T-4 301-15000 Mcf/mo</t>
  </si>
  <si>
    <t>T-4 &gt; 15000 Mcf/mo</t>
  </si>
  <si>
    <t>T-3 0-15000 Mcf/mo</t>
  </si>
  <si>
    <t>T-3 &gt; 15000 Mcf/mo</t>
  </si>
  <si>
    <t>Sp K Volumes</t>
  </si>
  <si>
    <t>Sp K Rate</t>
  </si>
  <si>
    <t>Sp K Distr. Charge</t>
  </si>
  <si>
    <t>T-3 Bill</t>
  </si>
  <si>
    <t>G-1 0-300 Mcf/mo</t>
  </si>
  <si>
    <t>G-1 301-15000 Mcf/mo</t>
  </si>
  <si>
    <t>G-1 &gt; 15000 Mcf/mo</t>
  </si>
  <si>
    <t>G-2 0-15000 Mcf/mo</t>
  </si>
  <si>
    <t>G-2 &gt; 15000 Mcf/mo</t>
  </si>
  <si>
    <t>Forward-looking Adjustments</t>
  </si>
  <si>
    <t>Contract Adj.</t>
  </si>
  <si>
    <t>Conservation</t>
  </si>
  <si>
    <t>Present</t>
  </si>
  <si>
    <t>Number</t>
  </si>
  <si>
    <t>Bills and</t>
  </si>
  <si>
    <t>Weather Adj.</t>
  </si>
  <si>
    <t>Growth</t>
  </si>
  <si>
    <t>&amp; Efficiency</t>
  </si>
  <si>
    <t>Test Year</t>
  </si>
  <si>
    <t>Description</t>
  </si>
  <si>
    <t>Block (Mcf)</t>
  </si>
  <si>
    <t>of Bills, Units</t>
  </si>
  <si>
    <t>As Metered</t>
  </si>
  <si>
    <t>Forecast</t>
  </si>
  <si>
    <t>Adjustments</t>
  </si>
  <si>
    <t>Sales</t>
  </si>
  <si>
    <t>Customer Chrg</t>
  </si>
  <si>
    <t>0 - 300</t>
  </si>
  <si>
    <t>301 - 15,000</t>
  </si>
  <si>
    <t>Over 15,000</t>
  </si>
  <si>
    <t>0 - 15,000</t>
  </si>
  <si>
    <t>Transp. Adm. Fee</t>
  </si>
  <si>
    <t>Total Tariff</t>
  </si>
  <si>
    <t>N/A</t>
  </si>
  <si>
    <t>TEST YEAR - ADJUSTED</t>
  </si>
  <si>
    <t>Page 1</t>
  </si>
  <si>
    <t>SIDE-BY-SIDE RATE SCHEDULES</t>
  </si>
  <si>
    <t>Current</t>
  </si>
  <si>
    <t>Proposed</t>
  </si>
  <si>
    <t>Proposed Rate</t>
  </si>
  <si>
    <t>Billing Component</t>
  </si>
  <si>
    <t>Applicable Tariffs</t>
  </si>
  <si>
    <t>Norm Hrs</t>
  </si>
  <si>
    <t>After Hrs</t>
  </si>
  <si>
    <t>CUSTOMER CHARGES, $/month</t>
  </si>
  <si>
    <t>SERVICE CHARGES</t>
  </si>
  <si>
    <t>Firm Services - Residential</t>
  </si>
  <si>
    <t>Meter Set</t>
  </si>
  <si>
    <t>Firm Services - Non-Residential</t>
  </si>
  <si>
    <t>G-1, LVS-1,T-2/G-1</t>
  </si>
  <si>
    <t>Interruptible Services</t>
  </si>
  <si>
    <t>G-2, LVS-2</t>
  </si>
  <si>
    <t>Carriage Transportation</t>
  </si>
  <si>
    <t>T-4, T-3</t>
  </si>
  <si>
    <t>DISTRIBUTION CHARGES, $/Mcf</t>
  </si>
  <si>
    <t>Firm Sales &amp; Transportation:</t>
  </si>
  <si>
    <t>G-1, LVS-1, T-2/G-1, T-4</t>
  </si>
  <si>
    <t>1-300 Mcf</t>
  </si>
  <si>
    <t>301-15000 Mcf</t>
  </si>
  <si>
    <t>Over 15000</t>
  </si>
  <si>
    <t>Int. Sales &amp; Transportation</t>
  </si>
  <si>
    <t>G-2, LVS-2, T-2/G-2, T-3</t>
  </si>
  <si>
    <t>Special Meter Reading Charge</t>
  </si>
  <si>
    <t>1-15000 Mcf</t>
  </si>
  <si>
    <t>Returned Check Charge</t>
  </si>
  <si>
    <t>Class 1 EFM Equipment Charge</t>
  </si>
  <si>
    <t>Class 2 EFM Equipment Charge</t>
  </si>
  <si>
    <t>OVERRUN CHARGES, $/Mcf</t>
  </si>
  <si>
    <t>Firm Carriage Overrun</t>
  </si>
  <si>
    <t>Late Payment Charge</t>
  </si>
  <si>
    <t>Int. Carriage Overrun</t>
  </si>
  <si>
    <t>OTHER CHARGES</t>
  </si>
  <si>
    <t>Transp. Adm. Fee, $/Mcf</t>
  </si>
  <si>
    <t>T-2, T-3, T-4</t>
  </si>
  <si>
    <t>Parking, $/Mcf</t>
  </si>
  <si>
    <t>SUMMARY OF PROPOSED VS. CURRENT RATES:</t>
  </si>
  <si>
    <t>Base Monthly Charges</t>
  </si>
  <si>
    <t>Distribution Charges</t>
  </si>
  <si>
    <t>TOTAL</t>
  </si>
  <si>
    <t>Total Class</t>
  </si>
  <si>
    <t>% Change</t>
  </si>
  <si>
    <t>Sub-total Revenue</t>
  </si>
  <si>
    <t>Other Gas Revenues</t>
  </si>
  <si>
    <t>VOLUME AND CONTRACT ADJUSTMENTS</t>
  </si>
  <si>
    <t>BILL FREQUENCY DATA</t>
  </si>
  <si>
    <t>Gas Costs</t>
  </si>
  <si>
    <t>Current Rate</t>
  </si>
  <si>
    <t>Turn On</t>
  </si>
  <si>
    <t>Read</t>
  </si>
  <si>
    <t>Reconnect Delinquent Service</t>
  </si>
  <si>
    <t>Seasonal Charge</t>
  </si>
  <si>
    <t>Meter Test Charge</t>
  </si>
  <si>
    <t>BILL FREQUENCY WITH WEATHER &amp; VOLUME / CONTRACT ADJUSTMENTS</t>
  </si>
  <si>
    <t>Gas Charge per Mcf</t>
  </si>
  <si>
    <t>Gas Supply Requirements</t>
  </si>
  <si>
    <t>Int Sales</t>
  </si>
  <si>
    <t>Firm Sales (Calendar Month)</t>
  </si>
  <si>
    <t xml:space="preserve">  Residential</t>
  </si>
  <si>
    <t xml:space="preserve">  Commercial</t>
  </si>
  <si>
    <t xml:space="preserve">  Industrial</t>
  </si>
  <si>
    <t xml:space="preserve">  Public Authority</t>
  </si>
  <si>
    <t>(n)</t>
  </si>
  <si>
    <t>(o)</t>
  </si>
  <si>
    <t>(p)</t>
  </si>
  <si>
    <t>(q)</t>
  </si>
  <si>
    <t>(r)</t>
  </si>
  <si>
    <t>(s)</t>
  </si>
  <si>
    <t>(t)</t>
  </si>
  <si>
    <t>(u)</t>
  </si>
  <si>
    <t>(v)</t>
  </si>
  <si>
    <t>(w)</t>
  </si>
  <si>
    <t>(x)</t>
  </si>
  <si>
    <t>(y)</t>
  </si>
  <si>
    <t>(z)</t>
  </si>
  <si>
    <t>(aa)</t>
  </si>
  <si>
    <t>(ab)</t>
  </si>
  <si>
    <t>(ac)</t>
  </si>
  <si>
    <t>(ad)</t>
  </si>
  <si>
    <t>(ae)</t>
  </si>
  <si>
    <t>(af)</t>
  </si>
  <si>
    <t>(ag)</t>
  </si>
  <si>
    <t>(ah)</t>
  </si>
  <si>
    <t>(ai)</t>
  </si>
  <si>
    <t>(aj)</t>
  </si>
  <si>
    <t>(ak)</t>
  </si>
  <si>
    <t>(al)</t>
  </si>
  <si>
    <t>(am)</t>
  </si>
  <si>
    <t>(an)</t>
  </si>
  <si>
    <t>(ao)</t>
  </si>
  <si>
    <t>(ap)</t>
  </si>
  <si>
    <t>(aq)</t>
  </si>
  <si>
    <t>(ar)</t>
  </si>
  <si>
    <t>(as)</t>
  </si>
  <si>
    <t>(at)</t>
  </si>
  <si>
    <t>(au)</t>
  </si>
  <si>
    <t>(av)</t>
  </si>
  <si>
    <t>(aw)</t>
  </si>
  <si>
    <t>(ax)</t>
  </si>
  <si>
    <t>(ay)</t>
  </si>
  <si>
    <t>(az)</t>
  </si>
  <si>
    <t>(ba)</t>
  </si>
  <si>
    <t>(bb)</t>
  </si>
  <si>
    <t>(bc)</t>
  </si>
  <si>
    <t>(bd)</t>
  </si>
  <si>
    <t>(be)</t>
  </si>
  <si>
    <t>(bf)</t>
  </si>
  <si>
    <t>(bg)</t>
  </si>
  <si>
    <t>(bh)</t>
  </si>
  <si>
    <t>(bi)</t>
  </si>
  <si>
    <t>(bj)</t>
  </si>
  <si>
    <t>Meter Sets</t>
  </si>
  <si>
    <t>Regular Hours</t>
  </si>
  <si>
    <t>After Hours</t>
  </si>
  <si>
    <t>Turn on</t>
  </si>
  <si>
    <t>Return Check Charge</t>
  </si>
  <si>
    <t>SUBTOTAL - OTHER OPERATING REVENUE</t>
  </si>
  <si>
    <t>TOTAL Billed Orders</t>
  </si>
  <si>
    <t>TOTAL Revenue</t>
  </si>
  <si>
    <t xml:space="preserve">N/A  </t>
  </si>
  <si>
    <t>Other Revenues</t>
  </si>
  <si>
    <t>BILL FREQUENCY WITH KNOWN &amp; MEASURABLE ADJUSTMENTS</t>
  </si>
  <si>
    <t>Public Authority Firm</t>
  </si>
  <si>
    <t>Com/Ind Interruptible</t>
  </si>
  <si>
    <t>GAS COST</t>
  </si>
  <si>
    <t>TTL CHNGE</t>
  </si>
  <si>
    <t>(bk)</t>
  </si>
  <si>
    <t>(bl)</t>
  </si>
  <si>
    <t>(bm)</t>
  </si>
  <si>
    <t>(bn)</t>
  </si>
  <si>
    <t>(bo)</t>
  </si>
  <si>
    <t>(bp)</t>
  </si>
  <si>
    <t>(bq)</t>
  </si>
  <si>
    <t>(br)</t>
  </si>
  <si>
    <t>(bs)</t>
  </si>
  <si>
    <t>(bt)</t>
  </si>
  <si>
    <t>(bu)</t>
  </si>
  <si>
    <t>(bv)</t>
  </si>
  <si>
    <t>OTHER REVENUE</t>
  </si>
  <si>
    <t>Service Charges</t>
  </si>
  <si>
    <t>TOTAL GROSS PROFIT</t>
  </si>
  <si>
    <t>TOTAL REVENUE</t>
  </si>
  <si>
    <t>Total Gross Profit</t>
  </si>
  <si>
    <t>O P E R A T I N G  R E V E N U E</t>
  </si>
  <si>
    <t xml:space="preserve">  Sales of Gas</t>
  </si>
  <si>
    <t>Industrial</t>
  </si>
  <si>
    <t>Other - Public Authority</t>
  </si>
  <si>
    <t xml:space="preserve">  Total Sales of Gas</t>
  </si>
  <si>
    <t xml:space="preserve">  Other Operating Income</t>
  </si>
  <si>
    <t>Forfeited Discounts</t>
  </si>
  <si>
    <t>Misc. Service Revenues</t>
  </si>
  <si>
    <t>4895-4896</t>
  </si>
  <si>
    <t>Revenue From Transportation of Gas of Others</t>
  </si>
  <si>
    <t xml:space="preserve">  Total Other Operating Income</t>
  </si>
  <si>
    <t>Test period</t>
  </si>
  <si>
    <t>Purchased Gas Costs</t>
  </si>
  <si>
    <t>Gross Profit</t>
  </si>
  <si>
    <t>(bw)</t>
  </si>
  <si>
    <t>(bx)</t>
  </si>
  <si>
    <t>(by)</t>
  </si>
  <si>
    <t>(bz)</t>
  </si>
  <si>
    <t>(ca)</t>
  </si>
  <si>
    <t>(cb)</t>
  </si>
  <si>
    <t>(cc)</t>
  </si>
  <si>
    <t>(cd)</t>
  </si>
  <si>
    <t>(ce)</t>
  </si>
  <si>
    <t>(cf)</t>
  </si>
  <si>
    <t>(cg)</t>
  </si>
  <si>
    <t>(ch)</t>
  </si>
  <si>
    <t>G-1 (Non-residential)</t>
  </si>
  <si>
    <t>LVS-1, T-2/G-1, T-4</t>
  </si>
  <si>
    <t>See Below</t>
  </si>
  <si>
    <t>(Proposed Only)</t>
  </si>
  <si>
    <t>All Mcf</t>
  </si>
  <si>
    <t>SUMMARY OF REVENUE AT PRESENT RATES</t>
  </si>
  <si>
    <t>Billing Units</t>
  </si>
  <si>
    <t>To Test Year</t>
  </si>
  <si>
    <t>CUSTOMERS</t>
  </si>
  <si>
    <t>Bad Debt Calculation based on Revenues</t>
  </si>
  <si>
    <t>Bad Debt Calculation based on Margin</t>
  </si>
  <si>
    <t>Late Payment Fee</t>
  </si>
  <si>
    <t>Res</t>
  </si>
  <si>
    <t>Com/PA F</t>
  </si>
  <si>
    <t>Ind/Int</t>
  </si>
  <si>
    <t>Transp &amp; SC</t>
  </si>
  <si>
    <t>Proposal A</t>
  </si>
  <si>
    <t>Total Increase</t>
  </si>
  <si>
    <t>Residential Incr</t>
  </si>
  <si>
    <t>Residential Incr%</t>
  </si>
  <si>
    <t>Com/PA Incr</t>
  </si>
  <si>
    <t>Com/PA Incr%</t>
  </si>
  <si>
    <t>Ind/Int Incr</t>
  </si>
  <si>
    <t>Transp Incr</t>
  </si>
  <si>
    <t>Ind/Int Incr %</t>
  </si>
  <si>
    <t>Transp Incr%</t>
  </si>
  <si>
    <t>Total Increase %</t>
  </si>
  <si>
    <t>Proposal B</t>
  </si>
  <si>
    <t>Total % Volumetric Margin Contribution</t>
  </si>
  <si>
    <t>Proposal C</t>
  </si>
  <si>
    <t>Proposal D</t>
  </si>
  <si>
    <t>Ind/Int/Transp/SC</t>
  </si>
  <si>
    <t>PA</t>
  </si>
  <si>
    <t>Gas Cost</t>
  </si>
  <si>
    <t>Other</t>
  </si>
  <si>
    <t>Proposal X</t>
  </si>
  <si>
    <t>Current Rev</t>
  </si>
  <si>
    <t>Prop Rev</t>
  </si>
  <si>
    <t>Increase</t>
  </si>
  <si>
    <t>Increase %</t>
  </si>
  <si>
    <t>Increase/month</t>
  </si>
  <si>
    <t>Com Firm</t>
  </si>
  <si>
    <t>Com Int</t>
  </si>
  <si>
    <t>Com Total</t>
  </si>
  <si>
    <t>Ind Firm</t>
  </si>
  <si>
    <t>Ind Int</t>
  </si>
  <si>
    <t>Ind Total</t>
  </si>
  <si>
    <t>Transp.</t>
  </si>
  <si>
    <t>Current 1st block</t>
  </si>
  <si>
    <t>Ind &amp; Transp</t>
  </si>
  <si>
    <t>PROPOSED RATES</t>
  </si>
  <si>
    <t>Com &amp; PA</t>
  </si>
  <si>
    <t>|||Eliminate</t>
  </si>
  <si>
    <t>Apparently used for CCS</t>
  </si>
  <si>
    <t>GC</t>
  </si>
  <si>
    <t>Dist Marg</t>
  </si>
  <si>
    <t>CURRENT RATES</t>
  </si>
  <si>
    <t>Premise</t>
  </si>
  <si>
    <t>Storage Balance</t>
  </si>
  <si>
    <t>13-month avg</t>
  </si>
  <si>
    <t>Storage</t>
  </si>
  <si>
    <t>GAS COST ESTIMATES</t>
  </si>
  <si>
    <t>Firm Sales</t>
  </si>
  <si>
    <t xml:space="preserve">    Total Sales</t>
  </si>
  <si>
    <t>L&amp;U / Co Use</t>
  </si>
  <si>
    <t>Supply Req</t>
  </si>
  <si>
    <t>MMBtu</t>
  </si>
  <si>
    <t xml:space="preserve"> </t>
  </si>
  <si>
    <t>Tenn Gas (WI)</t>
  </si>
  <si>
    <t>Texas Gas (WI)</t>
  </si>
  <si>
    <t>Co Owned (WI)</t>
  </si>
  <si>
    <t xml:space="preserve">     Total  (WI)</t>
  </si>
  <si>
    <t>Tenn Gas (IN)</t>
  </si>
  <si>
    <t>Texas Gas (IN)</t>
  </si>
  <si>
    <t>Co Owned (IN)</t>
  </si>
  <si>
    <t xml:space="preserve">     Total  (IN)</t>
  </si>
  <si>
    <t>Quantity</t>
  </si>
  <si>
    <t>Local Production</t>
  </si>
  <si>
    <t>Hedging Purchases</t>
  </si>
  <si>
    <t>Requirements excluding Prod.</t>
  </si>
  <si>
    <t>Rates</t>
  </si>
  <si>
    <t>Hedging Prices</t>
  </si>
  <si>
    <t>NYMEX PRICE</t>
  </si>
  <si>
    <t>TGT/MW/Trunk Var Transp</t>
  </si>
  <si>
    <t>TGP - GS Variable Tran</t>
  </si>
  <si>
    <t>TGP - G Variable Transp</t>
  </si>
  <si>
    <t>Storage Inventory</t>
  </si>
  <si>
    <t>Co Owned &amp; TN ($)</t>
  </si>
  <si>
    <t>Cumulative ($)</t>
  </si>
  <si>
    <t>Average Price for Season</t>
  </si>
  <si>
    <t>TGT NNS ($)</t>
  </si>
  <si>
    <t>Average Price (Next Season)</t>
  </si>
  <si>
    <t>Source of Supply</t>
  </si>
  <si>
    <t>Commodity Purchases</t>
  </si>
  <si>
    <t>Hedged Purchases</t>
  </si>
  <si>
    <t>Local Production Purchases</t>
  </si>
  <si>
    <t>Storage  (WI)</t>
  </si>
  <si>
    <t>Storage  (IN)</t>
  </si>
  <si>
    <t xml:space="preserve">     Total Supply Requirements</t>
  </si>
  <si>
    <t>Supply Cost</t>
  </si>
  <si>
    <t xml:space="preserve">Demand </t>
  </si>
  <si>
    <t>Commodity - Market</t>
  </si>
  <si>
    <t>Commodity - Hedged</t>
  </si>
  <si>
    <t>Variable Pipeline Commodity</t>
  </si>
  <si>
    <t xml:space="preserve">     Total Supply Cost</t>
  </si>
  <si>
    <t>Collection of Demand Charges</t>
  </si>
  <si>
    <t>Ann. Demand Charges</t>
  </si>
  <si>
    <t>N/C Charge - Int</t>
  </si>
  <si>
    <t>N/C Charge - Firm</t>
  </si>
  <si>
    <t>Collection by Month&gt;</t>
  </si>
  <si>
    <t>Commodity Gas Charge Firm</t>
  </si>
  <si>
    <t>Commodity</t>
  </si>
  <si>
    <t>N/C</t>
  </si>
  <si>
    <t>Total (Not Incl Margin)</t>
  </si>
  <si>
    <t>CF</t>
  </si>
  <si>
    <t>Total Gas Charge (F)</t>
  </si>
  <si>
    <t>Commodity Firm</t>
  </si>
  <si>
    <t>N/C Firm</t>
  </si>
  <si>
    <t>CF Firm</t>
  </si>
  <si>
    <t>PBR Discount</t>
  </si>
  <si>
    <t>PBR Recovery</t>
  </si>
  <si>
    <t>Gas Cost Comp-Firm</t>
  </si>
  <si>
    <t>Commodity Int</t>
  </si>
  <si>
    <t>N/C Int</t>
  </si>
  <si>
    <t>CF Int</t>
  </si>
  <si>
    <t>Gas Cost Comp-Int</t>
  </si>
  <si>
    <t>HEDGING</t>
  </si>
  <si>
    <t>1 TO 5</t>
  </si>
  <si>
    <t>Delivered Cost</t>
  </si>
  <si>
    <t>SUMMARY OF REVENUE AT PROPOSED RATES</t>
  </si>
  <si>
    <t>[1] Parked Volumes not included in Total Deliveries.</t>
  </si>
  <si>
    <t>Parked Volumes [1]</t>
  </si>
  <si>
    <t>Total Special Contracts [2]</t>
  </si>
  <si>
    <t>PUBLIC AUTHORITY (Rate G-1)</t>
  </si>
  <si>
    <t xml:space="preserve">FIRM COMMERCIAL / </t>
  </si>
  <si>
    <t xml:space="preserve">INTERRUPTIBLE  &amp; TRANSPORT </t>
  </si>
  <si>
    <t>Commercial &amp; Public Authority</t>
  </si>
  <si>
    <t>Interruptible &amp; Transportation</t>
  </si>
  <si>
    <t>Base Load per Customer (Jul &amp; Aug)</t>
  </si>
  <si>
    <t>Heating Load Per Year</t>
  </si>
  <si>
    <t>Annual HDDs</t>
  </si>
  <si>
    <t>Heating Load per Customer per HDD</t>
  </si>
  <si>
    <t>Peak Design Day HDD</t>
  </si>
  <si>
    <t>Peak Day per Average Customer</t>
  </si>
  <si>
    <t>Total Base Load per year</t>
  </si>
  <si>
    <t>Average Daily Base Load per Customer</t>
  </si>
  <si>
    <t>Total Class Peak Day, Mcf</t>
  </si>
  <si>
    <t>Firm Industrial</t>
  </si>
  <si>
    <t>Storage - Full Plan</t>
  </si>
  <si>
    <t>Storage - As Adjusted</t>
  </si>
  <si>
    <t>Base - Tenn Gas</t>
  </si>
  <si>
    <t>Base - Texas Gas</t>
  </si>
  <si>
    <t>Base - Co Owned</t>
  </si>
  <si>
    <t>TN + Co</t>
  </si>
  <si>
    <t>G-1 Bill</t>
  </si>
  <si>
    <t>G-2 Bill</t>
  </si>
  <si>
    <t>per yr</t>
  </si>
  <si>
    <t>per mo</t>
  </si>
  <si>
    <t>Annual G/C &amp; Total Revenue</t>
  </si>
  <si>
    <t>Equal Residential (4800)</t>
  </si>
  <si>
    <t>Firm Com &amp; PA (Excl Int Com)</t>
  </si>
  <si>
    <t>Firm Ind Only (Excl Int Ind)</t>
  </si>
  <si>
    <t>Gas costs for Int Ind &amp; Com Sales</t>
  </si>
  <si>
    <t>total Gas cost</t>
  </si>
  <si>
    <t>Total Rev</t>
  </si>
  <si>
    <t>Becky Buchanan for Gas Supply Data</t>
  </si>
  <si>
    <t>Weighted</t>
  </si>
  <si>
    <t>Day</t>
  </si>
  <si>
    <t>Year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</si>
  <si>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</si>
  <si>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</si>
  <si>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</si>
  <si>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</si>
  <si>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</si>
  <si>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</si>
  <si>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</si>
  <si>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</si>
  <si>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</si>
  <si>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</si>
  <si>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</si>
  <si>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</si>
  <si>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G-2</t>
  </si>
  <si>
    <t>T-4</t>
  </si>
  <si>
    <t>Firm Transportation</t>
  </si>
  <si>
    <t>T-3</t>
  </si>
  <si>
    <t>Interruptible Transportation</t>
  </si>
  <si>
    <t>Interruptible Sales</t>
  </si>
  <si>
    <t>Firm Sales (G-1)</t>
  </si>
  <si>
    <t>Interruptible Sales (G-2)</t>
  </si>
  <si>
    <t>Firm Transportation (T-4)</t>
  </si>
  <si>
    <t>Interruptible Transportation (T-3)</t>
  </si>
  <si>
    <t>Customer Charges (T-3)</t>
  </si>
  <si>
    <t>Customer Charges (T-4)</t>
  </si>
  <si>
    <t>Customer Charges (SpK)</t>
  </si>
  <si>
    <t xml:space="preserve">Pipeline Losses @ </t>
  </si>
  <si>
    <t>Ledger &gt;</t>
  </si>
  <si>
    <t>&lt; Storage Beginning Balance</t>
  </si>
  <si>
    <t>Difference &gt;</t>
  </si>
  <si>
    <t>Winter Volumes       (Nov- Mar)</t>
  </si>
  <si>
    <t>FIRM INDUSTRIAL (Rates G-1)</t>
  </si>
  <si>
    <t>(Rates G-2, T-4 &amp; T-3)</t>
  </si>
  <si>
    <t>Bills - G-2</t>
  </si>
  <si>
    <t>Bills - T-4</t>
  </si>
  <si>
    <t>Bills - T-3</t>
  </si>
  <si>
    <t>Bills - Sp K</t>
  </si>
  <si>
    <t>Quarterly GCA Model</t>
  </si>
  <si>
    <t>TWELVE MONTHS ENDED NOVEMBER 30, 2014</t>
  </si>
  <si>
    <t>[2] Based on confidential information.</t>
  </si>
  <si>
    <t>Pipeline Losses @ 3%</t>
  </si>
  <si>
    <t>Transp Adm/Parking/ EFM Charges</t>
  </si>
  <si>
    <t>W/o PRP&gt;</t>
  </si>
  <si>
    <t>% fixed</t>
  </si>
  <si>
    <t>Fiscal Years</t>
  </si>
  <si>
    <t>Other Gas Revenue (Special Contracts)</t>
  </si>
  <si>
    <t>MCF (Cycle Bill Month)</t>
  </si>
  <si>
    <t>2009-00354</t>
  </si>
  <si>
    <t>PRP @</t>
  </si>
  <si>
    <t>cur vol/count</t>
  </si>
  <si>
    <t>Rev @ Pres</t>
  </si>
  <si>
    <t>Public Authority</t>
  </si>
  <si>
    <t>0-300</t>
  </si>
  <si>
    <t>301-15,000</t>
  </si>
  <si>
    <t>Normal Adj.</t>
  </si>
  <si>
    <t>After Conservation/Eff.</t>
  </si>
  <si>
    <t>Date</t>
  </si>
  <si>
    <t>Base Period Actual Hdds</t>
  </si>
  <si>
    <t>Base Period Calendar HDDs</t>
  </si>
  <si>
    <t>Base Period Lagged HDDs</t>
  </si>
  <si>
    <t>Normals Calendar HDDs</t>
  </si>
  <si>
    <t>Normals Lagged HDDs</t>
  </si>
  <si>
    <t>Annual Totals</t>
  </si>
  <si>
    <t>Percent of Normal</t>
  </si>
  <si>
    <t>Last Day of Reference Period</t>
  </si>
  <si>
    <t>EVANSVILLE REGIONAL AIRPORT IN US</t>
  </si>
  <si>
    <t>NASHVILLE INTERNATIONAL AIRPORT TN US</t>
  </si>
  <si>
    <t>LEXINGTON BLUEGRASS AIRPORT KY US</t>
  </si>
  <si>
    <t>LOUISVILLE INTERNATIONAL AIRPORT KY US</t>
  </si>
  <si>
    <t>PADUCAH BARKLEY REGIONAL AIRPORT KY US</t>
  </si>
  <si>
    <t>EVANSVILLE</t>
  </si>
  <si>
    <t>NASHVILLE</t>
  </si>
  <si>
    <t>LEXINGTON</t>
  </si>
  <si>
    <t>LOUISVILLE</t>
  </si>
  <si>
    <t>PADUCAH</t>
  </si>
  <si>
    <t>Lagged Actual HDDs</t>
  </si>
  <si>
    <t>Lagged Normal HDDs</t>
  </si>
  <si>
    <t>No. of Customers</t>
  </si>
  <si>
    <t>Normalized Volumes</t>
  </si>
  <si>
    <t>Actual Volumes</t>
  </si>
  <si>
    <t>Weather Adjustment</t>
  </si>
  <si>
    <t>Actual X Coefficient</t>
  </si>
  <si>
    <t>Base Load</t>
  </si>
  <si>
    <t>Tier 1</t>
  </si>
  <si>
    <t>Tier 2</t>
  </si>
  <si>
    <t>Tier 3</t>
  </si>
  <si>
    <t>Actual Constand Load</t>
  </si>
  <si>
    <t>Actual Heat Load</t>
  </si>
  <si>
    <t>Heat Load / Customer</t>
  </si>
  <si>
    <t>NA</t>
  </si>
  <si>
    <t>Annual Customer Growth</t>
  </si>
  <si>
    <t>Annual Base Load Decline</t>
  </si>
  <si>
    <t>Annual Total Load Decline</t>
  </si>
  <si>
    <t>Calendar Normal HDDs</t>
  </si>
  <si>
    <t>Normalized Volume Including Unbilled</t>
  </si>
  <si>
    <t>Normal Usage / Customer</t>
  </si>
  <si>
    <t>Normalized Calendar Volumes</t>
  </si>
  <si>
    <t>Beginning of Test Period</t>
  </si>
  <si>
    <t>First Month of Reference Period</t>
  </si>
  <si>
    <t>End of Test Period</t>
  </si>
  <si>
    <t>1st Day of Ref Period&gt;&gt;&gt;</t>
  </si>
  <si>
    <t>Fiscal Years for Summary Worksheets</t>
  </si>
  <si>
    <t>Grand Total</t>
  </si>
  <si>
    <t>Projected &gt;&gt;</t>
  </si>
  <si>
    <t>&lt;&lt; Actual</t>
  </si>
  <si>
    <t>Base Period</t>
  </si>
  <si>
    <t>Increased Load</t>
  </si>
  <si>
    <t>Special Contract</t>
  </si>
  <si>
    <t>New Customer</t>
  </si>
  <si>
    <t>T3</t>
  </si>
  <si>
    <t>Decrease Load</t>
  </si>
  <si>
    <t>T4</t>
  </si>
  <si>
    <t>G1</t>
  </si>
  <si>
    <t>Moved to T4</t>
  </si>
  <si>
    <t>G2</t>
  </si>
  <si>
    <t>Summary</t>
  </si>
  <si>
    <t>Sp K Bill</t>
  </si>
  <si>
    <t>Tariff</t>
  </si>
  <si>
    <t>Contract</t>
  </si>
  <si>
    <t>Volume (Mcf)</t>
  </si>
  <si>
    <t>Parking / Pooling Fees</t>
  </si>
  <si>
    <t>Co Owned &amp; TN (Mcf)</t>
  </si>
  <si>
    <t>TGT NNS (Mcf)</t>
  </si>
  <si>
    <t>Total Cumulative ($) - prior</t>
  </si>
  <si>
    <t>Plant Closing</t>
  </si>
  <si>
    <t>Expansions/Load Additions</t>
  </si>
  <si>
    <t>Load Reductions</t>
  </si>
  <si>
    <t>New Customers</t>
  </si>
  <si>
    <t>Closings</t>
  </si>
  <si>
    <t>Service Changes</t>
  </si>
  <si>
    <t>^^^^^^^^^</t>
  </si>
  <si>
    <t>EDR Bill</t>
  </si>
  <si>
    <t>EDR 0-300 Mcf/mo</t>
  </si>
  <si>
    <t>EDR 301-15000 Mcf/mo</t>
  </si>
  <si>
    <t>EDR &gt; 15000 Mcf/mo</t>
  </si>
  <si>
    <t>ECONOMIC DEV RATE (EDR)</t>
  </si>
  <si>
    <t>Firm Transport: Over 15000</t>
  </si>
  <si>
    <t>Economic Dev Rider (EDR)</t>
  </si>
  <si>
    <t>ECONOMIC DEV RIDER (EDR)</t>
  </si>
  <si>
    <t>Current EDR Rate</t>
  </si>
  <si>
    <t>R/C/PA Inc</t>
  </si>
  <si>
    <t>Base Chrg</t>
  </si>
  <si>
    <t>Rev Req &gt;&gt;</t>
  </si>
  <si>
    <t>Increase Load</t>
  </si>
  <si>
    <t>Avg Mo Usage, Mcf</t>
  </si>
  <si>
    <t>Avg Current Mo Bill</t>
  </si>
  <si>
    <t>Usage</t>
  </si>
  <si>
    <t>Distribution Rate</t>
  </si>
  <si>
    <t>Distrubution Charges</t>
  </si>
  <si>
    <t>Customer Charge</t>
  </si>
  <si>
    <t>GCA Firm</t>
  </si>
  <si>
    <t>Gas Cost Charges</t>
  </si>
  <si>
    <t>Nov 2015 GCA</t>
  </si>
  <si>
    <t>Prop</t>
  </si>
  <si>
    <t>Customer 2</t>
  </si>
  <si>
    <t>Customer 3</t>
  </si>
  <si>
    <t>Customer 4</t>
  </si>
  <si>
    <t>Customer 5</t>
  </si>
  <si>
    <t>Customer 6</t>
  </si>
  <si>
    <t>Customer 7</t>
  </si>
  <si>
    <t>Customer 8</t>
  </si>
  <si>
    <t>Customer 9</t>
  </si>
  <si>
    <t>Customer 10</t>
  </si>
  <si>
    <t>Customer 11</t>
  </si>
  <si>
    <t>Customer 12</t>
  </si>
  <si>
    <t>Customer 13</t>
  </si>
  <si>
    <t>Customer 15</t>
  </si>
  <si>
    <t>SUMMARY OF RATES</t>
  </si>
  <si>
    <t>Applicable</t>
  </si>
  <si>
    <t>Tariffs</t>
  </si>
  <si>
    <t>Scenario 1</t>
  </si>
  <si>
    <t>Current Base</t>
  </si>
  <si>
    <t>Current PRP</t>
  </si>
  <si>
    <t>Current Total</t>
  </si>
  <si>
    <t>Filed Proposed</t>
  </si>
  <si>
    <t>Actual HDDs</t>
  </si>
  <si>
    <t>Lagged HDDs</t>
  </si>
  <si>
    <t>Per NOAA, as reported for stations in Paducah (34.7.0%), Evansville (24.0%), Louisville (4.4%), Lexington (13.9%) and Nasvhille (23.0%).</t>
  </si>
  <si>
    <t>Customer 1</t>
  </si>
  <si>
    <t>(Weather Basis: 20-years ending 2017)</t>
  </si>
  <si>
    <t>&lt;&lt;Includes SAP and TBS</t>
  </si>
  <si>
    <t>177358A</t>
  </si>
  <si>
    <t>40-170402</t>
  </si>
  <si>
    <t>Moved to G-1</t>
  </si>
  <si>
    <t>Moved from T3</t>
  </si>
  <si>
    <t>Moved from T4</t>
  </si>
  <si>
    <t>Moved from G1</t>
  </si>
  <si>
    <t>Proposed EDR</t>
  </si>
  <si>
    <t>Alternative source</t>
  </si>
  <si>
    <t>Customer 25</t>
  </si>
  <si>
    <t>Customer 26</t>
  </si>
  <si>
    <t>Customer 27</t>
  </si>
  <si>
    <t>Customer 28</t>
  </si>
  <si>
    <t>Customer 29</t>
  </si>
  <si>
    <t>Customer 30</t>
  </si>
  <si>
    <t>Customer 31</t>
  </si>
  <si>
    <t>Customer 32</t>
  </si>
  <si>
    <t>Customer 34</t>
  </si>
  <si>
    <t>New Rate / New Load</t>
  </si>
  <si>
    <t>Basis:  NOAA Normals for 1997-2017</t>
  </si>
  <si>
    <t>20 YR LAGGED Normal HDDs (1997 - 2017)</t>
  </si>
  <si>
    <t>(NOAA 1997-2017)</t>
  </si>
  <si>
    <t>WEATHER ADJUSTMENT - BASE NOAA 1997-2017</t>
  </si>
  <si>
    <t>EXHIBIT MAM-4 (A)</t>
  </si>
  <si>
    <t xml:space="preserve">EXHIBIT MAM-7  </t>
  </si>
  <si>
    <t xml:space="preserve">EXHIBIT MAM-6  </t>
  </si>
  <si>
    <t xml:space="preserve">EXHIBIT MAM-5  </t>
  </si>
  <si>
    <t xml:space="preserve">EXHIBIT MAM-4 (B)  </t>
  </si>
  <si>
    <t xml:space="preserve">EXHIBIT MAM-3  </t>
  </si>
  <si>
    <t xml:space="preserve">EXHIBIT MAM-2  </t>
  </si>
  <si>
    <t xml:space="preserve">EXHIBIT MAM-1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</si>
</sst>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#,##0.000"/>
    <numFmt numFmtId="167" formatCode="&quot;$&quot;#,##0.0000_);\(&quot;$&quot;#,##0.0000\)"/>
    <numFmt numFmtId="168" formatCode="0.00_)"/>
    <numFmt numFmtId="169" formatCode="0.0%"/>
    <numFmt numFmtId="170" formatCode="#,##0.0000_);\(#,##0.0000\)"/>
    <numFmt numFmtId="171" formatCode=";;;"/>
    <numFmt numFmtId="172" formatCode="&quot;$&quot;#,##0.00000_);\(&quot;$&quot;#,##0.00000\)"/>
    <numFmt numFmtId="173" formatCode="#,##0.000_);\(#,##0.000\)"/>
    <numFmt numFmtId="174" formatCode="0.0000"/>
    <numFmt numFmtId="175" formatCode="_(* #,##0.0000_);_(* \(#,##0.0000\);_(* &quot;-&quot;??_);_(@_)"/>
    <numFmt numFmtId="176" formatCode="_(&quot;$&quot;* #,##0_);_(&quot;$&quot;* \(#,##0\);_(&quot;$&quot;* &quot;-&quot;??_);_(@_)"/>
    <numFmt numFmtId="177" formatCode="&quot;$&quot;#,##0"/>
    <numFmt numFmtId="178" formatCode="#,##0.00000"/>
    <numFmt numFmtId="179" formatCode="0000"/>
    <numFmt numFmtId="180" formatCode="&quot;$&quot;#,##0.000_);\(&quot;$&quot;#,##0.000\)"/>
    <numFmt numFmtId="181" formatCode="_(* #,##0.000_);_(* \(#,##0.000\);_(* &quot;-&quot;??_);_(@_)"/>
    <numFmt numFmtId="182" formatCode="_(* #,##0.00000_);_(* \(#,##0.00000\);_(* &quot;-&quot;?????_);_(@_)"/>
    <numFmt numFmtId="183" formatCode="&quot;$&quot;#,##0.00"/>
    <numFmt numFmtId="184" formatCode="_(* #,##0.00_);_(* \(#,##0.00\);_(* &quot;-&quot;_);_(@_)"/>
    <numFmt numFmtId="185" formatCode="_(* #,##0.000_);_(* \(#,##0.000\);_(* &quot;-&quot;_);_(@_)"/>
    <numFmt numFmtId="186" formatCode="0.000"/>
    <numFmt numFmtId="187" formatCode="[$-409]d\-mmm\-yy;@"/>
    <numFmt numFmtId="188" formatCode="_(* #,##0.0_);_(* \(#,##0.0\);_(* &quot;-&quot;??_);_(@_)"/>
    <numFmt numFmtId="189" formatCode="_(&quot;$&quot;* #,##0.00000_);_(&quot;$&quot;* \(#,##0.00000\);_(&quot;$&quot;* &quot;-&quot;??_);_(@_)"/>
    <numFmt numFmtId="190" formatCode="_(&quot;$&quot;* #,##0.0000_);_(&quot;$&quot;* \(#,##0.0000\);_(&quot;$&quot;* &quot;-&quot;??_);_(@_)"/>
    <numFmt numFmtId="191" formatCode="#,##0.0_);\(#,##0.0\)"/>
    <numFmt numFmtId="192" formatCode="###,000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2"/>
      <name val="Courier"/>
      <family val="3"/>
    </font>
    <font>
      <b/>
      <sz val="10"/>
      <name val="Arial Narrow"/>
      <family val="2"/>
    </font>
    <font>
      <u/>
      <sz val="10"/>
      <name val="Arial Narrow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10"/>
      <name val="Arial Narrow"/>
      <family val="2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sz val="12"/>
      <name val="Tms Rmn"/>
    </font>
    <font>
      <sz val="8"/>
      <name val="Courier"/>
      <family val="3"/>
    </font>
    <font>
      <sz val="10"/>
      <color indexed="9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u/>
      <sz val="12"/>
      <name val="Arial Narrow"/>
      <family val="2"/>
    </font>
    <font>
      <sz val="10"/>
      <color indexed="10"/>
      <name val="Arial Narrow"/>
      <family val="2"/>
    </font>
    <font>
      <sz val="12"/>
      <color indexed="10"/>
      <name val="Arial Narrow"/>
      <family val="2"/>
    </font>
    <font>
      <b/>
      <sz val="10"/>
      <color rgb="FFFF0000"/>
      <name val="Arial Narrow"/>
      <family val="2"/>
    </font>
    <font>
      <sz val="8"/>
      <name val="Arial Narrow"/>
      <family val="2"/>
    </font>
    <font>
      <b/>
      <u/>
      <sz val="14"/>
      <name val="Arial Narrow"/>
      <family val="2"/>
    </font>
    <font>
      <sz val="14"/>
      <name val="Arial Narrow"/>
      <family val="2"/>
    </font>
    <font>
      <b/>
      <sz val="10"/>
      <color theme="0"/>
      <name val="Arial Narrow"/>
      <family val="2"/>
    </font>
    <font>
      <b/>
      <sz val="10"/>
      <color indexed="10"/>
      <name val="Arial Narrow"/>
      <family val="2"/>
    </font>
    <font>
      <sz val="12"/>
      <color indexed="8"/>
      <name val="Arial Narrow"/>
      <family val="2"/>
    </font>
    <font>
      <u/>
      <sz val="12"/>
      <color indexed="8"/>
      <name val="Arial Narrow"/>
      <family val="2"/>
    </font>
    <font>
      <b/>
      <sz val="14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name val="Arial Narrow"/>
      <family val="2"/>
    </font>
    <font>
      <sz val="10"/>
      <color theme="0"/>
      <name val="Arial Narrow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</fonts>
  <fills count="4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</borders>
  <cellStyleXfs count="6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4" fillId="0" borderId="0"/>
    <xf numFmtId="0" fontId="2" fillId="0" borderId="0"/>
    <xf numFmtId="0" fontId="6" fillId="0" borderId="0"/>
    <xf numFmtId="0" fontId="6" fillId="0" borderId="0"/>
    <xf numFmtId="0" fontId="5" fillId="0" borderId="0"/>
    <xf numFmtId="37" fontId="14" fillId="0" borderId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44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6" borderId="28" applyNumberFormat="0" applyFont="0" applyAlignment="0" applyProtection="0"/>
    <xf numFmtId="0" fontId="40" fillId="0" borderId="21" applyNumberFormat="0" applyFill="0" applyAlignment="0" applyProtection="0"/>
    <xf numFmtId="0" fontId="41" fillId="0" borderId="22" applyNumberFormat="0" applyFill="0" applyAlignment="0" applyProtection="0"/>
    <xf numFmtId="0" fontId="42" fillId="0" borderId="23" applyNumberFormat="0" applyFill="0" applyAlignment="0" applyProtection="0"/>
    <xf numFmtId="0" fontId="42" fillId="0" borderId="0" applyNumberFormat="0" applyFill="0" applyBorder="0" applyAlignment="0" applyProtection="0"/>
    <xf numFmtId="0" fontId="43" fillId="10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6" fillId="13" borderId="24" applyNumberFormat="0" applyAlignment="0" applyProtection="0"/>
    <xf numFmtId="0" fontId="47" fillId="14" borderId="25" applyNumberFormat="0" applyAlignment="0" applyProtection="0"/>
    <xf numFmtId="0" fontId="48" fillId="14" borderId="24" applyNumberFormat="0" applyAlignment="0" applyProtection="0"/>
    <xf numFmtId="0" fontId="49" fillId="0" borderId="26" applyNumberFormat="0" applyFill="0" applyAlignment="0" applyProtection="0"/>
    <xf numFmtId="0" fontId="50" fillId="15" borderId="27" applyNumberFormat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8" fillId="0" borderId="29" applyNumberFormat="0" applyFill="0" applyAlignment="0" applyProtection="0"/>
    <xf numFmtId="0" fontId="5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2" fillId="28" borderId="0" applyNumberFormat="0" applyBorder="0" applyAlignment="0" applyProtection="0"/>
    <xf numFmtId="0" fontId="5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2" fillId="32" borderId="0" applyNumberFormat="0" applyBorder="0" applyAlignment="0" applyProtection="0"/>
    <xf numFmtId="0" fontId="5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52" fillId="36" borderId="0" applyNumberFormat="0" applyBorder="0" applyAlignment="0" applyProtection="0"/>
    <xf numFmtId="0" fontId="5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52" fillId="40" borderId="0" applyNumberFormat="0" applyBorder="0" applyAlignment="0" applyProtection="0"/>
    <xf numFmtId="0" fontId="5" fillId="0" borderId="0"/>
    <xf numFmtId="0" fontId="53" fillId="41" borderId="30" applyNumberFormat="0" applyAlignment="0" applyProtection="0">
      <alignment horizontal="left" vertical="center" indent="1"/>
    </xf>
    <xf numFmtId="192" fontId="54" fillId="42" borderId="30" applyNumberFormat="0" applyAlignment="0" applyProtection="0">
      <alignment horizontal="left" vertical="center" indent="1"/>
    </xf>
    <xf numFmtId="192" fontId="54" fillId="0" borderId="31" applyNumberFormat="0" applyProtection="0">
      <alignment horizontal="right" vertical="center"/>
    </xf>
    <xf numFmtId="9" fontId="2" fillId="0" borderId="0" applyFont="0" applyFill="0" applyBorder="0" applyAlignment="0" applyProtection="0"/>
  </cellStyleXfs>
  <cellXfs count="758">
    <xf numFmtId="0" fontId="0" fillId="0" borderId="0" xfId="0"/>
    <xf numFmtId="14" fontId="0" fillId="0" borderId="0" xfId="0" applyNumberFormat="1"/>
    <xf numFmtId="0" fontId="3" fillId="0" borderId="0" xfId="6" applyFont="1" applyFill="1"/>
    <xf numFmtId="0" fontId="3" fillId="0" borderId="0" xfId="6" applyFont="1"/>
    <xf numFmtId="5" fontId="3" fillId="0" borderId="0" xfId="6" applyNumberFormat="1" applyFont="1" applyFill="1" applyProtection="1"/>
    <xf numFmtId="0" fontId="3" fillId="0" borderId="0" xfId="6" applyFont="1" applyFill="1" applyAlignment="1">
      <alignment horizontal="center"/>
    </xf>
    <xf numFmtId="168" fontId="3" fillId="0" borderId="0" xfId="6" applyNumberFormat="1" applyFont="1" applyFill="1" applyAlignment="1" applyProtection="1">
      <alignment horizontal="right"/>
    </xf>
    <xf numFmtId="37" fontId="3" fillId="0" borderId="0" xfId="6" applyNumberFormat="1" applyFont="1" applyFill="1" applyProtection="1"/>
    <xf numFmtId="0" fontId="3" fillId="0" borderId="0" xfId="6" applyFont="1" applyFill="1" applyAlignment="1">
      <alignment horizontal="left"/>
    </xf>
    <xf numFmtId="0" fontId="3" fillId="0" borderId="1" xfId="6" applyFont="1" applyFill="1" applyBorder="1" applyAlignment="1">
      <alignment horizontal="left"/>
    </xf>
    <xf numFmtId="0" fontId="3" fillId="0" borderId="1" xfId="6" applyFont="1" applyFill="1" applyBorder="1"/>
    <xf numFmtId="0" fontId="3" fillId="0" borderId="1" xfId="6" applyFont="1" applyFill="1" applyBorder="1" applyAlignment="1">
      <alignment horizontal="center"/>
    </xf>
    <xf numFmtId="7" fontId="3" fillId="0" borderId="0" xfId="6" applyNumberFormat="1" applyFont="1" applyFill="1" applyProtection="1"/>
    <xf numFmtId="164" fontId="3" fillId="0" borderId="0" xfId="1" applyNumberFormat="1" applyFont="1" applyFill="1" applyProtection="1"/>
    <xf numFmtId="175" fontId="3" fillId="0" borderId="0" xfId="1" applyNumberFormat="1" applyFont="1" applyFill="1" applyProtection="1"/>
    <xf numFmtId="170" fontId="3" fillId="0" borderId="0" xfId="6" applyNumberFormat="1" applyFont="1" applyFill="1" applyProtection="1"/>
    <xf numFmtId="0" fontId="3" fillId="0" borderId="0" xfId="6" applyFont="1" applyFill="1" applyBorder="1" applyAlignment="1">
      <alignment horizontal="center"/>
    </xf>
    <xf numFmtId="0" fontId="3" fillId="0" borderId="0" xfId="6" applyFont="1" applyFill="1" applyBorder="1"/>
    <xf numFmtId="0" fontId="3" fillId="0" borderId="0" xfId="6" applyFont="1" applyBorder="1"/>
    <xf numFmtId="0" fontId="3" fillId="0" borderId="0" xfId="6" applyFont="1" applyFill="1" applyAlignment="1">
      <alignment horizontal="centerContinuous"/>
    </xf>
    <xf numFmtId="5" fontId="3" fillId="0" borderId="0" xfId="6" applyNumberFormat="1" applyFont="1" applyFill="1" applyAlignment="1" applyProtection="1">
      <alignment horizontal="centerContinuous"/>
    </xf>
    <xf numFmtId="10" fontId="3" fillId="0" borderId="0" xfId="6" applyNumberFormat="1" applyFont="1" applyFill="1" applyAlignment="1" applyProtection="1">
      <alignment horizontal="centerContinuous"/>
    </xf>
    <xf numFmtId="5" fontId="3" fillId="0" borderId="0" xfId="6" applyNumberFormat="1" applyFont="1" applyFill="1" applyBorder="1" applyProtection="1"/>
    <xf numFmtId="37" fontId="3" fillId="0" borderId="0" xfId="6" applyNumberFormat="1" applyFont="1" applyFill="1" applyBorder="1" applyProtection="1"/>
    <xf numFmtId="170" fontId="3" fillId="0" borderId="0" xfId="6" applyNumberFormat="1" applyFont="1" applyFill="1" applyBorder="1" applyProtection="1"/>
    <xf numFmtId="167" fontId="3" fillId="0" borderId="0" xfId="6" applyNumberFormat="1" applyFont="1" applyFill="1" applyBorder="1" applyProtection="1"/>
    <xf numFmtId="0" fontId="7" fillId="0" borderId="0" xfId="6" applyFont="1" applyFill="1" applyBorder="1"/>
    <xf numFmtId="37" fontId="3" fillId="0" borderId="0" xfId="6" applyNumberFormat="1" applyFont="1" applyBorder="1"/>
    <xf numFmtId="174" fontId="3" fillId="0" borderId="0" xfId="6" applyNumberFormat="1" applyFont="1" applyFill="1" applyBorder="1"/>
    <xf numFmtId="172" fontId="3" fillId="0" borderId="0" xfId="6" applyNumberFormat="1" applyFont="1" applyFill="1" applyBorder="1" applyProtection="1"/>
    <xf numFmtId="171" fontId="3" fillId="0" borderId="0" xfId="6" applyNumberFormat="1" applyFont="1" applyFill="1" applyBorder="1" applyProtection="1"/>
    <xf numFmtId="164" fontId="3" fillId="0" borderId="0" xfId="1" applyNumberFormat="1" applyFont="1" applyFill="1" applyBorder="1" applyProtection="1"/>
    <xf numFmtId="37" fontId="3" fillId="0" borderId="2" xfId="6" applyNumberFormat="1" applyFont="1" applyFill="1" applyBorder="1"/>
    <xf numFmtId="0" fontId="3" fillId="0" borderId="2" xfId="6" applyFont="1" applyFill="1" applyBorder="1"/>
    <xf numFmtId="5" fontId="3" fillId="0" borderId="2" xfId="6" applyNumberFormat="1" applyFont="1" applyFill="1" applyBorder="1"/>
    <xf numFmtId="164" fontId="3" fillId="0" borderId="0" xfId="1" applyNumberFormat="1" applyFont="1"/>
    <xf numFmtId="0" fontId="8" fillId="0" borderId="0" xfId="6" applyFont="1" applyFill="1" applyBorder="1"/>
    <xf numFmtId="164" fontId="3" fillId="0" borderId="0" xfId="1" applyNumberFormat="1" applyFont="1" applyFill="1" applyBorder="1" applyAlignment="1">
      <alignment horizontal="center"/>
    </xf>
    <xf numFmtId="37" fontId="3" fillId="0" borderId="0" xfId="6" applyNumberFormat="1" applyFont="1" applyFill="1" applyBorder="1"/>
    <xf numFmtId="5" fontId="3" fillId="0" borderId="0" xfId="6" applyNumberFormat="1" applyFont="1" applyFill="1" applyBorder="1"/>
    <xf numFmtId="39" fontId="3" fillId="0" borderId="0" xfId="6" applyNumberFormat="1" applyFont="1" applyFill="1" applyProtection="1"/>
    <xf numFmtId="0" fontId="3" fillId="0" borderId="0" xfId="6" quotePrefix="1" applyFont="1" applyFill="1"/>
    <xf numFmtId="0" fontId="3" fillId="0" borderId="0" xfId="0" applyFont="1" applyFill="1" applyBorder="1"/>
    <xf numFmtId="164" fontId="3" fillId="0" borderId="0" xfId="6" applyNumberFormat="1" applyFont="1"/>
    <xf numFmtId="37" fontId="3" fillId="0" borderId="0" xfId="6" applyNumberFormat="1" applyFont="1"/>
    <xf numFmtId="164" fontId="3" fillId="0" borderId="0" xfId="1" applyNumberFormat="1" applyFont="1" applyFill="1" applyBorder="1"/>
    <xf numFmtId="164" fontId="3" fillId="0" borderId="0" xfId="1" applyNumberFormat="1" applyFont="1" applyFill="1"/>
    <xf numFmtId="164" fontId="3" fillId="0" borderId="0" xfId="6" applyNumberFormat="1" applyFont="1" applyBorder="1"/>
    <xf numFmtId="0" fontId="3" fillId="0" borderId="0" xfId="6" applyFont="1" applyAlignment="1">
      <alignment horizontal="center"/>
    </xf>
    <xf numFmtId="39" fontId="3" fillId="0" borderId="0" xfId="6" applyNumberFormat="1" applyFont="1" applyFill="1" applyBorder="1" applyProtection="1"/>
    <xf numFmtId="164" fontId="3" fillId="0" borderId="0" xfId="1" applyNumberFormat="1" applyFont="1" applyBorder="1"/>
    <xf numFmtId="0" fontId="3" fillId="0" borderId="3" xfId="6" applyFont="1" applyBorder="1" applyAlignment="1">
      <alignment horizontal="center"/>
    </xf>
    <xf numFmtId="39" fontId="3" fillId="0" borderId="0" xfId="6" applyNumberFormat="1" applyFont="1" applyFill="1" applyBorder="1"/>
    <xf numFmtId="37" fontId="3" fillId="0" borderId="0" xfId="1" applyNumberFormat="1" applyFont="1" applyFill="1" applyBorder="1"/>
    <xf numFmtId="174" fontId="3" fillId="0" borderId="0" xfId="6" applyNumberFormat="1" applyFont="1" applyFill="1" applyBorder="1" applyAlignment="1">
      <alignment horizontal="right"/>
    </xf>
    <xf numFmtId="0" fontId="3" fillId="0" borderId="0" xfId="6" applyFont="1" applyFill="1" applyBorder="1" applyAlignment="1">
      <alignment horizontal="left"/>
    </xf>
    <xf numFmtId="7" fontId="3" fillId="0" borderId="0" xfId="6" applyNumberFormat="1" applyFont="1" applyFill="1" applyBorder="1" applyProtection="1"/>
    <xf numFmtId="175" fontId="3" fillId="0" borderId="0" xfId="1" applyNumberFormat="1" applyFont="1" applyFill="1" applyBorder="1" applyProtection="1"/>
    <xf numFmtId="164" fontId="11" fillId="0" borderId="0" xfId="1" applyNumberFormat="1" applyFont="1" applyFill="1"/>
    <xf numFmtId="37" fontId="7" fillId="0" borderId="0" xfId="6" applyNumberFormat="1" applyFont="1" applyFill="1" applyBorder="1" applyAlignment="1" applyProtection="1">
      <alignment horizontal="center"/>
    </xf>
    <xf numFmtId="5" fontId="3" fillId="0" borderId="0" xfId="6" applyNumberFormat="1" applyFont="1" applyBorder="1"/>
    <xf numFmtId="5" fontId="3" fillId="0" borderId="0" xfId="6" applyNumberFormat="1" applyFont="1" applyFill="1"/>
    <xf numFmtId="164" fontId="3" fillId="0" borderId="0" xfId="6" applyNumberFormat="1" applyFont="1" applyFill="1" applyBorder="1" applyAlignment="1">
      <alignment horizontal="center"/>
    </xf>
    <xf numFmtId="170" fontId="3" fillId="0" borderId="0" xfId="6" quotePrefix="1" applyNumberFormat="1" applyFont="1" applyFill="1" applyBorder="1" applyProtection="1"/>
    <xf numFmtId="0" fontId="3" fillId="0" borderId="0" xfId="6" quotePrefix="1" applyFont="1" applyFill="1" applyBorder="1"/>
    <xf numFmtId="0" fontId="3" fillId="0" borderId="0" xfId="6" quotePrefix="1" applyFont="1" applyBorder="1"/>
    <xf numFmtId="165" fontId="3" fillId="0" borderId="1" xfId="6" applyNumberFormat="1" applyFont="1" applyFill="1" applyBorder="1" applyAlignment="1">
      <alignment horizontal="center"/>
    </xf>
    <xf numFmtId="3" fontId="3" fillId="0" borderId="0" xfId="6" applyNumberFormat="1" applyFont="1" applyFill="1"/>
    <xf numFmtId="3" fontId="3" fillId="0" borderId="2" xfId="6" applyNumberFormat="1" applyFont="1" applyFill="1" applyBorder="1"/>
    <xf numFmtId="0" fontId="8" fillId="0" borderId="0" xfId="6" applyFont="1"/>
    <xf numFmtId="170" fontId="3" fillId="0" borderId="0" xfId="6" applyNumberFormat="1" applyFont="1" applyFill="1" applyAlignment="1" applyProtection="1">
      <alignment horizontal="right"/>
    </xf>
    <xf numFmtId="37" fontId="3" fillId="0" borderId="0" xfId="6" applyNumberFormat="1" applyFont="1" applyFill="1"/>
    <xf numFmtId="37" fontId="3" fillId="0" borderId="0" xfId="6" applyNumberFormat="1" applyFont="1" applyFill="1" applyAlignment="1">
      <alignment horizontal="right"/>
    </xf>
    <xf numFmtId="5" fontId="3" fillId="0" borderId="0" xfId="6" applyNumberFormat="1" applyFont="1" applyFill="1" applyAlignment="1">
      <alignment horizontal="right"/>
    </xf>
    <xf numFmtId="43" fontId="3" fillId="0" borderId="0" xfId="1" applyFont="1" applyFill="1" applyAlignment="1" applyProtection="1">
      <alignment horizontal="centerContinuous"/>
    </xf>
    <xf numFmtId="10" fontId="3" fillId="0" borderId="0" xfId="9" applyNumberFormat="1" applyFont="1" applyFill="1" applyBorder="1"/>
    <xf numFmtId="5" fontId="3" fillId="0" borderId="0" xfId="6" applyNumberFormat="1" applyFont="1"/>
    <xf numFmtId="164" fontId="3" fillId="0" borderId="0" xfId="6" applyNumberFormat="1" applyFont="1" applyFill="1" applyBorder="1"/>
    <xf numFmtId="164" fontId="11" fillId="0" borderId="0" xfId="1" applyNumberFormat="1" applyFont="1" applyFill="1" applyBorder="1"/>
    <xf numFmtId="170" fontId="3" fillId="0" borderId="0" xfId="6" applyNumberFormat="1" applyFont="1" applyFill="1" applyBorder="1"/>
    <xf numFmtId="170" fontId="3" fillId="0" borderId="0" xfId="6" applyNumberFormat="1" applyFont="1" applyFill="1" applyBorder="1" applyAlignment="1" applyProtection="1">
      <alignment horizontal="center"/>
    </xf>
    <xf numFmtId="37" fontId="3" fillId="0" borderId="0" xfId="6" quotePrefix="1" applyNumberFormat="1" applyFont="1" applyFill="1" applyBorder="1" applyAlignment="1" applyProtection="1">
      <alignment horizontal="right"/>
    </xf>
    <xf numFmtId="0" fontId="3" fillId="0" borderId="0" xfId="6" quotePrefix="1" applyFont="1" applyFill="1" applyAlignment="1">
      <alignment horizontal="center"/>
    </xf>
    <xf numFmtId="1" fontId="8" fillId="0" borderId="0" xfId="6" applyNumberFormat="1" applyFont="1" applyFill="1" applyBorder="1"/>
    <xf numFmtId="1" fontId="3" fillId="0" borderId="0" xfId="6" applyNumberFormat="1" applyFont="1" applyFill="1" applyBorder="1"/>
    <xf numFmtId="1" fontId="3" fillId="0" borderId="0" xfId="6" applyNumberFormat="1" applyFont="1" applyFill="1" applyBorder="1" applyProtection="1"/>
    <xf numFmtId="43" fontId="3" fillId="0" borderId="0" xfId="6" applyNumberFormat="1" applyFont="1" applyFill="1" applyBorder="1"/>
    <xf numFmtId="175" fontId="3" fillId="0" borderId="0" xfId="6" applyNumberFormat="1" applyFont="1" applyFill="1" applyBorder="1"/>
    <xf numFmtId="5" fontId="3" fillId="0" borderId="0" xfId="6" quotePrefix="1" applyNumberFormat="1" applyFont="1" applyBorder="1"/>
    <xf numFmtId="164" fontId="0" fillId="0" borderId="0" xfId="1" applyNumberFormat="1" applyFont="1"/>
    <xf numFmtId="43" fontId="3" fillId="0" borderId="0" xfId="0" applyNumberFormat="1" applyFont="1" applyBorder="1"/>
    <xf numFmtId="0" fontId="3" fillId="0" borderId="2" xfId="0" applyFont="1" applyFill="1" applyBorder="1"/>
    <xf numFmtId="37" fontId="3" fillId="0" borderId="2" xfId="6" applyNumberFormat="1" applyFont="1" applyFill="1" applyBorder="1" applyProtection="1"/>
    <xf numFmtId="170" fontId="3" fillId="0" borderId="2" xfId="6" applyNumberFormat="1" applyFont="1" applyFill="1" applyBorder="1" applyProtection="1"/>
    <xf numFmtId="5" fontId="3" fillId="0" borderId="2" xfId="6" applyNumberFormat="1" applyFont="1" applyFill="1" applyBorder="1" applyProtection="1"/>
    <xf numFmtId="7" fontId="3" fillId="0" borderId="0" xfId="6" applyNumberFormat="1" applyFont="1" applyFill="1" applyBorder="1"/>
    <xf numFmtId="49" fontId="3" fillId="0" borderId="0" xfId="6" quotePrefix="1" applyNumberFormat="1" applyFont="1" applyFill="1" applyAlignment="1">
      <alignment horizontal="center"/>
    </xf>
    <xf numFmtId="49" fontId="3" fillId="0" borderId="0" xfId="6" applyNumberFormat="1" applyFont="1" applyFill="1" applyAlignment="1">
      <alignment horizontal="center"/>
    </xf>
    <xf numFmtId="177" fontId="3" fillId="0" borderId="0" xfId="2" applyNumberFormat="1" applyFont="1" applyFill="1" applyBorder="1"/>
    <xf numFmtId="177" fontId="3" fillId="0" borderId="2" xfId="2" applyNumberFormat="1" applyFont="1" applyFill="1" applyBorder="1"/>
    <xf numFmtId="170" fontId="3" fillId="0" borderId="0" xfId="6" applyNumberFormat="1" applyFont="1" applyFill="1" applyBorder="1" applyAlignment="1" applyProtection="1">
      <alignment horizontal="right"/>
    </xf>
    <xf numFmtId="43" fontId="3" fillId="0" borderId="0" xfId="6" applyNumberFormat="1" applyFont="1" applyFill="1" applyProtection="1"/>
    <xf numFmtId="175" fontId="3" fillId="0" borderId="0" xfId="6" applyNumberFormat="1" applyFont="1" applyFill="1" applyProtection="1"/>
    <xf numFmtId="177" fontId="16" fillId="0" borderId="0" xfId="2" applyNumberFormat="1" applyFont="1" applyFill="1" applyBorder="1"/>
    <xf numFmtId="5" fontId="16" fillId="0" borderId="0" xfId="6" applyNumberFormat="1" applyFont="1" applyFill="1" applyProtection="1"/>
    <xf numFmtId="5" fontId="3" fillId="0" borderId="2" xfId="2" applyNumberFormat="1" applyFont="1" applyFill="1" applyBorder="1"/>
    <xf numFmtId="0" fontId="16" fillId="0" borderId="0" xfId="6" applyFont="1"/>
    <xf numFmtId="37" fontId="8" fillId="0" borderId="0" xfId="6" applyNumberFormat="1" applyFont="1" applyFill="1" applyBorder="1"/>
    <xf numFmtId="37" fontId="3" fillId="0" borderId="0" xfId="6" applyNumberFormat="1" applyFont="1" applyFill="1" applyBorder="1" applyAlignment="1">
      <alignment horizontal="center"/>
    </xf>
    <xf numFmtId="0" fontId="17" fillId="0" borderId="0" xfId="3" applyFont="1"/>
    <xf numFmtId="0" fontId="17" fillId="0" borderId="0" xfId="3" applyFont="1" applyAlignment="1">
      <alignment horizontal="right"/>
    </xf>
    <xf numFmtId="0" fontId="18" fillId="0" borderId="0" xfId="6" applyFont="1" applyFill="1" applyAlignment="1">
      <alignment horizontal="center"/>
    </xf>
    <xf numFmtId="0" fontId="17" fillId="0" borderId="0" xfId="3" applyFont="1" applyBorder="1"/>
    <xf numFmtId="0" fontId="17" fillId="0" borderId="0" xfId="3" applyFont="1" applyAlignment="1">
      <alignment horizontal="center"/>
    </xf>
    <xf numFmtId="0" fontId="17" fillId="0" borderId="1" xfId="3" applyFont="1" applyBorder="1" applyAlignment="1">
      <alignment horizontal="center"/>
    </xf>
    <xf numFmtId="0" fontId="17" fillId="0" borderId="3" xfId="3" applyFont="1" applyBorder="1" applyAlignment="1">
      <alignment horizontal="center"/>
    </xf>
    <xf numFmtId="0" fontId="17" fillId="0" borderId="0" xfId="3" quotePrefix="1" applyFont="1" applyAlignment="1">
      <alignment horizontal="center"/>
    </xf>
    <xf numFmtId="37" fontId="17" fillId="0" borderId="0" xfId="3" applyNumberFormat="1" applyFont="1" applyProtection="1"/>
    <xf numFmtId="37" fontId="17" fillId="0" borderId="0" xfId="3" applyNumberFormat="1" applyFont="1"/>
    <xf numFmtId="164" fontId="17" fillId="0" borderId="0" xfId="1" applyNumberFormat="1" applyFont="1"/>
    <xf numFmtId="37" fontId="17" fillId="0" borderId="3" xfId="3" applyNumberFormat="1" applyFont="1" applyBorder="1" applyProtection="1"/>
    <xf numFmtId="37" fontId="17" fillId="0" borderId="0" xfId="3" applyNumberFormat="1" applyFont="1" applyBorder="1" applyProtection="1"/>
    <xf numFmtId="164" fontId="17" fillId="0" borderId="0" xfId="1" applyNumberFormat="1" applyFont="1" applyBorder="1"/>
    <xf numFmtId="164" fontId="17" fillId="0" borderId="0" xfId="3" applyNumberFormat="1" applyFont="1"/>
    <xf numFmtId="37" fontId="17" fillId="0" borderId="3" xfId="3" applyNumberFormat="1" applyFont="1" applyBorder="1"/>
    <xf numFmtId="7" fontId="17" fillId="0" borderId="0" xfId="3" applyNumberFormat="1" applyFont="1"/>
    <xf numFmtId="0" fontId="8" fillId="0" borderId="0" xfId="6" applyFont="1" applyFill="1" applyAlignment="1">
      <alignment horizontal="center"/>
    </xf>
    <xf numFmtId="3" fontId="3" fillId="0" borderId="0" xfId="6" applyNumberFormat="1" applyFont="1" applyFill="1" applyBorder="1"/>
    <xf numFmtId="0" fontId="16" fillId="0" borderId="0" xfId="6" applyFont="1" applyFill="1" applyBorder="1"/>
    <xf numFmtId="37" fontId="16" fillId="0" borderId="0" xfId="6" applyNumberFormat="1" applyFont="1" applyFill="1" applyBorder="1" applyProtection="1"/>
    <xf numFmtId="37" fontId="16" fillId="0" borderId="0" xfId="6" applyNumberFormat="1" applyFont="1" applyFill="1" applyBorder="1"/>
    <xf numFmtId="37" fontId="16" fillId="0" borderId="0" xfId="6" applyNumberFormat="1" applyFont="1" applyFill="1" applyBorder="1" applyAlignment="1">
      <alignment horizontal="right"/>
    </xf>
    <xf numFmtId="7" fontId="16" fillId="0" borderId="0" xfId="6" applyNumberFormat="1" applyFont="1" applyFill="1" applyBorder="1"/>
    <xf numFmtId="164" fontId="16" fillId="0" borderId="0" xfId="1" applyNumberFormat="1" applyFont="1" applyFill="1" applyBorder="1"/>
    <xf numFmtId="5" fontId="16" fillId="0" borderId="0" xfId="6" applyNumberFormat="1" applyFont="1" applyFill="1" applyBorder="1"/>
    <xf numFmtId="165" fontId="16" fillId="0" borderId="0" xfId="6" applyNumberFormat="1" applyFont="1" applyFill="1" applyBorder="1" applyAlignment="1">
      <alignment horizontal="center"/>
    </xf>
    <xf numFmtId="49" fontId="16" fillId="0" borderId="0" xfId="6" applyNumberFormat="1" applyFont="1" applyFill="1" applyBorder="1" applyAlignment="1">
      <alignment horizontal="center"/>
    </xf>
    <xf numFmtId="3" fontId="16" fillId="0" borderId="0" xfId="6" applyNumberFormat="1" applyFont="1" applyFill="1" applyBorder="1"/>
    <xf numFmtId="2" fontId="3" fillId="0" borderId="0" xfId="6" applyNumberFormat="1" applyFont="1" applyFill="1" applyProtection="1"/>
    <xf numFmtId="2" fontId="3" fillId="0" borderId="2" xfId="6" applyNumberFormat="1" applyFont="1" applyFill="1" applyBorder="1"/>
    <xf numFmtId="43" fontId="3" fillId="0" borderId="0" xfId="1" applyFont="1" applyFill="1" applyProtection="1"/>
    <xf numFmtId="0" fontId="17" fillId="0" borderId="0" xfId="3" applyFont="1" applyFill="1" applyBorder="1" applyAlignment="1">
      <alignment horizontal="center"/>
    </xf>
    <xf numFmtId="9" fontId="3" fillId="0" borderId="0" xfId="9" applyFont="1" applyFill="1" applyBorder="1" applyProtection="1"/>
    <xf numFmtId="5" fontId="3" fillId="0" borderId="0" xfId="2" applyNumberFormat="1" applyFont="1" applyFill="1" applyBorder="1"/>
    <xf numFmtId="0" fontId="3" fillId="0" borderId="10" xfId="6" applyFont="1" applyFill="1" applyBorder="1"/>
    <xf numFmtId="37" fontId="3" fillId="0" borderId="10" xfId="6" applyNumberFormat="1" applyFont="1" applyFill="1" applyBorder="1"/>
    <xf numFmtId="5" fontId="3" fillId="0" borderId="10" xfId="6" applyNumberFormat="1" applyFont="1" applyFill="1" applyBorder="1"/>
    <xf numFmtId="5" fontId="20" fillId="0" borderId="0" xfId="6" applyNumberFormat="1" applyFont="1" applyFill="1" applyAlignment="1" applyProtection="1">
      <alignment horizontal="centerContinuous"/>
    </xf>
    <xf numFmtId="177" fontId="3" fillId="0" borderId="0" xfId="6" applyNumberFormat="1" applyFont="1" applyFill="1"/>
    <xf numFmtId="37" fontId="21" fillId="0" borderId="0" xfId="3" applyNumberFormat="1" applyFont="1" applyProtection="1"/>
    <xf numFmtId="0" fontId="17" fillId="0" borderId="0" xfId="3" applyFont="1" applyFill="1"/>
    <xf numFmtId="0" fontId="17" fillId="0" borderId="0" xfId="3" applyFont="1" applyFill="1" applyAlignment="1">
      <alignment horizontal="center"/>
    </xf>
    <xf numFmtId="0" fontId="17" fillId="0" borderId="1" xfId="3" applyFont="1" applyFill="1" applyBorder="1" applyAlignment="1">
      <alignment horizontal="center"/>
    </xf>
    <xf numFmtId="37" fontId="17" fillId="0" borderId="0" xfId="3" applyNumberFormat="1" applyFont="1" applyFill="1" applyProtection="1"/>
    <xf numFmtId="37" fontId="21" fillId="0" borderId="0" xfId="3" applyNumberFormat="1" applyFont="1" applyFill="1" applyProtection="1"/>
    <xf numFmtId="37" fontId="17" fillId="0" borderId="4" xfId="1" applyNumberFormat="1" applyFont="1" applyFill="1" applyBorder="1"/>
    <xf numFmtId="5" fontId="17" fillId="0" borderId="0" xfId="3" applyNumberFormat="1" applyFont="1" applyFill="1" applyProtection="1"/>
    <xf numFmtId="164" fontId="17" fillId="0" borderId="0" xfId="1" applyNumberFormat="1" applyFont="1" applyFill="1" applyProtection="1"/>
    <xf numFmtId="164" fontId="3" fillId="0" borderId="0" xfId="0" applyNumberFormat="1" applyFont="1" applyFill="1" applyBorder="1"/>
    <xf numFmtId="0" fontId="8" fillId="0" borderId="0" xfId="6" quotePrefix="1" applyFont="1" applyFill="1" applyBorder="1"/>
    <xf numFmtId="177" fontId="3" fillId="0" borderId="0" xfId="6" applyNumberFormat="1" applyFont="1" applyBorder="1"/>
    <xf numFmtId="10" fontId="3" fillId="0" borderId="0" xfId="9" applyNumberFormat="1" applyFont="1"/>
    <xf numFmtId="0" fontId="3" fillId="0" borderId="0" xfId="6" applyFont="1" applyFill="1" applyBorder="1" applyAlignment="1">
      <alignment horizontal="center" wrapText="1"/>
    </xf>
    <xf numFmtId="5" fontId="3" fillId="0" borderId="13" xfId="6" applyNumberFormat="1" applyFont="1" applyFill="1" applyBorder="1"/>
    <xf numFmtId="5" fontId="3" fillId="0" borderId="13" xfId="6" applyNumberFormat="1" applyFont="1" applyBorder="1"/>
    <xf numFmtId="0" fontId="3" fillId="5" borderId="0" xfId="6" applyFont="1" applyFill="1" applyAlignment="1">
      <alignment horizontal="center"/>
    </xf>
    <xf numFmtId="7" fontId="3" fillId="5" borderId="0" xfId="6" applyNumberFormat="1" applyFont="1" applyFill="1" applyProtection="1"/>
    <xf numFmtId="37" fontId="3" fillId="5" borderId="0" xfId="6" applyNumberFormat="1" applyFont="1" applyFill="1"/>
    <xf numFmtId="0" fontId="3" fillId="5" borderId="0" xfId="6" applyFont="1" applyFill="1"/>
    <xf numFmtId="0" fontId="8" fillId="0" borderId="0" xfId="0" applyFont="1" applyFill="1"/>
    <xf numFmtId="164" fontId="3" fillId="5" borderId="0" xfId="1" applyNumberFormat="1" applyFont="1" applyFill="1"/>
    <xf numFmtId="37" fontId="3" fillId="5" borderId="0" xfId="6" applyNumberFormat="1" applyFont="1" applyFill="1" applyProtection="1"/>
    <xf numFmtId="0" fontId="8" fillId="0" borderId="0" xfId="6" applyFont="1" applyFill="1"/>
    <xf numFmtId="0" fontId="7" fillId="0" borderId="0" xfId="6" applyFont="1" applyFill="1"/>
    <xf numFmtId="170" fontId="3" fillId="5" borderId="0" xfId="6" applyNumberFormat="1" applyFont="1" applyFill="1" applyProtection="1"/>
    <xf numFmtId="164" fontId="11" fillId="5" borderId="0" xfId="1" applyNumberFormat="1" applyFont="1" applyFill="1"/>
    <xf numFmtId="164" fontId="3" fillId="5" borderId="0" xfId="6" applyNumberFormat="1" applyFont="1" applyFill="1"/>
    <xf numFmtId="37" fontId="3" fillId="5" borderId="0" xfId="1" applyNumberFormat="1" applyFont="1" applyFill="1" applyBorder="1"/>
    <xf numFmtId="37" fontId="3" fillId="5" borderId="0" xfId="6" applyNumberFormat="1" applyFont="1" applyFill="1" applyBorder="1"/>
    <xf numFmtId="170" fontId="3" fillId="5" borderId="0" xfId="6" applyNumberFormat="1" applyFont="1" applyFill="1" applyBorder="1" applyProtection="1"/>
    <xf numFmtId="175" fontId="3" fillId="5" borderId="0" xfId="1" applyNumberFormat="1" applyFont="1" applyFill="1" applyProtection="1"/>
    <xf numFmtId="170" fontId="3" fillId="5" borderId="0" xfId="6" applyNumberFormat="1" applyFont="1" applyFill="1"/>
    <xf numFmtId="170" fontId="3" fillId="5" borderId="0" xfId="6" applyNumberFormat="1" applyFont="1" applyFill="1" applyAlignment="1" applyProtection="1">
      <alignment horizontal="center"/>
    </xf>
    <xf numFmtId="37" fontId="3" fillId="5" borderId="2" xfId="6" applyNumberFormat="1" applyFont="1" applyFill="1" applyBorder="1"/>
    <xf numFmtId="5" fontId="3" fillId="5" borderId="0" xfId="6" applyNumberFormat="1" applyFont="1" applyFill="1" applyProtection="1"/>
    <xf numFmtId="5" fontId="3" fillId="5" borderId="2" xfId="6" applyNumberFormat="1" applyFont="1" applyFill="1" applyBorder="1"/>
    <xf numFmtId="0" fontId="3" fillId="5" borderId="0" xfId="6" quotePrefix="1" applyFont="1" applyFill="1" applyBorder="1"/>
    <xf numFmtId="39" fontId="3" fillId="5" borderId="0" xfId="6" applyNumberFormat="1" applyFont="1" applyFill="1" applyProtection="1"/>
    <xf numFmtId="37" fontId="3" fillId="5" borderId="0" xfId="6" quotePrefix="1" applyNumberFormat="1" applyFont="1" applyFill="1" applyAlignment="1" applyProtection="1">
      <alignment horizontal="right"/>
    </xf>
    <xf numFmtId="170" fontId="3" fillId="5" borderId="0" xfId="6" quotePrefix="1" applyNumberFormat="1" applyFont="1" applyFill="1" applyBorder="1" applyProtection="1"/>
    <xf numFmtId="37" fontId="3" fillId="5" borderId="0" xfId="6" applyNumberFormat="1" applyFont="1" applyFill="1" applyBorder="1" applyProtection="1"/>
    <xf numFmtId="164" fontId="3" fillId="5" borderId="0" xfId="1" applyNumberFormat="1" applyFont="1" applyFill="1" applyBorder="1" applyProtection="1"/>
    <xf numFmtId="1" fontId="3" fillId="0" borderId="0" xfId="6" applyNumberFormat="1" applyFont="1" applyFill="1"/>
    <xf numFmtId="7" fontId="3" fillId="0" borderId="0" xfId="6" applyNumberFormat="1" applyFont="1" applyFill="1" applyAlignment="1" applyProtection="1">
      <alignment horizontal="right"/>
    </xf>
    <xf numFmtId="37" fontId="17" fillId="0" borderId="0" xfId="1" applyNumberFormat="1" applyFont="1" applyFill="1"/>
    <xf numFmtId="0" fontId="3" fillId="0" borderId="3" xfId="6" applyFont="1" applyFill="1" applyBorder="1" applyAlignment="1">
      <alignment horizontal="center" wrapText="1"/>
    </xf>
    <xf numFmtId="43" fontId="3" fillId="0" borderId="0" xfId="6" applyNumberFormat="1" applyFont="1"/>
    <xf numFmtId="176" fontId="3" fillId="0" borderId="0" xfId="2" applyNumberFormat="1" applyFont="1" applyFill="1"/>
    <xf numFmtId="176" fontId="3" fillId="0" borderId="0" xfId="6" applyNumberFormat="1" applyFont="1" applyFill="1"/>
    <xf numFmtId="37" fontId="17" fillId="0" borderId="3" xfId="3" applyNumberFormat="1" applyFont="1" applyFill="1" applyBorder="1" applyProtection="1"/>
    <xf numFmtId="37" fontId="17" fillId="0" borderId="0" xfId="3" applyNumberFormat="1" applyFont="1" applyFill="1"/>
    <xf numFmtId="37" fontId="17" fillId="0" borderId="0" xfId="3" applyNumberFormat="1" applyFont="1" applyBorder="1"/>
    <xf numFmtId="176" fontId="17" fillId="0" borderId="0" xfId="2" applyNumberFormat="1" applyFont="1" applyBorder="1" applyProtection="1"/>
    <xf numFmtId="0" fontId="22" fillId="0" borderId="0" xfId="6" applyFont="1" applyFill="1"/>
    <xf numFmtId="0" fontId="22" fillId="0" borderId="0" xfId="6" applyFont="1" applyFill="1" applyAlignment="1">
      <alignment horizontal="left"/>
    </xf>
    <xf numFmtId="0" fontId="3" fillId="0" borderId="0" xfId="0" applyFont="1"/>
    <xf numFmtId="37" fontId="3" fillId="0" borderId="0" xfId="0" applyNumberFormat="1" applyFont="1"/>
    <xf numFmtId="39" fontId="3" fillId="0" borderId="0" xfId="0" applyNumberFormat="1" applyFont="1"/>
    <xf numFmtId="3" fontId="3" fillId="0" borderId="0" xfId="0" applyNumberFormat="1" applyFont="1"/>
    <xf numFmtId="164" fontId="3" fillId="0" borderId="0" xfId="0" applyNumberFormat="1" applyFont="1"/>
    <xf numFmtId="37" fontId="3" fillId="0" borderId="0" xfId="0" applyNumberFormat="1" applyFont="1" applyFill="1"/>
    <xf numFmtId="0" fontId="3" fillId="0" borderId="0" xfId="0" applyFont="1" applyFill="1"/>
    <xf numFmtId="17" fontId="3" fillId="0" borderId="0" xfId="8" applyNumberFormat="1" applyFont="1" applyFill="1" applyProtection="1"/>
    <xf numFmtId="17" fontId="3" fillId="0" borderId="0" xfId="8" applyNumberFormat="1" applyFont="1" applyFill="1" applyAlignment="1" applyProtection="1">
      <alignment horizontal="center"/>
    </xf>
    <xf numFmtId="17" fontId="3" fillId="0" borderId="3" xfId="8" applyNumberFormat="1" applyFont="1" applyFill="1" applyBorder="1" applyAlignment="1" applyProtection="1">
      <alignment horizontal="center"/>
    </xf>
    <xf numFmtId="7" fontId="3" fillId="0" borderId="0" xfId="1" applyNumberFormat="1" applyFont="1" applyFill="1" applyProtection="1"/>
    <xf numFmtId="10" fontId="3" fillId="0" borderId="0" xfId="6" applyNumberFormat="1" applyFont="1" applyFill="1"/>
    <xf numFmtId="9" fontId="3" fillId="0" borderId="0" xfId="9" applyFont="1" applyFill="1" applyProtection="1"/>
    <xf numFmtId="165" fontId="3" fillId="0" borderId="11" xfId="6" applyNumberFormat="1" applyFont="1" applyFill="1" applyBorder="1" applyAlignment="1">
      <alignment horizontal="center"/>
    </xf>
    <xf numFmtId="165" fontId="3" fillId="0" borderId="2" xfId="6" applyNumberFormat="1" applyFont="1" applyFill="1" applyBorder="1" applyAlignment="1">
      <alignment horizontal="center"/>
    </xf>
    <xf numFmtId="165" fontId="3" fillId="0" borderId="12" xfId="6" applyNumberFormat="1" applyFont="1" applyFill="1" applyBorder="1" applyAlignment="1">
      <alignment horizontal="center"/>
    </xf>
    <xf numFmtId="0" fontId="17" fillId="5" borderId="0" xfId="3" applyFont="1" applyFill="1"/>
    <xf numFmtId="0" fontId="17" fillId="0" borderId="0" xfId="3" applyFont="1" applyBorder="1" applyAlignment="1">
      <alignment horizontal="center"/>
    </xf>
    <xf numFmtId="37" fontId="18" fillId="0" borderId="0" xfId="8" applyFont="1" applyFill="1" applyAlignment="1">
      <alignment horizontal="centerContinuous"/>
    </xf>
    <xf numFmtId="167" fontId="3" fillId="0" borderId="0" xfId="4" applyNumberFormat="1" applyFont="1"/>
    <xf numFmtId="0" fontId="23" fillId="0" borderId="0" xfId="4" applyFont="1" applyFill="1"/>
    <xf numFmtId="0" fontId="3" fillId="0" borderId="0" xfId="4" applyFont="1" applyFill="1"/>
    <xf numFmtId="0" fontId="3" fillId="0" borderId="0" xfId="4" applyFont="1"/>
    <xf numFmtId="41" fontId="3" fillId="0" borderId="0" xfId="4" applyNumberFormat="1" applyFont="1"/>
    <xf numFmtId="17" fontId="3" fillId="0" borderId="0" xfId="4" applyNumberFormat="1" applyFont="1" applyAlignment="1">
      <alignment horizontal="center"/>
    </xf>
    <xf numFmtId="164" fontId="3" fillId="0" borderId="0" xfId="4" applyNumberFormat="1" applyFont="1"/>
    <xf numFmtId="164" fontId="20" fillId="0" borderId="0" xfId="4" applyNumberFormat="1" applyFont="1"/>
    <xf numFmtId="41" fontId="3" fillId="0" borderId="0" xfId="4" applyNumberFormat="1" applyFont="1" applyFill="1"/>
    <xf numFmtId="167" fontId="3" fillId="0" borderId="0" xfId="4" applyNumberFormat="1" applyFont="1" applyFill="1"/>
    <xf numFmtId="0" fontId="24" fillId="0" borderId="0" xfId="4" applyFont="1" applyFill="1"/>
    <xf numFmtId="177" fontId="3" fillId="0" borderId="0" xfId="2" applyNumberFormat="1" applyFont="1"/>
    <xf numFmtId="5" fontId="3" fillId="0" borderId="0" xfId="2" applyNumberFormat="1" applyFont="1"/>
    <xf numFmtId="176" fontId="3" fillId="5" borderId="0" xfId="2" applyNumberFormat="1" applyFont="1" applyFill="1"/>
    <xf numFmtId="176" fontId="3" fillId="0" borderId="0" xfId="2" applyNumberFormat="1" applyFont="1"/>
    <xf numFmtId="175" fontId="3" fillId="0" borderId="0" xfId="4" applyNumberFormat="1" applyFont="1"/>
    <xf numFmtId="185" fontId="3" fillId="0" borderId="0" xfId="4" applyNumberFormat="1" applyFont="1"/>
    <xf numFmtId="183" fontId="3" fillId="0" borderId="0" xfId="4" applyNumberFormat="1" applyFont="1"/>
    <xf numFmtId="183" fontId="7" fillId="0" borderId="11" xfId="4" applyNumberFormat="1" applyFont="1" applyBorder="1"/>
    <xf numFmtId="0" fontId="3" fillId="0" borderId="0" xfId="4" quotePrefix="1" applyFont="1" applyFill="1"/>
    <xf numFmtId="43" fontId="3" fillId="0" borderId="0" xfId="4" applyNumberFormat="1" applyFont="1"/>
    <xf numFmtId="181" fontId="3" fillId="0" borderId="0" xfId="4" applyNumberFormat="1" applyFont="1"/>
    <xf numFmtId="164" fontId="3" fillId="0" borderId="0" xfId="4" applyNumberFormat="1" applyFont="1" applyFill="1"/>
    <xf numFmtId="37" fontId="18" fillId="0" borderId="0" xfId="8" applyFont="1" applyFill="1"/>
    <xf numFmtId="37" fontId="17" fillId="0" borderId="0" xfId="8" applyFont="1" applyFill="1"/>
    <xf numFmtId="37" fontId="17" fillId="0" borderId="0" xfId="8" applyNumberFormat="1" applyFont="1" applyFill="1" applyProtection="1"/>
    <xf numFmtId="37" fontId="17" fillId="0" borderId="0" xfId="8" applyNumberFormat="1" applyFont="1" applyFill="1" applyBorder="1" applyProtection="1"/>
    <xf numFmtId="37" fontId="17" fillId="0" borderId="3" xfId="8" applyNumberFormat="1" applyFont="1" applyFill="1" applyBorder="1" applyProtection="1"/>
    <xf numFmtId="37" fontId="17" fillId="0" borderId="4" xfId="8" applyNumberFormat="1" applyFont="1" applyFill="1" applyBorder="1" applyProtection="1"/>
    <xf numFmtId="0" fontId="3" fillId="0" borderId="3" xfId="0" applyFont="1" applyBorder="1"/>
    <xf numFmtId="0" fontId="3" fillId="0" borderId="0" xfId="5" applyFont="1"/>
    <xf numFmtId="0" fontId="3" fillId="0" borderId="0" xfId="5" applyFont="1" applyFill="1"/>
    <xf numFmtId="22" fontId="3" fillId="0" borderId="0" xfId="5" applyNumberFormat="1" applyFont="1"/>
    <xf numFmtId="0" fontId="17" fillId="0" borderId="0" xfId="5" applyFont="1"/>
    <xf numFmtId="0" fontId="7" fillId="0" borderId="0" xfId="5" applyFont="1" applyFill="1"/>
    <xf numFmtId="37" fontId="3" fillId="0" borderId="0" xfId="5" applyNumberFormat="1" applyFont="1" applyProtection="1"/>
    <xf numFmtId="37" fontId="3" fillId="0" borderId="0" xfId="5" applyNumberFormat="1" applyFont="1" applyAlignment="1" applyProtection="1">
      <alignment horizontal="center"/>
    </xf>
    <xf numFmtId="172" fontId="3" fillId="0" borderId="0" xfId="5" applyNumberFormat="1" applyFont="1" applyProtection="1"/>
    <xf numFmtId="7" fontId="7" fillId="0" borderId="0" xfId="5" applyNumberFormat="1" applyFont="1" applyFill="1" applyProtection="1"/>
    <xf numFmtId="0" fontId="3" fillId="0" borderId="0" xfId="5" applyFont="1" applyFill="1" applyBorder="1" applyAlignment="1">
      <alignment horizontal="center"/>
    </xf>
    <xf numFmtId="5" fontId="3" fillId="0" borderId="0" xfId="5" applyNumberFormat="1" applyFont="1" applyFill="1" applyProtection="1"/>
    <xf numFmtId="0" fontId="3" fillId="0" borderId="0" xfId="5" applyFont="1" applyFill="1" applyAlignment="1">
      <alignment horizontal="center"/>
    </xf>
    <xf numFmtId="168" fontId="3" fillId="0" borderId="0" xfId="5" applyNumberFormat="1" applyFont="1" applyFill="1" applyAlignment="1" applyProtection="1">
      <alignment horizontal="right"/>
    </xf>
    <xf numFmtId="37" fontId="3" fillId="0" borderId="0" xfId="5" applyNumberFormat="1" applyFont="1" applyFill="1" applyAlignment="1" applyProtection="1">
      <alignment horizontal="center"/>
    </xf>
    <xf numFmtId="170" fontId="7" fillId="0" borderId="0" xfId="5" applyNumberFormat="1" applyFont="1" applyFill="1" applyProtection="1"/>
    <xf numFmtId="170" fontId="7" fillId="4" borderId="0" xfId="5" applyNumberFormat="1" applyFont="1" applyFill="1" applyProtection="1"/>
    <xf numFmtId="170" fontId="7" fillId="2" borderId="0" xfId="5" applyNumberFormat="1" applyFont="1" applyFill="1" applyProtection="1"/>
    <xf numFmtId="10" fontId="3" fillId="0" borderId="0" xfId="5" applyNumberFormat="1" applyFont="1" applyFill="1" applyProtection="1"/>
    <xf numFmtId="37" fontId="3" fillId="0" borderId="0" xfId="5" applyNumberFormat="1" applyFont="1" applyFill="1" applyProtection="1"/>
    <xf numFmtId="0" fontId="3" fillId="0" borderId="0" xfId="5" quotePrefix="1" applyFont="1" applyFill="1" applyAlignment="1">
      <alignment horizontal="center"/>
    </xf>
    <xf numFmtId="0" fontId="11" fillId="0" borderId="0" xfId="5" applyFont="1" applyFill="1"/>
    <xf numFmtId="0" fontId="7" fillId="0" borderId="0" xfId="5" applyFont="1"/>
    <xf numFmtId="37" fontId="7" fillId="0" borderId="0" xfId="5" applyNumberFormat="1" applyFont="1" applyFill="1" applyProtection="1"/>
    <xf numFmtId="0" fontId="3" fillId="0" borderId="1" xfId="5" applyFont="1" applyFill="1" applyBorder="1" applyAlignment="1">
      <alignment horizontal="center"/>
    </xf>
    <xf numFmtId="0" fontId="3" fillId="0" borderId="3" xfId="5" applyFont="1" applyFill="1" applyBorder="1"/>
    <xf numFmtId="170" fontId="3" fillId="0" borderId="0" xfId="5" applyNumberFormat="1" applyFont="1" applyFill="1" applyProtection="1"/>
    <xf numFmtId="0" fontId="3" fillId="0" borderId="3" xfId="5" applyFont="1" applyFill="1" applyBorder="1" applyAlignment="1">
      <alignment horizontal="center"/>
    </xf>
    <xf numFmtId="37" fontId="17" fillId="0" borderId="0" xfId="5" applyNumberFormat="1" applyFont="1"/>
    <xf numFmtId="0" fontId="3" fillId="0" borderId="0" xfId="5" applyFont="1" applyAlignment="1">
      <alignment horizontal="center"/>
    </xf>
    <xf numFmtId="0" fontId="17" fillId="0" borderId="0" xfId="5" applyFont="1" applyFill="1"/>
    <xf numFmtId="176" fontId="3" fillId="0" borderId="0" xfId="2" applyNumberFormat="1" applyFont="1" applyFill="1" applyProtection="1"/>
    <xf numFmtId="0" fontId="3" fillId="0" borderId="1" xfId="5" applyFont="1" applyBorder="1" applyAlignment="1">
      <alignment horizontal="center"/>
    </xf>
    <xf numFmtId="0" fontId="3" fillId="0" borderId="7" xfId="5" applyFont="1" applyFill="1" applyBorder="1" applyAlignment="1">
      <alignment horizontal="center"/>
    </xf>
    <xf numFmtId="0" fontId="3" fillId="0" borderId="7" xfId="5" applyFont="1" applyBorder="1" applyAlignment="1">
      <alignment horizontal="center"/>
    </xf>
    <xf numFmtId="172" fontId="3" fillId="0" borderId="0" xfId="5" applyNumberFormat="1" applyFont="1" applyFill="1" applyProtection="1"/>
    <xf numFmtId="7" fontId="7" fillId="5" borderId="0" xfId="5" applyNumberFormat="1" applyFont="1" applyFill="1" applyProtection="1"/>
    <xf numFmtId="39" fontId="3" fillId="0" borderId="0" xfId="5" applyNumberFormat="1" applyFont="1" applyProtection="1"/>
    <xf numFmtId="7" fontId="7" fillId="0" borderId="0" xfId="2" applyNumberFormat="1" applyFont="1" applyFill="1"/>
    <xf numFmtId="39" fontId="3" fillId="0" borderId="0" xfId="5" applyNumberFormat="1" applyFont="1" applyFill="1" applyProtection="1"/>
    <xf numFmtId="0" fontId="17" fillId="0" borderId="8" xfId="5" applyFont="1" applyBorder="1"/>
    <xf numFmtId="43" fontId="7" fillId="0" borderId="0" xfId="1" applyFont="1" applyFill="1" applyProtection="1"/>
    <xf numFmtId="7" fontId="7" fillId="0" borderId="0" xfId="1" applyNumberFormat="1" applyFont="1" applyFill="1"/>
    <xf numFmtId="37" fontId="3" fillId="0" borderId="8" xfId="5" applyNumberFormat="1" applyFont="1" applyFill="1" applyBorder="1" applyProtection="1"/>
    <xf numFmtId="7" fontId="7" fillId="2" borderId="8" xfId="5" applyNumberFormat="1" applyFont="1" applyFill="1" applyBorder="1" applyProtection="1"/>
    <xf numFmtId="7" fontId="7" fillId="4" borderId="0" xfId="5" applyNumberFormat="1" applyFont="1" applyFill="1" applyProtection="1"/>
    <xf numFmtId="7" fontId="7" fillId="5" borderId="8" xfId="5" applyNumberFormat="1" applyFont="1" applyFill="1" applyBorder="1" applyProtection="1"/>
    <xf numFmtId="43" fontId="7" fillId="5" borderId="0" xfId="1" applyNumberFormat="1" applyFont="1" applyFill="1" applyProtection="1"/>
    <xf numFmtId="43" fontId="7" fillId="2" borderId="8" xfId="1" applyNumberFormat="1" applyFont="1" applyFill="1" applyBorder="1" applyProtection="1"/>
    <xf numFmtId="43" fontId="7" fillId="4" borderId="0" xfId="1" applyNumberFormat="1" applyFont="1" applyFill="1" applyProtection="1"/>
    <xf numFmtId="43" fontId="7" fillId="5" borderId="8" xfId="1" applyNumberFormat="1" applyFont="1" applyFill="1" applyBorder="1" applyProtection="1"/>
    <xf numFmtId="43" fontId="7" fillId="5" borderId="0" xfId="1" applyFont="1" applyFill="1" applyProtection="1"/>
    <xf numFmtId="43" fontId="7" fillId="4" borderId="0" xfId="1" applyFont="1" applyFill="1" applyProtection="1"/>
    <xf numFmtId="43" fontId="7" fillId="5" borderId="8" xfId="1" applyFont="1" applyFill="1" applyBorder="1" applyProtection="1"/>
    <xf numFmtId="43" fontId="26" fillId="0" borderId="0" xfId="1" applyNumberFormat="1" applyFont="1" applyFill="1" applyProtection="1"/>
    <xf numFmtId="7" fontId="7" fillId="0" borderId="0" xfId="1" applyNumberFormat="1" applyFont="1" applyFill="1" applyAlignment="1">
      <alignment horizontal="right"/>
    </xf>
    <xf numFmtId="7" fontId="7" fillId="0" borderId="0" xfId="5" applyNumberFormat="1" applyFont="1" applyFill="1" applyAlignment="1" applyProtection="1">
      <alignment horizontal="right"/>
    </xf>
    <xf numFmtId="43" fontId="7" fillId="2" borderId="8" xfId="1" applyFont="1" applyFill="1" applyBorder="1" applyProtection="1"/>
    <xf numFmtId="170" fontId="7" fillId="5" borderId="0" xfId="5" applyNumberFormat="1" applyFont="1" applyFill="1" applyAlignment="1" applyProtection="1">
      <alignment horizontal="right"/>
    </xf>
    <xf numFmtId="175" fontId="7" fillId="2" borderId="8" xfId="1" applyNumberFormat="1" applyFont="1" applyFill="1" applyBorder="1" applyProtection="1"/>
    <xf numFmtId="170" fontId="7" fillId="4" borderId="0" xfId="5" applyNumberFormat="1" applyFont="1" applyFill="1" applyAlignment="1" applyProtection="1">
      <alignment horizontal="right"/>
    </xf>
    <xf numFmtId="175" fontId="7" fillId="5" borderId="8" xfId="1" applyNumberFormat="1" applyFont="1" applyFill="1" applyBorder="1" applyAlignment="1" applyProtection="1">
      <alignment horizontal="right"/>
    </xf>
    <xf numFmtId="175" fontId="7" fillId="5" borderId="8" xfId="1" applyNumberFormat="1" applyFont="1" applyFill="1" applyBorder="1" applyProtection="1"/>
    <xf numFmtId="9" fontId="7" fillId="0" borderId="0" xfId="1" applyNumberFormat="1" applyFont="1" applyFill="1"/>
    <xf numFmtId="9" fontId="7" fillId="0" borderId="0" xfId="9" applyFont="1" applyFill="1" applyProtection="1"/>
    <xf numFmtId="7" fontId="7" fillId="0" borderId="8" xfId="5" applyNumberFormat="1" applyFont="1" applyFill="1" applyBorder="1" applyProtection="1"/>
    <xf numFmtId="37" fontId="17" fillId="0" borderId="0" xfId="5" applyNumberFormat="1" applyFont="1" applyFill="1"/>
    <xf numFmtId="170" fontId="7" fillId="5" borderId="0" xfId="5" applyNumberFormat="1" applyFont="1" applyFill="1" applyProtection="1"/>
    <xf numFmtId="37" fontId="7" fillId="0" borderId="8" xfId="5" applyNumberFormat="1" applyFont="1" applyFill="1" applyBorder="1" applyProtection="1"/>
    <xf numFmtId="164" fontId="17" fillId="0" borderId="0" xfId="5" applyNumberFormat="1" applyFont="1"/>
    <xf numFmtId="37" fontId="17" fillId="0" borderId="8" xfId="5" applyNumberFormat="1" applyFont="1" applyBorder="1"/>
    <xf numFmtId="0" fontId="17" fillId="0" borderId="0" xfId="5" quotePrefix="1" applyFont="1"/>
    <xf numFmtId="37" fontId="3" fillId="0" borderId="0" xfId="5" applyNumberFormat="1" applyFont="1" applyFill="1"/>
    <xf numFmtId="37" fontId="3" fillId="3" borderId="0" xfId="5" applyNumberFormat="1" applyFont="1" applyFill="1"/>
    <xf numFmtId="37" fontId="7" fillId="3" borderId="8" xfId="5" applyNumberFormat="1" applyFont="1" applyFill="1" applyBorder="1"/>
    <xf numFmtId="37" fontId="7" fillId="5" borderId="8" xfId="5" applyNumberFormat="1" applyFont="1" applyFill="1" applyBorder="1"/>
    <xf numFmtId="169" fontId="7" fillId="0" borderId="8" xfId="5" applyNumberFormat="1" applyFont="1" applyBorder="1"/>
    <xf numFmtId="169" fontId="7" fillId="5" borderId="8" xfId="5" applyNumberFormat="1" applyFont="1" applyFill="1" applyBorder="1"/>
    <xf numFmtId="0" fontId="3" fillId="3" borderId="0" xfId="5" applyFont="1" applyFill="1"/>
    <xf numFmtId="164" fontId="7" fillId="3" borderId="8" xfId="1" applyNumberFormat="1" applyFont="1" applyFill="1" applyBorder="1"/>
    <xf numFmtId="164" fontId="7" fillId="5" borderId="8" xfId="1" applyNumberFormat="1" applyFont="1" applyFill="1" applyBorder="1"/>
    <xf numFmtId="0" fontId="17" fillId="0" borderId="0" xfId="5" applyFont="1" applyFill="1" applyBorder="1"/>
    <xf numFmtId="0" fontId="17" fillId="0" borderId="0" xfId="5" applyFont="1" applyBorder="1"/>
    <xf numFmtId="169" fontId="27" fillId="5" borderId="8" xfId="5" applyNumberFormat="1" applyFont="1" applyFill="1" applyBorder="1"/>
    <xf numFmtId="0" fontId="17" fillId="0" borderId="3" xfId="5" applyFont="1" applyFill="1" applyBorder="1"/>
    <xf numFmtId="0" fontId="3" fillId="0" borderId="5" xfId="5" applyFont="1" applyFill="1" applyBorder="1"/>
    <xf numFmtId="0" fontId="3" fillId="0" borderId="5" xfId="5" applyFont="1" applyFill="1" applyBorder="1" applyAlignment="1">
      <alignment horizontal="center"/>
    </xf>
    <xf numFmtId="0" fontId="17" fillId="0" borderId="5" xfId="5" applyFont="1" applyFill="1" applyBorder="1"/>
    <xf numFmtId="0" fontId="3" fillId="0" borderId="5" xfId="5" applyFont="1" applyFill="1" applyBorder="1" applyAlignment="1">
      <alignment horizontal="right"/>
    </xf>
    <xf numFmtId="164" fontId="3" fillId="0" borderId="5" xfId="1" applyNumberFormat="1" applyFont="1" applyFill="1" applyBorder="1" applyProtection="1"/>
    <xf numFmtId="0" fontId="3" fillId="5" borderId="0" xfId="5" applyFont="1" applyFill="1" applyBorder="1"/>
    <xf numFmtId="164" fontId="7" fillId="3" borderId="8" xfId="5" applyNumberFormat="1" applyFont="1" applyFill="1" applyBorder="1"/>
    <xf numFmtId="164" fontId="7" fillId="5" borderId="8" xfId="5" applyNumberFormat="1" applyFont="1" applyFill="1" applyBorder="1"/>
    <xf numFmtId="0" fontId="8" fillId="0" borderId="0" xfId="5" applyFont="1" applyFill="1"/>
    <xf numFmtId="0" fontId="8" fillId="0" borderId="0" xfId="5" applyFont="1" applyFill="1" applyBorder="1" applyAlignment="1">
      <alignment horizontal="center"/>
    </xf>
    <xf numFmtId="0" fontId="8" fillId="0" borderId="0" xfId="5" applyFont="1" applyFill="1" applyAlignment="1">
      <alignment horizontal="center"/>
    </xf>
    <xf numFmtId="37" fontId="17" fillId="0" borderId="0" xfId="5" applyNumberFormat="1" applyFont="1" applyFill="1" applyBorder="1"/>
    <xf numFmtId="164" fontId="20" fillId="0" borderId="0" xfId="1" applyNumberFormat="1" applyFont="1" applyFill="1" applyBorder="1"/>
    <xf numFmtId="176" fontId="3" fillId="0" borderId="0" xfId="2" applyNumberFormat="1" applyFont="1" applyFill="1" applyBorder="1"/>
    <xf numFmtId="164" fontId="3" fillId="0" borderId="0" xfId="5" applyNumberFormat="1" applyFont="1" applyFill="1" applyBorder="1"/>
    <xf numFmtId="43" fontId="3" fillId="0" borderId="0" xfId="1" applyFont="1"/>
    <xf numFmtId="43" fontId="3" fillId="0" borderId="0" xfId="1" applyNumberFormat="1" applyFont="1"/>
    <xf numFmtId="37" fontId="3" fillId="0" borderId="0" xfId="5" applyNumberFormat="1" applyFont="1"/>
    <xf numFmtId="0" fontId="3" fillId="0" borderId="0" xfId="5" applyFont="1" applyFill="1" applyBorder="1"/>
    <xf numFmtId="0" fontId="17" fillId="3" borderId="0" xfId="5" applyFont="1" applyFill="1"/>
    <xf numFmtId="9" fontId="7" fillId="5" borderId="0" xfId="9" applyFont="1" applyFill="1"/>
    <xf numFmtId="9" fontId="7" fillId="3" borderId="0" xfId="9" applyFont="1" applyFill="1"/>
    <xf numFmtId="164" fontId="3" fillId="0" borderId="3" xfId="1" applyNumberFormat="1" applyFont="1" applyFill="1" applyBorder="1"/>
    <xf numFmtId="164" fontId="3" fillId="0" borderId="3" xfId="1" applyNumberFormat="1" applyFont="1" applyFill="1" applyBorder="1" applyProtection="1"/>
    <xf numFmtId="164" fontId="3" fillId="0" borderId="3" xfId="1" applyNumberFormat="1" applyFont="1" applyBorder="1"/>
    <xf numFmtId="10" fontId="3" fillId="0" borderId="3" xfId="9" applyNumberFormat="1" applyFont="1" applyBorder="1"/>
    <xf numFmtId="10" fontId="3" fillId="0" borderId="0" xfId="5" applyNumberFormat="1" applyFont="1"/>
    <xf numFmtId="0" fontId="7" fillId="0" borderId="0" xfId="5" applyFont="1" applyFill="1" applyBorder="1"/>
    <xf numFmtId="10" fontId="3" fillId="0" borderId="0" xfId="9" applyNumberFormat="1" applyFont="1" applyBorder="1"/>
    <xf numFmtId="37" fontId="17" fillId="0" borderId="0" xfId="5" applyNumberFormat="1" applyFont="1" applyFill="1" applyBorder="1" applyProtection="1"/>
    <xf numFmtId="164" fontId="3" fillId="0" borderId="9" xfId="1" applyNumberFormat="1" applyFont="1" applyBorder="1"/>
    <xf numFmtId="9" fontId="17" fillId="0" borderId="0" xfId="9" applyFont="1"/>
    <xf numFmtId="164" fontId="3" fillId="0" borderId="0" xfId="5" applyNumberFormat="1" applyFont="1"/>
    <xf numFmtId="0" fontId="3" fillId="0" borderId="3" xfId="5" applyFont="1" applyBorder="1"/>
    <xf numFmtId="0" fontId="8" fillId="0" borderId="0" xfId="5" applyFont="1" applyAlignment="1">
      <alignment horizontal="center"/>
    </xf>
    <xf numFmtId="5" fontId="3" fillId="0" borderId="0" xfId="5" applyNumberFormat="1" applyFont="1" applyFill="1" applyBorder="1"/>
    <xf numFmtId="169" fontId="3" fillId="0" borderId="0" xfId="9" applyNumberFormat="1" applyFont="1" applyFill="1" applyBorder="1"/>
    <xf numFmtId="169" fontId="3" fillId="0" borderId="0" xfId="9" applyNumberFormat="1" applyFont="1"/>
    <xf numFmtId="44" fontId="3" fillId="0" borderId="0" xfId="2" applyNumberFormat="1" applyFont="1" applyFill="1" applyBorder="1"/>
    <xf numFmtId="44" fontId="3" fillId="0" borderId="0" xfId="2" applyNumberFormat="1" applyFont="1" applyFill="1" applyBorder="1" applyProtection="1"/>
    <xf numFmtId="44" fontId="3" fillId="0" borderId="0" xfId="2" applyFont="1"/>
    <xf numFmtId="43" fontId="3" fillId="0" borderId="0" xfId="1" applyFont="1" applyFill="1" applyBorder="1"/>
    <xf numFmtId="43" fontId="3" fillId="0" borderId="0" xfId="1" applyFont="1" applyFill="1"/>
    <xf numFmtId="10" fontId="17" fillId="0" borderId="0" xfId="9" applyNumberFormat="1" applyFont="1" applyBorder="1"/>
    <xf numFmtId="176" fontId="3" fillId="0" borderId="0" xfId="5" applyNumberFormat="1" applyFont="1" applyBorder="1"/>
    <xf numFmtId="168" fontId="3" fillId="0" borderId="0" xfId="5" applyNumberFormat="1" applyFont="1" applyFill="1" applyBorder="1" applyAlignment="1" applyProtection="1">
      <alignment horizontal="right"/>
    </xf>
    <xf numFmtId="2" fontId="3" fillId="0" borderId="0" xfId="5" applyNumberFormat="1" applyFont="1" applyFill="1" applyBorder="1" applyAlignment="1">
      <alignment horizontal="center"/>
    </xf>
    <xf numFmtId="37" fontId="3" fillId="0" borderId="0" xfId="5" applyNumberFormat="1" applyFont="1" applyFill="1" applyBorder="1"/>
    <xf numFmtId="0" fontId="8" fillId="0" borderId="0" xfId="5" quotePrefix="1" applyFont="1" applyFill="1" applyBorder="1" applyAlignment="1">
      <alignment horizontal="right"/>
    </xf>
    <xf numFmtId="168" fontId="8" fillId="0" borderId="0" xfId="5" quotePrefix="1" applyNumberFormat="1" applyFont="1" applyFill="1" applyBorder="1" applyAlignment="1" applyProtection="1">
      <alignment horizontal="right"/>
    </xf>
    <xf numFmtId="37" fontId="3" fillId="0" borderId="0" xfId="5" applyNumberFormat="1" applyFont="1" applyFill="1" applyBorder="1" applyProtection="1"/>
    <xf numFmtId="10" fontId="3" fillId="0" borderId="0" xfId="5" applyNumberFormat="1" applyFont="1" applyFill="1" applyBorder="1" applyProtection="1"/>
    <xf numFmtId="164" fontId="3" fillId="0" borderId="0" xfId="5" applyNumberFormat="1" applyFont="1" applyFill="1" applyBorder="1" applyAlignment="1">
      <alignment horizontal="center"/>
    </xf>
    <xf numFmtId="175" fontId="3" fillId="0" borderId="0" xfId="1" applyNumberFormat="1" applyFont="1" applyFill="1" applyBorder="1"/>
    <xf numFmtId="39" fontId="3" fillId="0" borderId="0" xfId="5" applyNumberFormat="1" applyFont="1" applyFill="1" applyBorder="1" applyProtection="1"/>
    <xf numFmtId="169" fontId="3" fillId="0" borderId="0" xfId="5" applyNumberFormat="1" applyFont="1" applyFill="1" applyBorder="1"/>
    <xf numFmtId="170" fontId="3" fillId="0" borderId="0" xfId="5" applyNumberFormat="1" applyFont="1" applyFill="1" applyBorder="1" applyProtection="1"/>
    <xf numFmtId="174" fontId="3" fillId="0" borderId="0" xfId="5" applyNumberFormat="1" applyFont="1" applyFill="1" applyBorder="1"/>
    <xf numFmtId="22" fontId="3" fillId="0" borderId="0" xfId="5" applyNumberFormat="1" applyFont="1" applyFill="1" applyBorder="1"/>
    <xf numFmtId="5" fontId="3" fillId="0" borderId="0" xfId="5" applyNumberFormat="1" applyFont="1" applyFill="1" applyBorder="1" applyProtection="1"/>
    <xf numFmtId="0" fontId="3" fillId="0" borderId="0" xfId="5" quotePrefix="1" applyFont="1" applyFill="1" applyBorder="1" applyAlignment="1">
      <alignment horizontal="center"/>
    </xf>
    <xf numFmtId="0" fontId="8" fillId="0" borderId="0" xfId="5" applyFont="1" applyFill="1" applyBorder="1" applyAlignment="1">
      <alignment horizontal="left"/>
    </xf>
    <xf numFmtId="176" fontId="3" fillId="0" borderId="0" xfId="5" applyNumberFormat="1" applyFont="1"/>
    <xf numFmtId="44" fontId="3" fillId="0" borderId="0" xfId="5" applyNumberFormat="1" applyFont="1"/>
    <xf numFmtId="43" fontId="3" fillId="0" borderId="0" xfId="5" applyNumberFormat="1" applyFont="1"/>
    <xf numFmtId="164" fontId="3" fillId="0" borderId="0" xfId="1" applyNumberFormat="1" applyFont="1" applyAlignment="1">
      <alignment horizontal="right"/>
    </xf>
    <xf numFmtId="43" fontId="3" fillId="0" borderId="0" xfId="5" applyNumberFormat="1" applyFont="1" applyAlignment="1">
      <alignment horizontal="right"/>
    </xf>
    <xf numFmtId="166" fontId="3" fillId="0" borderId="0" xfId="0" applyNumberFormat="1" applyFont="1"/>
    <xf numFmtId="0" fontId="17" fillId="6" borderId="0" xfId="3" applyFont="1" applyFill="1"/>
    <xf numFmtId="37" fontId="17" fillId="0" borderId="0" xfId="2" applyNumberFormat="1" applyFont="1"/>
    <xf numFmtId="5" fontId="17" fillId="0" borderId="0" xfId="2" applyNumberFormat="1" applyFont="1"/>
    <xf numFmtId="5" fontId="17" fillId="0" borderId="0" xfId="3" applyNumberFormat="1" applyFont="1"/>
    <xf numFmtId="181" fontId="17" fillId="0" borderId="0" xfId="3" applyNumberFormat="1" applyFont="1"/>
    <xf numFmtId="164" fontId="21" fillId="0" borderId="0" xfId="3" applyNumberFormat="1" applyFont="1"/>
    <xf numFmtId="164" fontId="17" fillId="0" borderId="3" xfId="1" applyNumberFormat="1" applyFont="1" applyBorder="1"/>
    <xf numFmtId="0" fontId="18" fillId="0" borderId="0" xfId="3" applyFont="1" applyBorder="1" applyAlignment="1">
      <alignment horizontal="center"/>
    </xf>
    <xf numFmtId="0" fontId="17" fillId="0" borderId="0" xfId="3" applyFont="1" applyBorder="1" applyAlignment="1">
      <alignment horizontal="right"/>
    </xf>
    <xf numFmtId="0" fontId="19" fillId="0" borderId="0" xfId="3" applyFont="1" applyBorder="1"/>
    <xf numFmtId="7" fontId="17" fillId="0" borderId="0" xfId="3" applyNumberFormat="1" applyFont="1" applyBorder="1" applyProtection="1"/>
    <xf numFmtId="5" fontId="17" fillId="0" borderId="0" xfId="3" applyNumberFormat="1" applyFont="1" applyBorder="1" applyProtection="1"/>
    <xf numFmtId="170" fontId="17" fillId="0" borderId="0" xfId="3" applyNumberFormat="1" applyFont="1" applyBorder="1" applyProtection="1"/>
    <xf numFmtId="170" fontId="17" fillId="0" borderId="0" xfId="3" applyNumberFormat="1" applyFont="1" applyBorder="1" applyAlignment="1" applyProtection="1">
      <alignment horizontal="center"/>
    </xf>
    <xf numFmtId="39" fontId="17" fillId="0" borderId="0" xfId="3" applyNumberFormat="1" applyFont="1" applyBorder="1" applyProtection="1"/>
    <xf numFmtId="0" fontId="18" fillId="0" borderId="0" xfId="3" applyFont="1" applyBorder="1"/>
    <xf numFmtId="167" fontId="17" fillId="0" borderId="0" xfId="3" applyNumberFormat="1" applyFont="1" applyBorder="1" applyProtection="1"/>
    <xf numFmtId="5" fontId="18" fillId="0" borderId="0" xfId="3" applyNumberFormat="1" applyFont="1" applyBorder="1" applyProtection="1"/>
    <xf numFmtId="37" fontId="17" fillId="0" borderId="0" xfId="2" applyNumberFormat="1" applyFont="1" applyFill="1"/>
    <xf numFmtId="5" fontId="17" fillId="0" borderId="0" xfId="2" applyNumberFormat="1" applyFont="1" applyFill="1"/>
    <xf numFmtId="5" fontId="17" fillId="0" borderId="0" xfId="3" applyNumberFormat="1" applyFont="1" applyFill="1"/>
    <xf numFmtId="181" fontId="17" fillId="0" borderId="0" xfId="3" applyNumberFormat="1" applyFont="1" applyFill="1"/>
    <xf numFmtId="164" fontId="17" fillId="0" borderId="0" xfId="1" applyNumberFormat="1" applyFont="1" applyFill="1"/>
    <xf numFmtId="164" fontId="17" fillId="0" borderId="0" xfId="3" applyNumberFormat="1" applyFont="1" applyFill="1"/>
    <xf numFmtId="164" fontId="17" fillId="0" borderId="3" xfId="1" quotePrefix="1" applyNumberFormat="1" applyFont="1" applyBorder="1" applyAlignment="1">
      <alignment horizontal="center"/>
    </xf>
    <xf numFmtId="0" fontId="17" fillId="0" borderId="3" xfId="3" quotePrefix="1" applyFont="1" applyBorder="1" applyAlignment="1">
      <alignment horizontal="center"/>
    </xf>
    <xf numFmtId="37" fontId="17" fillId="0" borderId="3" xfId="3" applyNumberFormat="1" applyFont="1" applyFill="1" applyBorder="1"/>
    <xf numFmtId="0" fontId="17" fillId="0" borderId="3" xfId="3" applyFont="1" applyBorder="1"/>
    <xf numFmtId="5" fontId="3" fillId="0" borderId="0" xfId="0" applyNumberFormat="1" applyFont="1"/>
    <xf numFmtId="0" fontId="7" fillId="0" borderId="0" xfId="0" applyFont="1" applyAlignment="1">
      <alignment horizontal="center"/>
    </xf>
    <xf numFmtId="0" fontId="7" fillId="2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64" fontId="7" fillId="0" borderId="0" xfId="1" applyNumberFormat="1" applyFont="1" applyAlignment="1">
      <alignment horizontal="center"/>
    </xf>
    <xf numFmtId="164" fontId="7" fillId="2" borderId="0" xfId="1" applyNumberFormat="1" applyFont="1" applyFill="1" applyAlignment="1">
      <alignment horizontal="center"/>
    </xf>
    <xf numFmtId="17" fontId="7" fillId="0" borderId="0" xfId="0" applyNumberFormat="1" applyFont="1" applyFill="1" applyAlignment="1">
      <alignment horizontal="center"/>
    </xf>
    <xf numFmtId="17" fontId="7" fillId="0" borderId="0" xfId="0" applyNumberFormat="1" applyFont="1" applyAlignment="1">
      <alignment horizontal="center"/>
    </xf>
    <xf numFmtId="0" fontId="7" fillId="6" borderId="0" xfId="0" applyFont="1" applyFill="1" applyAlignment="1">
      <alignment horizontal="center"/>
    </xf>
    <xf numFmtId="164" fontId="7" fillId="5" borderId="0" xfId="1" applyNumberFormat="1" applyFont="1" applyFill="1" applyAlignment="1">
      <alignment horizontal="center"/>
    </xf>
    <xf numFmtId="1" fontId="7" fillId="5" borderId="0" xfId="0" quotePrefix="1" applyNumberFormat="1" applyFont="1" applyFill="1" applyAlignment="1">
      <alignment horizontal="center"/>
    </xf>
    <xf numFmtId="43" fontId="3" fillId="2" borderId="0" xfId="1" applyFont="1" applyFill="1"/>
    <xf numFmtId="164" fontId="3" fillId="2" borderId="0" xfId="1" applyNumberFormat="1" applyFont="1" applyFill="1"/>
    <xf numFmtId="0" fontId="7" fillId="0" borderId="0" xfId="0" applyFont="1" applyFill="1"/>
    <xf numFmtId="0" fontId="7" fillId="0" borderId="0" xfId="0" applyFont="1"/>
    <xf numFmtId="0" fontId="28" fillId="0" borderId="0" xfId="0" applyFont="1" applyFill="1" applyAlignment="1" applyProtection="1">
      <alignment horizontal="left" indent="2"/>
      <protection locked="0"/>
    </xf>
    <xf numFmtId="0" fontId="28" fillId="0" borderId="0" xfId="0" applyFont="1" applyFill="1" applyAlignment="1" applyProtection="1">
      <alignment horizontal="left"/>
      <protection locked="0"/>
    </xf>
    <xf numFmtId="0" fontId="3" fillId="2" borderId="0" xfId="0" applyFont="1" applyFill="1"/>
    <xf numFmtId="43" fontId="3" fillId="2" borderId="0" xfId="1" applyNumberFormat="1" applyFont="1" applyFill="1"/>
    <xf numFmtId="17" fontId="7" fillId="0" borderId="13" xfId="0" applyNumberFormat="1" applyFont="1" applyBorder="1" applyAlignment="1">
      <alignment horizontal="center"/>
    </xf>
    <xf numFmtId="0" fontId="28" fillId="0" borderId="0" xfId="0" applyFont="1" applyProtection="1">
      <protection locked="0"/>
    </xf>
    <xf numFmtId="0" fontId="29" fillId="0" borderId="0" xfId="0" applyFont="1" applyFill="1" applyAlignment="1" applyProtection="1">
      <alignment horizontal="left"/>
      <protection locked="0"/>
    </xf>
    <xf numFmtId="0" fontId="28" fillId="0" borderId="0" xfId="0" applyFont="1" applyFill="1" applyProtection="1">
      <protection locked="0"/>
    </xf>
    <xf numFmtId="179" fontId="28" fillId="0" borderId="0" xfId="0" applyNumberFormat="1" applyFont="1" applyFill="1" applyAlignment="1" applyProtection="1">
      <alignment horizontal="left"/>
      <protection locked="0"/>
    </xf>
    <xf numFmtId="0" fontId="28" fillId="0" borderId="0" xfId="0" applyFont="1" applyFill="1" applyAlignment="1" applyProtection="1">
      <protection locked="0"/>
    </xf>
    <xf numFmtId="0" fontId="28" fillId="0" borderId="0" xfId="0" applyFont="1" applyFill="1" applyAlignment="1"/>
    <xf numFmtId="0" fontId="28" fillId="0" borderId="0" xfId="0" applyFont="1" applyFill="1"/>
    <xf numFmtId="179" fontId="28" fillId="0" borderId="0" xfId="0" applyNumberFormat="1" applyFont="1" applyFill="1" applyBorder="1" applyAlignment="1" applyProtection="1">
      <alignment horizontal="left"/>
      <protection locked="0"/>
    </xf>
    <xf numFmtId="0" fontId="28" fillId="0" borderId="0" xfId="0" applyFont="1" applyFill="1" applyBorder="1" applyAlignment="1" applyProtection="1">
      <alignment horizontal="left" indent="2"/>
      <protection locked="0"/>
    </xf>
    <xf numFmtId="0" fontId="28" fillId="0" borderId="0" xfId="0" applyFont="1" applyAlignment="1"/>
    <xf numFmtId="5" fontId="3" fillId="0" borderId="0" xfId="1" applyNumberFormat="1" applyFont="1" applyFill="1"/>
    <xf numFmtId="0" fontId="30" fillId="0" borderId="0" xfId="0" applyFont="1" applyFill="1"/>
    <xf numFmtId="164" fontId="3" fillId="0" borderId="0" xfId="0" applyNumberFormat="1" applyFont="1" applyFill="1"/>
    <xf numFmtId="5" fontId="3" fillId="0" borderId="0" xfId="1" applyNumberFormat="1" applyFont="1"/>
    <xf numFmtId="0" fontId="3" fillId="0" borderId="0" xfId="4" applyFont="1" applyFill="1" applyAlignment="1">
      <alignment horizontal="right"/>
    </xf>
    <xf numFmtId="43" fontId="3" fillId="0" borderId="0" xfId="1" applyNumberFormat="1" applyFont="1" applyFill="1"/>
    <xf numFmtId="43" fontId="3" fillId="0" borderId="0" xfId="4" applyNumberFormat="1" applyFont="1" applyFill="1"/>
    <xf numFmtId="0" fontId="22" fillId="0" borderId="0" xfId="4" applyFont="1" applyFill="1"/>
    <xf numFmtId="0" fontId="22" fillId="0" borderId="0" xfId="6" applyFont="1" applyFill="1" applyAlignment="1">
      <alignment horizontal="right"/>
    </xf>
    <xf numFmtId="0" fontId="31" fillId="0" borderId="0" xfId="5" applyFont="1" applyFill="1"/>
    <xf numFmtId="167" fontId="3" fillId="0" borderId="0" xfId="6" applyNumberFormat="1" applyFont="1" applyFill="1"/>
    <xf numFmtId="0" fontId="32" fillId="0" borderId="5" xfId="7" applyFont="1" applyBorder="1" applyAlignment="1">
      <alignment vertical="top" wrapText="1"/>
    </xf>
    <xf numFmtId="0" fontId="32" fillId="0" borderId="5" xfId="7" applyFont="1" applyBorder="1" applyAlignment="1">
      <alignment horizontal="center" vertical="top"/>
    </xf>
    <xf numFmtId="0" fontId="32" fillId="0" borderId="5" xfId="7" applyFont="1" applyBorder="1" applyAlignment="1">
      <alignment horizontal="center" vertical="top" wrapText="1"/>
    </xf>
    <xf numFmtId="0" fontId="33" fillId="0" borderId="0" xfId="11" applyFont="1"/>
    <xf numFmtId="0" fontId="32" fillId="0" borderId="0" xfId="7" applyFont="1" applyBorder="1" applyAlignment="1">
      <alignment horizontal="center" vertical="top"/>
    </xf>
    <xf numFmtId="0" fontId="32" fillId="0" borderId="0" xfId="7" applyFont="1" applyBorder="1" applyAlignment="1">
      <alignment vertical="top" wrapText="1"/>
    </xf>
    <xf numFmtId="0" fontId="32" fillId="0" borderId="0" xfId="7" applyFont="1" applyBorder="1" applyAlignment="1">
      <alignment horizontal="center" vertical="top" wrapText="1"/>
    </xf>
    <xf numFmtId="37" fontId="32" fillId="0" borderId="0" xfId="10" applyNumberFormat="1" applyFont="1" applyBorder="1" applyAlignment="1">
      <alignment horizontal="center" vertical="top"/>
    </xf>
    <xf numFmtId="0" fontId="5" fillId="3" borderId="0" xfId="11" applyFont="1" applyFill="1" applyAlignment="1">
      <alignment horizontal="center"/>
    </xf>
    <xf numFmtId="0" fontId="5" fillId="7" borderId="0" xfId="11" applyFont="1" applyFill="1" applyAlignment="1">
      <alignment horizontal="center" wrapText="1"/>
    </xf>
    <xf numFmtId="37" fontId="5" fillId="7" borderId="0" xfId="11" applyNumberFormat="1" applyFont="1" applyFill="1" applyAlignment="1">
      <alignment horizontal="center"/>
    </xf>
    <xf numFmtId="37" fontId="5" fillId="3" borderId="0" xfId="11" applyNumberFormat="1" applyFont="1" applyFill="1" applyAlignment="1">
      <alignment horizontal="center"/>
    </xf>
    <xf numFmtId="0" fontId="33" fillId="0" borderId="0" xfId="11" applyFont="1" applyAlignment="1">
      <alignment horizontal="center"/>
    </xf>
    <xf numFmtId="164" fontId="33" fillId="0" borderId="0" xfId="11" applyNumberFormat="1" applyFont="1"/>
    <xf numFmtId="3" fontId="33" fillId="0" borderId="0" xfId="11" applyNumberFormat="1" applyFont="1"/>
    <xf numFmtId="43" fontId="33" fillId="0" borderId="0" xfId="11" applyNumberFormat="1" applyFont="1"/>
    <xf numFmtId="164" fontId="33" fillId="0" borderId="0" xfId="10" applyNumberFormat="1" applyFont="1"/>
    <xf numFmtId="0" fontId="32" fillId="3" borderId="0" xfId="11" applyFont="1" applyFill="1" applyAlignment="1">
      <alignment horizontal="center" wrapText="1"/>
    </xf>
    <xf numFmtId="0" fontId="32" fillId="7" borderId="0" xfId="11" applyFont="1" applyFill="1" applyAlignment="1">
      <alignment horizontal="center" wrapText="1"/>
    </xf>
    <xf numFmtId="0" fontId="34" fillId="0" borderId="0" xfId="11" applyFont="1"/>
    <xf numFmtId="43" fontId="33" fillId="0" borderId="0" xfId="10" applyNumberFormat="1" applyFont="1"/>
    <xf numFmtId="0" fontId="5" fillId="0" borderId="0" xfId="11" applyFont="1" applyFill="1" applyAlignment="1">
      <alignment vertical="top" wrapText="1"/>
    </xf>
    <xf numFmtId="43" fontId="3" fillId="0" borderId="0" xfId="1" applyNumberFormat="1" applyFont="1" applyFill="1" applyProtection="1"/>
    <xf numFmtId="181" fontId="3" fillId="0" borderId="0" xfId="1" applyNumberFormat="1" applyFont="1" applyFill="1"/>
    <xf numFmtId="164" fontId="3" fillId="2" borderId="3" xfId="1" applyNumberFormat="1" applyFont="1" applyFill="1" applyBorder="1"/>
    <xf numFmtId="37" fontId="3" fillId="2" borderId="0" xfId="0" applyNumberFormat="1" applyFont="1" applyFill="1"/>
    <xf numFmtId="37" fontId="3" fillId="2" borderId="3" xfId="0" applyNumberFormat="1" applyFont="1" applyFill="1" applyBorder="1"/>
    <xf numFmtId="0" fontId="35" fillId="0" borderId="0" xfId="0" applyFont="1"/>
    <xf numFmtId="0" fontId="8" fillId="0" borderId="0" xfId="0" applyFont="1"/>
    <xf numFmtId="164" fontId="3" fillId="5" borderId="0" xfId="1" quotePrefix="1" applyNumberFormat="1" applyFont="1" applyFill="1"/>
    <xf numFmtId="8" fontId="3" fillId="0" borderId="16" xfId="4" applyNumberFormat="1" applyFont="1" applyFill="1" applyBorder="1"/>
    <xf numFmtId="8" fontId="3" fillId="0" borderId="17" xfId="4" applyNumberFormat="1" applyFont="1" applyFill="1" applyBorder="1"/>
    <xf numFmtId="8" fontId="7" fillId="0" borderId="18" xfId="4" applyNumberFormat="1" applyFont="1" applyFill="1" applyBorder="1"/>
    <xf numFmtId="8" fontId="7" fillId="0" borderId="19" xfId="4" applyNumberFormat="1" applyFont="1" applyFill="1" applyBorder="1"/>
    <xf numFmtId="0" fontId="3" fillId="6" borderId="0" xfId="5" applyFont="1" applyFill="1"/>
    <xf numFmtId="0" fontId="33" fillId="0" borderId="0" xfId="11" applyFont="1" applyFill="1"/>
    <xf numFmtId="174" fontId="3" fillId="0" borderId="0" xfId="6" applyNumberFormat="1" applyFont="1" applyFill="1"/>
    <xf numFmtId="37" fontId="17" fillId="0" borderId="0" xfId="3" applyNumberFormat="1" applyFont="1" applyFill="1" applyBorder="1" applyProtection="1"/>
    <xf numFmtId="174" fontId="17" fillId="0" borderId="0" xfId="5" applyNumberFormat="1" applyFont="1" applyFill="1"/>
    <xf numFmtId="37" fontId="3" fillId="0" borderId="3" xfId="0" applyNumberFormat="1" applyFont="1" applyBorder="1"/>
    <xf numFmtId="0" fontId="17" fillId="0" borderId="0" xfId="5" applyFont="1" applyAlignment="1">
      <alignment horizontal="right"/>
    </xf>
    <xf numFmtId="169" fontId="3" fillId="0" borderId="3" xfId="9" applyNumberFormat="1" applyFont="1" applyFill="1" applyBorder="1"/>
    <xf numFmtId="164" fontId="3" fillId="0" borderId="3" xfId="5" applyNumberFormat="1" applyFont="1" applyFill="1" applyBorder="1" applyAlignment="1">
      <alignment horizontal="right"/>
    </xf>
    <xf numFmtId="164" fontId="8" fillId="0" borderId="0" xfId="1" applyNumberFormat="1" applyFont="1" applyFill="1" applyBorder="1" applyAlignment="1">
      <alignment horizontal="center"/>
    </xf>
    <xf numFmtId="43" fontId="3" fillId="0" borderId="0" xfId="1" applyFont="1" applyFill="1" applyBorder="1" applyProtection="1"/>
    <xf numFmtId="2" fontId="3" fillId="0" borderId="0" xfId="6" applyNumberFormat="1" applyFont="1" applyFill="1"/>
    <xf numFmtId="173" fontId="3" fillId="0" borderId="0" xfId="6" applyNumberFormat="1" applyFont="1" applyFill="1"/>
    <xf numFmtId="37" fontId="3" fillId="0" borderId="0" xfId="5" applyNumberFormat="1" applyFont="1" applyFill="1" applyBorder="1" applyAlignment="1">
      <alignment horizontal="right"/>
    </xf>
    <xf numFmtId="43" fontId="3" fillId="0" borderId="0" xfId="5" applyNumberFormat="1" applyFont="1" applyFill="1" applyBorder="1"/>
    <xf numFmtId="188" fontId="3" fillId="0" borderId="0" xfId="5" applyNumberFormat="1" applyFont="1" applyFill="1" applyBorder="1"/>
    <xf numFmtId="191" fontId="3" fillId="0" borderId="0" xfId="5" applyNumberFormat="1" applyFont="1" applyFill="1" applyBorder="1" applyProtection="1"/>
    <xf numFmtId="43" fontId="3" fillId="0" borderId="0" xfId="1" applyNumberFormat="1" applyFont="1" applyFill="1" applyBorder="1"/>
    <xf numFmtId="7" fontId="3" fillId="0" borderId="0" xfId="5" applyNumberFormat="1" applyFont="1" applyFill="1" applyBorder="1"/>
    <xf numFmtId="167" fontId="3" fillId="0" borderId="0" xfId="5" applyNumberFormat="1" applyFont="1" applyFill="1" applyBorder="1"/>
    <xf numFmtId="7" fontId="3" fillId="0" borderId="13" xfId="5" applyNumberFormat="1" applyFont="1" applyFill="1" applyBorder="1"/>
    <xf numFmtId="7" fontId="3" fillId="0" borderId="20" xfId="5" applyNumberFormat="1" applyFont="1" applyFill="1" applyBorder="1"/>
    <xf numFmtId="7" fontId="3" fillId="0" borderId="9" xfId="5" applyNumberFormat="1" applyFont="1" applyFill="1" applyBorder="1"/>
    <xf numFmtId="175" fontId="17" fillId="0" borderId="0" xfId="5" applyNumberFormat="1" applyFont="1"/>
    <xf numFmtId="10" fontId="17" fillId="0" borderId="0" xfId="9" applyNumberFormat="1" applyFont="1"/>
    <xf numFmtId="164" fontId="33" fillId="0" borderId="0" xfId="1" applyNumberFormat="1" applyFont="1" applyFill="1"/>
    <xf numFmtId="0" fontId="5" fillId="0" borderId="0" xfId="11" applyFont="1" applyFill="1" applyAlignment="1">
      <alignment horizontal="center" vertical="top"/>
    </xf>
    <xf numFmtId="0" fontId="5" fillId="0" borderId="0" xfId="11" applyFont="1" applyFill="1" applyAlignment="1">
      <alignment vertical="top"/>
    </xf>
    <xf numFmtId="189" fontId="5" fillId="0" borderId="0" xfId="12" applyNumberFormat="1" applyFont="1" applyFill="1" applyAlignment="1">
      <alignment vertical="top" wrapText="1"/>
    </xf>
    <xf numFmtId="44" fontId="33" fillId="0" borderId="0" xfId="12" applyFont="1" applyFill="1"/>
    <xf numFmtId="44" fontId="33" fillId="0" borderId="0" xfId="12" applyNumberFormat="1" applyFont="1" applyFill="1" applyAlignment="1">
      <alignment horizontal="right"/>
    </xf>
    <xf numFmtId="164" fontId="33" fillId="0" borderId="0" xfId="10" applyNumberFormat="1" applyFont="1" applyFill="1"/>
    <xf numFmtId="43" fontId="33" fillId="0" borderId="0" xfId="11" applyNumberFormat="1" applyFont="1" applyFill="1"/>
    <xf numFmtId="188" fontId="33" fillId="0" borderId="0" xfId="11" applyNumberFormat="1" applyFont="1" applyFill="1"/>
    <xf numFmtId="0" fontId="5" fillId="0" borderId="0" xfId="11" applyFont="1" applyFill="1" applyAlignment="1">
      <alignment horizontal="center" wrapText="1"/>
    </xf>
    <xf numFmtId="177" fontId="3" fillId="0" borderId="0" xfId="6" applyNumberFormat="1" applyFont="1" applyFill="1" applyBorder="1"/>
    <xf numFmtId="37" fontId="3" fillId="0" borderId="6" xfId="6" applyNumberFormat="1" applyFont="1" applyFill="1" applyBorder="1"/>
    <xf numFmtId="7" fontId="7" fillId="0" borderId="0" xfId="1" applyNumberFormat="1" applyFont="1" applyFill="1" applyProtection="1"/>
    <xf numFmtId="43" fontId="7" fillId="0" borderId="0" xfId="1" applyNumberFormat="1" applyFont="1" applyFill="1" applyProtection="1"/>
    <xf numFmtId="164" fontId="36" fillId="0" borderId="0" xfId="1" applyNumberFormat="1" applyFont="1" applyFill="1"/>
    <xf numFmtId="0" fontId="17" fillId="0" borderId="0" xfId="3" applyFont="1" applyFill="1" applyAlignment="1">
      <alignment horizontal="right"/>
    </xf>
    <xf numFmtId="0" fontId="18" fillId="0" borderId="0" xfId="3" applyFont="1" applyFill="1" applyAlignment="1">
      <alignment horizontal="center"/>
    </xf>
    <xf numFmtId="0" fontId="17" fillId="0" borderId="5" xfId="3" applyFont="1" applyFill="1" applyBorder="1"/>
    <xf numFmtId="0" fontId="17" fillId="0" borderId="5" xfId="3" applyFont="1" applyFill="1" applyBorder="1" applyAlignment="1">
      <alignment horizontal="center"/>
    </xf>
    <xf numFmtId="0" fontId="17" fillId="0" borderId="0" xfId="3" applyFont="1" applyFill="1" applyBorder="1"/>
    <xf numFmtId="0" fontId="17" fillId="0" borderId="1" xfId="3" quotePrefix="1" applyFont="1" applyFill="1" applyBorder="1" applyAlignment="1">
      <alignment horizontal="center"/>
    </xf>
    <xf numFmtId="0" fontId="17" fillId="0" borderId="3" xfId="3" applyFont="1" applyFill="1" applyBorder="1" applyAlignment="1">
      <alignment horizontal="center"/>
    </xf>
    <xf numFmtId="0" fontId="17" fillId="0" borderId="0" xfId="3" quotePrefix="1" applyFont="1" applyFill="1" applyAlignment="1">
      <alignment horizontal="center"/>
    </xf>
    <xf numFmtId="0" fontId="19" fillId="0" borderId="0" xfId="3" applyFont="1" applyFill="1"/>
    <xf numFmtId="7" fontId="17" fillId="0" borderId="0" xfId="3" applyNumberFormat="1" applyFont="1" applyFill="1" applyProtection="1"/>
    <xf numFmtId="39" fontId="17" fillId="0" borderId="0" xfId="3" applyNumberFormat="1" applyFont="1" applyFill="1" applyProtection="1"/>
    <xf numFmtId="170" fontId="17" fillId="0" borderId="0" xfId="3" applyNumberFormat="1" applyFont="1" applyFill="1" applyProtection="1"/>
    <xf numFmtId="37" fontId="18" fillId="0" borderId="0" xfId="3" applyNumberFormat="1" applyFont="1" applyFill="1"/>
    <xf numFmtId="0" fontId="18" fillId="0" borderId="0" xfId="3" applyFont="1" applyFill="1"/>
    <xf numFmtId="0" fontId="21" fillId="0" borderId="0" xfId="3" applyFont="1" applyFill="1"/>
    <xf numFmtId="0" fontId="21" fillId="0" borderId="0" xfId="3" applyFont="1" applyFill="1" applyAlignment="1">
      <alignment horizontal="center"/>
    </xf>
    <xf numFmtId="170" fontId="21" fillId="0" borderId="0" xfId="3" applyNumberFormat="1" applyFont="1" applyFill="1" applyProtection="1"/>
    <xf numFmtId="37" fontId="17" fillId="0" borderId="0" xfId="3" applyNumberFormat="1" applyFont="1" applyFill="1" applyBorder="1"/>
    <xf numFmtId="0" fontId="17" fillId="0" borderId="0" xfId="3" applyFont="1" applyFill="1" applyBorder="1" applyAlignment="1">
      <alignment horizontal="right"/>
    </xf>
    <xf numFmtId="37" fontId="17" fillId="0" borderId="1" xfId="3" applyNumberFormat="1" applyFont="1" applyFill="1" applyBorder="1"/>
    <xf numFmtId="0" fontId="17" fillId="0" borderId="1" xfId="3" applyFont="1" applyFill="1" applyBorder="1"/>
    <xf numFmtId="164" fontId="17" fillId="0" borderId="4" xfId="1" applyNumberFormat="1" applyFont="1" applyFill="1" applyBorder="1"/>
    <xf numFmtId="164" fontId="17" fillId="0" borderId="0" xfId="1" applyNumberFormat="1" applyFont="1" applyFill="1" applyBorder="1"/>
    <xf numFmtId="0" fontId="3" fillId="0" borderId="0" xfId="3" applyFont="1" applyFill="1"/>
    <xf numFmtId="164" fontId="17" fillId="0" borderId="1" xfId="1" applyNumberFormat="1" applyFont="1" applyFill="1" applyBorder="1"/>
    <xf numFmtId="176" fontId="17" fillId="0" borderId="4" xfId="2" applyNumberFormat="1" applyFont="1" applyFill="1" applyBorder="1" applyProtection="1"/>
    <xf numFmtId="0" fontId="17" fillId="0" borderId="0" xfId="3" quotePrefix="1" applyFont="1" applyFill="1"/>
    <xf numFmtId="5" fontId="3" fillId="0" borderId="0" xfId="0" applyNumberFormat="1" applyFont="1" applyFill="1"/>
    <xf numFmtId="0" fontId="3" fillId="0" borderId="0" xfId="0" applyFont="1" applyFill="1" applyAlignment="1">
      <alignment horizontal="right"/>
    </xf>
    <xf numFmtId="0" fontId="17" fillId="0" borderId="0" xfId="0" applyFont="1" applyFill="1" applyAlignment="1">
      <alignment horizontal="centerContinuous"/>
    </xf>
    <xf numFmtId="0" fontId="17" fillId="0" borderId="0" xfId="0" applyFont="1" applyFill="1"/>
    <xf numFmtId="0" fontId="0" fillId="0" borderId="0" xfId="0" applyFill="1"/>
    <xf numFmtId="164" fontId="17" fillId="0" borderId="0" xfId="0" applyNumberFormat="1" applyFont="1" applyFill="1"/>
    <xf numFmtId="0" fontId="3" fillId="0" borderId="3" xfId="0" applyFont="1" applyFill="1" applyBorder="1" applyAlignment="1">
      <alignment horizontal="center"/>
    </xf>
    <xf numFmtId="17" fontId="3" fillId="0" borderId="3" xfId="0" applyNumberFormat="1" applyFont="1" applyFill="1" applyBorder="1" applyAlignment="1">
      <alignment horizontal="center"/>
    </xf>
    <xf numFmtId="17" fontId="3" fillId="0" borderId="0" xfId="0" applyNumberFormat="1" applyFont="1" applyFill="1" applyBorder="1"/>
    <xf numFmtId="0" fontId="3" fillId="0" borderId="0" xfId="0" applyFont="1" applyFill="1" applyAlignment="1">
      <alignment horizontal="center"/>
    </xf>
    <xf numFmtId="17" fontId="3" fillId="0" borderId="0" xfId="0" applyNumberFormat="1" applyFont="1" applyFill="1" applyAlignment="1">
      <alignment horizontal="center"/>
    </xf>
    <xf numFmtId="17" fontId="3" fillId="0" borderId="0" xfId="0" applyNumberFormat="1" applyFont="1" applyFill="1" applyBorder="1" applyAlignment="1">
      <alignment horizontal="center"/>
    </xf>
    <xf numFmtId="17" fontId="3" fillId="0" borderId="0" xfId="0" applyNumberFormat="1" applyFont="1" applyFill="1"/>
    <xf numFmtId="39" fontId="3" fillId="0" borderId="13" xfId="0" applyNumberFormat="1" applyFont="1" applyFill="1" applyBorder="1"/>
    <xf numFmtId="39" fontId="3" fillId="0" borderId="0" xfId="0" applyNumberFormat="1" applyFont="1" applyFill="1"/>
    <xf numFmtId="181" fontId="3" fillId="0" borderId="0" xfId="1" applyNumberFormat="1" applyFont="1" applyFill="1" applyBorder="1"/>
    <xf numFmtId="181" fontId="3" fillId="0" borderId="0" xfId="0" applyNumberFormat="1" applyFont="1" applyFill="1"/>
    <xf numFmtId="175" fontId="3" fillId="0" borderId="0" xfId="0" applyNumberFormat="1" applyFont="1" applyFill="1" applyBorder="1"/>
    <xf numFmtId="175" fontId="3" fillId="0" borderId="0" xfId="1" applyNumberFormat="1" applyFont="1" applyFill="1"/>
    <xf numFmtId="175" fontId="3" fillId="0" borderId="0" xfId="0" applyNumberFormat="1" applyFont="1" applyFill="1"/>
    <xf numFmtId="174" fontId="3" fillId="0" borderId="0" xfId="0" applyNumberFormat="1" applyFont="1" applyFill="1" applyBorder="1"/>
    <xf numFmtId="174" fontId="3" fillId="0" borderId="0" xfId="0" applyNumberFormat="1" applyFont="1" applyFill="1"/>
    <xf numFmtId="3" fontId="3" fillId="0" borderId="11" xfId="0" applyNumberFormat="1" applyFont="1" applyFill="1" applyBorder="1"/>
    <xf numFmtId="3" fontId="3" fillId="0" borderId="2" xfId="0" applyNumberFormat="1" applyFont="1" applyFill="1" applyBorder="1"/>
    <xf numFmtId="3" fontId="3" fillId="0" borderId="12" xfId="0" applyNumberFormat="1" applyFont="1" applyFill="1" applyBorder="1"/>
    <xf numFmtId="3" fontId="3" fillId="0" borderId="0" xfId="0" applyNumberFormat="1" applyFont="1" applyFill="1"/>
    <xf numFmtId="164" fontId="3" fillId="0" borderId="11" xfId="1" applyNumberFormat="1" applyFont="1" applyFill="1" applyBorder="1"/>
    <xf numFmtId="164" fontId="3" fillId="0" borderId="2" xfId="1" applyNumberFormat="1" applyFont="1" applyFill="1" applyBorder="1"/>
    <xf numFmtId="164" fontId="3" fillId="0" borderId="12" xfId="1" applyNumberFormat="1" applyFont="1" applyFill="1" applyBorder="1"/>
    <xf numFmtId="3" fontId="3" fillId="0" borderId="0" xfId="0" applyNumberFormat="1" applyFont="1" applyFill="1" applyBorder="1"/>
    <xf numFmtId="164" fontId="3" fillId="0" borderId="2" xfId="0" applyNumberFormat="1" applyFont="1" applyFill="1" applyBorder="1"/>
    <xf numFmtId="164" fontId="3" fillId="0" borderId="14" xfId="0" applyNumberFormat="1" applyFont="1" applyFill="1" applyBorder="1"/>
    <xf numFmtId="43" fontId="3" fillId="0" borderId="0" xfId="0" applyNumberFormat="1" applyFont="1" applyFill="1"/>
    <xf numFmtId="164" fontId="21" fillId="0" borderId="0" xfId="1" applyNumberFormat="1" applyFont="1" applyFill="1" applyProtection="1"/>
    <xf numFmtId="37" fontId="17" fillId="0" borderId="0" xfId="3" quotePrefix="1" applyNumberFormat="1" applyFont="1" applyFill="1"/>
    <xf numFmtId="37" fontId="17" fillId="0" borderId="0" xfId="1" quotePrefix="1" applyNumberFormat="1" applyFont="1" applyFill="1"/>
    <xf numFmtId="43" fontId="17" fillId="0" borderId="0" xfId="3" applyNumberFormat="1" applyFont="1" applyFill="1"/>
    <xf numFmtId="0" fontId="22" fillId="0" borderId="0" xfId="6" applyFont="1" applyFill="1" applyBorder="1"/>
    <xf numFmtId="174" fontId="3" fillId="0" borderId="3" xfId="6" applyNumberFormat="1" applyFont="1" applyFill="1" applyBorder="1"/>
    <xf numFmtId="37" fontId="3" fillId="0" borderId="3" xfId="0" applyNumberFormat="1" applyFont="1" applyFill="1" applyBorder="1"/>
    <xf numFmtId="164" fontId="3" fillId="0" borderId="3" xfId="0" applyNumberFormat="1" applyFont="1" applyFill="1" applyBorder="1"/>
    <xf numFmtId="0" fontId="3" fillId="0" borderId="0" xfId="5" applyFont="1" applyFill="1" applyAlignment="1">
      <alignment horizontal="centerContinuous"/>
    </xf>
    <xf numFmtId="0" fontId="3" fillId="0" borderId="0" xfId="5" applyFont="1" applyFill="1" applyBorder="1" applyAlignment="1">
      <alignment horizontal="centerContinuous"/>
    </xf>
    <xf numFmtId="7" fontId="3" fillId="0" borderId="0" xfId="5" applyNumberFormat="1" applyFont="1" applyFill="1" applyProtection="1"/>
    <xf numFmtId="44" fontId="3" fillId="0" borderId="0" xfId="2" applyFont="1" applyFill="1" applyProtection="1"/>
    <xf numFmtId="190" fontId="3" fillId="0" borderId="0" xfId="2" applyNumberFormat="1" applyFont="1" applyFill="1" applyProtection="1"/>
    <xf numFmtId="0" fontId="3" fillId="0" borderId="0" xfId="0" applyFont="1" applyAlignment="1">
      <alignment horizontal="centerContinuous"/>
    </xf>
    <xf numFmtId="44" fontId="3" fillId="0" borderId="0" xfId="2" applyFont="1" applyAlignment="1">
      <alignment horizontal="right"/>
    </xf>
    <xf numFmtId="43" fontId="3" fillId="0" borderId="0" xfId="1" applyFont="1" applyAlignment="1">
      <alignment horizontal="right"/>
    </xf>
    <xf numFmtId="169" fontId="3" fillId="0" borderId="0" xfId="9" applyNumberFormat="1" applyFont="1" applyAlignment="1">
      <alignment horizontal="right"/>
    </xf>
    <xf numFmtId="17" fontId="3" fillId="0" borderId="0" xfId="4" applyNumberFormat="1" applyFont="1" applyFill="1" applyAlignment="1">
      <alignment horizontal="center"/>
    </xf>
    <xf numFmtId="186" fontId="3" fillId="0" borderId="0" xfId="4" applyNumberFormat="1" applyFont="1" applyFill="1"/>
    <xf numFmtId="9" fontId="3" fillId="0" borderId="0" xfId="9" applyFont="1" applyFill="1"/>
    <xf numFmtId="180" fontId="20" fillId="0" borderId="0" xfId="4" applyNumberFormat="1" applyFont="1" applyFill="1"/>
    <xf numFmtId="180" fontId="20" fillId="0" borderId="9" xfId="4" applyNumberFormat="1" applyFont="1" applyFill="1" applyBorder="1"/>
    <xf numFmtId="167" fontId="3" fillId="0" borderId="9" xfId="4" applyNumberFormat="1" applyFont="1" applyFill="1" applyBorder="1"/>
    <xf numFmtId="180" fontId="3" fillId="0" borderId="9" xfId="4" applyNumberFormat="1" applyFont="1" applyFill="1" applyBorder="1"/>
    <xf numFmtId="167" fontId="3" fillId="0" borderId="15" xfId="4" applyNumberFormat="1" applyFont="1" applyFill="1" applyBorder="1"/>
    <xf numFmtId="182" fontId="3" fillId="0" borderId="0" xfId="4" applyNumberFormat="1" applyFont="1" applyFill="1"/>
    <xf numFmtId="44" fontId="3" fillId="0" borderId="0" xfId="2" applyFont="1" applyFill="1"/>
    <xf numFmtId="177" fontId="3" fillId="0" borderId="0" xfId="2" applyNumberFormat="1" applyFont="1" applyFill="1"/>
    <xf numFmtId="5" fontId="3" fillId="0" borderId="0" xfId="2" applyNumberFormat="1" applyFont="1" applyFill="1"/>
    <xf numFmtId="5" fontId="3" fillId="0" borderId="0" xfId="4" applyNumberFormat="1" applyFont="1" applyFill="1"/>
    <xf numFmtId="175" fontId="3" fillId="0" borderId="0" xfId="4" applyNumberFormat="1" applyFont="1" applyFill="1"/>
    <xf numFmtId="184" fontId="3" fillId="0" borderId="0" xfId="4" applyNumberFormat="1" applyFont="1" applyFill="1"/>
    <xf numFmtId="185" fontId="3" fillId="0" borderId="0" xfId="4" applyNumberFormat="1" applyFont="1" applyFill="1"/>
    <xf numFmtId="7" fontId="3" fillId="0" borderId="0" xfId="4" applyNumberFormat="1" applyFont="1" applyFill="1"/>
    <xf numFmtId="183" fontId="3" fillId="0" borderId="0" xfId="4" applyNumberFormat="1" applyFont="1" applyFill="1"/>
    <xf numFmtId="8" fontId="3" fillId="0" borderId="0" xfId="4" applyNumberFormat="1" applyFont="1" applyFill="1"/>
    <xf numFmtId="8" fontId="7" fillId="0" borderId="2" xfId="4" applyNumberFormat="1" applyFont="1" applyFill="1" applyBorder="1"/>
    <xf numFmtId="183" fontId="7" fillId="0" borderId="11" xfId="4" applyNumberFormat="1" applyFont="1" applyFill="1" applyBorder="1"/>
    <xf numFmtId="10" fontId="3" fillId="0" borderId="0" xfId="4" applyNumberFormat="1" applyFont="1" applyFill="1"/>
    <xf numFmtId="0" fontId="3" fillId="0" borderId="0" xfId="4" quotePrefix="1" applyFont="1" applyFill="1" applyAlignment="1">
      <alignment horizontal="right"/>
    </xf>
    <xf numFmtId="41" fontId="3" fillId="0" borderId="3" xfId="4" applyNumberFormat="1" applyFont="1" applyFill="1" applyBorder="1"/>
    <xf numFmtId="164" fontId="3" fillId="0" borderId="3" xfId="4" applyNumberFormat="1" applyFont="1" applyFill="1" applyBorder="1"/>
    <xf numFmtId="37" fontId="17" fillId="0" borderId="0" xfId="8" applyFont="1" applyFill="1" applyAlignment="1">
      <alignment horizontal="right"/>
    </xf>
    <xf numFmtId="37" fontId="18" fillId="0" borderId="0" xfId="8" applyFont="1" applyFill="1" applyAlignment="1">
      <alignment horizontal="center"/>
    </xf>
    <xf numFmtId="37" fontId="18" fillId="0" borderId="0" xfId="8" quotePrefix="1" applyFont="1" applyFill="1" applyAlignment="1">
      <alignment horizontal="center"/>
    </xf>
    <xf numFmtId="37" fontId="17" fillId="0" borderId="0" xfId="8" applyFont="1" applyFill="1" applyAlignment="1">
      <alignment horizontal="center"/>
    </xf>
    <xf numFmtId="37" fontId="17" fillId="0" borderId="1" xfId="8" applyFont="1" applyFill="1" applyBorder="1"/>
    <xf numFmtId="37" fontId="17" fillId="0" borderId="1" xfId="8" applyFont="1" applyFill="1" applyBorder="1" applyAlignment="1">
      <alignment horizontal="center"/>
    </xf>
    <xf numFmtId="17" fontId="17" fillId="0" borderId="0" xfId="8" applyNumberFormat="1" applyFont="1" applyFill="1" applyProtection="1"/>
    <xf numFmtId="10" fontId="3" fillId="0" borderId="0" xfId="0" applyNumberFormat="1" applyFont="1" applyFill="1"/>
    <xf numFmtId="188" fontId="3" fillId="0" borderId="0" xfId="1" applyNumberFormat="1" applyFont="1" applyFill="1"/>
    <xf numFmtId="0" fontId="3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right"/>
    </xf>
    <xf numFmtId="187" fontId="3" fillId="0" borderId="0" xfId="0" applyNumberFormat="1" applyFont="1" applyFill="1"/>
    <xf numFmtId="187" fontId="3" fillId="0" borderId="0" xfId="0" applyNumberFormat="1" applyFont="1" applyFill="1" applyBorder="1"/>
    <xf numFmtId="0" fontId="3" fillId="0" borderId="3" xfId="0" applyFont="1" applyFill="1" applyBorder="1"/>
    <xf numFmtId="0" fontId="3" fillId="0" borderId="13" xfId="0" applyFont="1" applyFill="1" applyBorder="1"/>
    <xf numFmtId="10" fontId="7" fillId="0" borderId="0" xfId="0" applyNumberFormat="1" applyFont="1" applyFill="1"/>
    <xf numFmtId="0" fontId="3" fillId="0" borderId="3" xfId="0" applyFont="1" applyFill="1" applyBorder="1" applyAlignment="1">
      <alignment horizontal="center" wrapText="1"/>
    </xf>
    <xf numFmtId="187" fontId="3" fillId="0" borderId="0" xfId="0" applyNumberFormat="1" applyFont="1" applyFill="1" applyBorder="1" applyAlignment="1">
      <alignment horizontal="left"/>
    </xf>
    <xf numFmtId="2" fontId="3" fillId="0" borderId="0" xfId="0" applyNumberFormat="1" applyFont="1" applyFill="1" applyBorder="1"/>
    <xf numFmtId="2" fontId="3" fillId="0" borderId="0" xfId="0" applyNumberFormat="1" applyFont="1" applyFill="1"/>
    <xf numFmtId="187" fontId="3" fillId="0" borderId="0" xfId="0" applyNumberFormat="1" applyFont="1" applyFill="1" applyAlignment="1">
      <alignment horizontal="left"/>
    </xf>
    <xf numFmtId="16" fontId="3" fillId="0" borderId="0" xfId="0" applyNumberFormat="1" applyFont="1" applyFill="1"/>
    <xf numFmtId="0" fontId="8" fillId="0" borderId="0" xfId="0" applyFont="1" applyFill="1" applyBorder="1"/>
    <xf numFmtId="165" fontId="3" fillId="0" borderId="0" xfId="0" applyNumberFormat="1" applyFont="1" applyFill="1" applyAlignment="1">
      <alignment horizontal="center"/>
    </xf>
    <xf numFmtId="4" fontId="3" fillId="0" borderId="0" xfId="0" applyNumberFormat="1" applyFont="1" applyFill="1"/>
    <xf numFmtId="178" fontId="3" fillId="0" borderId="0" xfId="0" applyNumberFormat="1" applyFont="1" applyFill="1"/>
    <xf numFmtId="9" fontId="3" fillId="0" borderId="0" xfId="9" applyFont="1" applyAlignment="1">
      <alignment horizontal="center"/>
    </xf>
    <xf numFmtId="9" fontId="17" fillId="0" borderId="0" xfId="9" applyFont="1" applyFill="1" applyBorder="1"/>
    <xf numFmtId="9" fontId="8" fillId="0" borderId="0" xfId="9" applyFont="1" applyFill="1" applyBorder="1" applyAlignment="1">
      <alignment horizontal="center"/>
    </xf>
    <xf numFmtId="43" fontId="3" fillId="0" borderId="0" xfId="1" applyNumberFormat="1" applyFont="1" applyFill="1" applyBorder="1" applyProtection="1"/>
    <xf numFmtId="9" fontId="3" fillId="0" borderId="0" xfId="9" applyFont="1"/>
    <xf numFmtId="9" fontId="3" fillId="0" borderId="0" xfId="9" applyFont="1" applyFill="1" applyBorder="1"/>
    <xf numFmtId="43" fontId="3" fillId="0" borderId="0" xfId="9" applyNumberFormat="1" applyFont="1"/>
    <xf numFmtId="43" fontId="3" fillId="0" borderId="0" xfId="1" applyNumberFormat="1" applyFont="1" applyFill="1" applyBorder="1" applyAlignment="1">
      <alignment horizontal="center"/>
    </xf>
    <xf numFmtId="164" fontId="3" fillId="0" borderId="3" xfId="5" applyNumberFormat="1" applyFont="1" applyBorder="1"/>
    <xf numFmtId="164" fontId="3" fillId="0" borderId="0" xfId="6" applyNumberFormat="1" applyFont="1" applyFill="1"/>
    <xf numFmtId="169" fontId="3" fillId="0" borderId="0" xfId="9" applyNumberFormat="1" applyFont="1" applyFill="1" applyProtection="1"/>
    <xf numFmtId="43" fontId="3" fillId="0" borderId="0" xfId="0" applyNumberFormat="1" applyFont="1"/>
    <xf numFmtId="0" fontId="3" fillId="0" borderId="0" xfId="5" applyFont="1" applyBorder="1"/>
    <xf numFmtId="176" fontId="3" fillId="0" borderId="0" xfId="2" applyNumberFormat="1" applyFont="1" applyFill="1" applyAlignment="1" applyProtection="1">
      <alignment horizontal="center"/>
    </xf>
    <xf numFmtId="7" fontId="26" fillId="0" borderId="0" xfId="1" applyNumberFormat="1" applyFont="1" applyFill="1" applyProtection="1"/>
    <xf numFmtId="167" fontId="7" fillId="0" borderId="0" xfId="1" applyNumberFormat="1" applyFont="1" applyFill="1" applyProtection="1"/>
    <xf numFmtId="9" fontId="17" fillId="0" borderId="0" xfId="9" applyFont="1" applyFill="1"/>
    <xf numFmtId="165" fontId="3" fillId="0" borderId="0" xfId="6" applyNumberFormat="1" applyFont="1" applyBorder="1"/>
    <xf numFmtId="3" fontId="3" fillId="5" borderId="0" xfId="6" applyNumberFormat="1" applyFont="1" applyFill="1"/>
    <xf numFmtId="5" fontId="3" fillId="5" borderId="0" xfId="6" applyNumberFormat="1" applyFont="1" applyFill="1" applyBorder="1"/>
    <xf numFmtId="5" fontId="3" fillId="5" borderId="0" xfId="6" applyNumberFormat="1" applyFont="1" applyFill="1"/>
    <xf numFmtId="187" fontId="3" fillId="8" borderId="9" xfId="0" applyNumberFormat="1" applyFont="1" applyFill="1" applyBorder="1"/>
    <xf numFmtId="7" fontId="7" fillId="5" borderId="0" xfId="1" applyNumberFormat="1" applyFont="1" applyFill="1" applyProtection="1"/>
    <xf numFmtId="167" fontId="7" fillId="5" borderId="0" xfId="1" applyNumberFormat="1" applyFont="1" applyFill="1" applyProtection="1"/>
    <xf numFmtId="172" fontId="7" fillId="5" borderId="0" xfId="1" applyNumberFormat="1" applyFont="1" applyFill="1" applyProtection="1"/>
    <xf numFmtId="172" fontId="7" fillId="0" borderId="0" xfId="5" applyNumberFormat="1" applyFont="1" applyFill="1" applyProtection="1"/>
    <xf numFmtId="172" fontId="7" fillId="0" borderId="0" xfId="1" applyNumberFormat="1" applyFont="1" applyFill="1" applyProtection="1"/>
    <xf numFmtId="165" fontId="7" fillId="0" borderId="5" xfId="6" applyNumberFormat="1" applyFont="1" applyFill="1" applyBorder="1" applyAlignment="1">
      <alignment horizontal="center"/>
    </xf>
    <xf numFmtId="3" fontId="3" fillId="0" borderId="10" xfId="6" applyNumberFormat="1" applyFont="1" applyFill="1" applyBorder="1"/>
    <xf numFmtId="174" fontId="3" fillId="5" borderId="13" xfId="0" applyNumberFormat="1" applyFont="1" applyFill="1" applyBorder="1"/>
    <xf numFmtId="173" fontId="3" fillId="0" borderId="13" xfId="0" applyNumberFormat="1" applyFont="1" applyFill="1" applyBorder="1"/>
    <xf numFmtId="7" fontId="3" fillId="5" borderId="0" xfId="6" applyNumberFormat="1" applyFont="1" applyFill="1" applyBorder="1"/>
    <xf numFmtId="1" fontId="3" fillId="5" borderId="0" xfId="6" applyNumberFormat="1" applyFont="1" applyFill="1"/>
    <xf numFmtId="177" fontId="3" fillId="5" borderId="0" xfId="6" applyNumberFormat="1" applyFont="1" applyFill="1"/>
    <xf numFmtId="41" fontId="3" fillId="5" borderId="0" xfId="4" applyNumberFormat="1" applyFont="1" applyFill="1"/>
    <xf numFmtId="10" fontId="3" fillId="5" borderId="0" xfId="9" applyNumberFormat="1" applyFont="1" applyFill="1" applyAlignment="1">
      <alignment horizontal="center"/>
    </xf>
    <xf numFmtId="3" fontId="3" fillId="5" borderId="0" xfId="4" applyNumberFormat="1" applyFont="1" applyFill="1"/>
    <xf numFmtId="166" fontId="3" fillId="5" borderId="0" xfId="4" applyNumberFormat="1" applyFont="1" applyFill="1"/>
    <xf numFmtId="10" fontId="3" fillId="5" borderId="9" xfId="9" applyNumberFormat="1" applyFont="1" applyFill="1" applyBorder="1"/>
    <xf numFmtId="167" fontId="3" fillId="5" borderId="9" xfId="4" applyNumberFormat="1" applyFont="1" applyFill="1" applyBorder="1"/>
    <xf numFmtId="180" fontId="3" fillId="5" borderId="9" xfId="4" applyNumberFormat="1" applyFont="1" applyFill="1" applyBorder="1"/>
    <xf numFmtId="167" fontId="3" fillId="5" borderId="15" xfId="4" applyNumberFormat="1" applyFont="1" applyFill="1" applyBorder="1"/>
    <xf numFmtId="176" fontId="3" fillId="0" borderId="0" xfId="4" applyNumberFormat="1" applyFont="1" applyFill="1"/>
    <xf numFmtId="0" fontId="3" fillId="5" borderId="0" xfId="4" applyFont="1" applyFill="1"/>
    <xf numFmtId="5" fontId="3" fillId="5" borderId="0" xfId="4" applyNumberFormat="1" applyFont="1" applyFill="1"/>
    <xf numFmtId="8" fontId="3" fillId="5" borderId="16" xfId="4" applyNumberFormat="1" applyFont="1" applyFill="1" applyBorder="1"/>
    <xf numFmtId="8" fontId="3" fillId="5" borderId="17" xfId="4" applyNumberFormat="1" applyFont="1" applyFill="1" applyBorder="1"/>
    <xf numFmtId="0" fontId="3" fillId="9" borderId="0" xfId="4" applyFont="1" applyFill="1"/>
    <xf numFmtId="164" fontId="3" fillId="9" borderId="0" xfId="1" applyNumberFormat="1" applyFont="1" applyFill="1"/>
    <xf numFmtId="180" fontId="20" fillId="5" borderId="9" xfId="4" applyNumberFormat="1" applyFont="1" applyFill="1" applyBorder="1"/>
    <xf numFmtId="3" fontId="3" fillId="5" borderId="0" xfId="4" applyNumberFormat="1" applyFont="1" applyFill="1" applyBorder="1"/>
    <xf numFmtId="3" fontId="3" fillId="5" borderId="3" xfId="4" applyNumberFormat="1" applyFont="1" applyFill="1" applyBorder="1"/>
    <xf numFmtId="3" fontId="3" fillId="0" borderId="0" xfId="4" applyNumberFormat="1" applyFont="1" applyFill="1" applyBorder="1"/>
    <xf numFmtId="3" fontId="3" fillId="0" borderId="3" xfId="4" applyNumberFormat="1" applyFont="1" applyFill="1" applyBorder="1"/>
    <xf numFmtId="37" fontId="3" fillId="0" borderId="0" xfId="4" applyNumberFormat="1" applyFont="1" applyFill="1"/>
    <xf numFmtId="3" fontId="3" fillId="0" borderId="0" xfId="4" applyNumberFormat="1" applyFont="1" applyFill="1"/>
    <xf numFmtId="164" fontId="5" fillId="0" borderId="0" xfId="1" applyNumberFormat="1" applyFont="1" applyFill="1" applyAlignment="1">
      <alignment vertical="top"/>
    </xf>
    <xf numFmtId="164" fontId="5" fillId="0" borderId="0" xfId="1" applyNumberFormat="1" applyFont="1" applyFill="1" applyAlignment="1">
      <alignment horizontal="right"/>
    </xf>
    <xf numFmtId="0" fontId="1" fillId="0" borderId="0" xfId="11"/>
    <xf numFmtId="164" fontId="33" fillId="0" borderId="0" xfId="1" applyNumberFormat="1" applyFont="1" applyFill="1" applyAlignment="1">
      <alignment horizontal="right"/>
    </xf>
    <xf numFmtId="164" fontId="1" fillId="0" borderId="0" xfId="1" applyNumberFormat="1" applyFont="1"/>
    <xf numFmtId="43" fontId="1" fillId="0" borderId="0" xfId="1" applyNumberFormat="1" applyFont="1"/>
    <xf numFmtId="0" fontId="33" fillId="0" borderId="0" xfId="11" applyFont="1"/>
    <xf numFmtId="0" fontId="5" fillId="0" borderId="0" xfId="11" applyFont="1" applyFill="1" applyAlignment="1">
      <alignment vertical="top" wrapText="1"/>
    </xf>
    <xf numFmtId="164" fontId="33" fillId="0" borderId="0" xfId="10" applyNumberFormat="1" applyFont="1"/>
    <xf numFmtId="0" fontId="1" fillId="0" borderId="0" xfId="11"/>
    <xf numFmtId="0" fontId="33" fillId="0" borderId="0" xfId="11" applyFont="1" applyAlignment="1">
      <alignment horizontal="center" wrapText="1"/>
    </xf>
    <xf numFmtId="191" fontId="3" fillId="0" borderId="0" xfId="0" applyNumberFormat="1" applyFont="1"/>
    <xf numFmtId="170" fontId="3" fillId="0" borderId="0" xfId="0" applyNumberFormat="1" applyFont="1"/>
    <xf numFmtId="0" fontId="3" fillId="0" borderId="0" xfId="0" applyFont="1" applyAlignment="1">
      <alignment horizontal="center"/>
    </xf>
    <xf numFmtId="7" fontId="3" fillId="0" borderId="0" xfId="0" applyNumberFormat="1" applyFont="1"/>
    <xf numFmtId="190" fontId="3" fillId="0" borderId="0" xfId="0" applyNumberFormat="1" applyFont="1"/>
    <xf numFmtId="175" fontId="3" fillId="0" borderId="0" xfId="0" applyNumberFormat="1" applyFont="1"/>
    <xf numFmtId="0" fontId="7" fillId="0" borderId="3" xfId="0" applyFont="1" applyBorder="1" applyAlignment="1">
      <alignment horizontal="center"/>
    </xf>
    <xf numFmtId="0" fontId="17" fillId="0" borderId="0" xfId="3" applyFont="1" applyFill="1" applyBorder="1" applyAlignment="1">
      <alignment horizontal="center"/>
    </xf>
    <xf numFmtId="0" fontId="17" fillId="0" borderId="5" xfId="3" applyFont="1" applyFill="1" applyBorder="1" applyAlignment="1">
      <alignment horizontal="center"/>
    </xf>
    <xf numFmtId="37" fontId="17" fillId="0" borderId="0" xfId="8" applyFont="1" applyFill="1" applyAlignment="1">
      <alignment horizontal="left" wrapText="1"/>
    </xf>
    <xf numFmtId="0" fontId="3" fillId="0" borderId="0" xfId="0" applyFont="1" applyFill="1" applyAlignment="1">
      <alignment horizontal="center"/>
    </xf>
    <xf numFmtId="10" fontId="25" fillId="0" borderId="11" xfId="0" applyNumberFormat="1" applyFont="1" applyFill="1" applyBorder="1" applyAlignment="1">
      <alignment horizontal="center"/>
    </xf>
    <xf numFmtId="10" fontId="25" fillId="0" borderId="2" xfId="0" applyNumberFormat="1" applyFont="1" applyFill="1" applyBorder="1" applyAlignment="1">
      <alignment horizontal="center"/>
    </xf>
    <xf numFmtId="10" fontId="25" fillId="0" borderId="12" xfId="0" applyNumberFormat="1" applyFont="1" applyFill="1" applyBorder="1" applyAlignment="1">
      <alignment horizontal="center"/>
    </xf>
  </cellXfs>
  <cellStyles count="61">
    <cellStyle name="20% - Accent1 2" xfId="33"/>
    <cellStyle name="20% - Accent2 2" xfId="37"/>
    <cellStyle name="20% - Accent3 2" xfId="41"/>
    <cellStyle name="20% - Accent4 2" xfId="45"/>
    <cellStyle name="20% - Accent5 2" xfId="49"/>
    <cellStyle name="20% - Accent6 2" xfId="53"/>
    <cellStyle name="40% - Accent1 2" xfId="34"/>
    <cellStyle name="40% - Accent2 2" xfId="38"/>
    <cellStyle name="40% - Accent3 2" xfId="42"/>
    <cellStyle name="40% - Accent4 2" xfId="46"/>
    <cellStyle name="40% - Accent5 2" xfId="50"/>
    <cellStyle name="40% - Accent6 2" xfId="54"/>
    <cellStyle name="60% - Accent1 2" xfId="35"/>
    <cellStyle name="60% - Accent2 2" xfId="39"/>
    <cellStyle name="60% - Accent3 2" xfId="43"/>
    <cellStyle name="60% - Accent4 2" xfId="47"/>
    <cellStyle name="60% - Accent5 2" xfId="51"/>
    <cellStyle name="60% - Accent6 2" xfId="55"/>
    <cellStyle name="Accent1 2" xfId="32"/>
    <cellStyle name="Accent2 2" xfId="36"/>
    <cellStyle name="Accent3 2" xfId="40"/>
    <cellStyle name="Accent4 2" xfId="44"/>
    <cellStyle name="Accent5 2" xfId="48"/>
    <cellStyle name="Accent6 2" xfId="52"/>
    <cellStyle name="Bad 2" xfId="22"/>
    <cellStyle name="Calculation 2" xfId="26"/>
    <cellStyle name="Check Cell 2" xfId="28"/>
    <cellStyle name="Comma" xfId="1" builtinId="3"/>
    <cellStyle name="Comma 2" xfId="10"/>
    <cellStyle name="Currency" xfId="2" builtinId="4"/>
    <cellStyle name="Currency 2" xfId="12"/>
    <cellStyle name="Currency 3" xfId="14"/>
    <cellStyle name="Explanatory Text 2" xfId="30"/>
    <cellStyle name="Good 2" xfId="21"/>
    <cellStyle name="Heading 1 2" xfId="17"/>
    <cellStyle name="Heading 2 2" xfId="18"/>
    <cellStyle name="Heading 3 2" xfId="19"/>
    <cellStyle name="Heading 4 2" xfId="20"/>
    <cellStyle name="Input 2" xfId="24"/>
    <cellStyle name="Linked Cell 2" xfId="27"/>
    <cellStyle name="Neutral 2" xfId="23"/>
    <cellStyle name="Normal" xfId="0" builtinId="0"/>
    <cellStyle name="Normal 2" xfId="11"/>
    <cellStyle name="Normal 2 2" xfId="56"/>
    <cellStyle name="Normal_1994 Rate Design Template mock-up" xfId="3"/>
    <cellStyle name="Normal_FY 2004 Gas Cost - Monthly Budget (04 05))" xfId="4"/>
    <cellStyle name="Normal_GenBillFrequency with Rate Design (Final)" xfId="5"/>
    <cellStyle name="Normal_Kentucky - CCS98 as filed" xfId="6"/>
    <cellStyle name="Normal_WKG Handbills 24 Month_August2006 (GS2)" xfId="7"/>
    <cellStyle name="Normal_WTH_998 garysmith" xfId="8"/>
    <cellStyle name="Note 2" xfId="16"/>
    <cellStyle name="Output 2" xfId="25"/>
    <cellStyle name="Percent" xfId="9" builtinId="5"/>
    <cellStyle name="Percent 2" xfId="15"/>
    <cellStyle name="Percent 3" xfId="60"/>
    <cellStyle name="SAPDataCell" xfId="59"/>
    <cellStyle name="SAPDimensionCell" xfId="57"/>
    <cellStyle name="SAPMemberCell" xfId="58"/>
    <cellStyle name="Title" xfId="13" builtinId="15" customBuiltin="1"/>
    <cellStyle name="Total 2" xfId="31"/>
    <cellStyle name="Warning Text 2" xfId="29"/>
  </cellStyles>
  <dxfs count="0"/>
  <tableStyles count="0" defaultTableStyle="TableStyleMedium2" defaultPivotStyle="PivotStyleLight16"/>
  <colors>
    <mruColors>
      <color rgb="FF00FF0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5:W41"/>
  <sheetViews>
    <sheetView workbookViewId="0">
      <selection activeCell="B19" sqref="B19"/>
    </sheetView>
  </sheetViews>
  <sheetFormatPr defaultRowHeight="12.75" x14ac:dyDescent="0.2"/>
  <cols>
    <col min="1" max="1" width="32.140625" customWidth="1"/>
    <col min="2" max="2" width="15.42578125" customWidth="1"/>
    <col min="3" max="3" width="13" customWidth="1"/>
    <col min="4" max="6" width="15.42578125" customWidth="1"/>
    <col min="7" max="7" width="25.42578125" customWidth="1"/>
    <col min="12" max="12" width="11.42578125" bestFit="1" customWidth="1"/>
    <col min="13" max="13" width="12.5703125" bestFit="1" customWidth="1"/>
    <col min="15" max="20" width="15" bestFit="1" customWidth="1"/>
    <col min="21" max="21" width="18.5703125" bestFit="1" customWidth="1"/>
    <col min="22" max="22" width="14.85546875" bestFit="1" customWidth="1"/>
    <col min="23" max="23" width="11.85546875" customWidth="1"/>
  </cols>
  <sheetData>
    <row r="5" spans="1:13" x14ac:dyDescent="0.2">
      <c r="C5" t="s">
        <v>5</v>
      </c>
      <c r="D5" t="s">
        <v>508</v>
      </c>
      <c r="E5" t="s">
        <v>509</v>
      </c>
      <c r="F5" t="s">
        <v>5</v>
      </c>
      <c r="L5">
        <v>1</v>
      </c>
      <c r="M5" t="s">
        <v>510</v>
      </c>
    </row>
    <row r="6" spans="1:13" x14ac:dyDescent="0.2">
      <c r="A6" t="s">
        <v>607</v>
      </c>
      <c r="B6" s="1">
        <v>42582</v>
      </c>
      <c r="C6" s="89">
        <f>MONTH(B6)</f>
        <v>7</v>
      </c>
      <c r="D6">
        <f>DAY(B6)</f>
        <v>31</v>
      </c>
      <c r="E6">
        <f>YEAR(B6)</f>
        <v>2016</v>
      </c>
      <c r="F6" t="str">
        <f>VLOOKUP(C6,$L$5:$M$16,2)</f>
        <v>JULY</v>
      </c>
      <c r="G6" t="str">
        <f>F6&amp;" "&amp;D6&amp;","&amp;" "&amp;E6</f>
        <v>JULY 31, 2016</v>
      </c>
      <c r="L6">
        <v>2</v>
      </c>
      <c r="M6" t="s">
        <v>511</v>
      </c>
    </row>
    <row r="7" spans="1:13" x14ac:dyDescent="0.2">
      <c r="A7" t="s">
        <v>573</v>
      </c>
      <c r="B7" s="1">
        <v>42916</v>
      </c>
      <c r="C7" s="89">
        <f>MONTH(B7)</f>
        <v>6</v>
      </c>
      <c r="D7">
        <f>DAY(B7)</f>
        <v>30</v>
      </c>
      <c r="E7">
        <f>YEAR(B7)</f>
        <v>2017</v>
      </c>
      <c r="F7" t="str">
        <f>VLOOKUP(C7,$L$5:$M$16,2)</f>
        <v>JUNE</v>
      </c>
      <c r="G7" t="str">
        <f>F7&amp;" "&amp;D7&amp;","&amp;" "&amp;E7</f>
        <v>JUNE 30, 2017</v>
      </c>
      <c r="L7">
        <v>3</v>
      </c>
      <c r="M7" t="s">
        <v>512</v>
      </c>
    </row>
    <row r="8" spans="1:13" x14ac:dyDescent="0.2">
      <c r="L8">
        <v>4</v>
      </c>
      <c r="M8" t="s">
        <v>513</v>
      </c>
    </row>
    <row r="9" spans="1:13" x14ac:dyDescent="0.2">
      <c r="A9" t="s">
        <v>606</v>
      </c>
      <c r="B9" s="1">
        <f>'Monthly Forecast'!Y8</f>
        <v>43220</v>
      </c>
      <c r="C9" s="1"/>
      <c r="L9">
        <v>5</v>
      </c>
      <c r="M9" t="s">
        <v>514</v>
      </c>
    </row>
    <row r="10" spans="1:13" x14ac:dyDescent="0.2">
      <c r="A10" t="s">
        <v>608</v>
      </c>
      <c r="B10" s="1">
        <f>'Monthly Forecast'!AJ8</f>
        <v>43555</v>
      </c>
      <c r="L10">
        <v>6</v>
      </c>
      <c r="M10" t="s">
        <v>515</v>
      </c>
    </row>
    <row r="11" spans="1:13" x14ac:dyDescent="0.2">
      <c r="L11">
        <v>7</v>
      </c>
      <c r="M11" t="s">
        <v>516</v>
      </c>
    </row>
    <row r="12" spans="1:13" x14ac:dyDescent="0.2">
      <c r="L12">
        <v>8</v>
      </c>
      <c r="M12" t="s">
        <v>517</v>
      </c>
    </row>
    <row r="13" spans="1:13" x14ac:dyDescent="0.2">
      <c r="L13">
        <v>9</v>
      </c>
      <c r="M13" t="s">
        <v>518</v>
      </c>
    </row>
    <row r="14" spans="1:13" x14ac:dyDescent="0.2">
      <c r="L14">
        <v>10</v>
      </c>
      <c r="M14" t="s">
        <v>519</v>
      </c>
    </row>
    <row r="15" spans="1:13" x14ac:dyDescent="0.2">
      <c r="A15" s="580"/>
      <c r="B15" s="580"/>
      <c r="C15" s="580"/>
      <c r="D15" s="580"/>
      <c r="L15">
        <v>11</v>
      </c>
      <c r="M15" t="s">
        <v>520</v>
      </c>
    </row>
    <row r="16" spans="1:13" x14ac:dyDescent="0.2">
      <c r="A16" s="580"/>
      <c r="B16" s="580"/>
      <c r="C16" s="580"/>
      <c r="D16" s="580"/>
      <c r="L16">
        <v>12</v>
      </c>
      <c r="M16" t="s">
        <v>521</v>
      </c>
    </row>
    <row r="17" spans="1:23" x14ac:dyDescent="0.2">
      <c r="A17" s="580"/>
      <c r="B17" s="580"/>
      <c r="C17" s="580"/>
      <c r="D17" s="580"/>
    </row>
    <row r="18" spans="1:23" x14ac:dyDescent="0.2">
      <c r="A18" s="580"/>
      <c r="B18" s="580"/>
      <c r="C18" s="580"/>
      <c r="D18" s="580"/>
    </row>
    <row r="19" spans="1:23" x14ac:dyDescent="0.2">
      <c r="A19" s="580"/>
      <c r="B19" s="580"/>
      <c r="C19" s="580"/>
      <c r="D19" s="580"/>
    </row>
    <row r="20" spans="1:23" x14ac:dyDescent="0.2">
      <c r="A20" s="580"/>
      <c r="B20" s="580"/>
      <c r="C20" s="580"/>
      <c r="D20" s="580"/>
    </row>
    <row r="21" spans="1:23" x14ac:dyDescent="0.2">
      <c r="A21" s="580"/>
      <c r="B21" s="580"/>
      <c r="C21" s="580"/>
      <c r="D21" s="580"/>
      <c r="L21" t="s">
        <v>610</v>
      </c>
      <c r="O21" t="s">
        <v>94</v>
      </c>
      <c r="P21" t="s">
        <v>124</v>
      </c>
      <c r="Q21" t="s">
        <v>317</v>
      </c>
      <c r="R21" t="s">
        <v>560</v>
      </c>
      <c r="S21" t="s">
        <v>94</v>
      </c>
      <c r="T21" t="s">
        <v>124</v>
      </c>
      <c r="U21" t="s">
        <v>317</v>
      </c>
      <c r="V21" t="s">
        <v>560</v>
      </c>
    </row>
    <row r="22" spans="1:23" x14ac:dyDescent="0.2">
      <c r="A22" s="580"/>
      <c r="B22" s="580"/>
      <c r="C22" s="580"/>
      <c r="D22" s="580"/>
      <c r="H22">
        <f t="shared" ref="H22:H29" si="0">H23-1</f>
        <v>1</v>
      </c>
      <c r="I22">
        <f t="shared" ref="I22:I29" si="1">I23-1</f>
        <v>6</v>
      </c>
      <c r="L22" s="1">
        <v>42644</v>
      </c>
      <c r="M22" s="1">
        <v>43008</v>
      </c>
      <c r="O22" s="89">
        <f>AVERAGEIFS('Monthly Forecast'!$D$12:$CI$12,'Monthly Forecast'!$D$8:$CI$8,"&gt;="&amp;Dashboard!$L22,'Monthly Forecast'!$D$8:$CI$8,"&lt;="&amp;Dashboard!$M22)</f>
        <v>156747.25</v>
      </c>
      <c r="P22" s="89">
        <f>AVERAGEIFS('Monthly Forecast'!$D$21:$CI$21,'Monthly Forecast'!$D$8:$CI$8,"&gt;="&amp;Dashboard!$L22,'Monthly Forecast'!$D$8:$CI$8,"&lt;="&amp;Dashboard!$M22)+AVERAGEIFS('Monthly Forecast'!$D$48:$CI$48,'Monthly Forecast'!$D$8:$CI$8,"&gt;="&amp;Dashboard!$L22,'Monthly Forecast'!$D$8:$CI$8,"&lt;="&amp;Dashboard!$M22)</f>
        <v>17418.583333333336</v>
      </c>
      <c r="Q22" s="89">
        <f>AVERAGEIFS('Monthly Forecast'!$D$30:$CI$30,'Monthly Forecast'!$D$8:$CI$8,"&gt;="&amp;Dashboard!$L22,'Monthly Forecast'!$D$8:$CI$8,"&lt;="&amp;Dashboard!$M22)+AVERAGEIFS('Monthly Forecast'!$D$56:$CI$56,'Monthly Forecast'!$D$8:$CI$8,"&gt;="&amp;Dashboard!$L22,'Monthly Forecast'!$D$8:$CI$8,"&lt;="&amp;Dashboard!$M22)</f>
        <v>211.6101851851852</v>
      </c>
      <c r="R22" s="89">
        <f>AVERAGEIFS('Monthly Forecast'!$D$39:$CI$39,'Monthly Forecast'!$D$8:$CI$8,"&gt;="&amp;Dashboard!$L22,'Monthly Forecast'!$D$8:$CI$8,"&lt;="&amp;Dashboard!$M22)</f>
        <v>1548.5833333333333</v>
      </c>
      <c r="S22" s="89">
        <f>SUMIFS('Monthly Forecast'!$D$16:$CI$16,'Monthly Forecast'!$D$8:$CI$8,"&gt;="&amp;Dashboard!$L22,'Monthly Forecast'!$D$8:$CI$8,"&lt;="&amp;Dashboard!$M22)</f>
        <v>9991895.6245426629</v>
      </c>
      <c r="T22" s="89">
        <f>SUMIFS('Monthly Forecast'!$D$25:$CI$25,'Monthly Forecast'!$D$8:$CI$8,"&gt;="&amp;Dashboard!$L22,'Monthly Forecast'!$D$8:$CI$8,"&lt;="&amp;Dashboard!$M22)+SUMIFS('Monthly Forecast'!$D$51:$CI$51,'Monthly Forecast'!$D$8:$CI$8,"&gt;="&amp;Dashboard!$L22,'Monthly Forecast'!$D$8:$CI$8,"&lt;="&amp;Dashboard!$M22)</f>
        <v>4895832.09</v>
      </c>
      <c r="U22" s="89">
        <f>SUMIFS('Monthly Forecast'!$D$34:$CI$34,'Monthly Forecast'!$D$8:$CI$8,"&gt;="&amp;Dashboard!$L22,'Monthly Forecast'!$D$8:$CI$8,"&lt;="&amp;Dashboard!$M22)+SUMIFS('Monthly Forecast'!$D$59:$CI$59,'Monthly Forecast'!$D$8:$CI$8,"&gt;="&amp;Dashboard!$L22,'Monthly Forecast'!$D$8:$CI$8,"&lt;="&amp;Dashboard!$M22)</f>
        <v>972670.46</v>
      </c>
      <c r="V22" s="89">
        <f>SUMIFS('Monthly Forecast'!$D$43:$CI$43,'Monthly Forecast'!$D$8:$CI$8,"&gt;="&amp;Dashboard!$L22,'Monthly Forecast'!$D$8:$CI$8,"&lt;="&amp;Dashboard!$M22)</f>
        <v>963106.66999999993</v>
      </c>
      <c r="W22" s="89"/>
    </row>
    <row r="23" spans="1:23" x14ac:dyDescent="0.2">
      <c r="A23" s="580"/>
      <c r="B23" s="580"/>
      <c r="C23" s="580"/>
      <c r="D23" s="580"/>
      <c r="H23">
        <f t="shared" si="0"/>
        <v>2</v>
      </c>
      <c r="I23">
        <f t="shared" si="1"/>
        <v>7</v>
      </c>
      <c r="L23" s="1">
        <v>43009</v>
      </c>
      <c r="M23" s="1">
        <v>43373</v>
      </c>
      <c r="O23" s="89">
        <f>AVERAGEIFS('Monthly Forecast'!$D$12:$CI$12,'Monthly Forecast'!$D$8:$CI$8,"&gt;="&amp;Dashboard!$L23,'Monthly Forecast'!$D$8:$CI$8,"&lt;="&amp;Dashboard!$M23)</f>
        <v>157047.25</v>
      </c>
      <c r="P23" s="89">
        <f>AVERAGEIFS('Monthly Forecast'!$D$21:$CI$21,'Monthly Forecast'!$D$8:$CI$8,"&gt;="&amp;Dashboard!$L23,'Monthly Forecast'!$D$8:$CI$8,"&lt;="&amp;Dashboard!$M23)+AVERAGEIFS('Monthly Forecast'!$D$48:$CI$48,'Monthly Forecast'!$D$8:$CI$8,"&gt;="&amp;Dashboard!$L23,'Monthly Forecast'!$D$8:$CI$8,"&lt;="&amp;Dashboard!$M23)</f>
        <v>17418.583333333336</v>
      </c>
      <c r="Q23" s="89">
        <f>AVERAGEIFS('Monthly Forecast'!$D$30:$CI$30,'Monthly Forecast'!$D$8:$CI$8,"&gt;="&amp;Dashboard!$L23,'Monthly Forecast'!$D$8:$CI$8,"&lt;="&amp;Dashboard!$M23)+AVERAGEIFS('Monthly Forecast'!$D$56:$CI$56,'Monthly Forecast'!$D$8:$CI$8,"&gt;="&amp;Dashboard!$L23,'Monthly Forecast'!$D$8:$CI$8,"&lt;="&amp;Dashboard!$M23)</f>
        <v>211.6101851851852</v>
      </c>
      <c r="R23" s="89">
        <f>AVERAGEIFS('Monthly Forecast'!$D$39:$CI$39,'Monthly Forecast'!$D$8:$CI$8,"&gt;="&amp;Dashboard!$L23,'Monthly Forecast'!$D$8:$CI$8,"&lt;="&amp;Dashboard!$M23)</f>
        <v>1548.5833333333333</v>
      </c>
      <c r="S23" s="89">
        <f>SUMIFS('Monthly Forecast'!$D$16:$CI$16,'Monthly Forecast'!$D$8:$CI$8,"&gt;="&amp;Dashboard!$L23,'Monthly Forecast'!$D$8:$CI$8,"&lt;="&amp;Dashboard!$M23)</f>
        <v>10011021.177462989</v>
      </c>
      <c r="T23" s="89">
        <f>SUMIFS('Monthly Forecast'!$D$25:$CI$25,'Monthly Forecast'!$D$8:$CI$8,"&gt;="&amp;Dashboard!$L23,'Monthly Forecast'!$D$8:$CI$8,"&lt;="&amp;Dashboard!$M23)+SUMIFS('Monthly Forecast'!$D$51:$CI$51,'Monthly Forecast'!$D$8:$CI$8,"&gt;="&amp;Dashboard!$L23,'Monthly Forecast'!$D$8:$CI$8,"&lt;="&amp;Dashboard!$M23)</f>
        <v>4895832.09</v>
      </c>
      <c r="U23" s="89">
        <f>SUMIFS('Monthly Forecast'!$D$34:$CI$34,'Monthly Forecast'!$D$8:$CI$8,"&gt;="&amp;Dashboard!$L23,'Monthly Forecast'!$D$8:$CI$8,"&lt;="&amp;Dashboard!$M23)+SUMIFS('Monthly Forecast'!$D$59:$CI$59,'Monthly Forecast'!$D$8:$CI$8,"&gt;="&amp;Dashboard!$L23,'Monthly Forecast'!$D$8:$CI$8,"&lt;="&amp;Dashboard!$M23)</f>
        <v>972670.46</v>
      </c>
      <c r="V23" s="89">
        <f>SUMIFS('Monthly Forecast'!$D$43:$CI$43,'Monthly Forecast'!$D$8:$CI$8,"&gt;="&amp;Dashboard!$L23,'Monthly Forecast'!$D$8:$CI$8,"&lt;="&amp;Dashboard!$M23)</f>
        <v>963106.66999999993</v>
      </c>
      <c r="W23" s="89"/>
    </row>
    <row r="24" spans="1:23" x14ac:dyDescent="0.2">
      <c r="A24" s="580"/>
      <c r="B24" s="580"/>
      <c r="C24" s="580"/>
      <c r="D24" s="580"/>
      <c r="H24">
        <f t="shared" si="0"/>
        <v>3</v>
      </c>
      <c r="I24">
        <f t="shared" si="1"/>
        <v>8</v>
      </c>
      <c r="L24" s="1">
        <v>43374</v>
      </c>
      <c r="M24" s="1">
        <v>43738</v>
      </c>
      <c r="O24" s="89">
        <f>AVERAGEIFS('Monthly Forecast'!$D$12:$CI$12,'Monthly Forecast'!$D$8:$CI$8,"&gt;="&amp;Dashboard!$L24,'Monthly Forecast'!$D$8:$CI$8,"&lt;="&amp;Dashboard!$M24)</f>
        <v>157347.25</v>
      </c>
      <c r="P24" s="89">
        <f>AVERAGEIFS('Monthly Forecast'!$D$21:$CI$21,'Monthly Forecast'!$D$8:$CI$8,"&gt;="&amp;Dashboard!$L24,'Monthly Forecast'!$D$8:$CI$8,"&lt;="&amp;Dashboard!$M24)+AVERAGEIFS('Monthly Forecast'!$D$48:$CI$48,'Monthly Forecast'!$D$8:$CI$8,"&gt;="&amp;Dashboard!$L24,'Monthly Forecast'!$D$8:$CI$8,"&lt;="&amp;Dashboard!$M24)</f>
        <v>17418.583333333336</v>
      </c>
      <c r="Q24" s="89">
        <f>AVERAGEIFS('Monthly Forecast'!$D$30:$CI$30,'Monthly Forecast'!$D$8:$CI$8,"&gt;="&amp;Dashboard!$L24,'Monthly Forecast'!$D$8:$CI$8,"&lt;="&amp;Dashboard!$M24)+AVERAGEIFS('Monthly Forecast'!$D$56:$CI$56,'Monthly Forecast'!$D$8:$CI$8,"&gt;="&amp;Dashboard!$L24,'Monthly Forecast'!$D$8:$CI$8,"&lt;="&amp;Dashboard!$M24)</f>
        <v>211.6101851851852</v>
      </c>
      <c r="R24" s="89">
        <f>AVERAGEIFS('Monthly Forecast'!$D$39:$CI$39,'Monthly Forecast'!$D$8:$CI$8,"&gt;="&amp;Dashboard!$L24,'Monthly Forecast'!$D$8:$CI$8,"&lt;="&amp;Dashboard!$M24)</f>
        <v>1548.5833333333333</v>
      </c>
      <c r="S24" s="89">
        <f>SUMIFS('Monthly Forecast'!$D$16:$CI$16,'Monthly Forecast'!$D$8:$CI$8,"&gt;="&amp;Dashboard!$L24,'Monthly Forecast'!$D$8:$CI$8,"&lt;="&amp;Dashboard!$M24)</f>
        <v>10030146.499525107</v>
      </c>
      <c r="T24" s="89">
        <f>SUMIFS('Monthly Forecast'!$D$25:$CI$25,'Monthly Forecast'!$D$8:$CI$8,"&gt;="&amp;Dashboard!$L24,'Monthly Forecast'!$D$8:$CI$8,"&lt;="&amp;Dashboard!$M24)+SUMIFS('Monthly Forecast'!$D$51:$CI$51,'Monthly Forecast'!$D$8:$CI$8,"&gt;="&amp;Dashboard!$L24,'Monthly Forecast'!$D$8:$CI$8,"&lt;="&amp;Dashboard!$M24)</f>
        <v>4895832.09</v>
      </c>
      <c r="U24" s="89">
        <f>SUMIFS('Monthly Forecast'!$D$34:$CI$34,'Monthly Forecast'!$D$8:$CI$8,"&gt;="&amp;Dashboard!$L24,'Monthly Forecast'!$D$8:$CI$8,"&lt;="&amp;Dashboard!$M24)+SUMIFS('Monthly Forecast'!$D$59:$CI$59,'Monthly Forecast'!$D$8:$CI$8,"&gt;="&amp;Dashboard!$L24,'Monthly Forecast'!$D$8:$CI$8,"&lt;="&amp;Dashboard!$M24)</f>
        <v>972670.46</v>
      </c>
      <c r="V24" s="89">
        <f>SUMIFS('Monthly Forecast'!$D$43:$CI$43,'Monthly Forecast'!$D$8:$CI$8,"&gt;="&amp;Dashboard!$L24,'Monthly Forecast'!$D$8:$CI$8,"&lt;="&amp;Dashboard!$M24)</f>
        <v>963106.66999999993</v>
      </c>
      <c r="W24" s="89"/>
    </row>
    <row r="25" spans="1:23" x14ac:dyDescent="0.2">
      <c r="A25" s="580"/>
      <c r="B25" s="580"/>
      <c r="C25" s="580"/>
      <c r="D25" s="580"/>
      <c r="H25">
        <f t="shared" si="0"/>
        <v>4</v>
      </c>
      <c r="I25">
        <f t="shared" si="1"/>
        <v>9</v>
      </c>
      <c r="L25" s="1">
        <v>43739</v>
      </c>
      <c r="M25" s="1">
        <v>44104</v>
      </c>
      <c r="O25" s="89">
        <f>AVERAGEIFS('Monthly Forecast'!$D$12:$CI$12,'Monthly Forecast'!$D$8:$CI$8,"&gt;="&amp;Dashboard!$L25,'Monthly Forecast'!$D$8:$CI$8,"&lt;="&amp;Dashboard!$M25)</f>
        <v>157647.25</v>
      </c>
      <c r="P25" s="89">
        <f>AVERAGEIFS('Monthly Forecast'!$D$21:$CI$21,'Monthly Forecast'!$D$8:$CI$8,"&gt;="&amp;Dashboard!$L25,'Monthly Forecast'!$D$8:$CI$8,"&lt;="&amp;Dashboard!$M25)+AVERAGEIFS('Monthly Forecast'!$D$48:$CI$48,'Monthly Forecast'!$D$8:$CI$8,"&gt;="&amp;Dashboard!$L25,'Monthly Forecast'!$D$8:$CI$8,"&lt;="&amp;Dashboard!$M25)</f>
        <v>17418.583333333336</v>
      </c>
      <c r="Q25" s="89">
        <f>AVERAGEIFS('Monthly Forecast'!$D$30:$CI$30,'Monthly Forecast'!$D$8:$CI$8,"&gt;="&amp;Dashboard!$L25,'Monthly Forecast'!$D$8:$CI$8,"&lt;="&amp;Dashboard!$M25)+AVERAGEIFS('Monthly Forecast'!$D$56:$CI$56,'Monthly Forecast'!$D$8:$CI$8,"&gt;="&amp;Dashboard!$L25,'Monthly Forecast'!$D$8:$CI$8,"&lt;="&amp;Dashboard!$M25)</f>
        <v>211.6101851851852</v>
      </c>
      <c r="R25" s="89">
        <f>AVERAGEIFS('Monthly Forecast'!$D$39:$CI$39,'Monthly Forecast'!$D$8:$CI$8,"&gt;="&amp;Dashboard!$L25,'Monthly Forecast'!$D$8:$CI$8,"&lt;="&amp;Dashboard!$M25)</f>
        <v>1548.5833333333333</v>
      </c>
      <c r="S25" s="89">
        <f>SUMIFS('Monthly Forecast'!$D$16:$CI$16,'Monthly Forecast'!$D$8:$CI$8,"&gt;="&amp;Dashboard!$L25,'Monthly Forecast'!$D$8:$CI$8,"&lt;="&amp;Dashboard!$M25)</f>
        <v>10049272.308187226</v>
      </c>
      <c r="T25" s="89">
        <f>SUMIFS('Monthly Forecast'!$D$25:$CI$25,'Monthly Forecast'!$D$8:$CI$8,"&gt;="&amp;Dashboard!$L25,'Monthly Forecast'!$D$8:$CI$8,"&lt;="&amp;Dashboard!$M25)+SUMIFS('Monthly Forecast'!$D$51:$CI$51,'Monthly Forecast'!$D$8:$CI$8,"&gt;="&amp;Dashboard!$L25,'Monthly Forecast'!$D$8:$CI$8,"&lt;="&amp;Dashboard!$M25)</f>
        <v>4895832.09</v>
      </c>
      <c r="U25" s="89">
        <f>SUMIFS('Monthly Forecast'!$D$34:$CI$34,'Monthly Forecast'!$D$8:$CI$8,"&gt;="&amp;Dashboard!$L25,'Monthly Forecast'!$D$8:$CI$8,"&lt;="&amp;Dashboard!$M25)+SUMIFS('Monthly Forecast'!$D$59:$CI$59,'Monthly Forecast'!$D$8:$CI$8,"&gt;="&amp;Dashboard!$L25,'Monthly Forecast'!$D$8:$CI$8,"&lt;="&amp;Dashboard!$M25)</f>
        <v>972670.46</v>
      </c>
      <c r="V25" s="89">
        <f>SUMIFS('Monthly Forecast'!$D$43:$CI$43,'Monthly Forecast'!$D$8:$CI$8,"&gt;="&amp;Dashboard!$L25,'Monthly Forecast'!$D$8:$CI$8,"&lt;="&amp;Dashboard!$M25)</f>
        <v>963106.66999999993</v>
      </c>
      <c r="W25" s="89"/>
    </row>
    <row r="26" spans="1:23" x14ac:dyDescent="0.2">
      <c r="A26" s="580"/>
      <c r="B26" s="580"/>
      <c r="C26" s="580"/>
      <c r="D26" s="580"/>
      <c r="H26">
        <f t="shared" si="0"/>
        <v>5</v>
      </c>
      <c r="I26">
        <f t="shared" si="1"/>
        <v>10</v>
      </c>
      <c r="L26" s="1">
        <v>44105</v>
      </c>
      <c r="M26" s="1">
        <v>44469</v>
      </c>
      <c r="O26" s="89">
        <f>AVERAGEIFS('Monthly Forecast'!$D$12:$CI$12,'Monthly Forecast'!$D$8:$CI$8,"&gt;="&amp;Dashboard!$L26,'Monthly Forecast'!$D$8:$CI$8,"&lt;="&amp;Dashboard!$M26)</f>
        <v>157947.25</v>
      </c>
      <c r="P26" s="89">
        <f>AVERAGEIFS('Monthly Forecast'!$D$21:$CI$21,'Monthly Forecast'!$D$8:$CI$8,"&gt;="&amp;Dashboard!$L26,'Monthly Forecast'!$D$8:$CI$8,"&lt;="&amp;Dashboard!$M26)+AVERAGEIFS('Monthly Forecast'!$D$48:$CI$48,'Monthly Forecast'!$D$8:$CI$8,"&gt;="&amp;Dashboard!$L26,'Monthly Forecast'!$D$8:$CI$8,"&lt;="&amp;Dashboard!$M26)</f>
        <v>17418.583333333336</v>
      </c>
      <c r="Q26" s="89">
        <f>AVERAGEIFS('Monthly Forecast'!$D$30:$CI$30,'Monthly Forecast'!$D$8:$CI$8,"&gt;="&amp;Dashboard!$L26,'Monthly Forecast'!$D$8:$CI$8,"&lt;="&amp;Dashboard!$M26)+AVERAGEIFS('Monthly Forecast'!$D$56:$CI$56,'Monthly Forecast'!$D$8:$CI$8,"&gt;="&amp;Dashboard!$L26,'Monthly Forecast'!$D$8:$CI$8,"&lt;="&amp;Dashboard!$M26)</f>
        <v>211.6101851851852</v>
      </c>
      <c r="R26" s="89">
        <f>AVERAGEIFS('Monthly Forecast'!$D$39:$CI$39,'Monthly Forecast'!$D$8:$CI$8,"&gt;="&amp;Dashboard!$L26,'Monthly Forecast'!$D$8:$CI$8,"&lt;="&amp;Dashboard!$M26)</f>
        <v>1548.5833333333333</v>
      </c>
      <c r="S26" s="89">
        <f>SUMIFS('Monthly Forecast'!$D$16:$CI$16,'Monthly Forecast'!$D$8:$CI$8,"&gt;="&amp;Dashboard!$L26,'Monthly Forecast'!$D$8:$CI$8,"&lt;="&amp;Dashboard!$M26)</f>
        <v>10068398.621149346</v>
      </c>
      <c r="T26" s="89">
        <f>SUMIFS('Monthly Forecast'!$D$25:$CI$25,'Monthly Forecast'!$D$8:$CI$8,"&gt;="&amp;Dashboard!$L26,'Monthly Forecast'!$D$8:$CI$8,"&lt;="&amp;Dashboard!$M26)+SUMIFS('Monthly Forecast'!$D$51:$CI$51,'Monthly Forecast'!$D$8:$CI$8,"&gt;="&amp;Dashboard!$L26,'Monthly Forecast'!$D$8:$CI$8,"&lt;="&amp;Dashboard!$M26)</f>
        <v>4895832.09</v>
      </c>
      <c r="U26" s="89">
        <f>SUMIFS('Monthly Forecast'!$D$34:$CI$34,'Monthly Forecast'!$D$8:$CI$8,"&gt;="&amp;Dashboard!$L26,'Monthly Forecast'!$D$8:$CI$8,"&lt;="&amp;Dashboard!$M26)+SUMIFS('Monthly Forecast'!$D$59:$CI$59,'Monthly Forecast'!$D$8:$CI$8,"&gt;="&amp;Dashboard!$L26,'Monthly Forecast'!$D$8:$CI$8,"&lt;="&amp;Dashboard!$M26)</f>
        <v>972670.46</v>
      </c>
      <c r="V26" s="89">
        <f>SUMIFS('Monthly Forecast'!$D$43:$CI$43,'Monthly Forecast'!$D$8:$CI$8,"&gt;="&amp;Dashboard!$L26,'Monthly Forecast'!$D$8:$CI$8,"&lt;="&amp;Dashboard!$M26)</f>
        <v>963106.66999999993</v>
      </c>
      <c r="W26" s="89"/>
    </row>
    <row r="27" spans="1:23" x14ac:dyDescent="0.2">
      <c r="A27" s="580"/>
      <c r="B27" s="580"/>
      <c r="C27" s="580"/>
      <c r="D27" s="580"/>
      <c r="H27">
        <f t="shared" si="0"/>
        <v>6</v>
      </c>
      <c r="I27">
        <f t="shared" si="1"/>
        <v>11</v>
      </c>
      <c r="L27" s="1">
        <v>44470</v>
      </c>
      <c r="M27" s="1">
        <v>44834</v>
      </c>
      <c r="O27" s="89">
        <f>AVERAGEIFS('Monthly Forecast'!$D$12:$CI$12,'Monthly Forecast'!$D$8:$CI$8,"&gt;="&amp;Dashboard!$L27,'Monthly Forecast'!$D$8:$CI$8,"&lt;="&amp;Dashboard!$M27)</f>
        <v>158247.25</v>
      </c>
      <c r="P27" s="89">
        <f>AVERAGEIFS('Monthly Forecast'!$D$21:$CI$21,'Monthly Forecast'!$D$8:$CI$8,"&gt;="&amp;Dashboard!$L27,'Monthly Forecast'!$D$8:$CI$8,"&lt;="&amp;Dashboard!$M27)+AVERAGEIFS('Monthly Forecast'!$D$48:$CI$48,'Monthly Forecast'!$D$8:$CI$8,"&gt;="&amp;Dashboard!$L27,'Monthly Forecast'!$D$8:$CI$8,"&lt;="&amp;Dashboard!$M27)</f>
        <v>17418.583333333336</v>
      </c>
      <c r="Q27" s="89">
        <f>AVERAGEIFS('Monthly Forecast'!$D$30:$CI$30,'Monthly Forecast'!$D$8:$CI$8,"&gt;="&amp;Dashboard!$L27,'Monthly Forecast'!$D$8:$CI$8,"&lt;="&amp;Dashboard!$M27)+AVERAGEIFS('Monthly Forecast'!$D$56:$CI$56,'Monthly Forecast'!$D$8:$CI$8,"&gt;="&amp;Dashboard!$L27,'Monthly Forecast'!$D$8:$CI$8,"&lt;="&amp;Dashboard!$M27)</f>
        <v>211.6101851851852</v>
      </c>
      <c r="R27" s="89">
        <f>AVERAGEIFS('Monthly Forecast'!$D$39:$CI$39,'Monthly Forecast'!$D$8:$CI$8,"&gt;="&amp;Dashboard!$L27,'Monthly Forecast'!$D$8:$CI$8,"&lt;="&amp;Dashboard!$M27)</f>
        <v>1548.5833333333333</v>
      </c>
      <c r="S27" s="89">
        <f>SUMIFS('Monthly Forecast'!$D$16:$CI$16,'Monthly Forecast'!$D$8:$CI$8,"&gt;="&amp;Dashboard!$L27,'Monthly Forecast'!$D$8:$CI$8,"&lt;="&amp;Dashboard!$M27)</f>
        <v>10087541.241311464</v>
      </c>
      <c r="T27" s="89">
        <f>SUMIFS('Monthly Forecast'!$D$25:$CI$25,'Monthly Forecast'!$D$8:$CI$8,"&gt;="&amp;Dashboard!$L27,'Monthly Forecast'!$D$8:$CI$8,"&lt;="&amp;Dashboard!$M27)+SUMIFS('Monthly Forecast'!$D$51:$CI$51,'Monthly Forecast'!$D$8:$CI$8,"&gt;="&amp;Dashboard!$L27,'Monthly Forecast'!$D$8:$CI$8,"&lt;="&amp;Dashboard!$M27)</f>
        <v>4895832.09</v>
      </c>
      <c r="U27" s="89">
        <f>SUMIFS('Monthly Forecast'!$D$34:$CI$34,'Monthly Forecast'!$D$8:$CI$8,"&gt;="&amp;Dashboard!$L27,'Monthly Forecast'!$D$8:$CI$8,"&lt;="&amp;Dashboard!$M27)+SUMIFS('Monthly Forecast'!$D$59:$CI$59,'Monthly Forecast'!$D$8:$CI$8,"&gt;="&amp;Dashboard!$L27,'Monthly Forecast'!$D$8:$CI$8,"&lt;="&amp;Dashboard!$M27)</f>
        <v>972670.46</v>
      </c>
      <c r="V27" s="89">
        <f>SUMIFS('Monthly Forecast'!$D$43:$CI$43,'Monthly Forecast'!$D$8:$CI$8,"&gt;="&amp;Dashboard!$L27,'Monthly Forecast'!$D$8:$CI$8,"&lt;="&amp;Dashboard!$M27)</f>
        <v>963106.66999999993</v>
      </c>
      <c r="W27" s="89"/>
    </row>
    <row r="28" spans="1:23" x14ac:dyDescent="0.2">
      <c r="A28" s="580"/>
      <c r="B28" s="580"/>
      <c r="C28" s="580"/>
      <c r="D28" s="580"/>
      <c r="H28">
        <f t="shared" si="0"/>
        <v>7</v>
      </c>
      <c r="I28">
        <f t="shared" si="1"/>
        <v>12</v>
      </c>
      <c r="L28" s="1"/>
      <c r="M28" s="1"/>
    </row>
    <row r="29" spans="1:23" x14ac:dyDescent="0.2">
      <c r="A29" s="580"/>
      <c r="B29" s="580"/>
      <c r="C29" s="580"/>
      <c r="D29" s="580"/>
      <c r="H29">
        <f t="shared" si="0"/>
        <v>8</v>
      </c>
      <c r="I29">
        <f t="shared" si="1"/>
        <v>13</v>
      </c>
    </row>
    <row r="30" spans="1:23" x14ac:dyDescent="0.2">
      <c r="A30" s="580"/>
      <c r="B30" s="580"/>
      <c r="C30" s="580"/>
      <c r="D30" s="580"/>
      <c r="H30">
        <f>H31-1</f>
        <v>9</v>
      </c>
      <c r="I30">
        <f>I31-1</f>
        <v>14</v>
      </c>
    </row>
    <row r="31" spans="1:23" x14ac:dyDescent="0.2">
      <c r="A31" s="580"/>
      <c r="B31" s="580"/>
      <c r="C31" s="580"/>
      <c r="D31" s="580"/>
      <c r="H31">
        <v>10</v>
      </c>
      <c r="I31">
        <v>15</v>
      </c>
    </row>
    <row r="32" spans="1:23" x14ac:dyDescent="0.2">
      <c r="A32" s="580"/>
      <c r="B32" s="580"/>
      <c r="C32" s="580"/>
      <c r="D32" s="580"/>
      <c r="P32" s="89"/>
      <c r="Q32" s="89"/>
      <c r="R32" s="89"/>
      <c r="S32" s="89"/>
      <c r="T32" s="89"/>
      <c r="U32" s="89"/>
    </row>
    <row r="33" spans="1:21" x14ac:dyDescent="0.2">
      <c r="A33" s="580"/>
      <c r="B33" s="580"/>
      <c r="C33" s="580"/>
      <c r="D33" s="580"/>
      <c r="P33" s="89"/>
      <c r="Q33" s="89"/>
      <c r="R33" s="89"/>
      <c r="S33" s="89"/>
      <c r="T33" s="89"/>
      <c r="U33" s="89"/>
    </row>
    <row r="34" spans="1:21" x14ac:dyDescent="0.2">
      <c r="A34" s="580"/>
      <c r="B34" s="580"/>
      <c r="C34" s="580"/>
      <c r="D34" s="580"/>
      <c r="P34" s="89"/>
      <c r="Q34" s="89"/>
      <c r="R34" s="89"/>
      <c r="S34" s="89"/>
      <c r="T34" s="89"/>
      <c r="U34" s="89"/>
    </row>
    <row r="35" spans="1:21" x14ac:dyDescent="0.2">
      <c r="P35" s="89"/>
      <c r="Q35" s="89"/>
      <c r="R35" s="89"/>
      <c r="S35" s="89"/>
      <c r="T35" s="89"/>
      <c r="U35" s="89"/>
    </row>
    <row r="36" spans="1:21" x14ac:dyDescent="0.2">
      <c r="P36" s="89"/>
      <c r="Q36" s="89"/>
      <c r="R36" s="89"/>
      <c r="S36" s="89"/>
      <c r="T36" s="89"/>
      <c r="U36" s="89"/>
    </row>
    <row r="37" spans="1:21" x14ac:dyDescent="0.2">
      <c r="P37" s="89"/>
      <c r="Q37" s="89"/>
      <c r="R37" s="89"/>
      <c r="S37" s="89"/>
      <c r="T37" s="89"/>
      <c r="U37" s="89"/>
    </row>
    <row r="38" spans="1:21" x14ac:dyDescent="0.2">
      <c r="P38" s="89"/>
      <c r="Q38" s="89"/>
      <c r="R38" s="89"/>
      <c r="S38" s="89"/>
      <c r="T38" s="89"/>
      <c r="U38" s="89"/>
    </row>
    <row r="39" spans="1:21" x14ac:dyDescent="0.2">
      <c r="P39" s="89"/>
      <c r="Q39" s="89"/>
      <c r="R39" s="89"/>
      <c r="S39" s="89"/>
      <c r="T39" s="89"/>
      <c r="U39" s="89"/>
    </row>
    <row r="40" spans="1:21" x14ac:dyDescent="0.2">
      <c r="P40" s="89"/>
      <c r="Q40" s="89"/>
      <c r="R40" s="89"/>
      <c r="S40" s="89"/>
      <c r="T40" s="89"/>
      <c r="U40" s="89"/>
    </row>
    <row r="41" spans="1:21" x14ac:dyDescent="0.2">
      <c r="P41" s="89"/>
      <c r="Q41" s="89"/>
      <c r="R41" s="89"/>
      <c r="S41" s="89"/>
      <c r="T41" s="89"/>
      <c r="U41" s="89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7"/>
  <dimension ref="A1:CM4097"/>
  <sheetViews>
    <sheetView showGridLines="0" view="pageBreakPreview" zoomScale="110" zoomScaleNormal="100" zoomScaleSheetLayoutView="110" workbookViewId="0">
      <pane xSplit="3" ySplit="10" topLeftCell="D68" activePane="bottomRight" state="frozen"/>
      <selection activeCell="E28" sqref="E28"/>
      <selection pane="topRight" activeCell="E28" sqref="E28"/>
      <selection pane="bottomLeft" activeCell="E28" sqref="E28"/>
      <selection pane="bottomRight" activeCell="Y47" sqref="Y47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3" width="8.5703125" style="3" customWidth="1"/>
    <col min="4" max="15" width="10.5703125" style="3" customWidth="1"/>
    <col min="16" max="16" width="11.42578125" style="3" bestFit="1" customWidth="1"/>
    <col min="17" max="17" width="10.5703125" style="2" customWidth="1"/>
    <col min="18" max="29" width="10.5703125" style="205" customWidth="1"/>
    <col min="30" max="50" width="10.5703125" style="18" customWidth="1"/>
    <col min="51" max="63" width="10.5703125" style="3" customWidth="1"/>
    <col min="64" max="67" width="9.5703125" style="3" customWidth="1"/>
    <col min="68" max="16384" width="12.5703125" style="3"/>
  </cols>
  <sheetData>
    <row r="1" spans="1:9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71"/>
      <c r="Q1" s="71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</row>
    <row r="2" spans="1:9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71"/>
      <c r="Q2" s="71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</row>
    <row r="3" spans="1:9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72" t="s">
        <v>715</v>
      </c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</row>
    <row r="4" spans="1:91" x14ac:dyDescent="0.2">
      <c r="A4" s="8"/>
      <c r="B4" s="2"/>
      <c r="C4" s="20"/>
      <c r="D4" s="19"/>
      <c r="E4" s="19"/>
      <c r="F4" s="19"/>
      <c r="G4" s="19"/>
      <c r="H4" s="19"/>
      <c r="I4" s="19"/>
      <c r="J4" s="5" t="s">
        <v>93</v>
      </c>
      <c r="K4" s="19"/>
      <c r="L4" s="19"/>
      <c r="M4" s="19"/>
      <c r="N4" s="19"/>
      <c r="O4" s="19"/>
      <c r="P4" s="72"/>
      <c r="Q4" s="72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</row>
    <row r="5" spans="1:91" x14ac:dyDescent="0.2">
      <c r="A5" s="8"/>
      <c r="B5" s="19"/>
      <c r="C5" s="20"/>
      <c r="D5" s="19"/>
      <c r="E5" s="19"/>
      <c r="F5" s="19"/>
      <c r="G5" s="19"/>
      <c r="H5" s="19"/>
      <c r="I5" s="19"/>
      <c r="J5" s="5" t="s">
        <v>293</v>
      </c>
      <c r="K5" s="19"/>
      <c r="L5" s="19"/>
      <c r="M5" s="19"/>
      <c r="N5" s="19"/>
      <c r="O5" s="19"/>
      <c r="P5" s="19"/>
      <c r="Q5" s="19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</row>
    <row r="6" spans="1:91" x14ac:dyDescent="0.2">
      <c r="A6" s="8"/>
      <c r="B6" s="19"/>
      <c r="C6" s="74"/>
      <c r="D6" s="19"/>
      <c r="E6" s="19"/>
      <c r="F6" s="19"/>
      <c r="G6" s="19"/>
      <c r="H6" s="19"/>
      <c r="I6" s="19"/>
      <c r="J6" s="5" t="str">
        <f>'Test Year Revenue Present'!G6</f>
        <v>TEST YEAR ENDING MAR, 31 2019</v>
      </c>
      <c r="K6" s="19"/>
      <c r="L6" s="19"/>
      <c r="M6" s="19"/>
      <c r="N6" s="19"/>
      <c r="O6" s="19"/>
      <c r="P6" s="19"/>
      <c r="Q6" s="19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</row>
    <row r="7" spans="1:91" x14ac:dyDescent="0.2">
      <c r="A7" s="2"/>
      <c r="B7" s="2"/>
      <c r="C7" s="2"/>
      <c r="D7" s="2"/>
      <c r="E7" s="2"/>
      <c r="F7" s="2"/>
      <c r="G7" s="2"/>
      <c r="H7" s="2"/>
      <c r="I7" s="2"/>
      <c r="J7" s="126" t="s">
        <v>397</v>
      </c>
      <c r="K7" s="2"/>
      <c r="L7" s="2"/>
      <c r="M7" s="2"/>
      <c r="N7" s="2"/>
      <c r="O7" s="2"/>
      <c r="P7" s="2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</row>
    <row r="8" spans="1:91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5" t="s">
        <v>19</v>
      </c>
      <c r="Q8" s="5" t="s">
        <v>19</v>
      </c>
      <c r="V8" s="746" t="s">
        <v>170</v>
      </c>
      <c r="W8" s="746" t="s">
        <v>171</v>
      </c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</row>
    <row r="9" spans="1:91" x14ac:dyDescent="0.2">
      <c r="A9" s="9" t="s">
        <v>17</v>
      </c>
      <c r="B9" s="10" t="s">
        <v>27</v>
      </c>
      <c r="C9" s="11" t="s">
        <v>6</v>
      </c>
      <c r="D9" s="66">
        <f>'Summary of Revenue'!T7</f>
        <v>43220</v>
      </c>
      <c r="E9" s="66">
        <f>'Summary of Revenue'!U7</f>
        <v>43251</v>
      </c>
      <c r="F9" s="66">
        <f>'Summary of Revenue'!V7</f>
        <v>43281</v>
      </c>
      <c r="G9" s="66">
        <f>'Summary of Revenue'!W7</f>
        <v>43312</v>
      </c>
      <c r="H9" s="66">
        <f>'Summary of Revenue'!X7</f>
        <v>43343</v>
      </c>
      <c r="I9" s="66">
        <f>'Summary of Revenue'!Y7</f>
        <v>43373</v>
      </c>
      <c r="J9" s="66">
        <f>'Summary of Revenue'!Z7</f>
        <v>43404</v>
      </c>
      <c r="K9" s="66">
        <f>'Summary of Revenue'!AA7</f>
        <v>43434</v>
      </c>
      <c r="L9" s="66">
        <f>'Summary of Revenue'!AB7</f>
        <v>43465</v>
      </c>
      <c r="M9" s="66">
        <f>'Summary of Revenue'!AC7</f>
        <v>43496</v>
      </c>
      <c r="N9" s="66">
        <f>'Summary of Revenue'!AD7</f>
        <v>43524</v>
      </c>
      <c r="O9" s="66">
        <f>'Summary of Revenue'!AE7</f>
        <v>43555</v>
      </c>
      <c r="P9" s="66" t="s">
        <v>347</v>
      </c>
      <c r="Q9" s="66" t="s">
        <v>22</v>
      </c>
      <c r="V9" s="746" t="s">
        <v>66</v>
      </c>
      <c r="W9" s="746" t="s">
        <v>66</v>
      </c>
      <c r="Y9" s="746" t="s">
        <v>170</v>
      </c>
      <c r="Z9" s="746" t="s">
        <v>171</v>
      </c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</row>
    <row r="10" spans="1:91" x14ac:dyDescent="0.2">
      <c r="A10" s="2"/>
      <c r="B10" s="82"/>
      <c r="C10" s="82"/>
      <c r="D10" s="82" t="s">
        <v>13</v>
      </c>
      <c r="E10" s="82" t="s">
        <v>14</v>
      </c>
      <c r="F10" s="5" t="s">
        <v>15</v>
      </c>
      <c r="G10" s="96" t="s">
        <v>16</v>
      </c>
      <c r="H10" s="97" t="s">
        <v>108</v>
      </c>
      <c r="I10" s="97" t="s">
        <v>109</v>
      </c>
      <c r="J10" s="97" t="s">
        <v>110</v>
      </c>
      <c r="K10" s="97" t="s">
        <v>111</v>
      </c>
      <c r="L10" s="97" t="s">
        <v>112</v>
      </c>
      <c r="M10" s="97" t="s">
        <v>113</v>
      </c>
      <c r="N10" s="97" t="s">
        <v>114</v>
      </c>
      <c r="O10" s="97" t="s">
        <v>115</v>
      </c>
      <c r="P10" s="97" t="s">
        <v>116</v>
      </c>
      <c r="Q10" s="97" t="s">
        <v>234</v>
      </c>
      <c r="Y10" s="746"/>
      <c r="Z10" s="74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</row>
    <row r="11" spans="1:91" x14ac:dyDescent="0.2">
      <c r="A11" s="2"/>
      <c r="B11" s="2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50"/>
      <c r="Q11" s="45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</row>
    <row r="12" spans="1:91" x14ac:dyDescent="0.2">
      <c r="A12" s="5">
        <v>1</v>
      </c>
      <c r="B12" s="36" t="s">
        <v>30</v>
      </c>
      <c r="C12" s="16"/>
      <c r="D12" s="103">
        <f t="shared" ref="D12:O12" si="0">D13*$C$13+D14*$C$14+D15*$C$15+D16*$C$16</f>
        <v>4352793.4047424188</v>
      </c>
      <c r="E12" s="103">
        <f t="shared" si="0"/>
        <v>3668731.4377885461</v>
      </c>
      <c r="F12" s="103">
        <f t="shared" si="0"/>
        <v>3304515.973910789</v>
      </c>
      <c r="G12" s="103">
        <f t="shared" si="0"/>
        <v>3191700.6416945672</v>
      </c>
      <c r="H12" s="103">
        <f t="shared" si="0"/>
        <v>3209506.9910922712</v>
      </c>
      <c r="I12" s="103">
        <f t="shared" si="0"/>
        <v>3166159.9646852249</v>
      </c>
      <c r="J12" s="103">
        <f t="shared" si="0"/>
        <v>3438615.8985624933</v>
      </c>
      <c r="K12" s="103">
        <f t="shared" si="0"/>
        <v>4296699.8020489784</v>
      </c>
      <c r="L12" s="103">
        <f t="shared" si="0"/>
        <v>5357110.7311759368</v>
      </c>
      <c r="M12" s="103">
        <f t="shared" si="0"/>
        <v>5983319.1790635744</v>
      </c>
      <c r="N12" s="103">
        <f t="shared" si="0"/>
        <v>6127417.2551755738</v>
      </c>
      <c r="O12" s="103">
        <f t="shared" si="0"/>
        <v>5238059.1318722926</v>
      </c>
      <c r="P12" s="103">
        <f>SUM(D12:O12)</f>
        <v>51334630.411812663</v>
      </c>
      <c r="Q12" s="103"/>
      <c r="R12" s="211"/>
      <c r="S12" s="207">
        <f>(P12+P19)/P13</f>
        <v>52.152057057397776</v>
      </c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31"/>
      <c r="BM12" s="131"/>
      <c r="BN12" s="131"/>
      <c r="BO12" s="131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</row>
    <row r="13" spans="1:91" x14ac:dyDescent="0.2">
      <c r="A13" s="5">
        <v>2</v>
      </c>
      <c r="B13" s="2" t="s">
        <v>23</v>
      </c>
      <c r="C13" s="12">
        <f>'Rate Design'!G12</f>
        <v>19.059999999999999</v>
      </c>
      <c r="D13" s="71">
        <f>'Monthly Forecast'!Y12</f>
        <v>157594</v>
      </c>
      <c r="E13" s="71">
        <f>'Monthly Forecast'!Z12</f>
        <v>159580</v>
      </c>
      <c r="F13" s="71">
        <f>'Monthly Forecast'!AA12</f>
        <v>157189</v>
      </c>
      <c r="G13" s="71">
        <f>'Monthly Forecast'!AB12</f>
        <v>155047</v>
      </c>
      <c r="H13" s="71">
        <f>'Monthly Forecast'!AC12</f>
        <v>155912</v>
      </c>
      <c r="I13" s="71">
        <f>'Monthly Forecast'!AD12</f>
        <v>153510</v>
      </c>
      <c r="J13" s="71">
        <f>'Monthly Forecast'!AE12</f>
        <v>153825</v>
      </c>
      <c r="K13" s="71">
        <f>'Monthly Forecast'!AF12</f>
        <v>155116</v>
      </c>
      <c r="L13" s="71">
        <f>'Monthly Forecast'!AG12</f>
        <v>158490</v>
      </c>
      <c r="M13" s="71">
        <f>'Monthly Forecast'!AH12</f>
        <v>159482</v>
      </c>
      <c r="N13" s="71">
        <f>'Monthly Forecast'!AI12</f>
        <v>160183</v>
      </c>
      <c r="O13" s="71">
        <f>'Monthly Forecast'!AJ12</f>
        <v>160439</v>
      </c>
      <c r="P13" s="71">
        <f>ROUND((SUM(D13:O13)),0)</f>
        <v>1886367</v>
      </c>
      <c r="Q13" s="71">
        <f>P13*C13</f>
        <v>35954155.019999996</v>
      </c>
      <c r="R13" s="211"/>
      <c r="S13" s="353"/>
      <c r="T13" s="207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7"/>
      <c r="BM13" s="137"/>
      <c r="BN13" s="137"/>
      <c r="BO13" s="137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</row>
    <row r="14" spans="1:91" x14ac:dyDescent="0.2">
      <c r="A14" s="5">
        <v>3</v>
      </c>
      <c r="B14" s="2" t="s">
        <v>24</v>
      </c>
      <c r="C14" s="15">
        <f>'Rate Design'!G19</f>
        <v>1.534</v>
      </c>
      <c r="D14" s="71">
        <f>'Monthly Forecast'!Y13</f>
        <v>879434.00569909997</v>
      </c>
      <c r="E14" s="71">
        <f>'Monthly Forecast'!Z13</f>
        <v>408824.40533803555</v>
      </c>
      <c r="F14" s="71">
        <f>'Monthly Forecast'!AA13</f>
        <v>201104.06382711162</v>
      </c>
      <c r="G14" s="71">
        <f>'Monthly Forecast'!AB13</f>
        <v>154175.24230415092</v>
      </c>
      <c r="H14" s="71">
        <f>'Monthly Forecast'!AC13</f>
        <v>155035.37880852114</v>
      </c>
      <c r="I14" s="71">
        <f>'Monthly Forecast'!AD13</f>
        <v>156622.79314551849</v>
      </c>
      <c r="J14" s="71">
        <f>'Monthly Forecast'!AE13</f>
        <v>330320.33804595389</v>
      </c>
      <c r="K14" s="71">
        <f>'Monthly Forecast'!AF13</f>
        <v>873656.35074900824</v>
      </c>
      <c r="L14" s="71">
        <f>'Monthly Forecast'!AG13</f>
        <v>1523006.0829047831</v>
      </c>
      <c r="M14" s="71">
        <f>'Monthly Forecast'!AH13</f>
        <v>1918899.7777467889</v>
      </c>
      <c r="N14" s="71">
        <f>'Monthly Forecast'!AI13</f>
        <v>2004125.9942474405</v>
      </c>
      <c r="O14" s="71">
        <f>'Monthly Forecast'!AJ13</f>
        <v>1421181.0898776357</v>
      </c>
      <c r="P14" s="71">
        <f>SUM(D14:O14)</f>
        <v>10026385.522694048</v>
      </c>
      <c r="Q14" s="71">
        <f>P14*C14</f>
        <v>15380475.391812669</v>
      </c>
      <c r="R14" s="211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</row>
    <row r="15" spans="1:91" x14ac:dyDescent="0.2">
      <c r="A15" s="5">
        <v>4</v>
      </c>
      <c r="B15" s="2" t="s">
        <v>25</v>
      </c>
      <c r="C15" s="15">
        <f>'Rate Design'!G20</f>
        <v>0.95</v>
      </c>
      <c r="D15" s="71">
        <f>'Monthly Forecast'!Y14</f>
        <v>0</v>
      </c>
      <c r="E15" s="71">
        <f>'Monthly Forecast'!Z14</f>
        <v>0</v>
      </c>
      <c r="F15" s="71">
        <f>'Monthly Forecast'!AA14</f>
        <v>0</v>
      </c>
      <c r="G15" s="71">
        <f>'Monthly Forecast'!AB14</f>
        <v>0</v>
      </c>
      <c r="H15" s="71">
        <f>'Monthly Forecast'!AC14</f>
        <v>0</v>
      </c>
      <c r="I15" s="71">
        <f>'Monthly Forecast'!AD14</f>
        <v>0</v>
      </c>
      <c r="J15" s="71">
        <f>'Monthly Forecast'!AE14</f>
        <v>0</v>
      </c>
      <c r="K15" s="71">
        <f>'Monthly Forecast'!AF14</f>
        <v>0</v>
      </c>
      <c r="L15" s="71">
        <f>'Monthly Forecast'!AG14</f>
        <v>0</v>
      </c>
      <c r="M15" s="71">
        <f>'Monthly Forecast'!AH14</f>
        <v>0</v>
      </c>
      <c r="N15" s="71">
        <f>'Monthly Forecast'!AI14</f>
        <v>0</v>
      </c>
      <c r="O15" s="71">
        <f>'Monthly Forecast'!AJ14</f>
        <v>0</v>
      </c>
      <c r="P15" s="71">
        <f>SUM(D15:O15)</f>
        <v>0</v>
      </c>
      <c r="Q15" s="71">
        <f>P15*C15</f>
        <v>0</v>
      </c>
      <c r="R15" s="211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</row>
    <row r="16" spans="1:91" x14ac:dyDescent="0.2">
      <c r="A16" s="5">
        <v>5</v>
      </c>
      <c r="B16" s="2" t="s">
        <v>81</v>
      </c>
      <c r="C16" s="15">
        <f>'Rate Design'!G21</f>
        <v>0.74</v>
      </c>
      <c r="D16" s="71">
        <f>'Monthly Forecast'!Y15</f>
        <v>0</v>
      </c>
      <c r="E16" s="71">
        <f>'Monthly Forecast'!Z15</f>
        <v>0</v>
      </c>
      <c r="F16" s="71">
        <f>'Monthly Forecast'!AA15</f>
        <v>0</v>
      </c>
      <c r="G16" s="71">
        <f>'Monthly Forecast'!AB15</f>
        <v>0</v>
      </c>
      <c r="H16" s="71">
        <f>'Monthly Forecast'!AC15</f>
        <v>0</v>
      </c>
      <c r="I16" s="71">
        <f>'Monthly Forecast'!AD15</f>
        <v>0</v>
      </c>
      <c r="J16" s="71">
        <f>'Monthly Forecast'!AE15</f>
        <v>0</v>
      </c>
      <c r="K16" s="71">
        <f>'Monthly Forecast'!AF15</f>
        <v>0</v>
      </c>
      <c r="L16" s="71">
        <f>'Monthly Forecast'!AG15</f>
        <v>0</v>
      </c>
      <c r="M16" s="71">
        <f>'Monthly Forecast'!AH15</f>
        <v>0</v>
      </c>
      <c r="N16" s="71">
        <f>'Monthly Forecast'!AI15</f>
        <v>0</v>
      </c>
      <c r="O16" s="71">
        <f>'Monthly Forecast'!AJ15</f>
        <v>0</v>
      </c>
      <c r="P16" s="71">
        <f>SUM(D16:O16)</f>
        <v>0</v>
      </c>
      <c r="Q16" s="71">
        <f>P16*C16</f>
        <v>0</v>
      </c>
      <c r="R16" s="211"/>
      <c r="S16" s="206"/>
      <c r="T16" s="206"/>
      <c r="U16" s="206"/>
      <c r="V16" s="207">
        <f>'Summary of Rates'!D11</f>
        <v>19.059999999999999</v>
      </c>
      <c r="W16" s="207">
        <f>'Summary of Rates'!E11</f>
        <v>20.5</v>
      </c>
      <c r="X16" s="206"/>
      <c r="Y16" s="747">
        <f>V16+U17*(V17+V18)</f>
        <v>54.089181038876774</v>
      </c>
      <c r="Z16" s="747">
        <f>W16+U17*(W17+W18)</f>
        <v>57.075899247530742</v>
      </c>
      <c r="AA16" s="375">
        <f>(Z16-Y16)/Y16</f>
        <v>5.5218403223876791E-2</v>
      </c>
      <c r="AB16" s="206"/>
      <c r="AC16" s="206"/>
      <c r="AD16" s="206"/>
      <c r="AE16" s="206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</row>
    <row r="17" spans="1:91" x14ac:dyDescent="0.2">
      <c r="A17" s="5">
        <v>6</v>
      </c>
      <c r="B17" s="33" t="s">
        <v>79</v>
      </c>
      <c r="C17" s="33"/>
      <c r="D17" s="32">
        <f t="shared" ref="D17:P17" si="1">D14+D15+D16</f>
        <v>879434.00569909997</v>
      </c>
      <c r="E17" s="32">
        <f t="shared" si="1"/>
        <v>408824.40533803555</v>
      </c>
      <c r="F17" s="32">
        <f t="shared" si="1"/>
        <v>201104.06382711162</v>
      </c>
      <c r="G17" s="32">
        <f t="shared" si="1"/>
        <v>154175.24230415092</v>
      </c>
      <c r="H17" s="32">
        <f t="shared" si="1"/>
        <v>155035.37880852114</v>
      </c>
      <c r="I17" s="32">
        <f t="shared" si="1"/>
        <v>156622.79314551849</v>
      </c>
      <c r="J17" s="32">
        <f t="shared" si="1"/>
        <v>330320.33804595389</v>
      </c>
      <c r="K17" s="32">
        <f t="shared" si="1"/>
        <v>873656.35074900824</v>
      </c>
      <c r="L17" s="32">
        <f t="shared" si="1"/>
        <v>1523006.0829047831</v>
      </c>
      <c r="M17" s="32">
        <f t="shared" si="1"/>
        <v>1918899.7777467889</v>
      </c>
      <c r="N17" s="32">
        <f t="shared" si="1"/>
        <v>2004125.9942474405</v>
      </c>
      <c r="O17" s="32">
        <f t="shared" si="1"/>
        <v>1421181.0898776357</v>
      </c>
      <c r="P17" s="32">
        <f t="shared" si="1"/>
        <v>10026385.522694048</v>
      </c>
      <c r="Q17" s="32">
        <f>SUM(Q13:Q16)</f>
        <v>51334630.411812663</v>
      </c>
      <c r="R17" s="211"/>
      <c r="S17" s="206"/>
      <c r="T17" s="206"/>
      <c r="U17" s="744">
        <f>P17/(P13)</f>
        <v>5.3151828476081526</v>
      </c>
      <c r="V17" s="745">
        <f>'Summary of Rates'!D19</f>
        <v>1.534</v>
      </c>
      <c r="W17" s="745">
        <f>'Summary of Rates'!E19</f>
        <v>1.825</v>
      </c>
      <c r="X17" s="206"/>
      <c r="Y17" s="206"/>
      <c r="Z17" s="206"/>
      <c r="AA17" s="206"/>
      <c r="AB17" s="206"/>
      <c r="AC17" s="206"/>
      <c r="AD17" s="206"/>
      <c r="AE17" s="206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</row>
    <row r="18" spans="1:91" x14ac:dyDescent="0.2">
      <c r="A18" s="5">
        <v>7</v>
      </c>
      <c r="B18" s="17" t="s">
        <v>226</v>
      </c>
      <c r="C18" s="17"/>
      <c r="D18" s="95">
        <f>'Monthly Forecast'!Y17</f>
        <v>4.6493144113040463</v>
      </c>
      <c r="E18" s="95">
        <f>'Monthly Forecast'!Z17</f>
        <v>4.8747402727505156</v>
      </c>
      <c r="F18" s="95">
        <f>'Monthly Forecast'!AA17</f>
        <v>4.8747402727505156</v>
      </c>
      <c r="G18" s="95">
        <f>'Monthly Forecast'!AB17</f>
        <v>4.8747402727505156</v>
      </c>
      <c r="H18" s="95">
        <f>'Monthly Forecast'!AC17</f>
        <v>4.8549770121409086</v>
      </c>
      <c r="I18" s="95">
        <f>'Monthly Forecast'!AD17</f>
        <v>4.8549770121409086</v>
      </c>
      <c r="J18" s="95">
        <f>'Monthly Forecast'!AE17</f>
        <v>4.8549770121409086</v>
      </c>
      <c r="K18" s="95">
        <f>'Monthly Forecast'!AF17</f>
        <v>4.6982867815053471</v>
      </c>
      <c r="L18" s="95">
        <f>'Monthly Forecast'!AG17</f>
        <v>4.6982867815053471</v>
      </c>
      <c r="M18" s="95">
        <f>'Monthly Forecast'!AH17</f>
        <v>4.6982867815053471</v>
      </c>
      <c r="N18" s="95">
        <f>'Monthly Forecast'!AI17</f>
        <v>4.6235786988289602</v>
      </c>
      <c r="O18" s="95">
        <f>'Monthly Forecast'!AJ17</f>
        <v>4.6235786988289602</v>
      </c>
      <c r="P18" s="95"/>
      <c r="Q18" s="95"/>
      <c r="R18" s="211"/>
      <c r="S18" s="206"/>
      <c r="T18" s="206"/>
      <c r="U18" s="206"/>
      <c r="V18" s="745">
        <v>5.0564</v>
      </c>
      <c r="W18" s="745">
        <f>V18</f>
        <v>5.0564</v>
      </c>
      <c r="X18" s="206"/>
      <c r="Y18" s="206"/>
      <c r="Z18" s="206"/>
      <c r="AA18" s="206"/>
      <c r="AB18" s="206"/>
      <c r="AC18" s="206"/>
      <c r="AD18" s="206"/>
      <c r="AE18" s="206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</row>
    <row r="19" spans="1:91" x14ac:dyDescent="0.2">
      <c r="A19" s="5">
        <v>8</v>
      </c>
      <c r="B19" s="17" t="s">
        <v>218</v>
      </c>
      <c r="C19" s="17"/>
      <c r="D19" s="39">
        <f t="shared" ref="D19:O19" si="2">D18*D17</f>
        <v>4088765.1964876703</v>
      </c>
      <c r="E19" s="39">
        <f t="shared" si="2"/>
        <v>1992912.7931846026</v>
      </c>
      <c r="F19" s="39">
        <f t="shared" si="2"/>
        <v>980330.07895181119</v>
      </c>
      <c r="G19" s="39">
        <f t="shared" si="2"/>
        <v>751564.26272111351</v>
      </c>
      <c r="H19" s="39">
        <f t="shared" si="2"/>
        <v>752693.2001839279</v>
      </c>
      <c r="I19" s="39">
        <f t="shared" si="2"/>
        <v>760400.0602987929</v>
      </c>
      <c r="J19" s="39">
        <f t="shared" si="2"/>
        <v>1603697.64785572</v>
      </c>
      <c r="K19" s="39">
        <f t="shared" si="2"/>
        <v>4104688.0843022647</v>
      </c>
      <c r="L19" s="39">
        <f t="shared" si="2"/>
        <v>7155519.3474637792</v>
      </c>
      <c r="M19" s="39">
        <f t="shared" si="2"/>
        <v>9015541.4608212858</v>
      </c>
      <c r="N19" s="39">
        <f t="shared" si="2"/>
        <v>9266234.2567718774</v>
      </c>
      <c r="O19" s="39">
        <f t="shared" si="2"/>
        <v>6570942.6143367626</v>
      </c>
      <c r="P19" s="39">
        <f>SUM(D19:O19)</f>
        <v>47043289.003379613</v>
      </c>
      <c r="Q19" s="39"/>
      <c r="R19" s="211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</row>
    <row r="20" spans="1:91" x14ac:dyDescent="0.2">
      <c r="A20" s="5">
        <v>9</v>
      </c>
      <c r="B20" s="2"/>
      <c r="C20" s="71"/>
      <c r="D20" s="46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71"/>
      <c r="Q20" s="71"/>
      <c r="R20" s="211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</row>
    <row r="21" spans="1:91" x14ac:dyDescent="0.2">
      <c r="A21" s="5">
        <v>10</v>
      </c>
      <c r="B21" s="36" t="s">
        <v>31</v>
      </c>
      <c r="C21" s="2"/>
      <c r="D21" s="103">
        <f t="shared" ref="D21:O21" si="3">D22*$C$22+D23*$C$23+D24*$C$24+D25*$C$25</f>
        <v>1502555.5398549528</v>
      </c>
      <c r="E21" s="103">
        <f t="shared" si="3"/>
        <v>1261151.7936975779</v>
      </c>
      <c r="F21" s="103">
        <f t="shared" si="3"/>
        <v>1128450.9645955486</v>
      </c>
      <c r="G21" s="103">
        <f t="shared" si="3"/>
        <v>1075681.1675065244</v>
      </c>
      <c r="H21" s="103">
        <f t="shared" si="3"/>
        <v>1082694.0020386502</v>
      </c>
      <c r="I21" s="103">
        <f t="shared" si="3"/>
        <v>1068863.9717112763</v>
      </c>
      <c r="J21" s="103">
        <f t="shared" si="3"/>
        <v>1135530.2696805838</v>
      </c>
      <c r="K21" s="103">
        <f t="shared" si="3"/>
        <v>1492583.7690231262</v>
      </c>
      <c r="L21" s="103">
        <f t="shared" si="3"/>
        <v>1837289.4596443027</v>
      </c>
      <c r="M21" s="103">
        <f t="shared" si="3"/>
        <v>2055380.121862096</v>
      </c>
      <c r="N21" s="103">
        <f t="shared" si="3"/>
        <v>2115801.9648411828</v>
      </c>
      <c r="O21" s="103">
        <f t="shared" si="3"/>
        <v>1811644.0131547034</v>
      </c>
      <c r="P21" s="103">
        <f>SUM(D21:O21)</f>
        <v>17567627.037610527</v>
      </c>
      <c r="Q21" s="103"/>
      <c r="R21" s="211"/>
      <c r="S21" s="207">
        <f>(P21+P28)/P22</f>
        <v>194.16980609050785</v>
      </c>
      <c r="T21" s="35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</row>
    <row r="22" spans="1:91" x14ac:dyDescent="0.2">
      <c r="A22" s="5">
        <v>11</v>
      </c>
      <c r="B22" s="2" t="s">
        <v>23</v>
      </c>
      <c r="C22" s="101">
        <f>'Rate Design'!G13</f>
        <v>49.74</v>
      </c>
      <c r="D22" s="71">
        <f>'Monthly Forecast'!Y21</f>
        <v>17568</v>
      </c>
      <c r="E22" s="71">
        <f>'Monthly Forecast'!Z21</f>
        <v>17819</v>
      </c>
      <c r="F22" s="71">
        <f>'Monthly Forecast'!AA21</f>
        <v>17344</v>
      </c>
      <c r="G22" s="71">
        <f>'Monthly Forecast'!AB21</f>
        <v>17024</v>
      </c>
      <c r="H22" s="71">
        <f>'Monthly Forecast'!AC21</f>
        <v>17149</v>
      </c>
      <c r="I22" s="71">
        <f>'Monthly Forecast'!AD21</f>
        <v>16872</v>
      </c>
      <c r="J22" s="71">
        <f>'Monthly Forecast'!AE21</f>
        <v>16778</v>
      </c>
      <c r="K22" s="71">
        <f>'Monthly Forecast'!AF21</f>
        <v>17200</v>
      </c>
      <c r="L22" s="71">
        <f>'Monthly Forecast'!AG21</f>
        <v>17535</v>
      </c>
      <c r="M22" s="71">
        <f>'Monthly Forecast'!AH21</f>
        <v>17874</v>
      </c>
      <c r="N22" s="71">
        <f>'Monthly Forecast'!AI21</f>
        <v>17890</v>
      </c>
      <c r="O22" s="71">
        <f>'Monthly Forecast'!AJ21</f>
        <v>17938</v>
      </c>
      <c r="P22" s="71">
        <f>ROUND((SUM(D22:O22)),0)</f>
        <v>208991</v>
      </c>
      <c r="Q22" s="71">
        <f>P22*C22</f>
        <v>10395212.34</v>
      </c>
      <c r="R22" s="211"/>
      <c r="S22" s="206"/>
      <c r="T22" s="206"/>
      <c r="U22" s="207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</row>
    <row r="23" spans="1:91" x14ac:dyDescent="0.2">
      <c r="A23" s="5">
        <v>12</v>
      </c>
      <c r="B23" s="2" t="s">
        <v>24</v>
      </c>
      <c r="C23" s="15">
        <f>C14</f>
        <v>1.534</v>
      </c>
      <c r="D23" s="71">
        <f>'Monthly Forecast'!Y22</f>
        <v>386388.61276533036</v>
      </c>
      <c r="E23" s="71">
        <f>'Monthly Forecast'!Z22</f>
        <v>225116.38818078395</v>
      </c>
      <c r="F23" s="71">
        <f>'Monthly Forecast'!AA22</f>
        <v>166628.90084854182</v>
      </c>
      <c r="G23" s="71">
        <f>'Monthly Forecast'!AB22</f>
        <v>134403.7971002126</v>
      </c>
      <c r="H23" s="71">
        <f>'Monthly Forecast'!AC22</f>
        <v>133874.06513467498</v>
      </c>
      <c r="I23" s="71">
        <f>'Monthly Forecast'!AD22</f>
        <v>135673.12793026792</v>
      </c>
      <c r="J23" s="71">
        <f>'Monthly Forecast'!AE22</f>
        <v>159657.46006949278</v>
      </c>
      <c r="K23" s="71">
        <f>'Monthly Forecast'!AF22</f>
        <v>410418.60962864093</v>
      </c>
      <c r="L23" s="71">
        <f>'Monthly Forecast'!AG22</f>
        <v>591520.67319229885</v>
      </c>
      <c r="M23" s="71">
        <f>'Monthly Forecast'!AH22</f>
        <v>687483.46209263033</v>
      </c>
      <c r="N23" s="71">
        <f>'Monthly Forecast'!AI22</f>
        <v>743241.35931709385</v>
      </c>
      <c r="O23" s="71">
        <f>'Monthly Forecast'!AJ22</f>
        <v>559898.38040188956</v>
      </c>
      <c r="P23" s="71">
        <f>SUM(D23:O23)</f>
        <v>4334304.8366618585</v>
      </c>
      <c r="Q23" s="71">
        <f>P23*C23</f>
        <v>6648823.6194392908</v>
      </c>
      <c r="R23" s="211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</row>
    <row r="24" spans="1:91" x14ac:dyDescent="0.2">
      <c r="A24" s="5">
        <v>13</v>
      </c>
      <c r="B24" s="2" t="s">
        <v>25</v>
      </c>
      <c r="C24" s="15">
        <f>C15</f>
        <v>0.95</v>
      </c>
      <c r="D24" s="71">
        <f>'Monthly Forecast'!Y23</f>
        <v>37897.987234669585</v>
      </c>
      <c r="E24" s="71">
        <f>'Monthly Forecast'!Z23</f>
        <v>31059.151819216066</v>
      </c>
      <c r="F24" s="71">
        <f>'Monthly Forecast'!AA23</f>
        <v>10685.969151458166</v>
      </c>
      <c r="G24" s="71">
        <f>'Monthly Forecast'!AB23</f>
        <v>23928.402899787401</v>
      </c>
      <c r="H24" s="71">
        <f>'Monthly Forecast'!AC23</f>
        <v>25620.974865325028</v>
      </c>
      <c r="I24" s="71">
        <f>'Monthly Forecast'!AD23</f>
        <v>22661.172069732063</v>
      </c>
      <c r="J24" s="71">
        <f>'Monthly Forecast'!AE23</f>
        <v>59029.479930507223</v>
      </c>
      <c r="K24" s="71">
        <f>'Monthly Forecast'!AF23</f>
        <v>7866.9703713590061</v>
      </c>
      <c r="L24" s="71">
        <f>'Monthly Forecast'!AG23</f>
        <v>60742.99680770118</v>
      </c>
      <c r="M24" s="71">
        <f>'Monthly Forecast'!AH23</f>
        <v>117608.13790736967</v>
      </c>
      <c r="N24" s="71">
        <f>'Monthly Forecast'!AI23</f>
        <v>90338.020682906121</v>
      </c>
      <c r="O24" s="71">
        <f>'Monthly Forecast'!AJ23</f>
        <v>63709.239598110413</v>
      </c>
      <c r="P24" s="71">
        <f>SUM(D24:O24)</f>
        <v>551148.50333814195</v>
      </c>
      <c r="Q24" s="71">
        <f>P24*C24</f>
        <v>523591.07817123481</v>
      </c>
      <c r="R24" s="211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</row>
    <row r="25" spans="1:91" x14ac:dyDescent="0.2">
      <c r="A25" s="5">
        <v>14</v>
      </c>
      <c r="B25" s="2" t="s">
        <v>81</v>
      </c>
      <c r="C25" s="15">
        <f>C16</f>
        <v>0.74</v>
      </c>
      <c r="D25" s="71">
        <f>'Monthly Forecast'!Y24</f>
        <v>0</v>
      </c>
      <c r="E25" s="71">
        <f>'Monthly Forecast'!Z24</f>
        <v>0</v>
      </c>
      <c r="F25" s="71">
        <f>'Monthly Forecast'!AA24</f>
        <v>0</v>
      </c>
      <c r="G25" s="71">
        <f>'Monthly Forecast'!AB24</f>
        <v>0</v>
      </c>
      <c r="H25" s="71">
        <f>'Monthly Forecast'!AC24</f>
        <v>0</v>
      </c>
      <c r="I25" s="71">
        <f>'Monthly Forecast'!AD24</f>
        <v>0</v>
      </c>
      <c r="J25" s="71">
        <f>'Monthly Forecast'!AE24</f>
        <v>0</v>
      </c>
      <c r="K25" s="71">
        <f>'Monthly Forecast'!AF24</f>
        <v>0</v>
      </c>
      <c r="L25" s="71">
        <f>'Monthly Forecast'!AG24</f>
        <v>0</v>
      </c>
      <c r="M25" s="71">
        <f>'Monthly Forecast'!AH24</f>
        <v>0</v>
      </c>
      <c r="N25" s="71">
        <f>'Monthly Forecast'!AI24</f>
        <v>0</v>
      </c>
      <c r="O25" s="71">
        <f>'Monthly Forecast'!AJ24</f>
        <v>0</v>
      </c>
      <c r="P25" s="71">
        <f>SUM(D25:O25)</f>
        <v>0</v>
      </c>
      <c r="Q25" s="71">
        <f>P25*C25</f>
        <v>0</v>
      </c>
      <c r="R25" s="211"/>
      <c r="S25" s="206"/>
      <c r="T25" s="206"/>
      <c r="U25" s="206"/>
      <c r="V25" s="207">
        <f>'Summary of Rates'!D12</f>
        <v>49.74</v>
      </c>
      <c r="W25" s="207">
        <f>'Summary of Rates'!E12</f>
        <v>52.5</v>
      </c>
      <c r="X25" s="206"/>
      <c r="Y25" s="747">
        <f>V25+U26*(V26+V27)</f>
        <v>203.79970444629674</v>
      </c>
      <c r="Z25" s="747">
        <f>W25+U26*(W26+W27)</f>
        <v>213.36223145434974</v>
      </c>
      <c r="AA25" s="375">
        <f>(Z25-Y25)/Y25</f>
        <v>4.6921201549498893E-2</v>
      </c>
      <c r="AB25" s="206"/>
      <c r="AC25" s="206"/>
      <c r="AD25" s="206"/>
      <c r="AE25" s="206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</row>
    <row r="26" spans="1:91" x14ac:dyDescent="0.2">
      <c r="A26" s="5">
        <v>15</v>
      </c>
      <c r="B26" s="33" t="s">
        <v>79</v>
      </c>
      <c r="C26" s="33"/>
      <c r="D26" s="32">
        <f t="shared" ref="D26:P26" si="4">D23+D24+D25</f>
        <v>424286.59999999992</v>
      </c>
      <c r="E26" s="32">
        <f t="shared" si="4"/>
        <v>256175.54</v>
      </c>
      <c r="F26" s="32">
        <f t="shared" si="4"/>
        <v>177314.87</v>
      </c>
      <c r="G26" s="32">
        <f t="shared" si="4"/>
        <v>158332.20000000001</v>
      </c>
      <c r="H26" s="32">
        <f t="shared" si="4"/>
        <v>159495.04000000001</v>
      </c>
      <c r="I26" s="32">
        <f t="shared" si="4"/>
        <v>158334.29999999999</v>
      </c>
      <c r="J26" s="32">
        <f t="shared" si="4"/>
        <v>218686.94</v>
      </c>
      <c r="K26" s="32">
        <f t="shared" si="4"/>
        <v>418285.57999999996</v>
      </c>
      <c r="L26" s="32">
        <f t="shared" si="4"/>
        <v>652263.67000000004</v>
      </c>
      <c r="M26" s="32">
        <f t="shared" si="4"/>
        <v>805091.6</v>
      </c>
      <c r="N26" s="32">
        <f t="shared" si="4"/>
        <v>833579.38</v>
      </c>
      <c r="O26" s="32">
        <f t="shared" si="4"/>
        <v>623607.62</v>
      </c>
      <c r="P26" s="32">
        <f t="shared" si="4"/>
        <v>4885453.3400000008</v>
      </c>
      <c r="Q26" s="32">
        <f>SUM(Q22:Q25)</f>
        <v>17567627.037610527</v>
      </c>
      <c r="R26" s="211"/>
      <c r="S26" s="206"/>
      <c r="T26" s="206"/>
      <c r="U26" s="744">
        <f>P26/(P22)</f>
        <v>23.376381470972436</v>
      </c>
      <c r="V26" s="745">
        <f>V17</f>
        <v>1.534</v>
      </c>
      <c r="W26" s="745">
        <f>W17</f>
        <v>1.825</v>
      </c>
      <c r="X26" s="206"/>
      <c r="Y26" s="206"/>
      <c r="Z26" s="206"/>
      <c r="AA26" s="206"/>
      <c r="AB26" s="206"/>
      <c r="AC26" s="206"/>
      <c r="AD26" s="206"/>
      <c r="AE26" s="206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</row>
    <row r="27" spans="1:91" x14ac:dyDescent="0.2">
      <c r="A27" s="5">
        <v>16</v>
      </c>
      <c r="B27" s="17" t="s">
        <v>226</v>
      </c>
      <c r="C27" s="17"/>
      <c r="D27" s="95">
        <f>'Monthly Forecast'!Y26</f>
        <v>4.6493144113040463</v>
      </c>
      <c r="E27" s="95">
        <f>'Monthly Forecast'!Z26</f>
        <v>4.8747402727505156</v>
      </c>
      <c r="F27" s="95">
        <f>'Monthly Forecast'!AA26</f>
        <v>4.8747402727505156</v>
      </c>
      <c r="G27" s="95">
        <f>'Monthly Forecast'!AB26</f>
        <v>4.8747402727505156</v>
      </c>
      <c r="H27" s="95">
        <f>'Monthly Forecast'!AC26</f>
        <v>4.8549770121409086</v>
      </c>
      <c r="I27" s="95">
        <f>'Monthly Forecast'!AD26</f>
        <v>4.8549770121409086</v>
      </c>
      <c r="J27" s="95">
        <f>'Monthly Forecast'!AE26</f>
        <v>4.8549770121409086</v>
      </c>
      <c r="K27" s="95">
        <f>'Monthly Forecast'!AF26</f>
        <v>4.6982867815053471</v>
      </c>
      <c r="L27" s="95">
        <f>'Monthly Forecast'!AG26</f>
        <v>4.6982867815053471</v>
      </c>
      <c r="M27" s="95">
        <f>'Monthly Forecast'!AH26</f>
        <v>4.6982867815053471</v>
      </c>
      <c r="N27" s="95">
        <f>'Monthly Forecast'!AI26</f>
        <v>4.6235786988289602</v>
      </c>
      <c r="O27" s="95">
        <f>'Monthly Forecast'!AJ26</f>
        <v>4.6235786988289602</v>
      </c>
      <c r="P27" s="95"/>
      <c r="Q27" s="95"/>
      <c r="R27" s="211"/>
      <c r="S27" s="206"/>
      <c r="T27" s="206"/>
      <c r="U27" s="206"/>
      <c r="V27" s="745">
        <f>V18</f>
        <v>5.0564</v>
      </c>
      <c r="W27" s="745">
        <f>V27</f>
        <v>5.0564</v>
      </c>
      <c r="X27" s="206"/>
      <c r="Y27" s="206"/>
      <c r="Z27" s="206"/>
      <c r="AA27" s="206"/>
      <c r="AB27" s="206"/>
      <c r="AC27" s="206"/>
      <c r="AD27" s="206"/>
      <c r="AE27" s="206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</row>
    <row r="28" spans="1:91" x14ac:dyDescent="0.2">
      <c r="A28" s="5">
        <v>17</v>
      </c>
      <c r="B28" s="17" t="s">
        <v>218</v>
      </c>
      <c r="C28" s="17"/>
      <c r="D28" s="39">
        <f t="shared" ref="D28:O28" si="5">D27*D26</f>
        <v>1972641.8039031951</v>
      </c>
      <c r="E28" s="39">
        <f t="shared" si="5"/>
        <v>1248789.2217316106</v>
      </c>
      <c r="F28" s="39">
        <f t="shared" si="5"/>
        <v>864363.93774652213</v>
      </c>
      <c r="G28" s="39">
        <f t="shared" si="5"/>
        <v>771828.35181318922</v>
      </c>
      <c r="H28" s="39">
        <f t="shared" si="5"/>
        <v>774344.75275049475</v>
      </c>
      <c r="I28" s="39">
        <f t="shared" si="5"/>
        <v>768709.38673342217</v>
      </c>
      <c r="J28" s="39">
        <f t="shared" si="5"/>
        <v>1061720.0665554381</v>
      </c>
      <c r="K28" s="39">
        <f t="shared" si="5"/>
        <v>1965225.6114082972</v>
      </c>
      <c r="L28" s="39">
        <f t="shared" si="5"/>
        <v>3064521.7788171661</v>
      </c>
      <c r="M28" s="39">
        <f t="shared" si="5"/>
        <v>3782551.22218099</v>
      </c>
      <c r="N28" s="39">
        <f t="shared" si="5"/>
        <v>3854119.8651510514</v>
      </c>
      <c r="O28" s="39">
        <f t="shared" si="5"/>
        <v>2883298.9082594248</v>
      </c>
      <c r="P28" s="39">
        <f>SUM(D28:O28)</f>
        <v>23012114.9070508</v>
      </c>
      <c r="Q28" s="39"/>
      <c r="R28" s="211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</row>
    <row r="29" spans="1:91" x14ac:dyDescent="0.2">
      <c r="A29" s="5">
        <v>18</v>
      </c>
      <c r="B29" s="2"/>
      <c r="C29" s="2"/>
      <c r="D29" s="46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71"/>
      <c r="Q29" s="71"/>
      <c r="R29" s="211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</row>
    <row r="30" spans="1:91" x14ac:dyDescent="0.2">
      <c r="A30" s="5">
        <v>19</v>
      </c>
      <c r="B30" s="36" t="s">
        <v>80</v>
      </c>
      <c r="C30" s="15"/>
      <c r="D30" s="103">
        <f t="shared" ref="D30:O30" si="6">D31*$C$31+D32*$C$32+D33*$C$33+D34*$C$34</f>
        <v>61436.578726666659</v>
      </c>
      <c r="E30" s="103">
        <f t="shared" si="6"/>
        <v>52508.650626666669</v>
      </c>
      <c r="F30" s="103">
        <f t="shared" si="6"/>
        <v>42906.331453333332</v>
      </c>
      <c r="G30" s="103">
        <f t="shared" si="6"/>
        <v>35074.250639999998</v>
      </c>
      <c r="H30" s="103">
        <f t="shared" si="6"/>
        <v>38295.53888</v>
      </c>
      <c r="I30" s="103">
        <f t="shared" si="6"/>
        <v>39236.757126666664</v>
      </c>
      <c r="J30" s="103">
        <f t="shared" si="6"/>
        <v>41722.084346666663</v>
      </c>
      <c r="K30" s="103">
        <f t="shared" si="6"/>
        <v>47779.26822666666</v>
      </c>
      <c r="L30" s="103">
        <f t="shared" si="6"/>
        <v>97001.053426666665</v>
      </c>
      <c r="M30" s="103">
        <f t="shared" si="6"/>
        <v>145073.00294666667</v>
      </c>
      <c r="N30" s="103">
        <f t="shared" si="6"/>
        <v>105848.37444666665</v>
      </c>
      <c r="O30" s="103">
        <f t="shared" si="6"/>
        <v>94981.733366666667</v>
      </c>
      <c r="P30" s="103">
        <f>SUM(D30:O30)</f>
        <v>801863.62421333336</v>
      </c>
      <c r="Q30" s="103"/>
      <c r="R30" s="211"/>
      <c r="S30" s="207">
        <f>(P30+P37)/P31</f>
        <v>1434.6327733893916</v>
      </c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</row>
    <row r="31" spans="1:91" x14ac:dyDescent="0.2">
      <c r="A31" s="5">
        <v>20</v>
      </c>
      <c r="B31" s="2" t="s">
        <v>23</v>
      </c>
      <c r="C31" s="12">
        <f>C22</f>
        <v>49.74</v>
      </c>
      <c r="D31" s="71">
        <f>'Monthly Forecast'!Y30</f>
        <v>194.97777777777779</v>
      </c>
      <c r="E31" s="71">
        <f>'Monthly Forecast'!Z30</f>
        <v>211.97777777777779</v>
      </c>
      <c r="F31" s="71">
        <f>'Monthly Forecast'!AA30</f>
        <v>204.98888888888888</v>
      </c>
      <c r="G31" s="71">
        <f>'Monthly Forecast'!AB30</f>
        <v>183</v>
      </c>
      <c r="H31" s="71">
        <f>'Monthly Forecast'!AC30</f>
        <v>208</v>
      </c>
      <c r="I31" s="71">
        <f>'Monthly Forecast'!AD30</f>
        <v>193.24444444444444</v>
      </c>
      <c r="J31" s="71">
        <f>'Monthly Forecast'!AE30</f>
        <v>189.24444444444444</v>
      </c>
      <c r="K31" s="71">
        <f>'Monthly Forecast'!AF30</f>
        <v>203.97777777777779</v>
      </c>
      <c r="L31" s="71">
        <f>'Monthly Forecast'!AG30</f>
        <v>195.97777777777779</v>
      </c>
      <c r="M31" s="71">
        <f>'Monthly Forecast'!AH30</f>
        <v>221.97777777777779</v>
      </c>
      <c r="N31" s="71">
        <f>'Monthly Forecast'!AI30</f>
        <v>209.97777777777779</v>
      </c>
      <c r="O31" s="71">
        <f>'Monthly Forecast'!AJ30</f>
        <v>211.97777777777779</v>
      </c>
      <c r="P31" s="71">
        <f>ROUND((SUM(D31:O31)),0)</f>
        <v>2429</v>
      </c>
      <c r="Q31" s="71">
        <f>P31*C31</f>
        <v>120818.46</v>
      </c>
      <c r="R31" s="211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</row>
    <row r="32" spans="1:91" x14ac:dyDescent="0.2">
      <c r="A32" s="5">
        <v>21</v>
      </c>
      <c r="B32" s="2" t="s">
        <v>24</v>
      </c>
      <c r="C32" s="15">
        <f>C23</f>
        <v>1.534</v>
      </c>
      <c r="D32" s="71">
        <f>'Monthly Forecast'!Y31</f>
        <v>20328.839999999997</v>
      </c>
      <c r="E32" s="71">
        <f>'Monthly Forecast'!Z31</f>
        <v>14722.940000000002</v>
      </c>
      <c r="F32" s="71">
        <f>'Monthly Forecast'!AA31</f>
        <v>10418.430000000002</v>
      </c>
      <c r="G32" s="71">
        <f>'Monthly Forecast'!AB31</f>
        <v>7904.21</v>
      </c>
      <c r="H32" s="71">
        <f>'Monthly Forecast'!AC31</f>
        <v>9534.57</v>
      </c>
      <c r="I32" s="71">
        <f>'Monthly Forecast'!AD31</f>
        <v>9830.6899999999987</v>
      </c>
      <c r="J32" s="71">
        <f>'Monthly Forecast'!AE31</f>
        <v>8994.5199999999968</v>
      </c>
      <c r="K32" s="71">
        <f>'Monthly Forecast'!AF31</f>
        <v>15108.089999999998</v>
      </c>
      <c r="L32" s="71">
        <f>'Monthly Forecast'!AG31</f>
        <v>34044.89</v>
      </c>
      <c r="M32" s="71">
        <f>'Monthly Forecast'!AH31</f>
        <v>43047.420000000013</v>
      </c>
      <c r="N32" s="71">
        <f>'Monthly Forecast'!AI31</f>
        <v>36370.419999999991</v>
      </c>
      <c r="O32" s="71">
        <f>'Monthly Forecast'!AJ31</f>
        <v>31835.3</v>
      </c>
      <c r="P32" s="71">
        <f>SUM(D32:O32)</f>
        <v>242140.31999999995</v>
      </c>
      <c r="Q32" s="71">
        <f>P32*C32</f>
        <v>371443.25087999995</v>
      </c>
      <c r="R32" s="211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</row>
    <row r="33" spans="1:91" x14ac:dyDescent="0.2">
      <c r="A33" s="5">
        <v>22</v>
      </c>
      <c r="B33" s="2" t="s">
        <v>25</v>
      </c>
      <c r="C33" s="15">
        <f>C24</f>
        <v>0.95</v>
      </c>
      <c r="D33" s="71">
        <f>'Monthly Forecast'!Y32</f>
        <v>21635.73</v>
      </c>
      <c r="E33" s="71">
        <f>'Monthly Forecast'!Z32</f>
        <v>20399.879999999997</v>
      </c>
      <c r="F33" s="71">
        <f>'Monthly Forecast'!AA32</f>
        <v>17608.75</v>
      </c>
      <c r="G33" s="71">
        <f>'Monthly Forecast'!AB32</f>
        <v>14575.55</v>
      </c>
      <c r="H33" s="71">
        <f>'Monthly Forecast'!AC32</f>
        <v>14024.83</v>
      </c>
      <c r="I33" s="71">
        <f>'Monthly Forecast'!AD32</f>
        <v>15310</v>
      </c>
      <c r="J33" s="71">
        <f>'Monthly Forecast'!AE32</f>
        <v>19485.760000000002</v>
      </c>
      <c r="K33" s="71">
        <f>'Monthly Forecast'!AF32</f>
        <v>15218.529999999999</v>
      </c>
      <c r="L33" s="71">
        <f>'Monthly Forecast'!AG32</f>
        <v>36871.85</v>
      </c>
      <c r="M33" s="71">
        <f>'Monthly Forecast'!AH32</f>
        <v>71575.88</v>
      </c>
      <c r="N33" s="71">
        <f>'Monthly Forecast'!AI32</f>
        <v>41696.69</v>
      </c>
      <c r="O33" s="71">
        <f>'Monthly Forecast'!AJ32</f>
        <v>37476.43</v>
      </c>
      <c r="P33" s="71">
        <f>SUM(D33:O33)</f>
        <v>325879.88</v>
      </c>
      <c r="Q33" s="71">
        <f>P33*C33</f>
        <v>309585.886</v>
      </c>
      <c r="R33" s="211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</row>
    <row r="34" spans="1:91" x14ac:dyDescent="0.2">
      <c r="A34" s="5">
        <v>23</v>
      </c>
      <c r="B34" s="2" t="s">
        <v>81</v>
      </c>
      <c r="C34" s="15">
        <f>C25</f>
        <v>0.74</v>
      </c>
      <c r="D34" s="71">
        <f>'Monthly Forecast'!Y33</f>
        <v>0</v>
      </c>
      <c r="E34" s="71">
        <f>'Monthly Forecast'!Z33</f>
        <v>0</v>
      </c>
      <c r="F34" s="71">
        <f>'Monthly Forecast'!AA33</f>
        <v>0</v>
      </c>
      <c r="G34" s="71">
        <f>'Monthly Forecast'!AB33</f>
        <v>0</v>
      </c>
      <c r="H34" s="71">
        <f>'Monthly Forecast'!AC33</f>
        <v>0</v>
      </c>
      <c r="I34" s="71">
        <f>'Monthly Forecast'!AD33</f>
        <v>0</v>
      </c>
      <c r="J34" s="71">
        <f>'Monthly Forecast'!AE33</f>
        <v>0</v>
      </c>
      <c r="K34" s="71">
        <f>'Monthly Forecast'!AF33</f>
        <v>0</v>
      </c>
      <c r="L34" s="71">
        <f>'Monthly Forecast'!AG33</f>
        <v>0</v>
      </c>
      <c r="M34" s="71">
        <f>'Monthly Forecast'!AH33</f>
        <v>0</v>
      </c>
      <c r="N34" s="71">
        <f>'Monthly Forecast'!AI33</f>
        <v>0</v>
      </c>
      <c r="O34" s="71">
        <f>'Monthly Forecast'!AJ33</f>
        <v>0</v>
      </c>
      <c r="P34" s="71">
        <f>SUM(D34:O34)</f>
        <v>0</v>
      </c>
      <c r="Q34" s="71">
        <f>P34*C34</f>
        <v>0</v>
      </c>
      <c r="R34" s="211"/>
      <c r="S34" s="206"/>
      <c r="T34" s="206"/>
      <c r="U34" s="206"/>
      <c r="V34" s="207">
        <f>'Summary of Rates'!D12</f>
        <v>49.74</v>
      </c>
      <c r="W34" s="207">
        <f>'Summary of Rates'!E12</f>
        <v>52.5</v>
      </c>
      <c r="X34" s="206"/>
      <c r="Y34" s="747">
        <f>V34+U35*(V35+V36)</f>
        <v>1590.9011058377932</v>
      </c>
      <c r="Z34" s="747">
        <f>W34+U35*(W35+W36)</f>
        <v>1661.7112821243309</v>
      </c>
      <c r="AA34" s="375">
        <f>(Z34-Y34)/Y34</f>
        <v>4.4509477067242273E-2</v>
      </c>
      <c r="AB34" s="206"/>
      <c r="AC34" s="206"/>
      <c r="AD34" s="206"/>
      <c r="AE34" s="206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</row>
    <row r="35" spans="1:91" x14ac:dyDescent="0.2">
      <c r="A35" s="5">
        <v>24</v>
      </c>
      <c r="B35" s="33" t="s">
        <v>79</v>
      </c>
      <c r="C35" s="33"/>
      <c r="D35" s="32">
        <f t="shared" ref="D35:P35" si="7">D32+D33+D34</f>
        <v>41964.569999999992</v>
      </c>
      <c r="E35" s="32">
        <f t="shared" si="7"/>
        <v>35122.82</v>
      </c>
      <c r="F35" s="32">
        <f t="shared" si="7"/>
        <v>28027.18</v>
      </c>
      <c r="G35" s="32">
        <f t="shared" si="7"/>
        <v>22479.759999999998</v>
      </c>
      <c r="H35" s="32">
        <f t="shared" si="7"/>
        <v>23559.4</v>
      </c>
      <c r="I35" s="32">
        <f t="shared" si="7"/>
        <v>25140.69</v>
      </c>
      <c r="J35" s="32">
        <f t="shared" si="7"/>
        <v>28480.28</v>
      </c>
      <c r="K35" s="32">
        <f t="shared" si="7"/>
        <v>30326.619999999995</v>
      </c>
      <c r="L35" s="32">
        <f t="shared" si="7"/>
        <v>70916.739999999991</v>
      </c>
      <c r="M35" s="32">
        <f t="shared" si="7"/>
        <v>114623.30000000002</v>
      </c>
      <c r="N35" s="32">
        <f t="shared" si="7"/>
        <v>78067.109999999986</v>
      </c>
      <c r="O35" s="32">
        <f t="shared" si="7"/>
        <v>69311.73</v>
      </c>
      <c r="P35" s="32">
        <f t="shared" si="7"/>
        <v>568020.19999999995</v>
      </c>
      <c r="Q35" s="32">
        <f>SUM(Q31:Q34)</f>
        <v>801847.59687999997</v>
      </c>
      <c r="R35" s="211"/>
      <c r="S35" s="206"/>
      <c r="T35" s="206"/>
      <c r="U35" s="744">
        <f>P35/(P31)</f>
        <v>233.84940304652119</v>
      </c>
      <c r="V35" s="745">
        <f>V26</f>
        <v>1.534</v>
      </c>
      <c r="W35" s="745">
        <f>W26</f>
        <v>1.825</v>
      </c>
      <c r="X35" s="206"/>
      <c r="Y35" s="206"/>
      <c r="Z35" s="206"/>
      <c r="AA35" s="206"/>
      <c r="AB35" s="206"/>
      <c r="AC35" s="206"/>
      <c r="AD35" s="206"/>
      <c r="AE35" s="206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</row>
    <row r="36" spans="1:91" x14ac:dyDescent="0.2">
      <c r="A36" s="5">
        <v>25</v>
      </c>
      <c r="B36" s="17" t="s">
        <v>226</v>
      </c>
      <c r="C36" s="2"/>
      <c r="D36" s="95">
        <f>'Monthly Forecast'!Y35</f>
        <v>4.6493144113040463</v>
      </c>
      <c r="E36" s="95">
        <f>'Monthly Forecast'!Z35</f>
        <v>4.8747402727505156</v>
      </c>
      <c r="F36" s="95">
        <f>'Monthly Forecast'!AA35</f>
        <v>4.8747402727505156</v>
      </c>
      <c r="G36" s="95">
        <f>'Monthly Forecast'!AB35</f>
        <v>4.8747402727505156</v>
      </c>
      <c r="H36" s="95">
        <f>'Monthly Forecast'!AC35</f>
        <v>4.8549770121409086</v>
      </c>
      <c r="I36" s="95">
        <f>'Monthly Forecast'!AD35</f>
        <v>4.8549770121409086</v>
      </c>
      <c r="J36" s="95">
        <f>'Monthly Forecast'!AE35</f>
        <v>4.8549770121409086</v>
      </c>
      <c r="K36" s="95">
        <f>'Monthly Forecast'!AF35</f>
        <v>4.6982867815053471</v>
      </c>
      <c r="L36" s="95">
        <f>'Monthly Forecast'!AG35</f>
        <v>4.6982867815053471</v>
      </c>
      <c r="M36" s="95">
        <f>'Monthly Forecast'!AH35</f>
        <v>4.6982867815053471</v>
      </c>
      <c r="N36" s="95">
        <f>'Monthly Forecast'!AI35</f>
        <v>4.6235786988289602</v>
      </c>
      <c r="O36" s="95">
        <f>'Monthly Forecast'!AJ35</f>
        <v>4.6235786988289602</v>
      </c>
      <c r="P36" s="95"/>
      <c r="Q36" s="95"/>
      <c r="R36" s="211"/>
      <c r="S36" s="206"/>
      <c r="T36" s="206"/>
      <c r="U36" s="206"/>
      <c r="V36" s="745">
        <f>V27</f>
        <v>5.0564</v>
      </c>
      <c r="W36" s="745">
        <f>V36</f>
        <v>5.0564</v>
      </c>
      <c r="X36" s="206"/>
      <c r="Y36" s="206"/>
      <c r="Z36" s="206"/>
      <c r="AA36" s="206"/>
      <c r="AB36" s="206"/>
      <c r="AC36" s="206"/>
      <c r="AD36" s="206"/>
      <c r="AE36" s="206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</row>
    <row r="37" spans="1:91" x14ac:dyDescent="0.2">
      <c r="A37" s="5">
        <v>26</v>
      </c>
      <c r="B37" s="17" t="s">
        <v>218</v>
      </c>
      <c r="C37" s="2"/>
      <c r="D37" s="39">
        <f t="shared" ref="D37:O37" si="8">D36*D35</f>
        <v>195106.4800651774</v>
      </c>
      <c r="E37" s="39">
        <f t="shared" si="8"/>
        <v>171214.62514656727</v>
      </c>
      <c r="F37" s="39">
        <f t="shared" si="8"/>
        <v>136625.2230776278</v>
      </c>
      <c r="G37" s="39">
        <f t="shared" si="8"/>
        <v>109582.99139376612</v>
      </c>
      <c r="H37" s="39">
        <f t="shared" si="8"/>
        <v>114380.34541983253</v>
      </c>
      <c r="I37" s="39">
        <f t="shared" si="8"/>
        <v>122057.47201936081</v>
      </c>
      <c r="J37" s="39">
        <f t="shared" si="8"/>
        <v>138271.10469933646</v>
      </c>
      <c r="K37" s="39">
        <f t="shared" si="8"/>
        <v>142483.15787373568</v>
      </c>
      <c r="L37" s="39">
        <f t="shared" si="8"/>
        <v>333187.18212945148</v>
      </c>
      <c r="M37" s="39">
        <f t="shared" si="8"/>
        <v>538533.13524252188</v>
      </c>
      <c r="N37" s="39">
        <f t="shared" si="8"/>
        <v>360949.42687513726</v>
      </c>
      <c r="O37" s="39">
        <f t="shared" si="8"/>
        <v>320468.23840698419</v>
      </c>
      <c r="P37" s="39">
        <f>SUM(D37:O37)</f>
        <v>2682859.382349499</v>
      </c>
      <c r="Q37" s="39"/>
      <c r="R37" s="211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</row>
    <row r="38" spans="1:91" x14ac:dyDescent="0.2">
      <c r="A38" s="5">
        <v>27</v>
      </c>
      <c r="B38" s="2"/>
      <c r="C38" s="2"/>
      <c r="D38" s="46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R38" s="211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</row>
    <row r="39" spans="1:91" x14ac:dyDescent="0.2">
      <c r="A39" s="5">
        <v>28</v>
      </c>
      <c r="B39" s="36" t="s">
        <v>82</v>
      </c>
      <c r="C39" s="15"/>
      <c r="D39" s="103">
        <f>D40*$C$40+D41*$C$41+D42*$C$42+D43*$C$43</f>
        <v>193446.36725309116</v>
      </c>
      <c r="E39" s="103">
        <f t="shared" ref="E39:O39" si="9">E40*$C$40+E41*$C$41+E42*$C$42+E43*$C$43</f>
        <v>148660.70715902629</v>
      </c>
      <c r="F39" s="103">
        <f t="shared" si="9"/>
        <v>119902.90817593731</v>
      </c>
      <c r="G39" s="103">
        <f t="shared" si="9"/>
        <v>114607.86573714635</v>
      </c>
      <c r="H39" s="103">
        <f t="shared" si="9"/>
        <v>119964.76043129178</v>
      </c>
      <c r="I39" s="103">
        <f t="shared" si="9"/>
        <v>114730.62602623449</v>
      </c>
      <c r="J39" s="103">
        <f t="shared" si="9"/>
        <v>137804.47418304801</v>
      </c>
      <c r="K39" s="103">
        <f t="shared" si="9"/>
        <v>202951.30467182046</v>
      </c>
      <c r="L39" s="103">
        <f t="shared" si="9"/>
        <v>270626.86654756492</v>
      </c>
      <c r="M39" s="103">
        <f t="shared" si="9"/>
        <v>309182.6835843224</v>
      </c>
      <c r="N39" s="103">
        <f t="shared" si="9"/>
        <v>322448.47495138162</v>
      </c>
      <c r="O39" s="103">
        <f t="shared" si="9"/>
        <v>261394.88175898881</v>
      </c>
      <c r="P39" s="103">
        <f>SUM(D39:O39)</f>
        <v>2315721.9204798536</v>
      </c>
      <c r="Q39" s="103"/>
      <c r="R39" s="211"/>
      <c r="S39" s="207">
        <f>(P39+P46)/P40</f>
        <v>368.47507867540435</v>
      </c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</row>
    <row r="40" spans="1:91" x14ac:dyDescent="0.2">
      <c r="A40" s="5">
        <v>29</v>
      </c>
      <c r="B40" s="2" t="s">
        <v>23</v>
      </c>
      <c r="C40" s="12">
        <f>C31</f>
        <v>49.74</v>
      </c>
      <c r="D40" s="71">
        <f>'Monthly Forecast'!Y39</f>
        <v>1509</v>
      </c>
      <c r="E40" s="71">
        <f>'Monthly Forecast'!Z39</f>
        <v>1576</v>
      </c>
      <c r="F40" s="71">
        <f>'Monthly Forecast'!AA39</f>
        <v>1536</v>
      </c>
      <c r="G40" s="71">
        <f>'Monthly Forecast'!AB39</f>
        <v>1520</v>
      </c>
      <c r="H40" s="71">
        <f>'Monthly Forecast'!AC39</f>
        <v>1593</v>
      </c>
      <c r="I40" s="71">
        <f>'Monthly Forecast'!AD39</f>
        <v>1524</v>
      </c>
      <c r="J40" s="71">
        <f>'Monthly Forecast'!AE39</f>
        <v>1554</v>
      </c>
      <c r="K40" s="71">
        <f>'Monthly Forecast'!AF39</f>
        <v>1556</v>
      </c>
      <c r="L40" s="71">
        <f>'Monthly Forecast'!AG39</f>
        <v>1551</v>
      </c>
      <c r="M40" s="71">
        <f>'Monthly Forecast'!AH39</f>
        <v>1552</v>
      </c>
      <c r="N40" s="71">
        <f>'Monthly Forecast'!AI39</f>
        <v>1546</v>
      </c>
      <c r="O40" s="71">
        <f>'Monthly Forecast'!AJ39</f>
        <v>1566</v>
      </c>
      <c r="P40" s="71">
        <f>ROUND((SUM(D40:O40)),0)</f>
        <v>18583</v>
      </c>
      <c r="Q40" s="71">
        <f>P40*C40</f>
        <v>924318.42</v>
      </c>
      <c r="R40" s="211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</row>
    <row r="41" spans="1:91" x14ac:dyDescent="0.2">
      <c r="A41" s="5">
        <v>30</v>
      </c>
      <c r="B41" s="2" t="s">
        <v>24</v>
      </c>
      <c r="C41" s="15">
        <f>C32</f>
        <v>1.534</v>
      </c>
      <c r="D41" s="71">
        <f>'Monthly Forecast'!Y40</f>
        <v>69347.270125156094</v>
      </c>
      <c r="E41" s="71">
        <f>'Monthly Forecast'!Z40</f>
        <v>43888.32903942855</v>
      </c>
      <c r="F41" s="71">
        <f>'Monthly Forecast'!AA40</f>
        <v>26022.584205372106</v>
      </c>
      <c r="G41" s="71">
        <f>'Monthly Forecast'!AB40</f>
        <v>24548.599721140996</v>
      </c>
      <c r="H41" s="71">
        <f>'Monthly Forecast'!AC40</f>
        <v>25475.956217965388</v>
      </c>
      <c r="I41" s="71">
        <f>'Monthly Forecast'!AD40</f>
        <v>23785.508606565905</v>
      </c>
      <c r="J41" s="71">
        <f>'Monthly Forecast'!AE40</f>
        <v>36752.20236823288</v>
      </c>
      <c r="K41" s="71">
        <f>'Monthly Forecast'!AF40</f>
        <v>76399.989164076134</v>
      </c>
      <c r="L41" s="71">
        <f>'Monthly Forecast'!AG40</f>
        <v>111646.01891706315</v>
      </c>
      <c r="M41" s="71">
        <f>'Monthly Forecast'!AH40</f>
        <v>127757.74671973014</v>
      </c>
      <c r="N41" s="71">
        <f>'Monthly Forecast'!AI40</f>
        <v>142235.0119030507</v>
      </c>
      <c r="O41" s="71">
        <f>'Monthly Forecast'!AJ40</f>
        <v>107983.52955306301</v>
      </c>
      <c r="P41" s="71">
        <f>SUM(D41:O41)</f>
        <v>815842.74654084502</v>
      </c>
      <c r="Q41" s="71">
        <f>P41*C41</f>
        <v>1251502.7731936562</v>
      </c>
      <c r="R41" s="211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</row>
    <row r="42" spans="1:91" x14ac:dyDescent="0.2">
      <c r="A42" s="5">
        <v>31</v>
      </c>
      <c r="B42" s="2" t="s">
        <v>25</v>
      </c>
      <c r="C42" s="15">
        <f>C33</f>
        <v>0.95</v>
      </c>
      <c r="D42" s="71">
        <f>'Monthly Forecast'!Y41</f>
        <v>12642.099874843907</v>
      </c>
      <c r="E42" s="71">
        <f>'Monthly Forecast'!Z41</f>
        <v>3100.8109605714526</v>
      </c>
      <c r="F42" s="71">
        <f>'Monthly Forecast'!AA41</f>
        <v>3772.2357946278903</v>
      </c>
      <c r="G42" s="71">
        <f>'Monthly Forecast'!AB41</f>
        <v>1416.330278859004</v>
      </c>
      <c r="H42" s="71">
        <f>'Monthly Forecast'!AC41</f>
        <v>1735.6037820346139</v>
      </c>
      <c r="I42" s="71">
        <f>'Monthly Forecast'!AD41</f>
        <v>2568.3113934340927</v>
      </c>
      <c r="J42" s="71">
        <f>'Monthly Forecast'!AE41</f>
        <v>4348.0376317671207</v>
      </c>
      <c r="K42" s="71">
        <f>'Monthly Forecast'!AF41</f>
        <v>8798.1908359238714</v>
      </c>
      <c r="L42" s="71">
        <f>'Monthly Forecast'!AG41</f>
        <v>23384.351082936853</v>
      </c>
      <c r="M42" s="71">
        <f>'Monthly Forecast'!AH41</f>
        <v>37900.863280269834</v>
      </c>
      <c r="N42" s="71">
        <f>'Monthly Forecast'!AI41</f>
        <v>28802.028096949278</v>
      </c>
      <c r="O42" s="71">
        <f>'Monthly Forecast'!AJ41</f>
        <v>18795.060446936983</v>
      </c>
      <c r="P42" s="71">
        <f>SUM(D42:O42)</f>
        <v>147263.9234591549</v>
      </c>
      <c r="Q42" s="71">
        <f>P42*C42</f>
        <v>139900.72728619716</v>
      </c>
      <c r="R42" s="211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</row>
    <row r="43" spans="1:91" x14ac:dyDescent="0.2">
      <c r="A43" s="5">
        <v>32</v>
      </c>
      <c r="B43" s="2" t="s">
        <v>81</v>
      </c>
      <c r="C43" s="15">
        <f>C34</f>
        <v>0.74</v>
      </c>
      <c r="D43" s="71">
        <f>'Monthly Forecast'!Y42</f>
        <v>0</v>
      </c>
      <c r="E43" s="71">
        <f>'Monthly Forecast'!Z42</f>
        <v>0</v>
      </c>
      <c r="F43" s="71">
        <f>'Monthly Forecast'!AA42</f>
        <v>0</v>
      </c>
      <c r="G43" s="71">
        <f>'Monthly Forecast'!AB42</f>
        <v>0</v>
      </c>
      <c r="H43" s="71">
        <f>'Monthly Forecast'!AC42</f>
        <v>0</v>
      </c>
      <c r="I43" s="71">
        <f>'Monthly Forecast'!AD42</f>
        <v>0</v>
      </c>
      <c r="J43" s="71">
        <f>'Monthly Forecast'!AE42</f>
        <v>0</v>
      </c>
      <c r="K43" s="71">
        <f>'Monthly Forecast'!AF42</f>
        <v>0</v>
      </c>
      <c r="L43" s="71">
        <f>'Monthly Forecast'!AG42</f>
        <v>0</v>
      </c>
      <c r="M43" s="71">
        <f>'Monthly Forecast'!AH42</f>
        <v>0</v>
      </c>
      <c r="N43" s="71">
        <f>'Monthly Forecast'!AI42</f>
        <v>0</v>
      </c>
      <c r="O43" s="71">
        <f>'Monthly Forecast'!AJ42</f>
        <v>0</v>
      </c>
      <c r="P43" s="71">
        <f>SUM(D43:O43)</f>
        <v>0</v>
      </c>
      <c r="Q43" s="71">
        <f>P43*C43</f>
        <v>0</v>
      </c>
      <c r="R43" s="211"/>
      <c r="S43" s="206"/>
      <c r="T43" s="206"/>
      <c r="U43" s="206"/>
      <c r="V43" s="207">
        <f>'Summary of Rates'!D12</f>
        <v>49.74</v>
      </c>
      <c r="W43" s="207">
        <f>'Summary of Rates'!E12</f>
        <v>52.5</v>
      </c>
      <c r="X43" s="206"/>
      <c r="Y43" s="747">
        <f>V43+U44*(V44+V45)</f>
        <v>391.30262164171552</v>
      </c>
      <c r="Z43" s="747">
        <f>W43+U44*(W44+W45)</f>
        <v>409.14436522294568</v>
      </c>
      <c r="AA43" s="375">
        <f>(Z43-Y43)/Y43</f>
        <v>4.5595768069160596E-2</v>
      </c>
      <c r="AB43" s="206"/>
      <c r="AC43" s="206"/>
      <c r="AD43" s="206"/>
      <c r="AE43" s="206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</row>
    <row r="44" spans="1:91" x14ac:dyDescent="0.2">
      <c r="A44" s="5">
        <v>33</v>
      </c>
      <c r="B44" s="33" t="s">
        <v>79</v>
      </c>
      <c r="C44" s="33"/>
      <c r="D44" s="32">
        <f t="shared" ref="D44:P44" si="10">D41+D42+D43</f>
        <v>81989.37</v>
      </c>
      <c r="E44" s="32">
        <f t="shared" si="10"/>
        <v>46989.14</v>
      </c>
      <c r="F44" s="32">
        <f t="shared" si="10"/>
        <v>29794.819999999996</v>
      </c>
      <c r="G44" s="32">
        <f t="shared" si="10"/>
        <v>25964.93</v>
      </c>
      <c r="H44" s="32">
        <f t="shared" si="10"/>
        <v>27211.56</v>
      </c>
      <c r="I44" s="32">
        <f t="shared" si="10"/>
        <v>26353.82</v>
      </c>
      <c r="J44" s="32">
        <f t="shared" si="10"/>
        <v>41100.239999999998</v>
      </c>
      <c r="K44" s="32">
        <f t="shared" si="10"/>
        <v>85198.180000000008</v>
      </c>
      <c r="L44" s="32">
        <f t="shared" si="10"/>
        <v>135030.37</v>
      </c>
      <c r="M44" s="32">
        <f t="shared" si="10"/>
        <v>165658.60999999999</v>
      </c>
      <c r="N44" s="32">
        <f t="shared" si="10"/>
        <v>171037.03999999998</v>
      </c>
      <c r="O44" s="32">
        <f t="shared" si="10"/>
        <v>126778.59</v>
      </c>
      <c r="P44" s="32">
        <f t="shared" si="10"/>
        <v>963106.66999999993</v>
      </c>
      <c r="Q44" s="32">
        <f>SUM(Q40:Q43)</f>
        <v>2315721.9204798536</v>
      </c>
      <c r="R44" s="211"/>
      <c r="S44" s="206"/>
      <c r="T44" s="206"/>
      <c r="U44" s="744">
        <f>P44/(P40)</f>
        <v>51.827297530000536</v>
      </c>
      <c r="V44" s="745">
        <f>V35</f>
        <v>1.534</v>
      </c>
      <c r="W44" s="745">
        <f>W35</f>
        <v>1.825</v>
      </c>
      <c r="X44" s="206"/>
      <c r="Y44" s="206"/>
      <c r="Z44" s="206"/>
      <c r="AA44" s="206"/>
      <c r="AB44" s="206"/>
      <c r="AC44" s="206"/>
      <c r="AD44" s="206"/>
      <c r="AE44" s="206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</row>
    <row r="45" spans="1:91" x14ac:dyDescent="0.2">
      <c r="A45" s="5">
        <v>34</v>
      </c>
      <c r="B45" s="17" t="s">
        <v>226</v>
      </c>
      <c r="C45" s="2"/>
      <c r="D45" s="95">
        <f>'Monthly Forecast'!Y44</f>
        <v>4.6493144113040463</v>
      </c>
      <c r="E45" s="95">
        <f>'Monthly Forecast'!Z44</f>
        <v>4.8747402727505156</v>
      </c>
      <c r="F45" s="95">
        <f>'Monthly Forecast'!AA44</f>
        <v>4.8747402727505156</v>
      </c>
      <c r="G45" s="95">
        <f>'Monthly Forecast'!AB44</f>
        <v>4.8747402727505156</v>
      </c>
      <c r="H45" s="95">
        <f>'Monthly Forecast'!AC44</f>
        <v>4.8549770121409086</v>
      </c>
      <c r="I45" s="95">
        <f>'Monthly Forecast'!AD44</f>
        <v>4.8549770121409086</v>
      </c>
      <c r="J45" s="95">
        <f>'Monthly Forecast'!AE44</f>
        <v>4.8549770121409086</v>
      </c>
      <c r="K45" s="95">
        <f>'Monthly Forecast'!AF44</f>
        <v>4.6982867815053471</v>
      </c>
      <c r="L45" s="95">
        <f>'Monthly Forecast'!AG44</f>
        <v>4.6982867815053471</v>
      </c>
      <c r="M45" s="95">
        <f>'Monthly Forecast'!AH44</f>
        <v>4.6982867815053471</v>
      </c>
      <c r="N45" s="95">
        <f>'Monthly Forecast'!AI44</f>
        <v>4.6235786988289602</v>
      </c>
      <c r="O45" s="95">
        <f>'Monthly Forecast'!AJ44</f>
        <v>4.6235786988289602</v>
      </c>
      <c r="P45" s="95"/>
      <c r="Q45" s="95"/>
      <c r="R45" s="211"/>
      <c r="S45" s="206"/>
      <c r="T45" s="206"/>
      <c r="U45" s="206"/>
      <c r="V45" s="745">
        <f>V36</f>
        <v>5.0564</v>
      </c>
      <c r="W45" s="745">
        <f>V45</f>
        <v>5.0564</v>
      </c>
      <c r="X45" s="206"/>
      <c r="Y45" s="206"/>
      <c r="Z45" s="206"/>
      <c r="AA45" s="206"/>
      <c r="AB45" s="206"/>
      <c r="AC45" s="206"/>
      <c r="AD45" s="206"/>
      <c r="AE45" s="206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</row>
    <row r="46" spans="1:91" x14ac:dyDescent="0.2">
      <c r="A46" s="5">
        <v>35</v>
      </c>
      <c r="B46" s="17" t="s">
        <v>218</v>
      </c>
      <c r="C46" s="2"/>
      <c r="D46" s="39">
        <f t="shared" ref="D46:O46" si="11">D45*D44</f>
        <v>381194.3595147396</v>
      </c>
      <c r="E46" s="39">
        <f t="shared" si="11"/>
        <v>229059.85313991216</v>
      </c>
      <c r="F46" s="39">
        <f t="shared" si="11"/>
        <v>145242.00897335249</v>
      </c>
      <c r="G46" s="39">
        <f t="shared" si="11"/>
        <v>126572.28995014804</v>
      </c>
      <c r="H46" s="39">
        <f t="shared" si="11"/>
        <v>132111.49826449307</v>
      </c>
      <c r="I46" s="39">
        <f t="shared" si="11"/>
        <v>127947.19028209931</v>
      </c>
      <c r="J46" s="39">
        <f t="shared" si="11"/>
        <v>199540.72039347424</v>
      </c>
      <c r="K46" s="39">
        <f t="shared" si="11"/>
        <v>400285.48290231329</v>
      </c>
      <c r="L46" s="39">
        <f t="shared" si="11"/>
        <v>634411.40247277613</v>
      </c>
      <c r="M46" s="39">
        <f t="shared" si="11"/>
        <v>778311.65760554944</v>
      </c>
      <c r="N46" s="39">
        <f t="shared" si="11"/>
        <v>790803.21485475672</v>
      </c>
      <c r="O46" s="39">
        <f t="shared" si="11"/>
        <v>586170.7881915702</v>
      </c>
      <c r="P46" s="39">
        <f>SUM(D46:O46)</f>
        <v>4531650.4665451851</v>
      </c>
      <c r="Q46" s="39"/>
      <c r="R46" s="211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</row>
    <row r="47" spans="1:91" x14ac:dyDescent="0.2">
      <c r="A47" s="5">
        <v>36</v>
      </c>
      <c r="B47" s="2"/>
      <c r="C47" s="2"/>
      <c r="D47" s="46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R47" s="211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</row>
    <row r="48" spans="1:91" x14ac:dyDescent="0.2">
      <c r="A48" s="5">
        <v>37</v>
      </c>
      <c r="B48" s="172" t="s">
        <v>83</v>
      </c>
      <c r="C48" s="2"/>
      <c r="D48" s="103">
        <f t="shared" ref="D48:O48" si="12">D49*$C$49+D50*$C$50+D51*$C$51</f>
        <v>2484.4468200000001</v>
      </c>
      <c r="E48" s="103">
        <f t="shared" si="12"/>
        <v>2213.1451099999999</v>
      </c>
      <c r="F48" s="103">
        <f t="shared" si="12"/>
        <v>799.91686000000004</v>
      </c>
      <c r="G48" s="103">
        <f t="shared" si="12"/>
        <v>800.99857000000009</v>
      </c>
      <c r="H48" s="103">
        <f t="shared" si="12"/>
        <v>840.41281000000004</v>
      </c>
      <c r="I48" s="103">
        <f t="shared" si="12"/>
        <v>838.04032000000007</v>
      </c>
      <c r="J48" s="103">
        <f t="shared" si="12"/>
        <v>832.93173999999999</v>
      </c>
      <c r="K48" s="103">
        <f t="shared" si="12"/>
        <v>1636.5225300000002</v>
      </c>
      <c r="L48" s="103">
        <f t="shared" si="12"/>
        <v>2645.0580300000001</v>
      </c>
      <c r="M48" s="103">
        <f t="shared" si="12"/>
        <v>3431.3248500000004</v>
      </c>
      <c r="N48" s="103">
        <f t="shared" si="12"/>
        <v>2949.9093600000001</v>
      </c>
      <c r="O48" s="103">
        <f t="shared" si="12"/>
        <v>2548.77675</v>
      </c>
      <c r="P48" s="103">
        <f>SUM(D48:O48)</f>
        <v>22021.483750000003</v>
      </c>
      <c r="Q48" s="103"/>
      <c r="R48" s="211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</row>
    <row r="49" spans="1:91" x14ac:dyDescent="0.2">
      <c r="A49" s="5">
        <v>38</v>
      </c>
      <c r="B49" s="2" t="s">
        <v>84</v>
      </c>
      <c r="C49" s="101">
        <f>'Rate Design'!G14</f>
        <v>393.35</v>
      </c>
      <c r="D49" s="71">
        <f>'Monthly Forecast'!Y48</f>
        <v>3</v>
      </c>
      <c r="E49" s="71">
        <f>'Monthly Forecast'!Z48</f>
        <v>4</v>
      </c>
      <c r="F49" s="71">
        <f>'Monthly Forecast'!AA48</f>
        <v>2</v>
      </c>
      <c r="G49" s="71">
        <f>'Monthly Forecast'!AB48</f>
        <v>2</v>
      </c>
      <c r="H49" s="71">
        <f>'Monthly Forecast'!AC48</f>
        <v>2</v>
      </c>
      <c r="I49" s="71">
        <f>'Monthly Forecast'!AD48</f>
        <v>2</v>
      </c>
      <c r="J49" s="71">
        <f>'Monthly Forecast'!AE48</f>
        <v>2</v>
      </c>
      <c r="K49" s="71">
        <f>'Monthly Forecast'!AF48</f>
        <v>3</v>
      </c>
      <c r="L49" s="71">
        <f>'Monthly Forecast'!AG48</f>
        <v>3</v>
      </c>
      <c r="M49" s="71">
        <f>'Monthly Forecast'!AH48</f>
        <v>3</v>
      </c>
      <c r="N49" s="71">
        <f>'Monthly Forecast'!AI48</f>
        <v>3</v>
      </c>
      <c r="O49" s="71">
        <f>'Monthly Forecast'!AJ48</f>
        <v>3</v>
      </c>
      <c r="P49" s="7">
        <f>SUM(D49:O49)</f>
        <v>32</v>
      </c>
      <c r="Q49" s="71">
        <f>P49*C49</f>
        <v>12587.2</v>
      </c>
      <c r="R49" s="211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</row>
    <row r="50" spans="1:91" x14ac:dyDescent="0.2">
      <c r="A50" s="5">
        <v>39</v>
      </c>
      <c r="B50" s="2" t="s">
        <v>85</v>
      </c>
      <c r="C50" s="15">
        <f>'Rate Design'!G27</f>
        <v>0.90900000000000003</v>
      </c>
      <c r="D50" s="71">
        <f>'Monthly Forecast'!Y49</f>
        <v>1434.98</v>
      </c>
      <c r="E50" s="71">
        <f>'Monthly Forecast'!Z49</f>
        <v>703.79</v>
      </c>
      <c r="F50" s="71">
        <f>'Monthly Forecast'!AA49</f>
        <v>14.54</v>
      </c>
      <c r="G50" s="71">
        <f>'Monthly Forecast'!AB49</f>
        <v>15.73</v>
      </c>
      <c r="H50" s="71">
        <f>'Monthly Forecast'!AC49</f>
        <v>59.09</v>
      </c>
      <c r="I50" s="71">
        <f>'Monthly Forecast'!AD49</f>
        <v>56.48</v>
      </c>
      <c r="J50" s="71">
        <f>'Monthly Forecast'!AE49</f>
        <v>50.86</v>
      </c>
      <c r="K50" s="71">
        <f>'Monthly Forecast'!AF49</f>
        <v>502.17</v>
      </c>
      <c r="L50" s="71">
        <f>'Monthly Forecast'!AG49</f>
        <v>1611.67</v>
      </c>
      <c r="M50" s="71">
        <f>'Monthly Forecast'!AH49</f>
        <v>2476.65</v>
      </c>
      <c r="N50" s="71">
        <f>'Monthly Forecast'!AI49</f>
        <v>1947.04</v>
      </c>
      <c r="O50" s="71">
        <f>'Monthly Forecast'!AJ49</f>
        <v>1505.75</v>
      </c>
      <c r="P50" s="7">
        <f>SUM(C50:O50)</f>
        <v>10379.659</v>
      </c>
      <c r="Q50" s="71">
        <f>P50*C50</f>
        <v>9435.1100310000002</v>
      </c>
      <c r="R50" s="211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</row>
    <row r="51" spans="1:91" x14ac:dyDescent="0.2">
      <c r="A51" s="5">
        <v>40</v>
      </c>
      <c r="B51" s="2" t="s">
        <v>81</v>
      </c>
      <c r="C51" s="15">
        <f>'Rate Design'!G28</f>
        <v>0.68489999999999995</v>
      </c>
      <c r="D51" s="71">
        <f>'Monthly Forecast'!Y50</f>
        <v>0</v>
      </c>
      <c r="E51" s="71">
        <f>'Monthly Forecast'!Z50</f>
        <v>0</v>
      </c>
      <c r="F51" s="71">
        <f>'Monthly Forecast'!AA50</f>
        <v>0</v>
      </c>
      <c r="G51" s="71">
        <f>'Monthly Forecast'!AB50</f>
        <v>0</v>
      </c>
      <c r="H51" s="71">
        <f>'Monthly Forecast'!AC50</f>
        <v>0</v>
      </c>
      <c r="I51" s="71">
        <f>'Monthly Forecast'!AD50</f>
        <v>0</v>
      </c>
      <c r="J51" s="71">
        <f>'Monthly Forecast'!AE50</f>
        <v>0</v>
      </c>
      <c r="K51" s="71">
        <f>'Monthly Forecast'!AF50</f>
        <v>0</v>
      </c>
      <c r="L51" s="71">
        <f>'Monthly Forecast'!AG50</f>
        <v>0</v>
      </c>
      <c r="M51" s="71">
        <f>'Monthly Forecast'!AH50</f>
        <v>0</v>
      </c>
      <c r="N51" s="71">
        <f>'Monthly Forecast'!AI50</f>
        <v>0</v>
      </c>
      <c r="O51" s="71">
        <f>'Monthly Forecast'!AJ50</f>
        <v>0</v>
      </c>
      <c r="P51" s="7">
        <f>SUM(C51:O51)</f>
        <v>0.68489999999999995</v>
      </c>
      <c r="Q51" s="71">
        <f>P51*C51</f>
        <v>0.46908800999999994</v>
      </c>
      <c r="R51" s="211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</row>
    <row r="52" spans="1:91" x14ac:dyDescent="0.2">
      <c r="A52" s="5">
        <v>41</v>
      </c>
      <c r="B52" s="33" t="s">
        <v>79</v>
      </c>
      <c r="C52" s="33"/>
      <c r="D52" s="32">
        <f t="shared" ref="D52:P52" si="13">D50+D51</f>
        <v>1434.98</v>
      </c>
      <c r="E52" s="32">
        <f t="shared" si="13"/>
        <v>703.79</v>
      </c>
      <c r="F52" s="32">
        <f t="shared" si="13"/>
        <v>14.54</v>
      </c>
      <c r="G52" s="32">
        <f t="shared" si="13"/>
        <v>15.73</v>
      </c>
      <c r="H52" s="32">
        <f t="shared" si="13"/>
        <v>59.09</v>
      </c>
      <c r="I52" s="32">
        <f t="shared" si="13"/>
        <v>56.48</v>
      </c>
      <c r="J52" s="32">
        <f t="shared" si="13"/>
        <v>50.86</v>
      </c>
      <c r="K52" s="32">
        <f t="shared" si="13"/>
        <v>502.17</v>
      </c>
      <c r="L52" s="32">
        <f t="shared" si="13"/>
        <v>1611.67</v>
      </c>
      <c r="M52" s="32">
        <f t="shared" si="13"/>
        <v>2476.65</v>
      </c>
      <c r="N52" s="32">
        <f t="shared" si="13"/>
        <v>1947.04</v>
      </c>
      <c r="O52" s="32">
        <f t="shared" si="13"/>
        <v>1505.75</v>
      </c>
      <c r="P52" s="32">
        <f t="shared" si="13"/>
        <v>10380.3439</v>
      </c>
      <c r="Q52" s="32">
        <f>SUM(Q49:Q51)</f>
        <v>22022.77911901</v>
      </c>
      <c r="R52" s="211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</row>
    <row r="53" spans="1:91" x14ac:dyDescent="0.2">
      <c r="A53" s="5">
        <v>42</v>
      </c>
      <c r="B53" s="17" t="s">
        <v>226</v>
      </c>
      <c r="C53" s="2"/>
      <c r="D53" s="95">
        <f>'Monthly Forecast'!Y52</f>
        <v>3.36752485693808</v>
      </c>
      <c r="E53" s="95">
        <f>'Monthly Forecast'!Z52</f>
        <v>3.5929507183845497</v>
      </c>
      <c r="F53" s="95">
        <f>'Monthly Forecast'!AA52</f>
        <v>3.5929507183845497</v>
      </c>
      <c r="G53" s="95">
        <f>'Monthly Forecast'!AB52</f>
        <v>3.5929507183845497</v>
      </c>
      <c r="H53" s="95">
        <f>'Monthly Forecast'!AC52</f>
        <v>3.5731874577749427</v>
      </c>
      <c r="I53" s="95">
        <f>'Monthly Forecast'!AD52</f>
        <v>3.5731874577749427</v>
      </c>
      <c r="J53" s="95">
        <f>'Monthly Forecast'!AE52</f>
        <v>3.5731874577749427</v>
      </c>
      <c r="K53" s="95">
        <f>'Monthly Forecast'!AF52</f>
        <v>3.4182326490369213</v>
      </c>
      <c r="L53" s="95">
        <f>'Monthly Forecast'!AG52</f>
        <v>3.4182326490369213</v>
      </c>
      <c r="M53" s="95">
        <f>'Monthly Forecast'!AH52</f>
        <v>3.4182326490369213</v>
      </c>
      <c r="N53" s="95">
        <f>'Monthly Forecast'!AI52</f>
        <v>3.3435245663605344</v>
      </c>
      <c r="O53" s="95">
        <f>'Monthly Forecast'!AJ52</f>
        <v>3.3435245663605344</v>
      </c>
      <c r="P53" s="95"/>
      <c r="Q53" s="95"/>
      <c r="R53" s="211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</row>
    <row r="54" spans="1:91" x14ac:dyDescent="0.2">
      <c r="A54" s="5">
        <v>43</v>
      </c>
      <c r="B54" s="17" t="s">
        <v>218</v>
      </c>
      <c r="C54" s="2"/>
      <c r="D54" s="39">
        <f t="shared" ref="D54:O54" si="14">D53*D52</f>
        <v>4832.3308192090062</v>
      </c>
      <c r="E54" s="39">
        <f t="shared" si="14"/>
        <v>2528.682786091862</v>
      </c>
      <c r="F54" s="39">
        <f t="shared" si="14"/>
        <v>52.241503445311352</v>
      </c>
      <c r="G54" s="39">
        <f t="shared" si="14"/>
        <v>56.51711480018897</v>
      </c>
      <c r="H54" s="39">
        <f t="shared" si="14"/>
        <v>211.13964687992137</v>
      </c>
      <c r="I54" s="39">
        <f t="shared" si="14"/>
        <v>201.81362761512875</v>
      </c>
      <c r="J54" s="39">
        <f t="shared" si="14"/>
        <v>181.73231410243358</v>
      </c>
      <c r="K54" s="39">
        <f t="shared" si="14"/>
        <v>1716.5338893668709</v>
      </c>
      <c r="L54" s="39">
        <f t="shared" si="14"/>
        <v>5509.0630134733356</v>
      </c>
      <c r="M54" s="39">
        <f t="shared" si="14"/>
        <v>8465.7658902372914</v>
      </c>
      <c r="N54" s="39">
        <f t="shared" si="14"/>
        <v>6509.9760716866149</v>
      </c>
      <c r="O54" s="39">
        <f t="shared" si="14"/>
        <v>5034.5121157973745</v>
      </c>
      <c r="P54" s="39">
        <f>SUM(D54:O54)</f>
        <v>35300.308792705342</v>
      </c>
      <c r="Q54" s="39"/>
      <c r="R54" s="211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</row>
    <row r="55" spans="1:91" x14ac:dyDescent="0.2">
      <c r="A55" s="5">
        <v>44</v>
      </c>
      <c r="B55" s="2"/>
      <c r="C55" s="2"/>
      <c r="D55" s="46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R55" s="211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</row>
    <row r="56" spans="1:91" x14ac:dyDescent="0.2">
      <c r="A56" s="5">
        <v>45</v>
      </c>
      <c r="B56" s="172" t="s">
        <v>86</v>
      </c>
      <c r="C56" s="2"/>
      <c r="D56" s="103">
        <f t="shared" ref="D56:O56" si="15">D57*$C$57+D58*$C$58+D59*$C$59</f>
        <v>18914.20492</v>
      </c>
      <c r="E56" s="103">
        <f t="shared" si="15"/>
        <v>25911.092930000006</v>
      </c>
      <c r="F56" s="103">
        <f t="shared" si="15"/>
        <v>18567.147150000001</v>
      </c>
      <c r="G56" s="103">
        <f t="shared" si="15"/>
        <v>46427.341500000002</v>
      </c>
      <c r="H56" s="103">
        <f t="shared" si="15"/>
        <v>28435.40725</v>
      </c>
      <c r="I56" s="103">
        <f t="shared" si="15"/>
        <v>32448.466209999999</v>
      </c>
      <c r="J56" s="103">
        <f t="shared" si="15"/>
        <v>16038.921320000001</v>
      </c>
      <c r="K56" s="103">
        <f t="shared" si="15"/>
        <v>26810.6152</v>
      </c>
      <c r="L56" s="103">
        <f t="shared" si="15"/>
        <v>48678.730339000009</v>
      </c>
      <c r="M56" s="103">
        <f t="shared" si="15"/>
        <v>58772.137589999998</v>
      </c>
      <c r="N56" s="103">
        <f t="shared" si="15"/>
        <v>44785.857680000001</v>
      </c>
      <c r="O56" s="103">
        <f t="shared" si="15"/>
        <v>32339.236010000004</v>
      </c>
      <c r="P56" s="103">
        <f>SUM(D56:O56)</f>
        <v>398129.15809900005</v>
      </c>
      <c r="Q56" s="103"/>
      <c r="R56" s="211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</row>
    <row r="57" spans="1:91" x14ac:dyDescent="0.2">
      <c r="A57" s="5">
        <v>46</v>
      </c>
      <c r="B57" s="2" t="s">
        <v>84</v>
      </c>
      <c r="C57" s="101">
        <f>C49</f>
        <v>393.35</v>
      </c>
      <c r="D57" s="71">
        <f>'Monthly Forecast'!Y56</f>
        <v>8</v>
      </c>
      <c r="E57" s="71">
        <f>'Monthly Forecast'!Z56</f>
        <v>10</v>
      </c>
      <c r="F57" s="71">
        <f>'Monthly Forecast'!AA56</f>
        <v>9</v>
      </c>
      <c r="G57" s="71">
        <f>'Monthly Forecast'!AB56</f>
        <v>9</v>
      </c>
      <c r="H57" s="71">
        <f>'Monthly Forecast'!AC56</f>
        <v>8</v>
      </c>
      <c r="I57" s="71">
        <f>'Monthly Forecast'!AD56</f>
        <v>8</v>
      </c>
      <c r="J57" s="71">
        <f>'Monthly Forecast'!AE56</f>
        <v>7</v>
      </c>
      <c r="K57" s="71">
        <f>'Monthly Forecast'!AF56</f>
        <v>8</v>
      </c>
      <c r="L57" s="71">
        <f>'Monthly Forecast'!AG56</f>
        <v>8</v>
      </c>
      <c r="M57" s="71">
        <f>'Monthly Forecast'!AH56</f>
        <v>9</v>
      </c>
      <c r="N57" s="71">
        <f>'Monthly Forecast'!AI56</f>
        <v>16</v>
      </c>
      <c r="O57" s="71">
        <f>'Monthly Forecast'!AJ56</f>
        <v>10</v>
      </c>
      <c r="P57" s="71">
        <f>ROUND((SUM(D57:O57)),0)</f>
        <v>110</v>
      </c>
      <c r="Q57" s="71">
        <f>P57*C57</f>
        <v>43268.5</v>
      </c>
      <c r="R57" s="211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</row>
    <row r="58" spans="1:91" x14ac:dyDescent="0.2">
      <c r="A58" s="5">
        <v>47</v>
      </c>
      <c r="B58" s="2" t="s">
        <v>85</v>
      </c>
      <c r="C58" s="15">
        <f>C50</f>
        <v>0.90900000000000003</v>
      </c>
      <c r="D58" s="71">
        <f>'Monthly Forecast'!Y57</f>
        <v>17345.88</v>
      </c>
      <c r="E58" s="71">
        <f>'Monthly Forecast'!Z57</f>
        <v>24177.770000000004</v>
      </c>
      <c r="F58" s="71">
        <f>'Monthly Forecast'!AA57</f>
        <v>16531.349999999999</v>
      </c>
      <c r="G58" s="71">
        <f>'Monthly Forecast'!AB57</f>
        <v>41347.300000000003</v>
      </c>
      <c r="H58" s="71">
        <f>'Monthly Forecast'!AC57</f>
        <v>27820.25</v>
      </c>
      <c r="I58" s="71">
        <f>'Monthly Forecast'!AD57</f>
        <v>28622.19</v>
      </c>
      <c r="J58" s="71">
        <f>'Monthly Forecast'!AE57</f>
        <v>14615.48</v>
      </c>
      <c r="K58" s="71">
        <f>'Monthly Forecast'!AF57</f>
        <v>26032.799999999999</v>
      </c>
      <c r="L58" s="71">
        <f>'Monthly Forecast'!AG57</f>
        <v>40530.910000000003</v>
      </c>
      <c r="M58" s="71">
        <f>'Monthly Forecast'!AH57</f>
        <v>50530.71</v>
      </c>
      <c r="N58" s="71">
        <f>'Monthly Forecast'!AI57</f>
        <v>35051.42</v>
      </c>
      <c r="O58" s="71">
        <f>'Monthly Forecast'!AJ57</f>
        <v>24184.190000000002</v>
      </c>
      <c r="P58" s="7">
        <f>SUM(C58:O58)</f>
        <v>346791.15899999999</v>
      </c>
      <c r="Q58" s="71">
        <f>P58*C58</f>
        <v>315233.16353099997</v>
      </c>
      <c r="R58" s="211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</row>
    <row r="59" spans="1:91" x14ac:dyDescent="0.2">
      <c r="A59" s="5">
        <v>48</v>
      </c>
      <c r="B59" s="2" t="s">
        <v>81</v>
      </c>
      <c r="C59" s="15">
        <f>C51</f>
        <v>0.68489999999999995</v>
      </c>
      <c r="D59" s="71">
        <f>'Monthly Forecast'!Y58</f>
        <v>0</v>
      </c>
      <c r="E59" s="71">
        <f>'Monthly Forecast'!Z58</f>
        <v>0</v>
      </c>
      <c r="F59" s="71">
        <f>'Monthly Forecast'!AA58</f>
        <v>0</v>
      </c>
      <c r="G59" s="71">
        <f>'Monthly Forecast'!AB58</f>
        <v>7742</v>
      </c>
      <c r="H59" s="71">
        <f>'Monthly Forecast'!AC58</f>
        <v>0</v>
      </c>
      <c r="I59" s="71">
        <f>'Monthly Forecast'!AD58</f>
        <v>4795</v>
      </c>
      <c r="J59" s="71">
        <f>'Monthly Forecast'!AE58</f>
        <v>0</v>
      </c>
      <c r="K59" s="71">
        <f>'Monthly Forecast'!AF58</f>
        <v>0</v>
      </c>
      <c r="L59" s="71">
        <f>'Monthly Forecast'!AG58</f>
        <v>12687.01</v>
      </c>
      <c r="M59" s="71">
        <f>'Monthly Forecast'!AH58</f>
        <v>13578</v>
      </c>
      <c r="N59" s="71">
        <f>'Monthly Forecast'!AI58</f>
        <v>9681</v>
      </c>
      <c r="O59" s="71">
        <f>'Monthly Forecast'!AJ58</f>
        <v>9377</v>
      </c>
      <c r="P59" s="7">
        <f>SUM(C59:O59)</f>
        <v>57860.694900000002</v>
      </c>
      <c r="Q59" s="71">
        <f>P59*C59</f>
        <v>39628.789937009999</v>
      </c>
      <c r="R59" s="211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</row>
    <row r="60" spans="1:91" x14ac:dyDescent="0.2">
      <c r="A60" s="5">
        <v>49</v>
      </c>
      <c r="B60" s="33" t="s">
        <v>79</v>
      </c>
      <c r="C60" s="33"/>
      <c r="D60" s="32">
        <f t="shared" ref="D60:P60" si="16">D58+D59</f>
        <v>17345.88</v>
      </c>
      <c r="E60" s="32">
        <f t="shared" si="16"/>
        <v>24177.770000000004</v>
      </c>
      <c r="F60" s="32">
        <f t="shared" si="16"/>
        <v>16531.349999999999</v>
      </c>
      <c r="G60" s="32">
        <f t="shared" si="16"/>
        <v>49089.3</v>
      </c>
      <c r="H60" s="32">
        <f t="shared" si="16"/>
        <v>27820.25</v>
      </c>
      <c r="I60" s="32">
        <f t="shared" si="16"/>
        <v>33417.19</v>
      </c>
      <c r="J60" s="32">
        <f t="shared" si="16"/>
        <v>14615.48</v>
      </c>
      <c r="K60" s="32">
        <f t="shared" si="16"/>
        <v>26032.799999999999</v>
      </c>
      <c r="L60" s="32">
        <f t="shared" si="16"/>
        <v>53217.920000000006</v>
      </c>
      <c r="M60" s="32">
        <f t="shared" si="16"/>
        <v>64108.71</v>
      </c>
      <c r="N60" s="32">
        <f t="shared" si="16"/>
        <v>44732.42</v>
      </c>
      <c r="O60" s="32">
        <f t="shared" si="16"/>
        <v>33561.19</v>
      </c>
      <c r="P60" s="32">
        <f t="shared" si="16"/>
        <v>404651.85389999999</v>
      </c>
      <c r="Q60" s="32">
        <f>SUM(Q57:Q59)</f>
        <v>398130.45346800995</v>
      </c>
      <c r="R60" s="211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</row>
    <row r="61" spans="1:91" x14ac:dyDescent="0.2">
      <c r="A61" s="5">
        <v>50</v>
      </c>
      <c r="B61" s="17" t="s">
        <v>226</v>
      </c>
      <c r="C61" s="2"/>
      <c r="D61" s="95">
        <f>'Monthly Forecast'!Y60</f>
        <v>3.36752485693808</v>
      </c>
      <c r="E61" s="95">
        <f>'Monthly Forecast'!Z60</f>
        <v>3.5929507183845497</v>
      </c>
      <c r="F61" s="95">
        <f>'Monthly Forecast'!AA60</f>
        <v>3.5929507183845497</v>
      </c>
      <c r="G61" s="95">
        <f>'Monthly Forecast'!AB60</f>
        <v>3.5929507183845497</v>
      </c>
      <c r="H61" s="95">
        <f>'Monthly Forecast'!AC60</f>
        <v>3.5731874577749427</v>
      </c>
      <c r="I61" s="95">
        <f>'Monthly Forecast'!AD60</f>
        <v>3.5731874577749427</v>
      </c>
      <c r="J61" s="95">
        <f>'Monthly Forecast'!AE60</f>
        <v>3.5731874577749427</v>
      </c>
      <c r="K61" s="95">
        <f>'Monthly Forecast'!AF60</f>
        <v>3.4182326490369213</v>
      </c>
      <c r="L61" s="95">
        <f>'Monthly Forecast'!AG60</f>
        <v>3.4182326490369213</v>
      </c>
      <c r="M61" s="95">
        <f>'Monthly Forecast'!AH60</f>
        <v>3.4182326490369213</v>
      </c>
      <c r="N61" s="95">
        <f>'Monthly Forecast'!AI60</f>
        <v>3.3435245663605344</v>
      </c>
      <c r="O61" s="95">
        <f>'Monthly Forecast'!AJ60</f>
        <v>3.3435245663605344</v>
      </c>
      <c r="P61" s="95"/>
      <c r="Q61" s="95"/>
      <c r="R61" s="211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</row>
    <row r="62" spans="1:91" x14ac:dyDescent="0.2">
      <c r="A62" s="5">
        <v>51</v>
      </c>
      <c r="B62" s="17" t="s">
        <v>218</v>
      </c>
      <c r="C62" s="2"/>
      <c r="D62" s="39">
        <f t="shared" ref="D62:O62" si="17">D61*D60</f>
        <v>58412.682065465109</v>
      </c>
      <c r="E62" s="39">
        <f t="shared" si="17"/>
        <v>86869.536090436435</v>
      </c>
      <c r="F62" s="39">
        <f t="shared" si="17"/>
        <v>59396.325858366421</v>
      </c>
      <c r="G62" s="39">
        <f t="shared" si="17"/>
        <v>176375.43569999468</v>
      </c>
      <c r="H62" s="39">
        <f t="shared" si="17"/>
        <v>99406.968372163348</v>
      </c>
      <c r="I62" s="39">
        <f t="shared" si="17"/>
        <v>119405.88418208224</v>
      </c>
      <c r="J62" s="39">
        <f t="shared" si="17"/>
        <v>52223.849825360521</v>
      </c>
      <c r="K62" s="39">
        <f t="shared" si="17"/>
        <v>88986.166905848368</v>
      </c>
      <c r="L62" s="39">
        <f t="shared" si="17"/>
        <v>181911.23165783499</v>
      </c>
      <c r="M62" s="39">
        <f t="shared" si="17"/>
        <v>219138.48560963976</v>
      </c>
      <c r="N62" s="39">
        <f t="shared" si="17"/>
        <v>149563.94518275728</v>
      </c>
      <c r="O62" s="39">
        <f t="shared" si="17"/>
        <v>112212.66324129351</v>
      </c>
      <c r="P62" s="4">
        <f>SUM(C62:O62)</f>
        <v>1403903.1746912424</v>
      </c>
      <c r="Q62" s="39"/>
      <c r="R62" s="211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</row>
    <row r="63" spans="1:91" x14ac:dyDescent="0.2">
      <c r="A63" s="5">
        <v>52</v>
      </c>
      <c r="B63" s="2"/>
      <c r="C63" s="2"/>
      <c r="D63" s="46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R63" s="211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</row>
    <row r="64" spans="1:91" x14ac:dyDescent="0.2">
      <c r="A64" s="5">
        <v>53</v>
      </c>
      <c r="B64" s="172" t="s">
        <v>88</v>
      </c>
      <c r="C64" s="2"/>
      <c r="D64" s="103">
        <f>D65*$C$65+D69*$C$69+D70*$C$70+D71*$C$71+D66+D67+D68</f>
        <v>588303.60879462364</v>
      </c>
      <c r="E64" s="103">
        <f t="shared" ref="E64:O64" si="18">E65*$C$65+E69*$C$69+E70*$C$70+E71*$C$71+E66+E67+E68</f>
        <v>595855.55098650069</v>
      </c>
      <c r="F64" s="103">
        <f t="shared" si="18"/>
        <v>581023.40132154047</v>
      </c>
      <c r="G64" s="103">
        <f t="shared" si="18"/>
        <v>519452.1737342081</v>
      </c>
      <c r="H64" s="103">
        <f t="shared" si="18"/>
        <v>566278.45147381537</v>
      </c>
      <c r="I64" s="103">
        <f t="shared" si="18"/>
        <v>566518.86138818902</v>
      </c>
      <c r="J64" s="103">
        <f t="shared" si="18"/>
        <v>601885.08727346407</v>
      </c>
      <c r="K64" s="103">
        <f t="shared" si="18"/>
        <v>687909.92714050855</v>
      </c>
      <c r="L64" s="103">
        <f t="shared" si="18"/>
        <v>822798.83809428895</v>
      </c>
      <c r="M64" s="103">
        <f t="shared" si="18"/>
        <v>821791.21068857983</v>
      </c>
      <c r="N64" s="103">
        <f t="shared" si="18"/>
        <v>714012.74526802613</v>
      </c>
      <c r="O64" s="103">
        <f t="shared" si="18"/>
        <v>754968.57768132398</v>
      </c>
      <c r="P64" s="103">
        <f>SUM(D64:O64)</f>
        <v>7820798.4338450693</v>
      </c>
      <c r="Q64" s="103"/>
      <c r="R64" s="211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</row>
    <row r="65" spans="1:91" x14ac:dyDescent="0.2">
      <c r="A65" s="5">
        <v>54</v>
      </c>
      <c r="B65" s="2" t="s">
        <v>87</v>
      </c>
      <c r="C65" s="12">
        <f>'Monthly Forecast'!C64</f>
        <v>396.49</v>
      </c>
      <c r="D65" s="71">
        <f>'Monthly Forecast'!Y64</f>
        <v>125</v>
      </c>
      <c r="E65" s="71">
        <f>'Monthly Forecast'!Z64</f>
        <v>125</v>
      </c>
      <c r="F65" s="71">
        <f>'Monthly Forecast'!AA64</f>
        <v>125</v>
      </c>
      <c r="G65" s="71">
        <f>'Monthly Forecast'!AB64</f>
        <v>124</v>
      </c>
      <c r="H65" s="71">
        <f>'Monthly Forecast'!AC64</f>
        <v>124</v>
      </c>
      <c r="I65" s="71">
        <f>'Monthly Forecast'!AD64</f>
        <v>124</v>
      </c>
      <c r="J65" s="71">
        <f>'Monthly Forecast'!AE64</f>
        <v>124</v>
      </c>
      <c r="K65" s="71">
        <f>'Monthly Forecast'!AF64</f>
        <v>125</v>
      </c>
      <c r="L65" s="71">
        <f>'Monthly Forecast'!AG64</f>
        <v>125</v>
      </c>
      <c r="M65" s="71">
        <f>'Monthly Forecast'!AH64</f>
        <v>125</v>
      </c>
      <c r="N65" s="71">
        <f>'Monthly Forecast'!AI64</f>
        <v>125</v>
      </c>
      <c r="O65" s="71">
        <f>'Monthly Forecast'!AJ64</f>
        <v>125</v>
      </c>
      <c r="P65" s="7">
        <f>SUM(D65:O65)</f>
        <v>1496</v>
      </c>
      <c r="Q65" s="71">
        <f>P65*C65</f>
        <v>593149.04</v>
      </c>
      <c r="R65" s="576">
        <f>Q65-'Bill Frequency'!R53</f>
        <v>4361.390000000014</v>
      </c>
      <c r="S65" s="206">
        <f>Q65+Q81+Q90</f>
        <v>994754.12000000011</v>
      </c>
      <c r="T65" s="206" t="s">
        <v>650</v>
      </c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</row>
    <row r="66" spans="1:91" x14ac:dyDescent="0.2">
      <c r="A66" s="5">
        <v>55</v>
      </c>
      <c r="B66" s="2" t="s">
        <v>1</v>
      </c>
      <c r="C66" s="2"/>
      <c r="D66" s="71">
        <f>'Monthly Forecast'!Y65</f>
        <v>6150</v>
      </c>
      <c r="E66" s="71">
        <f>'Monthly Forecast'!Z65</f>
        <v>6150</v>
      </c>
      <c r="F66" s="71">
        <f>'Monthly Forecast'!AA65</f>
        <v>6150</v>
      </c>
      <c r="G66" s="71">
        <f>'Monthly Forecast'!AB65</f>
        <v>6100</v>
      </c>
      <c r="H66" s="71">
        <f>'Monthly Forecast'!AC65</f>
        <v>6100</v>
      </c>
      <c r="I66" s="71">
        <f>'Monthly Forecast'!AD65</f>
        <v>6100</v>
      </c>
      <c r="J66" s="71">
        <f>'Monthly Forecast'!AE65</f>
        <v>6100</v>
      </c>
      <c r="K66" s="71">
        <f>'Monthly Forecast'!AF65</f>
        <v>6150</v>
      </c>
      <c r="L66" s="71">
        <f>'Monthly Forecast'!AG65</f>
        <v>6150</v>
      </c>
      <c r="M66" s="71">
        <f>'Monthly Forecast'!AH65</f>
        <v>6150</v>
      </c>
      <c r="N66" s="71">
        <f>'Monthly Forecast'!AI65</f>
        <v>6150</v>
      </c>
      <c r="O66" s="71">
        <f>'Monthly Forecast'!AJ65</f>
        <v>6150</v>
      </c>
      <c r="P66" s="4">
        <f t="shared" ref="P66:P71" si="19">SUM(D66:O66)</f>
        <v>73600</v>
      </c>
      <c r="Q66" s="71">
        <f>P66</f>
        <v>73600</v>
      </c>
      <c r="R66" s="576">
        <f>Q66-'Bill Frequency'!R54</f>
        <v>550</v>
      </c>
      <c r="S66" s="206">
        <f>SUM(Q69:Q71,P74,Q85:Q86,Q95)</f>
        <v>16151005.311618457</v>
      </c>
      <c r="T66" s="206" t="s">
        <v>452</v>
      </c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</row>
    <row r="67" spans="1:91" x14ac:dyDescent="0.2">
      <c r="A67" s="5">
        <v>56</v>
      </c>
      <c r="B67" s="2" t="s">
        <v>62</v>
      </c>
      <c r="C67" s="2"/>
      <c r="D67" s="71">
        <f>'Monthly Forecast'!Y66</f>
        <v>6500</v>
      </c>
      <c r="E67" s="71">
        <f>'Monthly Forecast'!Z66</f>
        <v>6500</v>
      </c>
      <c r="F67" s="71">
        <f>'Monthly Forecast'!AA66</f>
        <v>6450</v>
      </c>
      <c r="G67" s="71">
        <f>'Monthly Forecast'!AB66</f>
        <v>6325</v>
      </c>
      <c r="H67" s="71">
        <f>'Monthly Forecast'!AC66</f>
        <v>6350</v>
      </c>
      <c r="I67" s="71">
        <f>'Monthly Forecast'!AD66</f>
        <v>6350</v>
      </c>
      <c r="J67" s="71">
        <f>'Monthly Forecast'!AE66</f>
        <v>6400</v>
      </c>
      <c r="K67" s="71">
        <f>'Monthly Forecast'!AF66</f>
        <v>6475</v>
      </c>
      <c r="L67" s="71">
        <f>'Monthly Forecast'!AG66</f>
        <v>6475</v>
      </c>
      <c r="M67" s="71">
        <f>'Monthly Forecast'!AH66</f>
        <v>6475</v>
      </c>
      <c r="N67" s="71">
        <f>'Monthly Forecast'!AI66</f>
        <v>6475</v>
      </c>
      <c r="O67" s="71">
        <f>'Monthly Forecast'!AJ66</f>
        <v>6500</v>
      </c>
      <c r="P67" s="4">
        <f t="shared" si="19"/>
        <v>77275</v>
      </c>
      <c r="Q67" s="71">
        <f>P67</f>
        <v>77275</v>
      </c>
      <c r="R67" s="576">
        <f>Q67-'Bill Frequency'!R55</f>
        <v>825</v>
      </c>
      <c r="S67" s="514">
        <f>SUM(Q66:Q68,Q82:Q84,Q91:Q93)</f>
        <v>330388.7</v>
      </c>
      <c r="T67" s="206" t="s">
        <v>375</v>
      </c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</row>
    <row r="68" spans="1:91" x14ac:dyDescent="0.2">
      <c r="A68" s="5">
        <v>57</v>
      </c>
      <c r="B68" s="2" t="s">
        <v>2</v>
      </c>
      <c r="C68" s="2"/>
      <c r="D68" s="71">
        <f>'Monthly Forecast'!Y67</f>
        <v>87.9</v>
      </c>
      <c r="E68" s="71">
        <f>'Monthly Forecast'!Z67</f>
        <v>174.7</v>
      </c>
      <c r="F68" s="71">
        <f>'Monthly Forecast'!AA67</f>
        <v>100.1</v>
      </c>
      <c r="G68" s="71">
        <f>'Monthly Forecast'!AB67</f>
        <v>53.1</v>
      </c>
      <c r="H68" s="71">
        <f>'Monthly Forecast'!AC67</f>
        <v>155.19999999999999</v>
      </c>
      <c r="I68" s="71">
        <f>'Monthly Forecast'!AD67</f>
        <v>121.2</v>
      </c>
      <c r="J68" s="71">
        <f>'Monthly Forecast'!AE67</f>
        <v>68.399999999999991</v>
      </c>
      <c r="K68" s="71">
        <f>'Monthly Forecast'!AF67</f>
        <v>73.700000000000017</v>
      </c>
      <c r="L68" s="71">
        <f>'Monthly Forecast'!AG67</f>
        <v>801.3</v>
      </c>
      <c r="M68" s="71">
        <f>'Monthly Forecast'!AH67</f>
        <v>203.00000000000003</v>
      </c>
      <c r="N68" s="71">
        <f>'Monthly Forecast'!AI67</f>
        <v>336.8</v>
      </c>
      <c r="O68" s="71">
        <f>'Monthly Forecast'!AJ67</f>
        <v>356.20000000000005</v>
      </c>
      <c r="P68" s="4">
        <f t="shared" si="19"/>
        <v>2531.6000000000004</v>
      </c>
      <c r="Q68" s="71">
        <f>P68</f>
        <v>2531.6000000000004</v>
      </c>
      <c r="R68" s="576">
        <f>Q68-'Bill Frequency'!R56</f>
        <v>0</v>
      </c>
      <c r="S68" s="206">
        <f>SUM(S65:S67)</f>
        <v>17476148.131618455</v>
      </c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</row>
    <row r="69" spans="1:91" x14ac:dyDescent="0.2">
      <c r="A69" s="5">
        <v>58</v>
      </c>
      <c r="B69" s="2" t="s">
        <v>32</v>
      </c>
      <c r="C69" s="15">
        <f>'Monthly Forecast'!C68</f>
        <v>1.6233</v>
      </c>
      <c r="D69" s="71">
        <f>'Monthly Forecast'!Y68</f>
        <v>36160</v>
      </c>
      <c r="E69" s="71">
        <f>'Monthly Forecast'!Z68</f>
        <v>35373</v>
      </c>
      <c r="F69" s="71">
        <f>'Monthly Forecast'!AA68</f>
        <v>34587</v>
      </c>
      <c r="G69" s="71">
        <f>'Monthly Forecast'!AB68</f>
        <v>34058</v>
      </c>
      <c r="H69" s="71">
        <f>'Monthly Forecast'!AC68</f>
        <v>34020</v>
      </c>
      <c r="I69" s="71">
        <f>'Monthly Forecast'!AD68</f>
        <v>34597</v>
      </c>
      <c r="J69" s="71">
        <f>'Monthly Forecast'!AE68</f>
        <v>35639</v>
      </c>
      <c r="K69" s="71">
        <f>'Monthly Forecast'!AF68</f>
        <v>36965</v>
      </c>
      <c r="L69" s="71">
        <f>'Monthly Forecast'!AG68</f>
        <v>37500</v>
      </c>
      <c r="M69" s="71">
        <f>'Monthly Forecast'!AH68</f>
        <v>37314</v>
      </c>
      <c r="N69" s="71">
        <f>'Monthly Forecast'!AI68</f>
        <v>37440</v>
      </c>
      <c r="O69" s="71">
        <f>'Monthly Forecast'!AJ68</f>
        <v>37200</v>
      </c>
      <c r="P69" s="7">
        <f t="shared" si="19"/>
        <v>430853</v>
      </c>
      <c r="Q69" s="71">
        <f>P69*C69</f>
        <v>699403.67489999998</v>
      </c>
      <c r="R69" s="576">
        <f>Q69-'Bill Frequency'!R57</f>
        <v>8918.4102000000421</v>
      </c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</row>
    <row r="70" spans="1:91" x14ac:dyDescent="0.2">
      <c r="A70" s="5">
        <v>59</v>
      </c>
      <c r="B70" s="2" t="s">
        <v>33</v>
      </c>
      <c r="C70" s="15">
        <f>'Monthly Forecast'!C69</f>
        <v>1.0052999999999999</v>
      </c>
      <c r="D70" s="71">
        <f>'Monthly Forecast'!Y69</f>
        <v>409696.70966173004</v>
      </c>
      <c r="E70" s="71">
        <f>'Monthly Forecast'!Z69</f>
        <v>411957.8846158387</v>
      </c>
      <c r="F70" s="71">
        <f>'Monthly Forecast'!AA69</f>
        <v>388789.40476348629</v>
      </c>
      <c r="G70" s="71">
        <f>'Monthly Forecast'!AB69</f>
        <v>355836.45679195208</v>
      </c>
      <c r="H70" s="71">
        <f>'Monthly Forecast'!AC69</f>
        <v>384301.70747560309</v>
      </c>
      <c r="I70" s="71">
        <f>'Monthly Forecast'!AD69</f>
        <v>391368.24314657244</v>
      </c>
      <c r="J70" s="71">
        <f>'Monthly Forecast'!AE69</f>
        <v>425415.89438444393</v>
      </c>
      <c r="K70" s="71">
        <f>'Monthly Forecast'!AF69</f>
        <v>489287.42285561224</v>
      </c>
      <c r="L70" s="71">
        <f>'Monthly Forecast'!AG69</f>
        <v>582420.15965042147</v>
      </c>
      <c r="M70" s="71">
        <f>'Monthly Forecast'!AH69</f>
        <v>583961.23380762443</v>
      </c>
      <c r="N70" s="71">
        <f>'Monthly Forecast'!AI69</f>
        <v>498167.27621914505</v>
      </c>
      <c r="O70" s="71">
        <f>'Monthly Forecast'!AJ69</f>
        <v>519504.07397711946</v>
      </c>
      <c r="P70" s="7">
        <f t="shared" si="19"/>
        <v>5440706.4673495488</v>
      </c>
      <c r="Q70" s="71">
        <f>P70*C70</f>
        <v>5469542.2116265008</v>
      </c>
      <c r="R70" s="576">
        <f>Q70-'Bill Frequency'!R58</f>
        <v>151972.67612650152</v>
      </c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</row>
    <row r="71" spans="1:91" x14ac:dyDescent="0.2">
      <c r="A71" s="5">
        <v>60</v>
      </c>
      <c r="B71" s="2" t="s">
        <v>34</v>
      </c>
      <c r="C71" s="15">
        <f>'Monthly Forecast'!C70</f>
        <v>0.78310000000000002</v>
      </c>
      <c r="D71" s="71">
        <f>'Monthly Forecast'!Y70</f>
        <v>70792.783260996584</v>
      </c>
      <c r="E71" s="71">
        <f>'Monthly Forecast'!Z70</f>
        <v>79054.205953515673</v>
      </c>
      <c r="F71" s="71">
        <f>'Monthly Forecast'!AA70</f>
        <v>91644.72687116309</v>
      </c>
      <c r="G71" s="71">
        <f>'Monthly Forecast'!AB70</f>
        <v>57209.261041065962</v>
      </c>
      <c r="H71" s="71">
        <f>'Monthly Forecast'!AC70</f>
        <v>80379.669197537602</v>
      </c>
      <c r="I71" s="71">
        <f>'Monthly Forecast'!AD70</f>
        <v>70462.388523738744</v>
      </c>
      <c r="J71" s="71">
        <f>'Monthly Forecast'!AE70</f>
        <v>69759.34101491842</v>
      </c>
      <c r="K71" s="71">
        <f>'Monthly Forecast'!AF70</f>
        <v>94194.925863570068</v>
      </c>
      <c r="L71" s="71">
        <f>'Monthly Forecast'!AG70</f>
        <v>144848.1057307116</v>
      </c>
      <c r="M71" s="71">
        <f>'Monthly Forecast'!AH70</f>
        <v>142732.62181301892</v>
      </c>
      <c r="N71" s="71">
        <f>'Monthly Forecast'!AI70</f>
        <v>114807.53477834206</v>
      </c>
      <c r="O71" s="71">
        <f>'Monthly Forecast'!AJ70</f>
        <v>140156.96860187192</v>
      </c>
      <c r="P71" s="7">
        <f t="shared" si="19"/>
        <v>1156042.5326504507</v>
      </c>
      <c r="Q71" s="71">
        <f>P71*C71</f>
        <v>905296.90731856797</v>
      </c>
      <c r="R71" s="576">
        <f>Q71-'Bill Frequency'!R59</f>
        <v>-17496.386181432055</v>
      </c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</row>
    <row r="72" spans="1:91" x14ac:dyDescent="0.2">
      <c r="A72" s="5">
        <v>61</v>
      </c>
      <c r="B72" s="33" t="s">
        <v>79</v>
      </c>
      <c r="C72" s="33"/>
      <c r="D72" s="32">
        <f t="shared" ref="D72:O72" si="20">D69+D70+D71</f>
        <v>516649.49292272661</v>
      </c>
      <c r="E72" s="32">
        <f t="shared" si="20"/>
        <v>526385.09056935436</v>
      </c>
      <c r="F72" s="32">
        <f t="shared" si="20"/>
        <v>515021.13163464935</v>
      </c>
      <c r="G72" s="32">
        <f t="shared" si="20"/>
        <v>447103.71783301805</v>
      </c>
      <c r="H72" s="32">
        <f t="shared" si="20"/>
        <v>498701.37667314068</v>
      </c>
      <c r="I72" s="32">
        <f t="shared" si="20"/>
        <v>496427.63167031121</v>
      </c>
      <c r="J72" s="32">
        <f t="shared" si="20"/>
        <v>530814.2353993624</v>
      </c>
      <c r="K72" s="32">
        <f t="shared" si="20"/>
        <v>620447.34871918231</v>
      </c>
      <c r="L72" s="32">
        <f t="shared" si="20"/>
        <v>764768.26538113307</v>
      </c>
      <c r="M72" s="32">
        <f t="shared" si="20"/>
        <v>764007.85562064336</v>
      </c>
      <c r="N72" s="32">
        <f t="shared" si="20"/>
        <v>650414.81099748705</v>
      </c>
      <c r="O72" s="32">
        <f t="shared" si="20"/>
        <v>696861.0425789915</v>
      </c>
      <c r="P72" s="92">
        <f>SUM(C72:O72)</f>
        <v>7027602</v>
      </c>
      <c r="Q72" s="32">
        <f>SUM(Q65:Q71)</f>
        <v>7820798.4338450693</v>
      </c>
      <c r="R72" s="576">
        <f>SUM(R65:R71)</f>
        <v>149131.09014506952</v>
      </c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</row>
    <row r="73" spans="1:91" x14ac:dyDescent="0.2">
      <c r="A73" s="5">
        <v>62</v>
      </c>
      <c r="B73" s="2"/>
      <c r="C73" s="2"/>
      <c r="D73" s="46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95"/>
      <c r="R73" s="211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</row>
    <row r="74" spans="1:91" x14ac:dyDescent="0.2">
      <c r="A74" s="5">
        <v>63</v>
      </c>
      <c r="B74" s="172" t="s">
        <v>647</v>
      </c>
      <c r="C74" s="2"/>
      <c r="D74" s="548">
        <f>D75*$C$75+D76*$C$76+D77*$C$77</f>
        <v>9676.4249999999993</v>
      </c>
      <c r="E74" s="548">
        <f t="shared" ref="E74:O74" si="21">E75*$C$75+E76*$C$76+E77*$C$77</f>
        <v>10826.384999999998</v>
      </c>
      <c r="F74" s="548">
        <f t="shared" si="21"/>
        <v>11063.369999999999</v>
      </c>
      <c r="G74" s="548">
        <f t="shared" si="21"/>
        <v>5790.869999999999</v>
      </c>
      <c r="H74" s="548">
        <f t="shared" si="21"/>
        <v>9170.2649999999994</v>
      </c>
      <c r="I74" s="548">
        <f t="shared" si="21"/>
        <v>8351.64</v>
      </c>
      <c r="J74" s="548">
        <f t="shared" si="21"/>
        <v>8324.9999999999982</v>
      </c>
      <c r="K74" s="548">
        <f t="shared" si="21"/>
        <v>9030.4049999999988</v>
      </c>
      <c r="L74" s="548">
        <f t="shared" si="21"/>
        <v>7888.2149999999992</v>
      </c>
      <c r="M74" s="548">
        <f t="shared" si="21"/>
        <v>14037.614999999998</v>
      </c>
      <c r="N74" s="548">
        <f t="shared" si="21"/>
        <v>10100.445</v>
      </c>
      <c r="O74" s="548">
        <f t="shared" si="21"/>
        <v>13740.689999999999</v>
      </c>
      <c r="P74" s="548">
        <f>SUM(D74:O74)</f>
        <v>118001.32499999998</v>
      </c>
      <c r="R74" s="211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</row>
    <row r="75" spans="1:91" x14ac:dyDescent="0.2">
      <c r="A75" s="5">
        <v>64</v>
      </c>
      <c r="B75" s="2" t="s">
        <v>32</v>
      </c>
      <c r="C75" s="2">
        <f>'Rate Design'!S23</f>
        <v>1.1505000000000001</v>
      </c>
      <c r="D75" s="71">
        <f>'Monthly Forecast'!Y74</f>
        <v>0</v>
      </c>
      <c r="E75" s="71">
        <f>'Monthly Forecast'!Z74</f>
        <v>0</v>
      </c>
      <c r="F75" s="71">
        <f>'Monthly Forecast'!AA74</f>
        <v>0</v>
      </c>
      <c r="G75" s="71">
        <f>'Monthly Forecast'!AB74</f>
        <v>0</v>
      </c>
      <c r="H75" s="71">
        <f>'Monthly Forecast'!AC74</f>
        <v>0</v>
      </c>
      <c r="I75" s="71">
        <f>'Monthly Forecast'!AD74</f>
        <v>0</v>
      </c>
      <c r="J75" s="71">
        <f>'Monthly Forecast'!AE74</f>
        <v>0</v>
      </c>
      <c r="K75" s="71">
        <f>'Monthly Forecast'!AF74</f>
        <v>0</v>
      </c>
      <c r="L75" s="71">
        <f>'Monthly Forecast'!AG74</f>
        <v>0</v>
      </c>
      <c r="M75" s="71">
        <f>'Monthly Forecast'!AH74</f>
        <v>0</v>
      </c>
      <c r="N75" s="71">
        <f>'Monthly Forecast'!AI74</f>
        <v>0</v>
      </c>
      <c r="O75" s="71">
        <f>'Monthly Forecast'!AJ74</f>
        <v>0</v>
      </c>
      <c r="P75" s="7">
        <f t="shared" ref="P75:P77" si="22">SUM(D75:O75)</f>
        <v>0</v>
      </c>
      <c r="Q75" s="71">
        <f t="shared" ref="Q75:Q77" si="23">P75*C75</f>
        <v>0</v>
      </c>
      <c r="R75" s="576">
        <f>Q75-'Bill Frequency'!R63</f>
        <v>0</v>
      </c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</row>
    <row r="76" spans="1:91" x14ac:dyDescent="0.2">
      <c r="A76" s="5">
        <v>65</v>
      </c>
      <c r="B76" s="2" t="s">
        <v>33</v>
      </c>
      <c r="C76" s="511">
        <f>'Rate Design'!S24</f>
        <v>0.71249999999999991</v>
      </c>
      <c r="D76" s="71">
        <f>'Monthly Forecast'!Y75</f>
        <v>0</v>
      </c>
      <c r="E76" s="71">
        <f>'Monthly Forecast'!Z75</f>
        <v>0</v>
      </c>
      <c r="F76" s="71">
        <f>'Monthly Forecast'!AA75</f>
        <v>0</v>
      </c>
      <c r="G76" s="71">
        <f>'Monthly Forecast'!AB75</f>
        <v>0</v>
      </c>
      <c r="H76" s="71">
        <f>'Monthly Forecast'!AC75</f>
        <v>0</v>
      </c>
      <c r="I76" s="71">
        <f>'Monthly Forecast'!AD75</f>
        <v>0</v>
      </c>
      <c r="J76" s="71">
        <f>'Monthly Forecast'!AE75</f>
        <v>0</v>
      </c>
      <c r="K76" s="71">
        <f>'Monthly Forecast'!AF75</f>
        <v>0</v>
      </c>
      <c r="L76" s="71">
        <f>'Monthly Forecast'!AG75</f>
        <v>0</v>
      </c>
      <c r="M76" s="71">
        <f>'Monthly Forecast'!AH75</f>
        <v>0</v>
      </c>
      <c r="N76" s="71">
        <f>'Monthly Forecast'!AI75</f>
        <v>0</v>
      </c>
      <c r="O76" s="71">
        <f>'Monthly Forecast'!AJ75</f>
        <v>0</v>
      </c>
      <c r="P76" s="7">
        <f t="shared" si="22"/>
        <v>0</v>
      </c>
      <c r="Q76" s="71">
        <f t="shared" si="23"/>
        <v>0</v>
      </c>
      <c r="R76" s="576">
        <f>Q76-'Bill Frequency'!R64</f>
        <v>0</v>
      </c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32"/>
      <c r="BJ76" s="132"/>
      <c r="BK76" s="132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</row>
    <row r="77" spans="1:91" x14ac:dyDescent="0.2">
      <c r="A77" s="5">
        <v>66</v>
      </c>
      <c r="B77" s="2" t="s">
        <v>645</v>
      </c>
      <c r="C77" s="511">
        <f>'Rate Design'!S25</f>
        <v>0.55499999999999994</v>
      </c>
      <c r="D77" s="71">
        <f>'Monthly Forecast'!Y76</f>
        <v>17435</v>
      </c>
      <c r="E77" s="71">
        <f>'Monthly Forecast'!Z76</f>
        <v>19507</v>
      </c>
      <c r="F77" s="71">
        <f>'Monthly Forecast'!AA76</f>
        <v>19934</v>
      </c>
      <c r="G77" s="71">
        <f>'Monthly Forecast'!AB76</f>
        <v>10434</v>
      </c>
      <c r="H77" s="71">
        <f>'Monthly Forecast'!AC76</f>
        <v>16523</v>
      </c>
      <c r="I77" s="71">
        <f>'Monthly Forecast'!AD76</f>
        <v>15048</v>
      </c>
      <c r="J77" s="71">
        <f>'Monthly Forecast'!AE76</f>
        <v>15000</v>
      </c>
      <c r="K77" s="71">
        <f>'Monthly Forecast'!AF76</f>
        <v>16271</v>
      </c>
      <c r="L77" s="71">
        <f>'Monthly Forecast'!AG76</f>
        <v>14213</v>
      </c>
      <c r="M77" s="71">
        <f>'Monthly Forecast'!AH76</f>
        <v>25293</v>
      </c>
      <c r="N77" s="71">
        <f>'Monthly Forecast'!AI76</f>
        <v>18199</v>
      </c>
      <c r="O77" s="71">
        <f>'Monthly Forecast'!AJ76</f>
        <v>24758</v>
      </c>
      <c r="P77" s="7">
        <f t="shared" si="22"/>
        <v>212615</v>
      </c>
      <c r="Q77" s="71">
        <f t="shared" si="23"/>
        <v>118001.32499999998</v>
      </c>
      <c r="R77" s="576">
        <f>Q77-'Bill Frequency'!R65</f>
        <v>0</v>
      </c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</row>
    <row r="78" spans="1:91" x14ac:dyDescent="0.2">
      <c r="A78" s="5">
        <v>67</v>
      </c>
      <c r="B78" s="33" t="s">
        <v>79</v>
      </c>
      <c r="C78" s="32"/>
      <c r="D78" s="32">
        <f t="shared" ref="D78:O78" si="24">D75+D76+D77</f>
        <v>17435</v>
      </c>
      <c r="E78" s="32">
        <f t="shared" si="24"/>
        <v>19507</v>
      </c>
      <c r="F78" s="32">
        <f t="shared" si="24"/>
        <v>19934</v>
      </c>
      <c r="G78" s="32">
        <f t="shared" si="24"/>
        <v>10434</v>
      </c>
      <c r="H78" s="32">
        <f t="shared" si="24"/>
        <v>16523</v>
      </c>
      <c r="I78" s="32">
        <f t="shared" si="24"/>
        <v>15048</v>
      </c>
      <c r="J78" s="32">
        <f t="shared" si="24"/>
        <v>15000</v>
      </c>
      <c r="K78" s="32">
        <f t="shared" si="24"/>
        <v>16271</v>
      </c>
      <c r="L78" s="32">
        <f t="shared" si="24"/>
        <v>14213</v>
      </c>
      <c r="M78" s="32">
        <f t="shared" si="24"/>
        <v>25293</v>
      </c>
      <c r="N78" s="32">
        <f t="shared" si="24"/>
        <v>18199</v>
      </c>
      <c r="O78" s="32">
        <f t="shared" si="24"/>
        <v>24758</v>
      </c>
      <c r="P78" s="32">
        <f t="shared" ref="P78" si="25">P75+P76+P77</f>
        <v>212615</v>
      </c>
      <c r="Q78" s="32">
        <f t="shared" ref="Q78" si="26">Q75+Q76+Q77</f>
        <v>118001.32499999998</v>
      </c>
      <c r="R78" s="576">
        <f>Q78-'Bill Frequency'!R66</f>
        <v>0</v>
      </c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</row>
    <row r="79" spans="1:91" x14ac:dyDescent="0.2">
      <c r="A79" s="5">
        <v>68</v>
      </c>
      <c r="B79" s="2"/>
      <c r="C79" s="2"/>
      <c r="D79" s="46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95"/>
      <c r="R79" s="211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</row>
    <row r="80" spans="1:91" x14ac:dyDescent="0.2">
      <c r="A80" s="5">
        <v>69</v>
      </c>
      <c r="B80" s="172" t="s">
        <v>89</v>
      </c>
      <c r="C80" s="2"/>
      <c r="D80" s="103">
        <f t="shared" ref="D80:O80" si="27">D81*$C$81+D85*$C$85+D86*$C$86+D82+D83+D84</f>
        <v>588305.14733247948</v>
      </c>
      <c r="E80" s="103">
        <f t="shared" si="27"/>
        <v>604740.63685157546</v>
      </c>
      <c r="F80" s="103">
        <f t="shared" si="27"/>
        <v>570261.27056778909</v>
      </c>
      <c r="G80" s="103">
        <f t="shared" si="27"/>
        <v>505922.05733451771</v>
      </c>
      <c r="H80" s="103">
        <f t="shared" si="27"/>
        <v>550386.4086882961</v>
      </c>
      <c r="I80" s="103">
        <f t="shared" si="27"/>
        <v>562168.03640710807</v>
      </c>
      <c r="J80" s="103">
        <f t="shared" si="27"/>
        <v>607696.41978141107</v>
      </c>
      <c r="K80" s="103">
        <f t="shared" si="27"/>
        <v>638642.7199285829</v>
      </c>
      <c r="L80" s="103">
        <f t="shared" si="27"/>
        <v>674586.84000701027</v>
      </c>
      <c r="M80" s="103">
        <f t="shared" si="27"/>
        <v>687767.96034243726</v>
      </c>
      <c r="N80" s="103">
        <f t="shared" si="27"/>
        <v>610289.14323496562</v>
      </c>
      <c r="O80" s="103">
        <f t="shared" si="27"/>
        <v>662520.79334440245</v>
      </c>
      <c r="P80" s="104">
        <f t="shared" ref="P80:P86" si="28">SUM(C80:O80)</f>
        <v>7263287.4338205745</v>
      </c>
      <c r="Q80" s="103"/>
      <c r="R80" s="211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</row>
    <row r="81" spans="1:91" x14ac:dyDescent="0.2">
      <c r="A81" s="5">
        <v>70</v>
      </c>
      <c r="B81" s="2" t="s">
        <v>87</v>
      </c>
      <c r="C81" s="101">
        <f>'Monthly Forecast'!C80</f>
        <v>398.04</v>
      </c>
      <c r="D81" s="71">
        <f>'Monthly Forecast'!Y80</f>
        <v>71</v>
      </c>
      <c r="E81" s="71">
        <f>'Monthly Forecast'!Z80</f>
        <v>71</v>
      </c>
      <c r="F81" s="71">
        <f>'Monthly Forecast'!AA80</f>
        <v>71</v>
      </c>
      <c r="G81" s="71">
        <f>'Monthly Forecast'!AB80</f>
        <v>71</v>
      </c>
      <c r="H81" s="71">
        <f>'Monthly Forecast'!AC80</f>
        <v>71</v>
      </c>
      <c r="I81" s="71">
        <f>'Monthly Forecast'!AD80</f>
        <v>71</v>
      </c>
      <c r="J81" s="71">
        <f>'Monthly Forecast'!AE80</f>
        <v>71</v>
      </c>
      <c r="K81" s="71">
        <f>'Monthly Forecast'!AF80</f>
        <v>71</v>
      </c>
      <c r="L81" s="71">
        <f>'Monthly Forecast'!AG80</f>
        <v>71</v>
      </c>
      <c r="M81" s="71">
        <f>'Monthly Forecast'!AH80</f>
        <v>71</v>
      </c>
      <c r="N81" s="71">
        <f>'Monthly Forecast'!AI80</f>
        <v>71</v>
      </c>
      <c r="O81" s="71">
        <f>'Monthly Forecast'!AJ80</f>
        <v>71</v>
      </c>
      <c r="P81" s="7">
        <f>SUM(D81:O81)</f>
        <v>852</v>
      </c>
      <c r="Q81" s="71">
        <f>P81*C81</f>
        <v>339130.08</v>
      </c>
      <c r="R81" s="576">
        <f>Q81-'Bill Frequency'!R69</f>
        <v>-6766.679999999993</v>
      </c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</row>
    <row r="82" spans="1:91" x14ac:dyDescent="0.2">
      <c r="A82" s="5">
        <v>71</v>
      </c>
      <c r="B82" s="2" t="s">
        <v>1</v>
      </c>
      <c r="C82" s="2"/>
      <c r="D82" s="71">
        <f>'Monthly Forecast'!Y81</f>
        <v>3550</v>
      </c>
      <c r="E82" s="71">
        <f>'Monthly Forecast'!Z81</f>
        <v>3550</v>
      </c>
      <c r="F82" s="71">
        <f>'Monthly Forecast'!AA81</f>
        <v>3550</v>
      </c>
      <c r="G82" s="71">
        <f>'Monthly Forecast'!AB81</f>
        <v>3550</v>
      </c>
      <c r="H82" s="71">
        <f>'Monthly Forecast'!AC81</f>
        <v>3550</v>
      </c>
      <c r="I82" s="71">
        <f>'Monthly Forecast'!AD81</f>
        <v>3550</v>
      </c>
      <c r="J82" s="71">
        <f>'Monthly Forecast'!AE81</f>
        <v>3550</v>
      </c>
      <c r="K82" s="71">
        <f>'Monthly Forecast'!AF81</f>
        <v>3550</v>
      </c>
      <c r="L82" s="71">
        <f>'Monthly Forecast'!AG81</f>
        <v>3550</v>
      </c>
      <c r="M82" s="71">
        <f>'Monthly Forecast'!AH81</f>
        <v>3550</v>
      </c>
      <c r="N82" s="71">
        <f>'Monthly Forecast'!AI81</f>
        <v>3550</v>
      </c>
      <c r="O82" s="71">
        <f>'Monthly Forecast'!AJ81</f>
        <v>3550</v>
      </c>
      <c r="P82" s="4">
        <f t="shared" si="28"/>
        <v>42600</v>
      </c>
      <c r="Q82" s="71">
        <f>P82</f>
        <v>42600</v>
      </c>
      <c r="R82" s="576">
        <f>Q82-'Bill Frequency'!R70</f>
        <v>-850</v>
      </c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</row>
    <row r="83" spans="1:91" x14ac:dyDescent="0.2">
      <c r="A83" s="5">
        <v>72</v>
      </c>
      <c r="B83" s="2" t="s">
        <v>62</v>
      </c>
      <c r="C83" s="2"/>
      <c r="D83" s="71">
        <f>'Monthly Forecast'!Y82</f>
        <v>3725</v>
      </c>
      <c r="E83" s="71">
        <f>'Monthly Forecast'!Z82</f>
        <v>3725</v>
      </c>
      <c r="F83" s="71">
        <f>'Monthly Forecast'!AA82</f>
        <v>3725</v>
      </c>
      <c r="G83" s="71">
        <f>'Monthly Forecast'!AB82</f>
        <v>3675</v>
      </c>
      <c r="H83" s="71">
        <f>'Monthly Forecast'!AC82</f>
        <v>3675</v>
      </c>
      <c r="I83" s="71">
        <f>'Monthly Forecast'!AD82</f>
        <v>3675</v>
      </c>
      <c r="J83" s="71">
        <f>'Monthly Forecast'!AE82</f>
        <v>3700</v>
      </c>
      <c r="K83" s="71">
        <f>'Monthly Forecast'!AF82</f>
        <v>3700</v>
      </c>
      <c r="L83" s="71">
        <f>'Monthly Forecast'!AG82</f>
        <v>3700</v>
      </c>
      <c r="M83" s="71">
        <f>'Monthly Forecast'!AH82</f>
        <v>3700</v>
      </c>
      <c r="N83" s="71">
        <f>'Monthly Forecast'!AI82</f>
        <v>3725</v>
      </c>
      <c r="O83" s="71">
        <f>'Monthly Forecast'!AJ82</f>
        <v>3725</v>
      </c>
      <c r="P83" s="4">
        <f t="shared" si="28"/>
        <v>44450</v>
      </c>
      <c r="Q83" s="71">
        <f>P83</f>
        <v>44450</v>
      </c>
      <c r="R83" s="576">
        <f>Q83-'Bill Frequency'!R71</f>
        <v>-1275</v>
      </c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8"/>
      <c r="BM83" s="128"/>
      <c r="BN83" s="128"/>
      <c r="BO83" s="128"/>
      <c r="BP83" s="128"/>
      <c r="BQ83" s="128"/>
      <c r="BR83" s="128"/>
      <c r="BS83" s="128"/>
      <c r="BT83" s="128"/>
      <c r="BU83" s="128"/>
      <c r="BV83" s="128"/>
      <c r="BW83" s="128"/>
      <c r="BX83" s="128"/>
      <c r="BY83" s="128"/>
      <c r="BZ83" s="128"/>
      <c r="CA83" s="128"/>
      <c r="CB83" s="128"/>
      <c r="CC83" s="128"/>
      <c r="CD83" s="128"/>
      <c r="CE83" s="128"/>
      <c r="CF83" s="128"/>
      <c r="CG83" s="128"/>
      <c r="CH83" s="128"/>
      <c r="CI83" s="128"/>
      <c r="CJ83" s="128"/>
      <c r="CK83" s="128"/>
      <c r="CL83" s="128"/>
      <c r="CM83" s="128"/>
    </row>
    <row r="84" spans="1:91" x14ac:dyDescent="0.2">
      <c r="A84" s="5">
        <v>73</v>
      </c>
      <c r="B84" s="2" t="s">
        <v>2</v>
      </c>
      <c r="C84" s="2"/>
      <c r="D84" s="71">
        <f>'Monthly Forecast'!Y83</f>
        <v>344.3</v>
      </c>
      <c r="E84" s="71">
        <f>'Monthly Forecast'!Z83</f>
        <v>381</v>
      </c>
      <c r="F84" s="71">
        <f>'Monthly Forecast'!AA83</f>
        <v>382.1</v>
      </c>
      <c r="G84" s="71">
        <f>'Monthly Forecast'!AB83</f>
        <v>137.5</v>
      </c>
      <c r="H84" s="71">
        <f>'Monthly Forecast'!AC83</f>
        <v>263.2</v>
      </c>
      <c r="I84" s="71">
        <f>'Monthly Forecast'!AD83</f>
        <v>349.4</v>
      </c>
      <c r="J84" s="71">
        <f>'Monthly Forecast'!AE83</f>
        <v>305.7</v>
      </c>
      <c r="K84" s="71">
        <f>'Monthly Forecast'!AF83</f>
        <v>445.5</v>
      </c>
      <c r="L84" s="71">
        <f>'Monthly Forecast'!AG83</f>
        <v>409.8</v>
      </c>
      <c r="M84" s="71">
        <f>'Monthly Forecast'!AH83</f>
        <v>233.2</v>
      </c>
      <c r="N84" s="71">
        <f>'Monthly Forecast'!AI83</f>
        <v>234.2</v>
      </c>
      <c r="O84" s="71">
        <f>'Monthly Forecast'!AJ83</f>
        <v>287</v>
      </c>
      <c r="P84" s="4">
        <f t="shared" si="28"/>
        <v>3772.8999999999996</v>
      </c>
      <c r="Q84" s="71">
        <f>P84</f>
        <v>3772.8999999999996</v>
      </c>
      <c r="R84" s="576">
        <f>Q84-'Bill Frequency'!R72</f>
        <v>0</v>
      </c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28"/>
      <c r="BM84" s="128"/>
      <c r="BN84" s="128"/>
      <c r="BO84" s="128"/>
      <c r="BP84" s="128"/>
      <c r="BQ84" s="128"/>
      <c r="BR84" s="128"/>
      <c r="BS84" s="128"/>
      <c r="BT84" s="128"/>
      <c r="BU84" s="128"/>
      <c r="BV84" s="128"/>
      <c r="BW84" s="128"/>
      <c r="BX84" s="128"/>
      <c r="BY84" s="128"/>
      <c r="BZ84" s="128"/>
      <c r="CA84" s="128"/>
      <c r="CB84" s="128"/>
      <c r="CC84" s="128"/>
      <c r="CD84" s="128"/>
      <c r="CE84" s="128"/>
      <c r="CF84" s="128"/>
      <c r="CG84" s="128"/>
      <c r="CH84" s="128"/>
      <c r="CI84" s="128"/>
      <c r="CJ84" s="128"/>
      <c r="CK84" s="128"/>
      <c r="CL84" s="128"/>
      <c r="CM84" s="128"/>
    </row>
    <row r="85" spans="1:91" x14ac:dyDescent="0.2">
      <c r="A85" s="5">
        <v>74</v>
      </c>
      <c r="B85" s="2" t="s">
        <v>46</v>
      </c>
      <c r="C85" s="15">
        <f>'Monthly Forecast'!C84</f>
        <v>0.90310000000000012</v>
      </c>
      <c r="D85" s="71">
        <f>'Monthly Forecast'!Y84</f>
        <v>442263.13024342671</v>
      </c>
      <c r="E85" s="71">
        <f>'Monthly Forecast'!Z84</f>
        <v>455145.42651233543</v>
      </c>
      <c r="F85" s="71">
        <f>'Monthly Forecast'!AA84</f>
        <v>420178.1547644657</v>
      </c>
      <c r="G85" s="71">
        <f>'Monthly Forecast'!AB84</f>
        <v>381934.1804169169</v>
      </c>
      <c r="H85" s="71">
        <f>'Monthly Forecast'!AC84</f>
        <v>409163.96876126231</v>
      </c>
      <c r="I85" s="71">
        <f>'Monthly Forecast'!AD84</f>
        <v>427012.13365862914</v>
      </c>
      <c r="J85" s="71">
        <f>'Monthly Forecast'!AE84</f>
        <v>445673.23864350957</v>
      </c>
      <c r="K85" s="71">
        <f>'Monthly Forecast'!AF84</f>
        <v>475363.93966524623</v>
      </c>
      <c r="L85" s="71">
        <f>'Monthly Forecast'!AG84</f>
        <v>500663.36286887596</v>
      </c>
      <c r="M85" s="71">
        <f>'Monthly Forecast'!AH84</f>
        <v>495070.88538146246</v>
      </c>
      <c r="N85" s="71">
        <f>'Monthly Forecast'!AI84</f>
        <v>453480.78331464756</v>
      </c>
      <c r="O85" s="71">
        <f>'Monthly Forecast'!AJ84</f>
        <v>483453.96432526212</v>
      </c>
      <c r="P85" s="7">
        <f t="shared" si="28"/>
        <v>5389404.071656039</v>
      </c>
      <c r="Q85" s="71">
        <f>P85*C85</f>
        <v>4867170.8171125697</v>
      </c>
      <c r="R85" s="576">
        <f>Q85-'Bill Frequency'!R73</f>
        <v>145951.86191256903</v>
      </c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</row>
    <row r="86" spans="1:91" x14ac:dyDescent="0.2">
      <c r="A86" s="5">
        <v>75</v>
      </c>
      <c r="B86" s="2" t="s">
        <v>47</v>
      </c>
      <c r="C86" s="15">
        <f>'Monthly Forecast'!C85</f>
        <v>0.68049999999999999</v>
      </c>
      <c r="D86" s="71">
        <f>'Monthly Forecast'!Y85</f>
        <v>224859.91830953804</v>
      </c>
      <c r="E86" s="71">
        <f>'Monthly Forecast'!Z85</f>
        <v>231861.81068080134</v>
      </c>
      <c r="F86" s="71">
        <f>'Monthly Forecast'!AA85</f>
        <v>227598</v>
      </c>
      <c r="G86" s="71">
        <f>'Monthly Forecast'!AB85</f>
        <v>184238</v>
      </c>
      <c r="H86" s="71">
        <f>'Monthly Forecast'!AC85</f>
        <v>213257</v>
      </c>
      <c r="I86" s="71">
        <f>'Monthly Forecast'!AD85</f>
        <v>206757</v>
      </c>
      <c r="J86" s="71">
        <f>'Monthly Forecast'!AE85</f>
        <v>248923.40626371434</v>
      </c>
      <c r="K86" s="71">
        <f>'Monthly Forecast'!AF85</f>
        <v>254790.89789404691</v>
      </c>
      <c r="L86" s="71">
        <f>'Monthly Forecast'!AG85</f>
        <v>274088.34239548602</v>
      </c>
      <c r="M86" s="71">
        <f>'Monthly Forecast'!AH85</f>
        <v>301139.46179932175</v>
      </c>
      <c r="N86" s="71">
        <f>'Monthly Forecast'!AI85</f>
        <v>242440.27600809323</v>
      </c>
      <c r="O86" s="71">
        <f>'Monthly Forecast'!AJ85</f>
        <v>279339.71809295833</v>
      </c>
      <c r="P86" s="7">
        <f t="shared" si="28"/>
        <v>2889294.5119439606</v>
      </c>
      <c r="Q86" s="71">
        <f>P86*C86</f>
        <v>1966164.9153778651</v>
      </c>
      <c r="R86" s="576">
        <f>Q86-'Bill Frequency'!R74</f>
        <v>198195.97337786504</v>
      </c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</row>
    <row r="87" spans="1:91" x14ac:dyDescent="0.2">
      <c r="A87" s="5">
        <v>76</v>
      </c>
      <c r="B87" s="33" t="s">
        <v>79</v>
      </c>
      <c r="C87" s="33"/>
      <c r="D87" s="32">
        <f t="shared" ref="D87:P87" si="29">D85+D86</f>
        <v>667123.04855296481</v>
      </c>
      <c r="E87" s="32">
        <f t="shared" si="29"/>
        <v>687007.23719313671</v>
      </c>
      <c r="F87" s="32">
        <f t="shared" si="29"/>
        <v>647776.15476446575</v>
      </c>
      <c r="G87" s="32">
        <f t="shared" si="29"/>
        <v>566172.18041691696</v>
      </c>
      <c r="H87" s="32">
        <f t="shared" si="29"/>
        <v>622420.96876126225</v>
      </c>
      <c r="I87" s="32">
        <f t="shared" si="29"/>
        <v>633769.13365862914</v>
      </c>
      <c r="J87" s="32">
        <f t="shared" si="29"/>
        <v>694596.64490722388</v>
      </c>
      <c r="K87" s="32">
        <f t="shared" si="29"/>
        <v>730154.83755929314</v>
      </c>
      <c r="L87" s="32">
        <f t="shared" si="29"/>
        <v>774751.70526436204</v>
      </c>
      <c r="M87" s="32">
        <f t="shared" si="29"/>
        <v>796210.34718078421</v>
      </c>
      <c r="N87" s="32">
        <f t="shared" si="29"/>
        <v>695921.05932274077</v>
      </c>
      <c r="O87" s="32">
        <f t="shared" si="29"/>
        <v>762793.68241822044</v>
      </c>
      <c r="P87" s="32">
        <f t="shared" si="29"/>
        <v>8278698.5835999995</v>
      </c>
      <c r="Q87" s="32">
        <f>SUM(Q81:Q86)</f>
        <v>7263288.7124904357</v>
      </c>
      <c r="R87" s="576">
        <f>Q87-'Bill Frequency'!R75</f>
        <v>335256.15529043507</v>
      </c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8"/>
      <c r="BX87" s="128"/>
      <c r="BY87" s="128"/>
      <c r="BZ87" s="128"/>
      <c r="CA87" s="128"/>
      <c r="CB87" s="128"/>
      <c r="CC87" s="128"/>
      <c r="CD87" s="128"/>
      <c r="CE87" s="128"/>
      <c r="CF87" s="128"/>
      <c r="CG87" s="128"/>
      <c r="CH87" s="128"/>
      <c r="CI87" s="128"/>
      <c r="CJ87" s="128"/>
      <c r="CK87" s="128"/>
      <c r="CL87" s="128"/>
      <c r="CM87" s="128"/>
    </row>
    <row r="88" spans="1:91" x14ac:dyDescent="0.2">
      <c r="A88" s="5">
        <v>77</v>
      </c>
      <c r="B88" s="2"/>
      <c r="C88" s="2"/>
      <c r="D88" s="46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R88" s="211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8"/>
      <c r="BM88" s="128"/>
      <c r="BN88" s="128"/>
      <c r="BO88" s="128"/>
      <c r="BP88" s="128"/>
      <c r="BQ88" s="128"/>
      <c r="BR88" s="128"/>
      <c r="BS88" s="128"/>
      <c r="BT88" s="128"/>
      <c r="BU88" s="128"/>
      <c r="BV88" s="128"/>
      <c r="BW88" s="128"/>
      <c r="BX88" s="128"/>
      <c r="BY88" s="128"/>
      <c r="BZ88" s="128"/>
      <c r="CA88" s="128"/>
      <c r="CB88" s="128"/>
      <c r="CC88" s="128"/>
      <c r="CD88" s="128"/>
      <c r="CE88" s="128"/>
      <c r="CF88" s="128"/>
      <c r="CG88" s="128"/>
      <c r="CH88" s="128"/>
      <c r="CI88" s="128"/>
      <c r="CJ88" s="128"/>
      <c r="CK88" s="128"/>
      <c r="CL88" s="128"/>
      <c r="CM88" s="128"/>
    </row>
    <row r="89" spans="1:91" x14ac:dyDescent="0.2">
      <c r="A89" s="5">
        <v>78</v>
      </c>
      <c r="B89" s="172" t="s">
        <v>90</v>
      </c>
      <c r="C89" s="2"/>
      <c r="D89" s="103">
        <f t="shared" ref="D89:O89" si="30">D90*$C$90+D91+D92+D93+D95</f>
        <v>174643.87153331196</v>
      </c>
      <c r="E89" s="103">
        <f t="shared" si="30"/>
        <v>170439.53524474136</v>
      </c>
      <c r="F89" s="103">
        <f t="shared" si="30"/>
        <v>149118.70479717723</v>
      </c>
      <c r="G89" s="103">
        <f t="shared" si="30"/>
        <v>183286.57023593987</v>
      </c>
      <c r="H89" s="103">
        <f t="shared" si="30"/>
        <v>180802.14429106572</v>
      </c>
      <c r="I89" s="103">
        <f t="shared" si="30"/>
        <v>183627.60898165885</v>
      </c>
      <c r="J89" s="103">
        <f t="shared" si="30"/>
        <v>198676.93726818013</v>
      </c>
      <c r="K89" s="103">
        <f t="shared" si="30"/>
        <v>196958.77298331514</v>
      </c>
      <c r="L89" s="103">
        <f t="shared" si="30"/>
        <v>230122.0238050755</v>
      </c>
      <c r="M89" s="103">
        <f t="shared" si="30"/>
        <v>221910.06617049334</v>
      </c>
      <c r="N89" s="103">
        <f t="shared" si="30"/>
        <v>186721.56078293792</v>
      </c>
      <c r="O89" s="103">
        <f t="shared" si="30"/>
        <v>197751.86418905575</v>
      </c>
      <c r="P89" s="104">
        <f t="shared" ref="P89:P95" si="31">SUM(C89:O89)</f>
        <v>2274059.6602829527</v>
      </c>
      <c r="Q89" s="103"/>
      <c r="R89" s="211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8"/>
      <c r="CA89" s="128"/>
      <c r="CB89" s="128"/>
      <c r="CC89" s="128"/>
      <c r="CD89" s="128"/>
      <c r="CE89" s="128"/>
      <c r="CF89" s="128"/>
      <c r="CG89" s="128"/>
      <c r="CH89" s="128"/>
      <c r="CI89" s="128"/>
      <c r="CJ89" s="128"/>
      <c r="CK89" s="128"/>
      <c r="CL89" s="128"/>
      <c r="CM89" s="128"/>
    </row>
    <row r="90" spans="1:91" x14ac:dyDescent="0.2">
      <c r="A90" s="5">
        <v>79</v>
      </c>
      <c r="B90" s="2" t="s">
        <v>87</v>
      </c>
      <c r="C90" s="101">
        <f>'Monthly Forecast'!C89</f>
        <v>375</v>
      </c>
      <c r="D90" s="71">
        <f>'Monthly Forecast'!Y89</f>
        <v>13.866666666666667</v>
      </c>
      <c r="E90" s="71">
        <f>'Monthly Forecast'!Z89</f>
        <v>13.866666666666667</v>
      </c>
      <c r="F90" s="71">
        <f>'Monthly Forecast'!AA89</f>
        <v>13.8</v>
      </c>
      <c r="G90" s="71">
        <f>'Monthly Forecast'!AB89</f>
        <v>14</v>
      </c>
      <c r="H90" s="71">
        <f>'Monthly Forecast'!AC89</f>
        <v>14</v>
      </c>
      <c r="I90" s="71">
        <f>'Monthly Forecast'!AD89</f>
        <v>13.866666666666667</v>
      </c>
      <c r="J90" s="71">
        <f>'Monthly Forecast'!AE89</f>
        <v>13.866666666666667</v>
      </c>
      <c r="K90" s="71">
        <f>'Monthly Forecast'!AF89</f>
        <v>13.866666666666667</v>
      </c>
      <c r="L90" s="71">
        <f>'Monthly Forecast'!AG89</f>
        <v>13.866666666666667</v>
      </c>
      <c r="M90" s="71">
        <f>'Monthly Forecast'!AH89</f>
        <v>13.866666666666667</v>
      </c>
      <c r="N90" s="71">
        <f>'Monthly Forecast'!AI89</f>
        <v>13.866666666666667</v>
      </c>
      <c r="O90" s="71">
        <f>'Monthly Forecast'!AJ89</f>
        <v>13.866666666666667</v>
      </c>
      <c r="P90" s="7">
        <f>SUM(D90:O90)</f>
        <v>166.60000000000005</v>
      </c>
      <c r="Q90" s="71">
        <f>P90*C90</f>
        <v>62475.000000000022</v>
      </c>
      <c r="R90" s="576">
        <f>Q90-'Bill Frequency'!R78</f>
        <v>-2625</v>
      </c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8"/>
      <c r="CA90" s="128"/>
      <c r="CB90" s="128"/>
      <c r="CC90" s="128"/>
      <c r="CD90" s="128"/>
      <c r="CE90" s="128"/>
      <c r="CF90" s="128"/>
      <c r="CG90" s="128"/>
      <c r="CH90" s="128"/>
      <c r="CI90" s="128"/>
      <c r="CJ90" s="128"/>
      <c r="CK90" s="128"/>
      <c r="CL90" s="128"/>
      <c r="CM90" s="128"/>
    </row>
    <row r="91" spans="1:91" x14ac:dyDescent="0.2">
      <c r="A91" s="5">
        <v>80</v>
      </c>
      <c r="B91" s="2" t="s">
        <v>1</v>
      </c>
      <c r="C91" s="2"/>
      <c r="D91" s="71">
        <f>'Monthly Forecast'!Y90</f>
        <v>650</v>
      </c>
      <c r="E91" s="71">
        <f>'Monthly Forecast'!Z90</f>
        <v>650</v>
      </c>
      <c r="F91" s="71">
        <f>'Monthly Forecast'!AA90</f>
        <v>650</v>
      </c>
      <c r="G91" s="71">
        <f>'Monthly Forecast'!AB90</f>
        <v>650</v>
      </c>
      <c r="H91" s="71">
        <f>'Monthly Forecast'!AC90</f>
        <v>650</v>
      </c>
      <c r="I91" s="71">
        <f>'Monthly Forecast'!AD90</f>
        <v>650</v>
      </c>
      <c r="J91" s="71">
        <f>'Monthly Forecast'!AE90</f>
        <v>650</v>
      </c>
      <c r="K91" s="71">
        <f>'Monthly Forecast'!AF90</f>
        <v>650</v>
      </c>
      <c r="L91" s="71">
        <f>'Monthly Forecast'!AG90</f>
        <v>650</v>
      </c>
      <c r="M91" s="71">
        <f>'Monthly Forecast'!AH90</f>
        <v>650</v>
      </c>
      <c r="N91" s="71">
        <f>'Monthly Forecast'!AI90</f>
        <v>650</v>
      </c>
      <c r="O91" s="71">
        <f>'Monthly Forecast'!AJ90</f>
        <v>650</v>
      </c>
      <c r="P91" s="4">
        <f t="shared" si="31"/>
        <v>7800</v>
      </c>
      <c r="Q91" s="71">
        <f>P91</f>
        <v>7800</v>
      </c>
      <c r="R91" s="576">
        <f>Q91-'Bill Frequency'!R79</f>
        <v>-350</v>
      </c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28"/>
      <c r="BM91" s="128"/>
      <c r="BN91" s="128"/>
      <c r="BO91" s="128"/>
      <c r="BP91" s="128"/>
      <c r="BQ91" s="128"/>
      <c r="BR91" s="128"/>
      <c r="BS91" s="128"/>
      <c r="BT91" s="128"/>
      <c r="BU91" s="128"/>
      <c r="BV91" s="128"/>
      <c r="BW91" s="128"/>
      <c r="BX91" s="128"/>
      <c r="BY91" s="128"/>
      <c r="BZ91" s="128"/>
      <c r="CA91" s="128"/>
      <c r="CB91" s="128"/>
      <c r="CC91" s="128"/>
      <c r="CD91" s="128"/>
      <c r="CE91" s="128"/>
      <c r="CF91" s="128"/>
      <c r="CG91" s="128"/>
      <c r="CH91" s="128"/>
      <c r="CI91" s="128"/>
      <c r="CJ91" s="128"/>
      <c r="CK91" s="128"/>
      <c r="CL91" s="128"/>
      <c r="CM91" s="128"/>
    </row>
    <row r="92" spans="1:91" x14ac:dyDescent="0.2">
      <c r="A92" s="5">
        <v>81</v>
      </c>
      <c r="B92" s="2" t="s">
        <v>62</v>
      </c>
      <c r="C92" s="2"/>
      <c r="D92" s="71">
        <f>'Monthly Forecast'!Y91</f>
        <v>775</v>
      </c>
      <c r="E92" s="71">
        <f>'Monthly Forecast'!Z91</f>
        <v>775</v>
      </c>
      <c r="F92" s="71">
        <f>'Monthly Forecast'!AA91</f>
        <v>775</v>
      </c>
      <c r="G92" s="71">
        <f>'Monthly Forecast'!AB91</f>
        <v>650</v>
      </c>
      <c r="H92" s="71">
        <f>'Monthly Forecast'!AC91</f>
        <v>650</v>
      </c>
      <c r="I92" s="71">
        <f>'Monthly Forecast'!AD91</f>
        <v>650</v>
      </c>
      <c r="J92" s="71">
        <f>'Monthly Forecast'!AE91</f>
        <v>650</v>
      </c>
      <c r="K92" s="71">
        <f>'Monthly Forecast'!AF91</f>
        <v>800</v>
      </c>
      <c r="L92" s="71">
        <f>'Monthly Forecast'!AG91</f>
        <v>800</v>
      </c>
      <c r="M92" s="71">
        <f>'Monthly Forecast'!AH91</f>
        <v>800</v>
      </c>
      <c r="N92" s="71">
        <f>'Monthly Forecast'!AI91</f>
        <v>775</v>
      </c>
      <c r="O92" s="71">
        <f>'Monthly Forecast'!AJ91</f>
        <v>775</v>
      </c>
      <c r="P92" s="4">
        <f t="shared" si="31"/>
        <v>8875</v>
      </c>
      <c r="Q92" s="71">
        <f>P92</f>
        <v>8875</v>
      </c>
      <c r="R92" s="576">
        <f>Q92-'Bill Frequency'!R80</f>
        <v>-525</v>
      </c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</row>
    <row r="93" spans="1:91" x14ac:dyDescent="0.2">
      <c r="A93" s="5">
        <v>82</v>
      </c>
      <c r="B93" s="2" t="s">
        <v>2</v>
      </c>
      <c r="C93" s="2"/>
      <c r="D93" s="71">
        <f>'Monthly Forecast'!Y92</f>
        <v>8223</v>
      </c>
      <c r="E93" s="71">
        <f>'Monthly Forecast'!Z92</f>
        <v>4727.3</v>
      </c>
      <c r="F93" s="71">
        <f>'Monthly Forecast'!AA92</f>
        <v>4258</v>
      </c>
      <c r="G93" s="71">
        <f>'Monthly Forecast'!AB92</f>
        <v>2029.4</v>
      </c>
      <c r="H93" s="71">
        <f>'Monthly Forecast'!AC92</f>
        <v>2635.4000000000005</v>
      </c>
      <c r="I93" s="71">
        <f>'Monthly Forecast'!AD92</f>
        <v>2262.2999999999997</v>
      </c>
      <c r="J93" s="71">
        <f>'Monthly Forecast'!AE92</f>
        <v>4988.5</v>
      </c>
      <c r="K93" s="71">
        <f>'Monthly Forecast'!AF92</f>
        <v>4624.2</v>
      </c>
      <c r="L93" s="71">
        <f>'Monthly Forecast'!AG92</f>
        <v>15795.399999999998</v>
      </c>
      <c r="M93" s="71">
        <f>'Monthly Forecast'!AH92</f>
        <v>6225.5000000000009</v>
      </c>
      <c r="N93" s="71">
        <f>'Monthly Forecast'!AI92</f>
        <v>6311.7999999999993</v>
      </c>
      <c r="O93" s="71">
        <f>'Monthly Forecast'!AJ92</f>
        <v>7403.4000000000005</v>
      </c>
      <c r="P93" s="4">
        <f t="shared" si="31"/>
        <v>69484.2</v>
      </c>
      <c r="Q93" s="71">
        <f>P93</f>
        <v>69484.2</v>
      </c>
      <c r="R93" s="576">
        <f>Q93-'Bill Frequency'!R81</f>
        <v>0</v>
      </c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28"/>
      <c r="BM93" s="128"/>
      <c r="BN93" s="128"/>
      <c r="BO93" s="128"/>
      <c r="BP93" s="128"/>
      <c r="BQ93" s="128"/>
      <c r="BR93" s="128"/>
      <c r="BS93" s="128"/>
      <c r="BT93" s="128"/>
      <c r="BU93" s="128"/>
      <c r="BV93" s="128"/>
      <c r="BW93" s="128"/>
      <c r="BX93" s="128"/>
      <c r="BY93" s="128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</row>
    <row r="94" spans="1:91" x14ac:dyDescent="0.2">
      <c r="A94" s="5">
        <v>83</v>
      </c>
      <c r="B94" s="2" t="s">
        <v>91</v>
      </c>
      <c r="C94" s="70" t="s">
        <v>61</v>
      </c>
      <c r="D94" s="71">
        <f>'Monthly Forecast'!Y93</f>
        <v>1065087.9028069051</v>
      </c>
      <c r="E94" s="71">
        <f>'Monthly Forecast'!Z93</f>
        <v>1072108.3960249547</v>
      </c>
      <c r="F94" s="71">
        <f>'Monthly Forecast'!AA93</f>
        <v>879127.64366935391</v>
      </c>
      <c r="G94" s="71">
        <f>'Monthly Forecast'!AB93</f>
        <v>1136013.1839630897</v>
      </c>
      <c r="H94" s="71">
        <f>'Monthly Forecast'!AC93</f>
        <v>1116463.3515319249</v>
      </c>
      <c r="I94" s="71">
        <f>'Monthly Forecast'!AD93</f>
        <v>1115726.1656929413</v>
      </c>
      <c r="J94" s="71">
        <f>'Monthly Forecast'!AE93</f>
        <v>1185805.4856220009</v>
      </c>
      <c r="K94" s="71">
        <f>'Monthly Forecast'!AF93</f>
        <v>1201011.3578069217</v>
      </c>
      <c r="L94" s="71">
        <f>'Monthly Forecast'!AG93</f>
        <v>1343897.0463425026</v>
      </c>
      <c r="M94" s="71">
        <f>'Monthly Forecast'!AH93</f>
        <v>1361392.9403710174</v>
      </c>
      <c r="N94" s="71">
        <f>'Monthly Forecast'!AI93</f>
        <v>1137557.662015463</v>
      </c>
      <c r="O94" s="71">
        <f>'Monthly Forecast'!AJ93</f>
        <v>1208821.8641529251</v>
      </c>
      <c r="P94" s="7">
        <f t="shared" si="31"/>
        <v>13823013</v>
      </c>
      <c r="Q94" s="71"/>
      <c r="R94" s="576">
        <f>Q94-'Bill Frequency'!R82</f>
        <v>0</v>
      </c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8"/>
      <c r="BM94" s="128"/>
      <c r="BN94" s="128"/>
      <c r="BO94" s="128"/>
      <c r="BP94" s="128"/>
      <c r="BQ94" s="128"/>
      <c r="BR94" s="128"/>
      <c r="BS94" s="128"/>
      <c r="BT94" s="128"/>
      <c r="BU94" s="128"/>
      <c r="BV94" s="128"/>
      <c r="BW94" s="128"/>
      <c r="BX94" s="128"/>
      <c r="BY94" s="128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</row>
    <row r="95" spans="1:91" x14ac:dyDescent="0.2">
      <c r="A95" s="5">
        <v>84</v>
      </c>
      <c r="B95" s="2" t="s">
        <v>92</v>
      </c>
      <c r="C95" s="70"/>
      <c r="D95" s="71">
        <f>'Monthly Forecast'!Y94</f>
        <v>159795.87153331196</v>
      </c>
      <c r="E95" s="71">
        <f>'Monthly Forecast'!Z94</f>
        <v>159087.23524474137</v>
      </c>
      <c r="F95" s="71">
        <f>'Monthly Forecast'!AA94</f>
        <v>138260.70479717723</v>
      </c>
      <c r="G95" s="71">
        <f>'Monthly Forecast'!AB94</f>
        <v>174707.17023593988</v>
      </c>
      <c r="H95" s="71">
        <f>'Monthly Forecast'!AC94</f>
        <v>171616.74429106573</v>
      </c>
      <c r="I95" s="71">
        <f>'Monthly Forecast'!AD94</f>
        <v>174865.30898165886</v>
      </c>
      <c r="J95" s="71">
        <f>'Monthly Forecast'!AE94</f>
        <v>187188.43726818013</v>
      </c>
      <c r="K95" s="71">
        <f>'Monthly Forecast'!AF94</f>
        <v>185684.57298331513</v>
      </c>
      <c r="L95" s="71">
        <f>'Monthly Forecast'!AG94</f>
        <v>207676.62380507551</v>
      </c>
      <c r="M95" s="71">
        <f>'Monthly Forecast'!AH94</f>
        <v>209034.56617049334</v>
      </c>
      <c r="N95" s="71">
        <f>'Monthly Forecast'!AI94</f>
        <v>173784.76078293793</v>
      </c>
      <c r="O95" s="71">
        <f>'Monthly Forecast'!AJ94</f>
        <v>183723.46418905575</v>
      </c>
      <c r="P95" s="4">
        <f t="shared" si="31"/>
        <v>2125425.460282953</v>
      </c>
      <c r="Q95" s="71">
        <f>P95</f>
        <v>2125425.460282953</v>
      </c>
      <c r="R95" s="576">
        <f>Q95-'Bill Frequency'!R83</f>
        <v>484299.60028295289</v>
      </c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/>
      <c r="BW95" s="128"/>
      <c r="BX95" s="128"/>
      <c r="BY95" s="128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</row>
    <row r="96" spans="1:91" x14ac:dyDescent="0.2">
      <c r="A96" s="5">
        <v>85</v>
      </c>
      <c r="B96" s="33" t="s">
        <v>79</v>
      </c>
      <c r="C96" s="33"/>
      <c r="D96" s="32">
        <f t="shared" ref="D96:P96" si="32">D94</f>
        <v>1065087.9028069051</v>
      </c>
      <c r="E96" s="32">
        <f t="shared" si="32"/>
        <v>1072108.3960249547</v>
      </c>
      <c r="F96" s="32">
        <f t="shared" si="32"/>
        <v>879127.64366935391</v>
      </c>
      <c r="G96" s="32">
        <f t="shared" si="32"/>
        <v>1136013.1839630897</v>
      </c>
      <c r="H96" s="32">
        <f t="shared" si="32"/>
        <v>1116463.3515319249</v>
      </c>
      <c r="I96" s="32">
        <f t="shared" si="32"/>
        <v>1115726.1656929413</v>
      </c>
      <c r="J96" s="32">
        <f t="shared" si="32"/>
        <v>1185805.4856220009</v>
      </c>
      <c r="K96" s="32">
        <f t="shared" si="32"/>
        <v>1201011.3578069217</v>
      </c>
      <c r="L96" s="32">
        <f t="shared" si="32"/>
        <v>1343897.0463425026</v>
      </c>
      <c r="M96" s="32">
        <f t="shared" si="32"/>
        <v>1361392.9403710174</v>
      </c>
      <c r="N96" s="32">
        <f t="shared" si="32"/>
        <v>1137557.662015463</v>
      </c>
      <c r="O96" s="32">
        <f t="shared" si="32"/>
        <v>1208821.8641529251</v>
      </c>
      <c r="P96" s="32">
        <f t="shared" si="32"/>
        <v>13823013</v>
      </c>
      <c r="Q96" s="32">
        <f>SUM(Q90:Q95)</f>
        <v>2274059.6602829532</v>
      </c>
      <c r="R96" s="576">
        <f>Q96-'Bill Frequency'!R84</f>
        <v>480799.60028295312</v>
      </c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28"/>
      <c r="BM96" s="128"/>
      <c r="BN96" s="128"/>
      <c r="BO96" s="128"/>
      <c r="BP96" s="128"/>
      <c r="BQ96" s="128"/>
      <c r="BR96" s="128"/>
      <c r="BS96" s="128"/>
      <c r="BT96" s="128"/>
      <c r="BU96" s="128"/>
      <c r="BV96" s="128"/>
      <c r="BW96" s="128"/>
      <c r="BX96" s="128"/>
      <c r="BY96" s="128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</row>
    <row r="97" spans="1:91" x14ac:dyDescent="0.2">
      <c r="A97" s="5">
        <v>86</v>
      </c>
      <c r="B97" s="2"/>
      <c r="C97" s="2"/>
      <c r="D97" s="6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R97" s="211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28"/>
      <c r="BM97" s="128"/>
      <c r="BN97" s="128"/>
      <c r="BO97" s="128"/>
      <c r="BP97" s="128"/>
      <c r="BQ97" s="128"/>
      <c r="BR97" s="128"/>
      <c r="BS97" s="128"/>
      <c r="BT97" s="128"/>
      <c r="BU97" s="128"/>
      <c r="BV97" s="128"/>
      <c r="BW97" s="128"/>
      <c r="BX97" s="128"/>
      <c r="BY97" s="128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</row>
    <row r="98" spans="1:91" x14ac:dyDescent="0.2">
      <c r="A98" s="5">
        <v>87</v>
      </c>
      <c r="B98" s="2" t="s">
        <v>310</v>
      </c>
      <c r="C98" s="2"/>
      <c r="D98" s="6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R98" s="211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8"/>
      <c r="BM98" s="128"/>
      <c r="BN98" s="128"/>
      <c r="BO98" s="128"/>
      <c r="BP98" s="128"/>
      <c r="BQ98" s="128"/>
      <c r="BR98" s="128"/>
      <c r="BS98" s="128"/>
      <c r="BT98" s="128"/>
      <c r="BU98" s="128"/>
      <c r="BV98" s="128"/>
      <c r="BW98" s="128"/>
      <c r="BX98" s="128"/>
      <c r="BY98" s="128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</row>
    <row r="99" spans="1:91" x14ac:dyDescent="0.2">
      <c r="A99" s="5">
        <v>88</v>
      </c>
      <c r="B99" s="2" t="s">
        <v>311</v>
      </c>
      <c r="C99" s="2"/>
      <c r="D99" s="61">
        <f>'Monthly Forecast'!Y98</f>
        <v>49919</v>
      </c>
      <c r="E99" s="61">
        <f>'Monthly Forecast'!Z98</f>
        <v>53628</v>
      </c>
      <c r="F99" s="61">
        <f>'Monthly Forecast'!AA98</f>
        <v>55397</v>
      </c>
      <c r="G99" s="61">
        <f>'Monthly Forecast'!AB98</f>
        <v>45327</v>
      </c>
      <c r="H99" s="61">
        <f>'Monthly Forecast'!AC98</f>
        <v>57173</v>
      </c>
      <c r="I99" s="61">
        <f>'Monthly Forecast'!AD98</f>
        <v>55395</v>
      </c>
      <c r="J99" s="61">
        <f>'Monthly Forecast'!AE98</f>
        <v>88176</v>
      </c>
      <c r="K99" s="61">
        <f>'Monthly Forecast'!AF98</f>
        <v>126545</v>
      </c>
      <c r="L99" s="61">
        <f>'Monthly Forecast'!AG98</f>
        <v>87101</v>
      </c>
      <c r="M99" s="61">
        <f>'Monthly Forecast'!AH98</f>
        <v>58133</v>
      </c>
      <c r="N99" s="61">
        <f>'Monthly Forecast'!AI98</f>
        <v>54439</v>
      </c>
      <c r="O99" s="61">
        <f>'Monthly Forecast'!AJ98</f>
        <v>74821</v>
      </c>
      <c r="P99" s="61">
        <f>SUM(D99:O99)</f>
        <v>806054</v>
      </c>
      <c r="Q99" s="61"/>
      <c r="R99" s="211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/>
      <c r="BW99" s="128"/>
      <c r="BX99" s="128"/>
      <c r="BY99" s="128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</row>
    <row r="100" spans="1:91" x14ac:dyDescent="0.2">
      <c r="A100" s="5">
        <v>89</v>
      </c>
      <c r="B100" s="2" t="s">
        <v>99</v>
      </c>
      <c r="C100" s="2"/>
      <c r="D100" s="61">
        <f>'Monthly Forecast'!Y99</f>
        <v>154727.82135485311</v>
      </c>
      <c r="E100" s="61">
        <f>'Monthly Forecast'!Z99</f>
        <v>111173.430378629</v>
      </c>
      <c r="F100" s="61">
        <f>'Monthly Forecast'!AA99</f>
        <v>76088.821679641362</v>
      </c>
      <c r="G100" s="61">
        <f>'Monthly Forecast'!AB99</f>
        <v>58230.972263950251</v>
      </c>
      <c r="H100" s="61">
        <f>'Monthly Forecast'!AC99</f>
        <v>53684.395756861937</v>
      </c>
      <c r="I100" s="61">
        <f>'Monthly Forecast'!AD99</f>
        <v>54034.705322374044</v>
      </c>
      <c r="J100" s="61">
        <f>'Monthly Forecast'!AE99</f>
        <v>53460.619677659743</v>
      </c>
      <c r="K100" s="61">
        <f>'Monthly Forecast'!AF99</f>
        <v>67434.49078735373</v>
      </c>
      <c r="L100" s="61">
        <f>'Monthly Forecast'!AG99</f>
        <v>110915.66308377551</v>
      </c>
      <c r="M100" s="61">
        <f>'Monthly Forecast'!AH99</f>
        <v>163043.36831648159</v>
      </c>
      <c r="N100" s="61">
        <f>'Monthly Forecast'!AI99</f>
        <v>195126.14829354855</v>
      </c>
      <c r="O100" s="61">
        <f>'Monthly Forecast'!AJ99</f>
        <v>200043.74278253785</v>
      </c>
      <c r="P100" s="61">
        <f>SUM(D100:O100)</f>
        <v>1297964.1796976668</v>
      </c>
      <c r="Q100" s="61"/>
      <c r="R100" s="211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</row>
    <row r="101" spans="1:91" x14ac:dyDescent="0.2">
      <c r="A101" s="5">
        <v>90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R101" s="211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28"/>
      <c r="BM101" s="128"/>
      <c r="BN101" s="128"/>
      <c r="BO101" s="128"/>
      <c r="BP101" s="128"/>
      <c r="BQ101" s="128"/>
      <c r="BR101" s="128"/>
      <c r="BS101" s="128"/>
      <c r="BT101" s="128"/>
      <c r="BU101" s="128"/>
      <c r="BV101" s="128"/>
      <c r="BW101" s="128"/>
      <c r="BX101" s="128"/>
      <c r="BY101" s="128"/>
      <c r="BZ101" s="128"/>
      <c r="CA101" s="128"/>
      <c r="CB101" s="128"/>
      <c r="CC101" s="128"/>
      <c r="CD101" s="128"/>
      <c r="CE101" s="128"/>
      <c r="CF101" s="128"/>
      <c r="CG101" s="128"/>
      <c r="CH101" s="128"/>
      <c r="CI101" s="128"/>
      <c r="CJ101" s="128"/>
      <c r="CK101" s="128"/>
      <c r="CL101" s="128"/>
      <c r="CM101" s="128"/>
    </row>
    <row r="102" spans="1:91" x14ac:dyDescent="0.2">
      <c r="A102" s="5">
        <v>91</v>
      </c>
      <c r="B102" s="173" t="s">
        <v>312</v>
      </c>
      <c r="C102" s="2"/>
      <c r="D102" s="61">
        <f>D108+D99+D100</f>
        <v>7697206.4163323976</v>
      </c>
      <c r="E102" s="61">
        <f t="shared" ref="E102:O102" si="33">E108+E99+E100</f>
        <v>6705840.3657732634</v>
      </c>
      <c r="F102" s="61">
        <f t="shared" si="33"/>
        <v>6058095.8105117567</v>
      </c>
      <c r="G102" s="61">
        <f t="shared" si="33"/>
        <v>5782301.9092168538</v>
      </c>
      <c r="H102" s="61">
        <f t="shared" si="33"/>
        <v>5897231.777712252</v>
      </c>
      <c r="I102" s="61">
        <f t="shared" si="33"/>
        <v>5852373.6781787314</v>
      </c>
      <c r="J102" s="61">
        <f t="shared" si="33"/>
        <v>6328764.6438335078</v>
      </c>
      <c r="K102" s="61">
        <f t="shared" si="33"/>
        <v>7794982.5975403516</v>
      </c>
      <c r="L102" s="61">
        <f t="shared" si="33"/>
        <v>9546764.4791536201</v>
      </c>
      <c r="M102" s="61">
        <f t="shared" si="33"/>
        <v>10521841.670414651</v>
      </c>
      <c r="N102" s="61">
        <f t="shared" si="33"/>
        <v>10489940.879034283</v>
      </c>
      <c r="O102" s="61">
        <f t="shared" si="33"/>
        <v>9344814.4409099724</v>
      </c>
      <c r="P102" s="61">
        <f>SUM(D102:O102)</f>
        <v>92020158.668611631</v>
      </c>
      <c r="Q102" s="71"/>
      <c r="R102" s="57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  <c r="BP102" s="128"/>
      <c r="BQ102" s="128"/>
      <c r="BR102" s="128"/>
      <c r="BS102" s="128"/>
      <c r="BT102" s="128"/>
      <c r="BU102" s="128"/>
      <c r="BV102" s="128"/>
      <c r="BW102" s="128"/>
      <c r="BX102" s="128"/>
      <c r="BY102" s="128"/>
      <c r="BZ102" s="128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28"/>
      <c r="CK102" s="128"/>
      <c r="CL102" s="128"/>
      <c r="CM102" s="128"/>
    </row>
    <row r="103" spans="1:91" x14ac:dyDescent="0.2">
      <c r="A103" s="5">
        <v>92</v>
      </c>
      <c r="B103" s="2" t="s">
        <v>218</v>
      </c>
      <c r="C103" s="2"/>
      <c r="D103" s="61">
        <f t="shared" ref="D103:O103" si="34">D62+D54+D46+D37+D28+D19</f>
        <v>6700952.852855457</v>
      </c>
      <c r="E103" s="61">
        <f t="shared" si="34"/>
        <v>3731374.7120792209</v>
      </c>
      <c r="F103" s="61">
        <f t="shared" si="34"/>
        <v>2186009.8161111251</v>
      </c>
      <c r="G103" s="61">
        <f t="shared" si="34"/>
        <v>1935979.8486930118</v>
      </c>
      <c r="H103" s="61">
        <f t="shared" si="34"/>
        <v>1873147.9046377917</v>
      </c>
      <c r="I103" s="61">
        <f t="shared" si="34"/>
        <v>1898721.8071433725</v>
      </c>
      <c r="J103" s="61">
        <f t="shared" si="34"/>
        <v>3055635.1216434315</v>
      </c>
      <c r="K103" s="61">
        <f t="shared" si="34"/>
        <v>6703385.0372818261</v>
      </c>
      <c r="L103" s="61">
        <f t="shared" si="34"/>
        <v>11375060.005554482</v>
      </c>
      <c r="M103" s="61">
        <f t="shared" si="34"/>
        <v>14342541.727350224</v>
      </c>
      <c r="N103" s="61">
        <f t="shared" si="34"/>
        <v>14428180.684907267</v>
      </c>
      <c r="O103" s="61">
        <f t="shared" si="34"/>
        <v>10478127.724551832</v>
      </c>
      <c r="P103" s="61">
        <f>SUM(D103:O103)</f>
        <v>78709117.242809042</v>
      </c>
      <c r="Q103" s="71"/>
      <c r="R103" s="211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28"/>
      <c r="BM103" s="128"/>
      <c r="BN103" s="128"/>
      <c r="BO103" s="128"/>
      <c r="BP103" s="128"/>
      <c r="BQ103" s="128"/>
      <c r="BR103" s="128"/>
      <c r="BS103" s="128"/>
      <c r="BT103" s="128"/>
      <c r="BU103" s="128"/>
      <c r="BV103" s="128"/>
      <c r="BW103" s="128"/>
      <c r="BX103" s="128"/>
      <c r="BY103" s="128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</row>
    <row r="104" spans="1:91" x14ac:dyDescent="0.2">
      <c r="A104" s="5">
        <v>93</v>
      </c>
      <c r="B104" s="173" t="s">
        <v>313</v>
      </c>
      <c r="C104" s="2"/>
      <c r="D104" s="61">
        <f>D102+D103</f>
        <v>14398159.269187855</v>
      </c>
      <c r="E104" s="61">
        <f t="shared" ref="E104:O104" si="35">E102+E103</f>
        <v>10437215.077852484</v>
      </c>
      <c r="F104" s="61">
        <f t="shared" si="35"/>
        <v>8244105.6266228817</v>
      </c>
      <c r="G104" s="61">
        <f t="shared" si="35"/>
        <v>7718281.757909866</v>
      </c>
      <c r="H104" s="61">
        <f t="shared" si="35"/>
        <v>7770379.6823500432</v>
      </c>
      <c r="I104" s="61">
        <f t="shared" si="35"/>
        <v>7751095.4853221038</v>
      </c>
      <c r="J104" s="61">
        <f t="shared" si="35"/>
        <v>9384399.7654769383</v>
      </c>
      <c r="K104" s="61">
        <f t="shared" si="35"/>
        <v>14498367.634822179</v>
      </c>
      <c r="L104" s="61">
        <f t="shared" si="35"/>
        <v>20921824.484708101</v>
      </c>
      <c r="M104" s="61">
        <f t="shared" si="35"/>
        <v>24864383.397764876</v>
      </c>
      <c r="N104" s="61">
        <f t="shared" si="35"/>
        <v>24918121.56394155</v>
      </c>
      <c r="O104" s="61">
        <f t="shared" si="35"/>
        <v>19822942.165461805</v>
      </c>
      <c r="P104" s="61">
        <f>SUM(D104:O104)</f>
        <v>170729275.91142067</v>
      </c>
      <c r="Q104" s="71"/>
      <c r="R104" s="211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  <c r="BK104" s="129"/>
      <c r="BL104" s="128"/>
      <c r="BM104" s="128"/>
      <c r="BN104" s="128"/>
      <c r="BO104" s="128"/>
      <c r="BP104" s="128"/>
      <c r="BQ104" s="128"/>
      <c r="BR104" s="128"/>
      <c r="BS104" s="128"/>
      <c r="BT104" s="128"/>
      <c r="BU104" s="128"/>
      <c r="BV104" s="128"/>
      <c r="BW104" s="128"/>
      <c r="BX104" s="128"/>
      <c r="BY104" s="128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</row>
    <row r="105" spans="1:91" x14ac:dyDescent="0.2">
      <c r="A105" s="5"/>
      <c r="Q105" s="71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28"/>
      <c r="BM105" s="128"/>
      <c r="BN105" s="128"/>
      <c r="BO105" s="128"/>
      <c r="BP105" s="128"/>
      <c r="BQ105" s="128"/>
      <c r="BR105" s="128"/>
      <c r="BS105" s="128"/>
      <c r="BT105" s="128"/>
      <c r="BU105" s="128"/>
      <c r="BV105" s="128"/>
      <c r="BW105" s="128"/>
      <c r="BX105" s="128"/>
      <c r="BY105" s="128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</row>
    <row r="106" spans="1:91" x14ac:dyDescent="0.2">
      <c r="A106" s="5"/>
      <c r="Q106" s="71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</row>
    <row r="107" spans="1:91" x14ac:dyDescent="0.2">
      <c r="A107" s="5"/>
      <c r="D107" s="44">
        <f t="shared" ref="D107:P107" si="36">D17+D26+D35+D44+D52+D60+D72+D87+D96</f>
        <v>3695315.8499816963</v>
      </c>
      <c r="E107" s="44">
        <f t="shared" si="36"/>
        <v>3057494.1891254815</v>
      </c>
      <c r="F107" s="44">
        <f t="shared" si="36"/>
        <v>2494711.7538955808</v>
      </c>
      <c r="G107" s="44">
        <f t="shared" si="36"/>
        <v>2559346.2445171755</v>
      </c>
      <c r="H107" s="44">
        <f t="shared" si="36"/>
        <v>2630766.4157748492</v>
      </c>
      <c r="I107" s="44">
        <f t="shared" si="36"/>
        <v>2645848.2041674</v>
      </c>
      <c r="J107" s="44">
        <f t="shared" si="36"/>
        <v>3044470.5039745411</v>
      </c>
      <c r="K107" s="44">
        <f t="shared" si="36"/>
        <v>3985615.2448344054</v>
      </c>
      <c r="L107" s="44">
        <f t="shared" si="36"/>
        <v>5319463.4698927812</v>
      </c>
      <c r="M107" s="44">
        <f t="shared" si="36"/>
        <v>5992469.7909192331</v>
      </c>
      <c r="N107" s="44">
        <f t="shared" si="36"/>
        <v>5617382.5165831316</v>
      </c>
      <c r="O107" s="44">
        <f t="shared" si="36"/>
        <v>4944422.5590277724</v>
      </c>
      <c r="P107" s="44">
        <f t="shared" si="36"/>
        <v>45987311.514094047</v>
      </c>
      <c r="Q107" s="71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28"/>
      <c r="BM107" s="128"/>
      <c r="BN107" s="128"/>
      <c r="BO107" s="128"/>
      <c r="BP107" s="128"/>
      <c r="BQ107" s="128"/>
      <c r="BR107" s="128"/>
      <c r="BS107" s="128"/>
      <c r="BT107" s="128"/>
      <c r="BU107" s="128"/>
      <c r="BV107" s="128"/>
      <c r="BW107" s="128"/>
      <c r="BX107" s="128"/>
      <c r="BY107" s="128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8"/>
      <c r="CJ107" s="128"/>
      <c r="CK107" s="128"/>
      <c r="CL107" s="128"/>
      <c r="CM107" s="128"/>
    </row>
    <row r="108" spans="1:91" x14ac:dyDescent="0.2">
      <c r="A108" s="5"/>
      <c r="C108" s="44"/>
      <c r="D108" s="76">
        <f>D89+D80+D64+D56+D48+D39+D30+D21+D12+D74</f>
        <v>7492559.5949775446</v>
      </c>
      <c r="E108" s="76">
        <f t="shared" ref="E108:O108" si="37">E89+E80+E64+E56+E48+E39+E30+E21+E12+E74</f>
        <v>6541038.9353946345</v>
      </c>
      <c r="F108" s="76">
        <f t="shared" si="37"/>
        <v>5926609.9888321152</v>
      </c>
      <c r="G108" s="76">
        <f t="shared" si="37"/>
        <v>5678743.9369529039</v>
      </c>
      <c r="H108" s="76">
        <f t="shared" si="37"/>
        <v>5786374.3819553899</v>
      </c>
      <c r="I108" s="76">
        <f t="shared" si="37"/>
        <v>5742943.9728563577</v>
      </c>
      <c r="J108" s="76">
        <f t="shared" si="37"/>
        <v>6187128.0241558477</v>
      </c>
      <c r="K108" s="76">
        <f t="shared" si="37"/>
        <v>7601003.1067529982</v>
      </c>
      <c r="L108" s="76">
        <f t="shared" si="37"/>
        <v>9348747.8160698451</v>
      </c>
      <c r="M108" s="76">
        <f t="shared" si="37"/>
        <v>10300665.30209817</v>
      </c>
      <c r="N108" s="76">
        <f t="shared" si="37"/>
        <v>10240375.730740733</v>
      </c>
      <c r="O108" s="76">
        <f t="shared" si="37"/>
        <v>9069949.6981274337</v>
      </c>
      <c r="P108" s="76">
        <f>P89+P80+P64+P56+P48+P39+P30+P21+P12</f>
        <v>89798139.163913965</v>
      </c>
      <c r="Q108" s="71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129"/>
      <c r="BL108" s="128"/>
      <c r="BM108" s="128"/>
      <c r="BN108" s="128"/>
      <c r="BO108" s="128"/>
      <c r="BP108" s="128"/>
      <c r="BQ108" s="128"/>
      <c r="BR108" s="128"/>
      <c r="BS108" s="128"/>
      <c r="BT108" s="128"/>
      <c r="BU108" s="128"/>
      <c r="BV108" s="128"/>
      <c r="BW108" s="128"/>
      <c r="BX108" s="128"/>
      <c r="BY108" s="128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  <c r="CJ108" s="128"/>
      <c r="CK108" s="128"/>
      <c r="CL108" s="128"/>
      <c r="CM108" s="128"/>
    </row>
    <row r="109" spans="1:91" x14ac:dyDescent="0.2">
      <c r="A109" s="5"/>
      <c r="C109" s="44"/>
      <c r="D109" s="76">
        <f>D62+D54+D46+D37+D28+D19</f>
        <v>6700952.852855457</v>
      </c>
      <c r="E109" s="76">
        <f>E62+E54+E46+E37+E28+E19</f>
        <v>3731374.7120792209</v>
      </c>
      <c r="F109" s="76">
        <f>F62+F54+F46+F37+F28+F19</f>
        <v>2186009.8161111251</v>
      </c>
      <c r="G109" s="76">
        <f>G62+G54+G46+G37+G28+G19</f>
        <v>1935979.8486930118</v>
      </c>
      <c r="H109" s="76">
        <f t="shared" ref="H109:P109" si="38">H62+H54+H46+H37+H28+H19</f>
        <v>1873147.9046377917</v>
      </c>
      <c r="I109" s="76">
        <f t="shared" si="38"/>
        <v>1898721.8071433725</v>
      </c>
      <c r="J109" s="76">
        <f t="shared" si="38"/>
        <v>3055635.1216434315</v>
      </c>
      <c r="K109" s="76">
        <f t="shared" si="38"/>
        <v>6703385.0372818261</v>
      </c>
      <c r="L109" s="76">
        <f t="shared" si="38"/>
        <v>11375060.005554482</v>
      </c>
      <c r="M109" s="76">
        <f t="shared" si="38"/>
        <v>14342541.727350224</v>
      </c>
      <c r="N109" s="76">
        <f t="shared" si="38"/>
        <v>14428180.684907267</v>
      </c>
      <c r="O109" s="76">
        <f t="shared" si="38"/>
        <v>10478127.724551832</v>
      </c>
      <c r="P109" s="76">
        <f t="shared" si="38"/>
        <v>78709117.242809042</v>
      </c>
      <c r="Q109" s="71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8"/>
      <c r="BM109" s="128"/>
      <c r="BN109" s="128"/>
      <c r="BO109" s="128"/>
      <c r="BP109" s="128"/>
      <c r="BQ109" s="128"/>
      <c r="BR109" s="128"/>
      <c r="BS109" s="128"/>
      <c r="BT109" s="128"/>
      <c r="BU109" s="128"/>
      <c r="BV109" s="128"/>
      <c r="BW109" s="128"/>
      <c r="BX109" s="128"/>
      <c r="BY109" s="128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</row>
    <row r="110" spans="1:91" x14ac:dyDescent="0.2">
      <c r="A110" s="5"/>
      <c r="D110" s="76"/>
      <c r="O110" s="18"/>
      <c r="P110" s="18"/>
      <c r="Q110" s="71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</row>
    <row r="111" spans="1:91" x14ac:dyDescent="0.2">
      <c r="A111" s="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27"/>
      <c r="P111" s="45">
        <f>SUM(P14,P23,P32,P41,P69,P75)</f>
        <v>15849526.425896751</v>
      </c>
      <c r="Q111" s="45">
        <f>SUM(Q14,Q23,Q32,Q41,Q69,Q75)</f>
        <v>24351648.710225616</v>
      </c>
      <c r="R111" s="205">
        <f>Q111/$Q$114</f>
        <v>0.76535232339966452</v>
      </c>
      <c r="S111" s="681">
        <f>Q111/P111</f>
        <v>1.5364275282343538</v>
      </c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</row>
    <row r="112" spans="1:91" x14ac:dyDescent="0.2">
      <c r="A112" s="16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38"/>
      <c r="P112" s="45">
        <f t="shared" ref="P112:Q113" si="39">SUM(P15,P24,P33,P42,P70,P76)</f>
        <v>6464998.7741468456</v>
      </c>
      <c r="Q112" s="45">
        <f t="shared" si="39"/>
        <v>6442619.9030839326</v>
      </c>
      <c r="R112" s="205">
        <f t="shared" ref="R112:R113" si="40">Q112/$Q$114</f>
        <v>0.20248625340655735</v>
      </c>
      <c r="S112" s="681">
        <f t="shared" ref="S112:S113" si="41">Q112/P112</f>
        <v>0.99653845702919464</v>
      </c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</row>
    <row r="113" spans="1:91" x14ac:dyDescent="0.2">
      <c r="A113" s="16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38"/>
      <c r="P113" s="45">
        <f t="shared" si="39"/>
        <v>1368657.5326504507</v>
      </c>
      <c r="Q113" s="45">
        <f t="shared" si="39"/>
        <v>1023298.2323185679</v>
      </c>
      <c r="R113" s="205">
        <f t="shared" si="40"/>
        <v>3.2161423193778058E-2</v>
      </c>
      <c r="S113" s="681">
        <f t="shared" si="41"/>
        <v>0.74766565624120518</v>
      </c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</row>
    <row r="114" spans="1:91" x14ac:dyDescent="0.2">
      <c r="A114" s="16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27"/>
      <c r="P114" s="27"/>
      <c r="Q114" s="686">
        <f>SUM(Q111:Q113)</f>
        <v>31817566.845628116</v>
      </c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</row>
    <row r="115" spans="1:91" x14ac:dyDescent="0.2">
      <c r="A115" s="16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38">
        <f>SUM(P58,P85)</f>
        <v>5736195.230656039</v>
      </c>
      <c r="Q115" s="38">
        <f>SUM(Q58,Q85)</f>
        <v>5182403.9806435695</v>
      </c>
      <c r="R115" s="688">
        <f>Q115/$Q$117</f>
        <v>0.72096013591375918</v>
      </c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</row>
    <row r="116" spans="1:91" x14ac:dyDescent="0.2">
      <c r="A116" s="16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38">
        <f>SUM(P59,P86)</f>
        <v>2947155.2068439606</v>
      </c>
      <c r="Q116" s="38">
        <f>SUM(Q59,Q86)</f>
        <v>2005793.7053148751</v>
      </c>
      <c r="R116" s="688">
        <f>Q116/$Q$117</f>
        <v>0.27903986408624082</v>
      </c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8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</row>
    <row r="117" spans="1:91" x14ac:dyDescent="0.2">
      <c r="A117" s="16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77">
        <f>SUM(Q115:Q116)</f>
        <v>7188197.6859584451</v>
      </c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8"/>
      <c r="BM117" s="128"/>
      <c r="BN117" s="128"/>
      <c r="BO117" s="128"/>
      <c r="BP117" s="128"/>
      <c r="BQ117" s="128"/>
      <c r="BR117" s="128"/>
      <c r="BS117" s="128"/>
      <c r="BT117" s="128"/>
      <c r="BU117" s="128"/>
      <c r="BV117" s="128"/>
      <c r="BW117" s="128"/>
      <c r="BX117" s="128"/>
      <c r="BY117" s="128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</row>
    <row r="118" spans="1:91" x14ac:dyDescent="0.2">
      <c r="A118" s="16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77">
        <f>Q117+Q114</f>
        <v>39005764.531586558</v>
      </c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</row>
    <row r="119" spans="1:91" x14ac:dyDescent="0.2">
      <c r="A119" s="16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28"/>
      <c r="BM119" s="128"/>
      <c r="BN119" s="128"/>
      <c r="BO119" s="128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</row>
    <row r="120" spans="1:91" x14ac:dyDescent="0.2">
      <c r="A120" s="16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8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</row>
    <row r="121" spans="1:91" x14ac:dyDescent="0.2">
      <c r="A121" s="16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W121" s="128"/>
      <c r="BX121" s="128"/>
      <c r="BY121" s="128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</row>
    <row r="122" spans="1:91" x14ac:dyDescent="0.2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28"/>
      <c r="BM122" s="128"/>
      <c r="BN122" s="128"/>
      <c r="BO122" s="128"/>
      <c r="BP122" s="128"/>
      <c r="BQ122" s="128"/>
      <c r="BR122" s="128"/>
      <c r="BS122" s="128"/>
      <c r="BT122" s="128"/>
      <c r="BU122" s="128"/>
      <c r="BV122" s="128"/>
      <c r="BW122" s="128"/>
      <c r="BX122" s="128"/>
      <c r="BY122" s="128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</row>
    <row r="123" spans="1:9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28"/>
      <c r="BM123" s="128"/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</row>
    <row r="124" spans="1:91" x14ac:dyDescent="0.2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8"/>
      <c r="BZ124" s="128"/>
      <c r="CA124" s="128"/>
      <c r="CB124" s="128"/>
      <c r="CC124" s="128"/>
      <c r="CD124" s="128"/>
      <c r="CE124" s="128"/>
      <c r="CF124" s="128"/>
      <c r="CG124" s="128"/>
      <c r="CH124" s="128"/>
      <c r="CI124" s="128"/>
      <c r="CJ124" s="128"/>
      <c r="CK124" s="128"/>
      <c r="CL124" s="128"/>
      <c r="CM124" s="128"/>
    </row>
    <row r="125" spans="1:91" x14ac:dyDescent="0.2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  <c r="BW125" s="128"/>
      <c r="BX125" s="128"/>
      <c r="BY125" s="128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</row>
    <row r="126" spans="1:91" x14ac:dyDescent="0.2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28"/>
      <c r="BM126" s="128"/>
      <c r="BN126" s="128"/>
      <c r="BO126" s="128"/>
      <c r="BP126" s="128"/>
      <c r="BQ126" s="128"/>
      <c r="BR126" s="128"/>
      <c r="BS126" s="128"/>
      <c r="BT126" s="128"/>
      <c r="BU126" s="128"/>
      <c r="BV126" s="128"/>
      <c r="BW126" s="128"/>
      <c r="BX126" s="128"/>
      <c r="BY126" s="128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8"/>
      <c r="CJ126" s="128"/>
      <c r="CK126" s="128"/>
      <c r="CL126" s="128"/>
      <c r="CM126" s="128"/>
    </row>
    <row r="127" spans="1:91" x14ac:dyDescent="0.2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28"/>
      <c r="BM127" s="128"/>
      <c r="BN127" s="128"/>
      <c r="BO127" s="128"/>
      <c r="BP127" s="128"/>
      <c r="BQ127" s="128"/>
      <c r="BR127" s="128"/>
      <c r="BS127" s="128"/>
      <c r="BT127" s="128"/>
      <c r="BU127" s="128"/>
      <c r="BV127" s="128"/>
      <c r="BW127" s="128"/>
      <c r="BX127" s="128"/>
      <c r="BY127" s="128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</row>
    <row r="128" spans="1:91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8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</row>
    <row r="129" spans="1:91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  <c r="BW129" s="128"/>
      <c r="BX129" s="128"/>
      <c r="BY129" s="128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</row>
    <row r="130" spans="1:91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28"/>
      <c r="BM130" s="128"/>
      <c r="BN130" s="128"/>
      <c r="BO130" s="128"/>
      <c r="BP130" s="128"/>
      <c r="BQ130" s="128"/>
      <c r="BR130" s="128"/>
      <c r="BS130" s="128"/>
      <c r="BT130" s="128"/>
      <c r="BU130" s="128"/>
      <c r="BV130" s="128"/>
      <c r="BW130" s="128"/>
      <c r="BX130" s="128"/>
      <c r="BY130" s="128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</row>
    <row r="131" spans="1:91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28"/>
      <c r="BM131" s="128"/>
      <c r="BN131" s="128"/>
      <c r="BO131" s="128"/>
      <c r="BP131" s="128"/>
      <c r="BQ131" s="128"/>
      <c r="BR131" s="128"/>
      <c r="BS131" s="128"/>
      <c r="BT131" s="128"/>
      <c r="BU131" s="128"/>
      <c r="BV131" s="128"/>
      <c r="BW131" s="128"/>
      <c r="BX131" s="128"/>
      <c r="BY131" s="128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</row>
    <row r="132" spans="1:91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8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</row>
    <row r="133" spans="1:91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</row>
    <row r="134" spans="1:91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</row>
    <row r="135" spans="1:91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</row>
    <row r="136" spans="1:91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</row>
    <row r="137" spans="1:91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</row>
    <row r="138" spans="1:91" x14ac:dyDescent="0.2">
      <c r="A138" s="17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</row>
    <row r="139" spans="1:91" x14ac:dyDescent="0.2">
      <c r="A139" s="17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</row>
    <row r="140" spans="1:91" x14ac:dyDescent="0.2">
      <c r="A140" s="17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</row>
    <row r="141" spans="1:91" x14ac:dyDescent="0.2">
      <c r="A141" s="17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</row>
    <row r="142" spans="1:91" x14ac:dyDescent="0.2">
      <c r="A142" s="17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</row>
    <row r="143" spans="1:91" x14ac:dyDescent="0.2">
      <c r="A143" s="17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</row>
    <row r="144" spans="1:91" x14ac:dyDescent="0.2">
      <c r="A144" s="17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</row>
    <row r="145" spans="1:91" x14ac:dyDescent="0.2">
      <c r="A145" s="17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128"/>
      <c r="BY145" s="128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</row>
    <row r="146" spans="1:91" x14ac:dyDescent="0.2">
      <c r="A146" s="17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  <c r="BR146" s="128"/>
      <c r="BS146" s="128"/>
      <c r="BT146" s="128"/>
      <c r="BU146" s="128"/>
      <c r="BV146" s="128"/>
      <c r="BW146" s="128"/>
      <c r="BX146" s="128"/>
      <c r="BY146" s="128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</row>
    <row r="147" spans="1:91" x14ac:dyDescent="0.2">
      <c r="A147" s="17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128"/>
      <c r="BY147" s="128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</row>
    <row r="148" spans="1:91" x14ac:dyDescent="0.2">
      <c r="A148" s="17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8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</row>
    <row r="149" spans="1:91" x14ac:dyDescent="0.2">
      <c r="A149" s="17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</row>
    <row r="150" spans="1:91" x14ac:dyDescent="0.2">
      <c r="A150" s="17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</row>
    <row r="151" spans="1:91" x14ac:dyDescent="0.2">
      <c r="A151" s="17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</row>
    <row r="152" spans="1:91" x14ac:dyDescent="0.2">
      <c r="A152" s="17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  <c r="BP152" s="128"/>
      <c r="BQ152" s="128"/>
      <c r="BR152" s="128"/>
      <c r="BS152" s="128"/>
      <c r="BT152" s="128"/>
      <c r="BU152" s="128"/>
      <c r="BV152" s="128"/>
      <c r="BW152" s="128"/>
      <c r="BX152" s="128"/>
      <c r="BY152" s="128"/>
      <c r="BZ152" s="128"/>
      <c r="CA152" s="128"/>
      <c r="CB152" s="128"/>
      <c r="CC152" s="128"/>
      <c r="CD152" s="128"/>
      <c r="CE152" s="128"/>
      <c r="CF152" s="128"/>
      <c r="CG152" s="128"/>
      <c r="CH152" s="128"/>
      <c r="CI152" s="128"/>
      <c r="CJ152" s="128"/>
      <c r="CK152" s="128"/>
      <c r="CL152" s="128"/>
      <c r="CM152" s="128"/>
    </row>
    <row r="153" spans="1:91" x14ac:dyDescent="0.2">
      <c r="A153" s="17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128"/>
      <c r="BY153" s="128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</row>
    <row r="154" spans="1:91" x14ac:dyDescent="0.2">
      <c r="A154" s="17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  <c r="BR154" s="128"/>
      <c r="BS154" s="128"/>
      <c r="BT154" s="128"/>
      <c r="BU154" s="128"/>
      <c r="BV154" s="128"/>
      <c r="BW154" s="128"/>
      <c r="BX154" s="128"/>
      <c r="BY154" s="128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</row>
    <row r="155" spans="1:91" x14ac:dyDescent="0.2">
      <c r="A155" s="17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128"/>
      <c r="BY155" s="128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</row>
    <row r="156" spans="1:91" x14ac:dyDescent="0.2">
      <c r="A156" s="17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128"/>
      <c r="BN156" s="128"/>
      <c r="BO156" s="128"/>
      <c r="BP156" s="128"/>
      <c r="BQ156" s="128"/>
      <c r="BR156" s="128"/>
      <c r="BS156" s="128"/>
      <c r="BT156" s="128"/>
      <c r="BU156" s="128"/>
      <c r="BV156" s="128"/>
      <c r="BW156" s="128"/>
      <c r="BX156" s="128"/>
      <c r="BY156" s="128"/>
      <c r="BZ156" s="128"/>
      <c r="CA156" s="128"/>
      <c r="CB156" s="128"/>
      <c r="CC156" s="128"/>
      <c r="CD156" s="128"/>
      <c r="CE156" s="128"/>
      <c r="CF156" s="128"/>
      <c r="CG156" s="128"/>
      <c r="CH156" s="128"/>
      <c r="CI156" s="128"/>
      <c r="CJ156" s="128"/>
      <c r="CK156" s="128"/>
      <c r="CL156" s="128"/>
      <c r="CM156" s="128"/>
    </row>
    <row r="157" spans="1:91" x14ac:dyDescent="0.2">
      <c r="A157" s="17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8"/>
      <c r="BY157" s="128"/>
      <c r="BZ157" s="128"/>
      <c r="CA157" s="128"/>
      <c r="CB157" s="128"/>
      <c r="CC157" s="128"/>
      <c r="CD157" s="128"/>
      <c r="CE157" s="128"/>
      <c r="CF157" s="128"/>
      <c r="CG157" s="128"/>
      <c r="CH157" s="128"/>
      <c r="CI157" s="128"/>
      <c r="CJ157" s="128"/>
      <c r="CK157" s="128"/>
      <c r="CL157" s="128"/>
      <c r="CM157" s="128"/>
    </row>
    <row r="158" spans="1:91" x14ac:dyDescent="0.2">
      <c r="A158" s="17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  <c r="BP158" s="128"/>
      <c r="BQ158" s="128"/>
      <c r="BR158" s="128"/>
      <c r="BS158" s="128"/>
      <c r="BT158" s="128"/>
      <c r="BU158" s="128"/>
      <c r="BV158" s="128"/>
      <c r="BW158" s="128"/>
      <c r="BX158" s="128"/>
      <c r="BY158" s="128"/>
      <c r="BZ158" s="128"/>
      <c r="CA158" s="128"/>
      <c r="CB158" s="128"/>
      <c r="CC158" s="128"/>
      <c r="CD158" s="128"/>
      <c r="CE158" s="128"/>
      <c r="CF158" s="128"/>
      <c r="CG158" s="128"/>
      <c r="CH158" s="128"/>
      <c r="CI158" s="128"/>
      <c r="CJ158" s="128"/>
      <c r="CK158" s="128"/>
      <c r="CL158" s="128"/>
      <c r="CM158" s="128"/>
    </row>
    <row r="159" spans="1:91" x14ac:dyDescent="0.2">
      <c r="A159" s="17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  <c r="BR159" s="128"/>
      <c r="BS159" s="128"/>
      <c r="BT159" s="128"/>
      <c r="BU159" s="128"/>
      <c r="BV159" s="128"/>
      <c r="BW159" s="128"/>
      <c r="BX159" s="128"/>
      <c r="BY159" s="128"/>
      <c r="BZ159" s="128"/>
      <c r="CA159" s="128"/>
      <c r="CB159" s="128"/>
      <c r="CC159" s="128"/>
      <c r="CD159" s="128"/>
      <c r="CE159" s="128"/>
      <c r="CF159" s="128"/>
      <c r="CG159" s="128"/>
      <c r="CH159" s="128"/>
      <c r="CI159" s="128"/>
      <c r="CJ159" s="128"/>
      <c r="CK159" s="128"/>
      <c r="CL159" s="128"/>
      <c r="CM159" s="128"/>
    </row>
    <row r="160" spans="1:91" x14ac:dyDescent="0.2">
      <c r="A160" s="17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  <c r="BR160" s="128"/>
      <c r="BS160" s="128"/>
      <c r="BT160" s="128"/>
      <c r="BU160" s="128"/>
      <c r="BV160" s="128"/>
      <c r="BW160" s="128"/>
      <c r="BX160" s="128"/>
      <c r="BY160" s="128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</row>
    <row r="161" spans="1:91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  <c r="BR161" s="128"/>
      <c r="BS161" s="128"/>
      <c r="BT161" s="128"/>
      <c r="BU161" s="128"/>
      <c r="BV161" s="128"/>
      <c r="BW161" s="128"/>
      <c r="BX161" s="128"/>
      <c r="BY161" s="128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</row>
    <row r="162" spans="1:91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  <c r="BR162" s="128"/>
      <c r="BS162" s="128"/>
      <c r="BT162" s="128"/>
      <c r="BU162" s="128"/>
      <c r="BV162" s="128"/>
      <c r="BW162" s="128"/>
      <c r="BX162" s="128"/>
      <c r="BY162" s="128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</row>
    <row r="163" spans="1:91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</row>
    <row r="164" spans="1:91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  <c r="BR164" s="128"/>
      <c r="BS164" s="128"/>
      <c r="BT164" s="128"/>
      <c r="BU164" s="128"/>
      <c r="BV164" s="128"/>
      <c r="BW164" s="128"/>
      <c r="BX164" s="128"/>
      <c r="BY164" s="128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</row>
    <row r="165" spans="1:91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  <c r="BQ165" s="128"/>
      <c r="BR165" s="128"/>
      <c r="BS165" s="128"/>
      <c r="BT165" s="128"/>
      <c r="BU165" s="128"/>
      <c r="BV165" s="128"/>
      <c r="BW165" s="128"/>
      <c r="BX165" s="128"/>
      <c r="BY165" s="128"/>
      <c r="BZ165" s="128"/>
      <c r="CA165" s="128"/>
      <c r="CB165" s="128"/>
      <c r="CC165" s="128"/>
      <c r="CD165" s="128"/>
      <c r="CE165" s="128"/>
      <c r="CF165" s="128"/>
      <c r="CG165" s="128"/>
      <c r="CH165" s="128"/>
      <c r="CI165" s="128"/>
      <c r="CJ165" s="128"/>
      <c r="CK165" s="128"/>
      <c r="CL165" s="128"/>
      <c r="CM165" s="128"/>
    </row>
    <row r="166" spans="1:91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128"/>
      <c r="BY166" s="128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</row>
    <row r="167" spans="1:91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128"/>
      <c r="BN167" s="128"/>
      <c r="BO167" s="128"/>
      <c r="BP167" s="128"/>
      <c r="BQ167" s="128"/>
      <c r="BR167" s="128"/>
      <c r="BS167" s="128"/>
      <c r="BT167" s="128"/>
      <c r="BU167" s="128"/>
      <c r="BV167" s="128"/>
      <c r="BW167" s="128"/>
      <c r="BX167" s="128"/>
      <c r="BY167" s="128"/>
      <c r="BZ167" s="128"/>
      <c r="CA167" s="128"/>
      <c r="CB167" s="128"/>
      <c r="CC167" s="128"/>
      <c r="CD167" s="128"/>
      <c r="CE167" s="128"/>
      <c r="CF167" s="128"/>
      <c r="CG167" s="128"/>
      <c r="CH167" s="128"/>
      <c r="CI167" s="128"/>
      <c r="CJ167" s="128"/>
      <c r="CK167" s="128"/>
      <c r="CL167" s="128"/>
      <c r="CM167" s="128"/>
    </row>
    <row r="168" spans="1:91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128"/>
      <c r="BN168" s="128"/>
      <c r="BO168" s="128"/>
      <c r="BP168" s="128"/>
      <c r="BQ168" s="128"/>
      <c r="BR168" s="128"/>
      <c r="BS168" s="128"/>
      <c r="BT168" s="128"/>
      <c r="BU168" s="128"/>
      <c r="BV168" s="128"/>
      <c r="BW168" s="128"/>
      <c r="BX168" s="128"/>
      <c r="BY168" s="128"/>
      <c r="BZ168" s="128"/>
      <c r="CA168" s="128"/>
      <c r="CB168" s="128"/>
      <c r="CC168" s="128"/>
      <c r="CD168" s="128"/>
      <c r="CE168" s="128"/>
      <c r="CF168" s="128"/>
      <c r="CG168" s="128"/>
      <c r="CH168" s="128"/>
      <c r="CI168" s="128"/>
      <c r="CJ168" s="128"/>
      <c r="CK168" s="128"/>
      <c r="CL168" s="128"/>
      <c r="CM168" s="128"/>
    </row>
    <row r="169" spans="1:91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128"/>
      <c r="BN169" s="128"/>
      <c r="BO169" s="128"/>
      <c r="BP169" s="128"/>
      <c r="BQ169" s="128"/>
      <c r="BR169" s="128"/>
      <c r="BS169" s="128"/>
      <c r="BT169" s="128"/>
      <c r="BU169" s="128"/>
      <c r="BV169" s="128"/>
      <c r="BW169" s="128"/>
      <c r="BX169" s="128"/>
      <c r="BY169" s="128"/>
      <c r="BZ169" s="128"/>
      <c r="CA169" s="128"/>
      <c r="CB169" s="128"/>
      <c r="CC169" s="128"/>
      <c r="CD169" s="128"/>
      <c r="CE169" s="128"/>
      <c r="CF169" s="128"/>
      <c r="CG169" s="128"/>
      <c r="CH169" s="128"/>
      <c r="CI169" s="128"/>
      <c r="CJ169" s="128"/>
      <c r="CK169" s="128"/>
      <c r="CL169" s="128"/>
      <c r="CM169" s="128"/>
    </row>
    <row r="170" spans="1:91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128"/>
      <c r="BN170" s="128"/>
      <c r="BO170" s="128"/>
      <c r="BP170" s="128"/>
      <c r="BQ170" s="128"/>
      <c r="BR170" s="128"/>
      <c r="BS170" s="128"/>
      <c r="BT170" s="128"/>
      <c r="BU170" s="128"/>
      <c r="BV170" s="128"/>
      <c r="BW170" s="128"/>
      <c r="BX170" s="128"/>
      <c r="BY170" s="128"/>
      <c r="BZ170" s="128"/>
      <c r="CA170" s="128"/>
      <c r="CB170" s="128"/>
      <c r="CC170" s="128"/>
      <c r="CD170" s="128"/>
      <c r="CE170" s="128"/>
      <c r="CF170" s="128"/>
      <c r="CG170" s="128"/>
      <c r="CH170" s="128"/>
      <c r="CI170" s="128"/>
      <c r="CJ170" s="128"/>
      <c r="CK170" s="128"/>
      <c r="CL170" s="128"/>
      <c r="CM170" s="128"/>
    </row>
    <row r="171" spans="1:91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  <c r="BR171" s="128"/>
      <c r="BS171" s="128"/>
      <c r="BT171" s="128"/>
      <c r="BU171" s="128"/>
      <c r="BV171" s="128"/>
      <c r="BW171" s="128"/>
      <c r="BX171" s="128"/>
      <c r="BY171" s="128"/>
      <c r="BZ171" s="128"/>
      <c r="CA171" s="128"/>
      <c r="CB171" s="128"/>
      <c r="CC171" s="128"/>
      <c r="CD171" s="128"/>
      <c r="CE171" s="128"/>
      <c r="CF171" s="128"/>
      <c r="CG171" s="128"/>
      <c r="CH171" s="128"/>
      <c r="CI171" s="128"/>
      <c r="CJ171" s="128"/>
      <c r="CK171" s="128"/>
      <c r="CL171" s="128"/>
      <c r="CM171" s="128"/>
    </row>
    <row r="172" spans="1:91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8"/>
      <c r="BX172" s="128"/>
      <c r="BY172" s="128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</row>
    <row r="173" spans="1:91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28"/>
      <c r="CD173" s="128"/>
      <c r="CE173" s="128"/>
      <c r="CF173" s="128"/>
      <c r="CG173" s="128"/>
      <c r="CH173" s="128"/>
      <c r="CI173" s="128"/>
      <c r="CJ173" s="128"/>
      <c r="CK173" s="128"/>
      <c r="CL173" s="128"/>
      <c r="CM173" s="128"/>
    </row>
    <row r="174" spans="1:91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128"/>
      <c r="BY174" s="128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</row>
    <row r="175" spans="1:91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</row>
    <row r="176" spans="1:91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  <c r="BP176" s="128"/>
      <c r="BQ176" s="128"/>
      <c r="BR176" s="128"/>
      <c r="BS176" s="128"/>
      <c r="BT176" s="128"/>
      <c r="BU176" s="128"/>
      <c r="BV176" s="128"/>
      <c r="BW176" s="128"/>
      <c r="BX176" s="128"/>
      <c r="BY176" s="128"/>
      <c r="BZ176" s="128"/>
      <c r="CA176" s="128"/>
      <c r="CB176" s="128"/>
      <c r="CC176" s="128"/>
      <c r="CD176" s="128"/>
      <c r="CE176" s="128"/>
      <c r="CF176" s="128"/>
      <c r="CG176" s="128"/>
      <c r="CH176" s="128"/>
      <c r="CI176" s="128"/>
      <c r="CJ176" s="128"/>
      <c r="CK176" s="128"/>
      <c r="CL176" s="128"/>
      <c r="CM176" s="128"/>
    </row>
    <row r="177" spans="1:91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128"/>
      <c r="BN177" s="128"/>
      <c r="BO177" s="128"/>
      <c r="BP177" s="128"/>
      <c r="BQ177" s="128"/>
      <c r="BR177" s="128"/>
      <c r="BS177" s="128"/>
      <c r="BT177" s="128"/>
      <c r="BU177" s="128"/>
      <c r="BV177" s="128"/>
      <c r="BW177" s="128"/>
      <c r="BX177" s="128"/>
      <c r="BY177" s="128"/>
      <c r="BZ177" s="128"/>
      <c r="CA177" s="128"/>
      <c r="CB177" s="128"/>
      <c r="CC177" s="128"/>
      <c r="CD177" s="128"/>
      <c r="CE177" s="128"/>
      <c r="CF177" s="128"/>
      <c r="CG177" s="128"/>
      <c r="CH177" s="128"/>
      <c r="CI177" s="128"/>
      <c r="CJ177" s="128"/>
      <c r="CK177" s="128"/>
      <c r="CL177" s="128"/>
      <c r="CM177" s="128"/>
    </row>
    <row r="178" spans="1:91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  <c r="BP178" s="128"/>
      <c r="BQ178" s="128"/>
      <c r="BR178" s="128"/>
      <c r="BS178" s="128"/>
      <c r="BT178" s="128"/>
      <c r="BU178" s="128"/>
      <c r="BV178" s="128"/>
      <c r="BW178" s="128"/>
      <c r="BX178" s="128"/>
      <c r="BY178" s="128"/>
      <c r="BZ178" s="128"/>
      <c r="CA178" s="128"/>
      <c r="CB178" s="128"/>
      <c r="CC178" s="128"/>
      <c r="CD178" s="128"/>
      <c r="CE178" s="128"/>
      <c r="CF178" s="128"/>
      <c r="CG178" s="128"/>
      <c r="CH178" s="128"/>
      <c r="CI178" s="128"/>
      <c r="CJ178" s="128"/>
      <c r="CK178" s="128"/>
      <c r="CL178" s="128"/>
      <c r="CM178" s="128"/>
    </row>
    <row r="179" spans="1:91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8"/>
      <c r="BX179" s="128"/>
      <c r="BY179" s="128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</row>
    <row r="180" spans="1:91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  <c r="BR180" s="128"/>
      <c r="BS180" s="128"/>
      <c r="BT180" s="128"/>
      <c r="BU180" s="128"/>
      <c r="BV180" s="128"/>
      <c r="BW180" s="128"/>
      <c r="BX180" s="128"/>
      <c r="BY180" s="128"/>
      <c r="BZ180" s="128"/>
      <c r="CA180" s="128"/>
      <c r="CB180" s="128"/>
      <c r="CC180" s="128"/>
      <c r="CD180" s="128"/>
      <c r="CE180" s="128"/>
      <c r="CF180" s="128"/>
      <c r="CG180" s="128"/>
      <c r="CH180" s="128"/>
      <c r="CI180" s="128"/>
      <c r="CJ180" s="128"/>
      <c r="CK180" s="128"/>
      <c r="CL180" s="128"/>
      <c r="CM180" s="128"/>
    </row>
    <row r="181" spans="1:91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8"/>
      <c r="BX181" s="128"/>
      <c r="BY181" s="128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</row>
    <row r="182" spans="1:91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  <c r="BR182" s="128"/>
      <c r="BS182" s="128"/>
      <c r="BT182" s="128"/>
      <c r="BU182" s="128"/>
      <c r="BV182" s="128"/>
      <c r="BW182" s="128"/>
      <c r="BX182" s="128"/>
      <c r="BY182" s="128"/>
      <c r="BZ182" s="128"/>
      <c r="CA182" s="128"/>
      <c r="CB182" s="128"/>
      <c r="CC182" s="128"/>
      <c r="CD182" s="128"/>
      <c r="CE182" s="128"/>
      <c r="CF182" s="128"/>
      <c r="CG182" s="128"/>
      <c r="CH182" s="128"/>
      <c r="CI182" s="128"/>
      <c r="CJ182" s="128"/>
      <c r="CK182" s="128"/>
      <c r="CL182" s="128"/>
      <c r="CM182" s="128"/>
    </row>
    <row r="183" spans="1:91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  <c r="BR183" s="128"/>
      <c r="BS183" s="128"/>
      <c r="BT183" s="128"/>
      <c r="BU183" s="128"/>
      <c r="BV183" s="128"/>
      <c r="BW183" s="128"/>
      <c r="BX183" s="128"/>
      <c r="BY183" s="128"/>
      <c r="BZ183" s="128"/>
      <c r="CA183" s="128"/>
      <c r="CB183" s="128"/>
      <c r="CC183" s="128"/>
      <c r="CD183" s="128"/>
      <c r="CE183" s="128"/>
      <c r="CF183" s="128"/>
      <c r="CG183" s="128"/>
      <c r="CH183" s="128"/>
      <c r="CI183" s="128"/>
      <c r="CJ183" s="128"/>
      <c r="CK183" s="128"/>
      <c r="CL183" s="128"/>
      <c r="CM183" s="128"/>
    </row>
    <row r="184" spans="1:91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  <c r="BP184" s="128"/>
      <c r="BQ184" s="128"/>
      <c r="BR184" s="128"/>
      <c r="BS184" s="128"/>
      <c r="BT184" s="128"/>
      <c r="BU184" s="128"/>
      <c r="BV184" s="128"/>
      <c r="BW184" s="128"/>
      <c r="BX184" s="128"/>
      <c r="BY184" s="128"/>
      <c r="BZ184" s="128"/>
      <c r="CA184" s="128"/>
      <c r="CB184" s="128"/>
      <c r="CC184" s="128"/>
      <c r="CD184" s="128"/>
      <c r="CE184" s="128"/>
      <c r="CF184" s="128"/>
      <c r="CG184" s="128"/>
      <c r="CH184" s="128"/>
      <c r="CI184" s="128"/>
      <c r="CJ184" s="128"/>
      <c r="CK184" s="128"/>
      <c r="CL184" s="128"/>
      <c r="CM184" s="128"/>
    </row>
    <row r="185" spans="1:91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  <c r="BQ185" s="128"/>
      <c r="BR185" s="128"/>
      <c r="BS185" s="128"/>
      <c r="BT185" s="128"/>
      <c r="BU185" s="128"/>
      <c r="BV185" s="128"/>
      <c r="BW185" s="128"/>
      <c r="BX185" s="128"/>
      <c r="BY185" s="128"/>
      <c r="BZ185" s="128"/>
      <c r="CA185" s="128"/>
      <c r="CB185" s="128"/>
      <c r="CC185" s="128"/>
      <c r="CD185" s="128"/>
      <c r="CE185" s="128"/>
      <c r="CF185" s="128"/>
      <c r="CG185" s="128"/>
      <c r="CH185" s="128"/>
      <c r="CI185" s="128"/>
      <c r="CJ185" s="128"/>
      <c r="CK185" s="128"/>
      <c r="CL185" s="128"/>
      <c r="CM185" s="128"/>
    </row>
    <row r="186" spans="1:91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  <c r="BQ186" s="128"/>
      <c r="BR186" s="128"/>
      <c r="BS186" s="128"/>
      <c r="BT186" s="128"/>
      <c r="BU186" s="128"/>
      <c r="BV186" s="128"/>
      <c r="BW186" s="128"/>
      <c r="BX186" s="128"/>
      <c r="BY186" s="128"/>
      <c r="BZ186" s="128"/>
      <c r="CA186" s="128"/>
      <c r="CB186" s="128"/>
      <c r="CC186" s="128"/>
      <c r="CD186" s="128"/>
      <c r="CE186" s="128"/>
      <c r="CF186" s="128"/>
      <c r="CG186" s="128"/>
      <c r="CH186" s="128"/>
      <c r="CI186" s="128"/>
      <c r="CJ186" s="128"/>
      <c r="CK186" s="128"/>
      <c r="CL186" s="128"/>
      <c r="CM186" s="128"/>
    </row>
    <row r="187" spans="1:91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  <c r="BR187" s="128"/>
      <c r="BS187" s="128"/>
      <c r="BT187" s="128"/>
      <c r="BU187" s="128"/>
      <c r="BV187" s="128"/>
      <c r="BW187" s="128"/>
      <c r="BX187" s="128"/>
      <c r="BY187" s="128"/>
      <c r="BZ187" s="128"/>
      <c r="CA187" s="128"/>
      <c r="CB187" s="128"/>
      <c r="CC187" s="128"/>
      <c r="CD187" s="128"/>
      <c r="CE187" s="128"/>
      <c r="CF187" s="128"/>
      <c r="CG187" s="128"/>
      <c r="CH187" s="128"/>
      <c r="CI187" s="128"/>
      <c r="CJ187" s="128"/>
      <c r="CK187" s="128"/>
      <c r="CL187" s="128"/>
      <c r="CM187" s="128"/>
    </row>
    <row r="188" spans="1:91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  <c r="BP188" s="128"/>
      <c r="BQ188" s="128"/>
      <c r="BR188" s="128"/>
      <c r="BS188" s="128"/>
      <c r="BT188" s="128"/>
      <c r="BU188" s="128"/>
      <c r="BV188" s="128"/>
      <c r="BW188" s="128"/>
      <c r="BX188" s="128"/>
      <c r="BY188" s="128"/>
      <c r="BZ188" s="128"/>
      <c r="CA188" s="128"/>
      <c r="CB188" s="128"/>
      <c r="CC188" s="128"/>
      <c r="CD188" s="128"/>
      <c r="CE188" s="128"/>
      <c r="CF188" s="128"/>
      <c r="CG188" s="128"/>
      <c r="CH188" s="128"/>
      <c r="CI188" s="128"/>
      <c r="CJ188" s="128"/>
      <c r="CK188" s="128"/>
      <c r="CL188" s="128"/>
      <c r="CM188" s="128"/>
    </row>
    <row r="189" spans="1:91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  <c r="BR189" s="128"/>
      <c r="BS189" s="128"/>
      <c r="BT189" s="128"/>
      <c r="BU189" s="128"/>
      <c r="BV189" s="128"/>
      <c r="BW189" s="128"/>
      <c r="BX189" s="128"/>
      <c r="BY189" s="128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</row>
    <row r="190" spans="1:91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  <c r="BR190" s="128"/>
      <c r="BS190" s="128"/>
      <c r="BT190" s="128"/>
      <c r="BU190" s="128"/>
      <c r="BV190" s="128"/>
      <c r="BW190" s="128"/>
      <c r="BX190" s="128"/>
      <c r="BY190" s="128"/>
      <c r="BZ190" s="128"/>
      <c r="CA190" s="128"/>
      <c r="CB190" s="128"/>
      <c r="CC190" s="128"/>
      <c r="CD190" s="128"/>
      <c r="CE190" s="128"/>
      <c r="CF190" s="128"/>
      <c r="CG190" s="128"/>
      <c r="CH190" s="128"/>
      <c r="CI190" s="128"/>
      <c r="CJ190" s="128"/>
      <c r="CK190" s="128"/>
      <c r="CL190" s="128"/>
      <c r="CM190" s="128"/>
    </row>
    <row r="191" spans="1:91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8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128"/>
      <c r="BN191" s="128"/>
      <c r="BO191" s="128"/>
      <c r="BP191" s="128"/>
      <c r="BQ191" s="128"/>
      <c r="BR191" s="128"/>
      <c r="BS191" s="128"/>
      <c r="BT191" s="128"/>
      <c r="BU191" s="128"/>
      <c r="BV191" s="128"/>
      <c r="BW191" s="128"/>
      <c r="BX191" s="128"/>
      <c r="BY191" s="128"/>
      <c r="BZ191" s="128"/>
      <c r="CA191" s="128"/>
      <c r="CB191" s="128"/>
      <c r="CC191" s="128"/>
      <c r="CD191" s="128"/>
      <c r="CE191" s="128"/>
      <c r="CF191" s="128"/>
      <c r="CG191" s="128"/>
      <c r="CH191" s="128"/>
      <c r="CI191" s="128"/>
      <c r="CJ191" s="128"/>
      <c r="CK191" s="128"/>
      <c r="CL191" s="128"/>
      <c r="CM191" s="128"/>
    </row>
    <row r="192" spans="1:91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128"/>
      <c r="BY192" s="128"/>
      <c r="BZ192" s="128"/>
      <c r="CA192" s="128"/>
      <c r="CB192" s="128"/>
      <c r="CC192" s="128"/>
      <c r="CD192" s="128"/>
      <c r="CE192" s="128"/>
      <c r="CF192" s="128"/>
      <c r="CG192" s="128"/>
      <c r="CH192" s="128"/>
      <c r="CI192" s="128"/>
      <c r="CJ192" s="128"/>
      <c r="CK192" s="128"/>
      <c r="CL192" s="128"/>
      <c r="CM192" s="128"/>
    </row>
    <row r="193" spans="1:91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128"/>
      <c r="BN193" s="128"/>
      <c r="BO193" s="128"/>
      <c r="BP193" s="128"/>
      <c r="BQ193" s="128"/>
      <c r="BR193" s="128"/>
      <c r="BS193" s="128"/>
      <c r="BT193" s="128"/>
      <c r="BU193" s="128"/>
      <c r="BV193" s="128"/>
      <c r="BW193" s="128"/>
      <c r="BX193" s="128"/>
      <c r="BY193" s="128"/>
      <c r="BZ193" s="128"/>
      <c r="CA193" s="128"/>
      <c r="CB193" s="128"/>
      <c r="CC193" s="128"/>
      <c r="CD193" s="128"/>
      <c r="CE193" s="128"/>
      <c r="CF193" s="128"/>
      <c r="CG193" s="128"/>
      <c r="CH193" s="128"/>
      <c r="CI193" s="128"/>
      <c r="CJ193" s="128"/>
      <c r="CK193" s="128"/>
      <c r="CL193" s="128"/>
      <c r="CM193" s="128"/>
    </row>
    <row r="194" spans="1:91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  <c r="BP194" s="128"/>
      <c r="BQ194" s="128"/>
      <c r="BR194" s="128"/>
      <c r="BS194" s="128"/>
      <c r="BT194" s="128"/>
      <c r="BU194" s="128"/>
      <c r="BV194" s="128"/>
      <c r="BW194" s="128"/>
      <c r="BX194" s="128"/>
      <c r="BY194" s="128"/>
      <c r="BZ194" s="128"/>
      <c r="CA194" s="128"/>
      <c r="CB194" s="128"/>
      <c r="CC194" s="128"/>
      <c r="CD194" s="128"/>
      <c r="CE194" s="128"/>
      <c r="CF194" s="128"/>
      <c r="CG194" s="128"/>
      <c r="CH194" s="128"/>
      <c r="CI194" s="128"/>
      <c r="CJ194" s="128"/>
      <c r="CK194" s="128"/>
      <c r="CL194" s="128"/>
      <c r="CM194" s="128"/>
    </row>
    <row r="195" spans="1:91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  <c r="BR195" s="128"/>
      <c r="BS195" s="128"/>
      <c r="BT195" s="128"/>
      <c r="BU195" s="128"/>
      <c r="BV195" s="128"/>
      <c r="BW195" s="128"/>
      <c r="BX195" s="128"/>
      <c r="BY195" s="128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</row>
    <row r="196" spans="1:91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128"/>
      <c r="BN196" s="128"/>
      <c r="BO196" s="128"/>
      <c r="BP196" s="128"/>
      <c r="BQ196" s="128"/>
      <c r="BR196" s="128"/>
      <c r="BS196" s="128"/>
      <c r="BT196" s="128"/>
      <c r="BU196" s="128"/>
      <c r="BV196" s="128"/>
      <c r="BW196" s="128"/>
      <c r="BX196" s="128"/>
      <c r="BY196" s="128"/>
      <c r="BZ196" s="128"/>
      <c r="CA196" s="128"/>
      <c r="CB196" s="128"/>
      <c r="CC196" s="128"/>
      <c r="CD196" s="128"/>
      <c r="CE196" s="128"/>
      <c r="CF196" s="128"/>
      <c r="CG196" s="128"/>
      <c r="CH196" s="128"/>
      <c r="CI196" s="128"/>
      <c r="CJ196" s="128"/>
      <c r="CK196" s="128"/>
      <c r="CL196" s="128"/>
      <c r="CM196" s="128"/>
    </row>
    <row r="197" spans="1:91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AD197" s="128"/>
      <c r="AE197" s="128"/>
      <c r="AF197" s="128"/>
      <c r="AG197" s="12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  <c r="BR197" s="128"/>
      <c r="BS197" s="128"/>
      <c r="BT197" s="128"/>
      <c r="BU197" s="128"/>
      <c r="BV197" s="128"/>
      <c r="BW197" s="128"/>
      <c r="BX197" s="128"/>
      <c r="BY197" s="128"/>
      <c r="BZ197" s="128"/>
      <c r="CA197" s="128"/>
      <c r="CB197" s="128"/>
      <c r="CC197" s="128"/>
      <c r="CD197" s="128"/>
      <c r="CE197" s="128"/>
      <c r="CF197" s="128"/>
      <c r="CG197" s="128"/>
      <c r="CH197" s="128"/>
      <c r="CI197" s="128"/>
      <c r="CJ197" s="128"/>
      <c r="CK197" s="128"/>
      <c r="CL197" s="128"/>
      <c r="CM197" s="128"/>
    </row>
    <row r="198" spans="1:91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128"/>
      <c r="BN198" s="128"/>
      <c r="BO198" s="128"/>
      <c r="BP198" s="128"/>
      <c r="BQ198" s="128"/>
      <c r="BR198" s="128"/>
      <c r="BS198" s="128"/>
      <c r="BT198" s="128"/>
      <c r="BU198" s="128"/>
      <c r="BV198" s="128"/>
      <c r="BW198" s="128"/>
      <c r="BX198" s="128"/>
      <c r="BY198" s="128"/>
      <c r="BZ198" s="128"/>
      <c r="CA198" s="128"/>
      <c r="CB198" s="128"/>
      <c r="CC198" s="128"/>
      <c r="CD198" s="128"/>
      <c r="CE198" s="128"/>
      <c r="CF198" s="128"/>
      <c r="CG198" s="128"/>
      <c r="CH198" s="128"/>
      <c r="CI198" s="128"/>
      <c r="CJ198" s="128"/>
      <c r="CK198" s="128"/>
      <c r="CL198" s="128"/>
      <c r="CM198" s="128"/>
    </row>
    <row r="199" spans="1:91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  <c r="BP199" s="128"/>
      <c r="BQ199" s="128"/>
      <c r="BR199" s="128"/>
      <c r="BS199" s="128"/>
      <c r="BT199" s="128"/>
      <c r="BU199" s="128"/>
      <c r="BV199" s="128"/>
      <c r="BW199" s="128"/>
      <c r="BX199" s="128"/>
      <c r="BY199" s="128"/>
      <c r="BZ199" s="128"/>
      <c r="CA199" s="128"/>
      <c r="CB199" s="128"/>
      <c r="CC199" s="128"/>
      <c r="CD199" s="128"/>
      <c r="CE199" s="128"/>
      <c r="CF199" s="128"/>
      <c r="CG199" s="128"/>
      <c r="CH199" s="128"/>
      <c r="CI199" s="128"/>
      <c r="CJ199" s="128"/>
      <c r="CK199" s="128"/>
      <c r="CL199" s="128"/>
      <c r="CM199" s="128"/>
    </row>
    <row r="200" spans="1:91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128"/>
      <c r="BN200" s="128"/>
      <c r="BO200" s="128"/>
      <c r="BP200" s="128"/>
      <c r="BQ200" s="128"/>
      <c r="BR200" s="128"/>
      <c r="BS200" s="128"/>
      <c r="BT200" s="128"/>
      <c r="BU200" s="128"/>
      <c r="BV200" s="128"/>
      <c r="BW200" s="128"/>
      <c r="BX200" s="128"/>
      <c r="BY200" s="128"/>
      <c r="BZ200" s="128"/>
      <c r="CA200" s="128"/>
      <c r="CB200" s="128"/>
      <c r="CC200" s="128"/>
      <c r="CD200" s="128"/>
      <c r="CE200" s="128"/>
      <c r="CF200" s="128"/>
      <c r="CG200" s="128"/>
      <c r="CH200" s="128"/>
      <c r="CI200" s="128"/>
      <c r="CJ200" s="128"/>
      <c r="CK200" s="128"/>
      <c r="CL200" s="128"/>
      <c r="CM200" s="128"/>
    </row>
    <row r="201" spans="1:91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8"/>
      <c r="BR201" s="128"/>
      <c r="BS201" s="128"/>
      <c r="BT201" s="128"/>
      <c r="BU201" s="128"/>
      <c r="BV201" s="128"/>
      <c r="BW201" s="128"/>
      <c r="BX201" s="128"/>
      <c r="BY201" s="128"/>
      <c r="BZ201" s="128"/>
      <c r="CA201" s="128"/>
      <c r="CB201" s="128"/>
      <c r="CC201" s="128"/>
      <c r="CD201" s="128"/>
      <c r="CE201" s="128"/>
      <c r="CF201" s="128"/>
      <c r="CG201" s="128"/>
      <c r="CH201" s="128"/>
      <c r="CI201" s="128"/>
      <c r="CJ201" s="128"/>
      <c r="CK201" s="128"/>
      <c r="CL201" s="128"/>
      <c r="CM201" s="128"/>
    </row>
    <row r="202" spans="1:91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  <c r="BP202" s="128"/>
      <c r="BQ202" s="128"/>
      <c r="BR202" s="128"/>
      <c r="BS202" s="128"/>
      <c r="BT202" s="128"/>
      <c r="BU202" s="128"/>
      <c r="BV202" s="128"/>
      <c r="BW202" s="128"/>
      <c r="BX202" s="128"/>
      <c r="BY202" s="128"/>
      <c r="BZ202" s="128"/>
      <c r="CA202" s="128"/>
      <c r="CB202" s="128"/>
      <c r="CC202" s="128"/>
      <c r="CD202" s="128"/>
      <c r="CE202" s="128"/>
      <c r="CF202" s="128"/>
      <c r="CG202" s="128"/>
      <c r="CH202" s="128"/>
      <c r="CI202" s="128"/>
      <c r="CJ202" s="128"/>
      <c r="CK202" s="128"/>
      <c r="CL202" s="128"/>
      <c r="CM202" s="128"/>
    </row>
    <row r="203" spans="1:91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  <c r="BR203" s="128"/>
      <c r="BS203" s="128"/>
      <c r="BT203" s="128"/>
      <c r="BU203" s="128"/>
      <c r="BV203" s="128"/>
      <c r="BW203" s="128"/>
      <c r="BX203" s="128"/>
      <c r="BY203" s="128"/>
      <c r="BZ203" s="128"/>
      <c r="CA203" s="128"/>
      <c r="CB203" s="128"/>
      <c r="CC203" s="128"/>
      <c r="CD203" s="128"/>
      <c r="CE203" s="128"/>
      <c r="CF203" s="128"/>
      <c r="CG203" s="128"/>
      <c r="CH203" s="128"/>
      <c r="CI203" s="128"/>
      <c r="CJ203" s="128"/>
      <c r="CK203" s="128"/>
      <c r="CL203" s="128"/>
      <c r="CM203" s="128"/>
    </row>
    <row r="204" spans="1:91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128"/>
      <c r="BN204" s="128"/>
      <c r="BO204" s="128"/>
      <c r="BP204" s="128"/>
      <c r="BQ204" s="128"/>
      <c r="BR204" s="128"/>
      <c r="BS204" s="128"/>
      <c r="BT204" s="128"/>
      <c r="BU204" s="128"/>
      <c r="BV204" s="128"/>
      <c r="BW204" s="128"/>
      <c r="BX204" s="128"/>
      <c r="BY204" s="128"/>
      <c r="BZ204" s="128"/>
      <c r="CA204" s="128"/>
      <c r="CB204" s="128"/>
      <c r="CC204" s="128"/>
      <c r="CD204" s="128"/>
      <c r="CE204" s="128"/>
      <c r="CF204" s="128"/>
      <c r="CG204" s="128"/>
      <c r="CH204" s="128"/>
      <c r="CI204" s="128"/>
      <c r="CJ204" s="128"/>
      <c r="CK204" s="128"/>
      <c r="CL204" s="128"/>
      <c r="CM204" s="128"/>
    </row>
    <row r="205" spans="1:91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  <c r="BP205" s="128"/>
      <c r="BQ205" s="128"/>
      <c r="BR205" s="128"/>
      <c r="BS205" s="128"/>
      <c r="BT205" s="128"/>
      <c r="BU205" s="128"/>
      <c r="BV205" s="128"/>
      <c r="BW205" s="128"/>
      <c r="BX205" s="128"/>
      <c r="BY205" s="128"/>
      <c r="BZ205" s="128"/>
      <c r="CA205" s="128"/>
      <c r="CB205" s="128"/>
      <c r="CC205" s="128"/>
      <c r="CD205" s="128"/>
      <c r="CE205" s="128"/>
      <c r="CF205" s="128"/>
      <c r="CG205" s="128"/>
      <c r="CH205" s="128"/>
      <c r="CI205" s="128"/>
      <c r="CJ205" s="128"/>
      <c r="CK205" s="128"/>
      <c r="CL205" s="128"/>
      <c r="CM205" s="128"/>
    </row>
    <row r="206" spans="1:91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  <c r="BP206" s="128"/>
      <c r="BQ206" s="128"/>
      <c r="BR206" s="128"/>
      <c r="BS206" s="128"/>
      <c r="BT206" s="128"/>
      <c r="BU206" s="128"/>
      <c r="BV206" s="128"/>
      <c r="BW206" s="128"/>
      <c r="BX206" s="128"/>
      <c r="BY206" s="128"/>
      <c r="BZ206" s="128"/>
      <c r="CA206" s="128"/>
      <c r="CB206" s="128"/>
      <c r="CC206" s="128"/>
      <c r="CD206" s="128"/>
      <c r="CE206" s="128"/>
      <c r="CF206" s="128"/>
      <c r="CG206" s="128"/>
      <c r="CH206" s="128"/>
      <c r="CI206" s="128"/>
      <c r="CJ206" s="128"/>
      <c r="CK206" s="128"/>
      <c r="CL206" s="128"/>
      <c r="CM206" s="128"/>
    </row>
    <row r="207" spans="1:91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128"/>
      <c r="BN207" s="128"/>
      <c r="BO207" s="128"/>
      <c r="BP207" s="128"/>
      <c r="BQ207" s="128"/>
      <c r="BR207" s="128"/>
      <c r="BS207" s="128"/>
      <c r="BT207" s="128"/>
      <c r="BU207" s="128"/>
      <c r="BV207" s="128"/>
      <c r="BW207" s="128"/>
      <c r="BX207" s="128"/>
      <c r="BY207" s="128"/>
      <c r="BZ207" s="128"/>
      <c r="CA207" s="128"/>
      <c r="CB207" s="128"/>
      <c r="CC207" s="128"/>
      <c r="CD207" s="128"/>
      <c r="CE207" s="128"/>
      <c r="CF207" s="128"/>
      <c r="CG207" s="128"/>
      <c r="CH207" s="128"/>
      <c r="CI207" s="128"/>
      <c r="CJ207" s="128"/>
      <c r="CK207" s="128"/>
      <c r="CL207" s="128"/>
      <c r="CM207" s="128"/>
    </row>
    <row r="208" spans="1:91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128"/>
      <c r="BN208" s="128"/>
      <c r="BO208" s="128"/>
      <c r="BP208" s="128"/>
      <c r="BQ208" s="128"/>
      <c r="BR208" s="128"/>
      <c r="BS208" s="128"/>
      <c r="BT208" s="128"/>
      <c r="BU208" s="128"/>
      <c r="BV208" s="128"/>
      <c r="BW208" s="128"/>
      <c r="BX208" s="128"/>
      <c r="BY208" s="128"/>
      <c r="BZ208" s="128"/>
      <c r="CA208" s="128"/>
      <c r="CB208" s="128"/>
      <c r="CC208" s="128"/>
      <c r="CD208" s="128"/>
      <c r="CE208" s="128"/>
      <c r="CF208" s="128"/>
      <c r="CG208" s="128"/>
      <c r="CH208" s="128"/>
      <c r="CI208" s="128"/>
      <c r="CJ208" s="128"/>
      <c r="CK208" s="128"/>
      <c r="CL208" s="128"/>
      <c r="CM208" s="128"/>
    </row>
    <row r="209" spans="1:91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  <c r="BR209" s="128"/>
      <c r="BS209" s="128"/>
      <c r="BT209" s="128"/>
      <c r="BU209" s="128"/>
      <c r="BV209" s="128"/>
      <c r="BW209" s="128"/>
      <c r="BX209" s="128"/>
      <c r="BY209" s="128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</row>
    <row r="210" spans="1:91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128"/>
      <c r="BN210" s="128"/>
      <c r="BO210" s="128"/>
      <c r="BP210" s="128"/>
      <c r="BQ210" s="128"/>
      <c r="BR210" s="128"/>
      <c r="BS210" s="128"/>
      <c r="BT210" s="128"/>
      <c r="BU210" s="128"/>
      <c r="BV210" s="128"/>
      <c r="BW210" s="128"/>
      <c r="BX210" s="128"/>
      <c r="BY210" s="128"/>
      <c r="BZ210" s="128"/>
      <c r="CA210" s="128"/>
      <c r="CB210" s="128"/>
      <c r="CC210" s="128"/>
      <c r="CD210" s="128"/>
      <c r="CE210" s="128"/>
      <c r="CF210" s="128"/>
      <c r="CG210" s="128"/>
      <c r="CH210" s="128"/>
      <c r="CI210" s="128"/>
      <c r="CJ210" s="128"/>
      <c r="CK210" s="128"/>
      <c r="CL210" s="128"/>
      <c r="CM210" s="128"/>
    </row>
    <row r="211" spans="1:91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  <c r="BR211" s="128"/>
      <c r="BS211" s="128"/>
      <c r="BT211" s="128"/>
      <c r="BU211" s="128"/>
      <c r="BV211" s="128"/>
      <c r="BW211" s="128"/>
      <c r="BX211" s="128"/>
      <c r="BY211" s="128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</row>
    <row r="212" spans="1:91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  <c r="BR212" s="128"/>
      <c r="BS212" s="128"/>
      <c r="BT212" s="128"/>
      <c r="BU212" s="128"/>
      <c r="BV212" s="128"/>
      <c r="BW212" s="128"/>
      <c r="BX212" s="128"/>
      <c r="BY212" s="128"/>
      <c r="BZ212" s="128"/>
      <c r="CA212" s="128"/>
      <c r="CB212" s="128"/>
      <c r="CC212" s="128"/>
      <c r="CD212" s="128"/>
      <c r="CE212" s="128"/>
      <c r="CF212" s="128"/>
      <c r="CG212" s="128"/>
      <c r="CH212" s="128"/>
      <c r="CI212" s="128"/>
      <c r="CJ212" s="128"/>
      <c r="CK212" s="128"/>
      <c r="CL212" s="128"/>
      <c r="CM212" s="128"/>
    </row>
    <row r="213" spans="1:91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128"/>
      <c r="BN213" s="128"/>
      <c r="BO213" s="128"/>
      <c r="BP213" s="128"/>
      <c r="BQ213" s="128"/>
      <c r="BR213" s="128"/>
      <c r="BS213" s="128"/>
      <c r="BT213" s="128"/>
      <c r="BU213" s="128"/>
      <c r="BV213" s="128"/>
      <c r="BW213" s="128"/>
      <c r="BX213" s="128"/>
      <c r="BY213" s="128"/>
      <c r="BZ213" s="128"/>
      <c r="CA213" s="128"/>
      <c r="CB213" s="128"/>
      <c r="CC213" s="128"/>
      <c r="CD213" s="128"/>
      <c r="CE213" s="128"/>
      <c r="CF213" s="128"/>
      <c r="CG213" s="128"/>
      <c r="CH213" s="128"/>
      <c r="CI213" s="128"/>
      <c r="CJ213" s="128"/>
      <c r="CK213" s="128"/>
      <c r="CL213" s="128"/>
      <c r="CM213" s="128"/>
    </row>
    <row r="214" spans="1:91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128"/>
      <c r="BN214" s="128"/>
      <c r="BO214" s="128"/>
      <c r="BP214" s="128"/>
      <c r="BQ214" s="128"/>
      <c r="BR214" s="128"/>
      <c r="BS214" s="128"/>
      <c r="BT214" s="128"/>
      <c r="BU214" s="128"/>
      <c r="BV214" s="128"/>
      <c r="BW214" s="128"/>
      <c r="BX214" s="128"/>
      <c r="BY214" s="128"/>
      <c r="BZ214" s="128"/>
      <c r="CA214" s="128"/>
      <c r="CB214" s="128"/>
      <c r="CC214" s="128"/>
      <c r="CD214" s="128"/>
      <c r="CE214" s="128"/>
      <c r="CF214" s="128"/>
      <c r="CG214" s="128"/>
      <c r="CH214" s="128"/>
      <c r="CI214" s="128"/>
      <c r="CJ214" s="128"/>
      <c r="CK214" s="128"/>
      <c r="CL214" s="128"/>
      <c r="CM214" s="128"/>
    </row>
    <row r="215" spans="1:91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  <c r="BR215" s="128"/>
      <c r="BS215" s="128"/>
      <c r="BT215" s="128"/>
      <c r="BU215" s="128"/>
      <c r="BV215" s="128"/>
      <c r="BW215" s="128"/>
      <c r="BX215" s="128"/>
      <c r="BY215" s="128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</row>
    <row r="216" spans="1:91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  <c r="BW216" s="128"/>
      <c r="BX216" s="128"/>
      <c r="BY216" s="128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</row>
    <row r="217" spans="1:91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  <c r="BP217" s="128"/>
      <c r="BQ217" s="128"/>
      <c r="BR217" s="128"/>
      <c r="BS217" s="128"/>
      <c r="BT217" s="128"/>
      <c r="BU217" s="128"/>
      <c r="BV217" s="128"/>
      <c r="BW217" s="128"/>
      <c r="BX217" s="128"/>
      <c r="BY217" s="128"/>
      <c r="BZ217" s="128"/>
      <c r="CA217" s="128"/>
      <c r="CB217" s="128"/>
      <c r="CC217" s="128"/>
      <c r="CD217" s="128"/>
      <c r="CE217" s="128"/>
      <c r="CF217" s="128"/>
      <c r="CG217" s="128"/>
      <c r="CH217" s="128"/>
      <c r="CI217" s="128"/>
      <c r="CJ217" s="128"/>
      <c r="CK217" s="128"/>
      <c r="CL217" s="128"/>
      <c r="CM217" s="128"/>
    </row>
    <row r="218" spans="1:91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  <c r="BR218" s="128"/>
      <c r="BS218" s="128"/>
      <c r="BT218" s="128"/>
      <c r="BU218" s="128"/>
      <c r="BV218" s="128"/>
      <c r="BW218" s="128"/>
      <c r="BX218" s="128"/>
      <c r="BY218" s="128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8"/>
      <c r="CJ218" s="128"/>
      <c r="CK218" s="128"/>
      <c r="CL218" s="128"/>
      <c r="CM218" s="128"/>
    </row>
    <row r="219" spans="1:91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  <c r="BP219" s="128"/>
      <c r="BQ219" s="128"/>
      <c r="BR219" s="128"/>
      <c r="BS219" s="128"/>
      <c r="BT219" s="128"/>
      <c r="BU219" s="128"/>
      <c r="BV219" s="128"/>
      <c r="BW219" s="128"/>
      <c r="BX219" s="128"/>
      <c r="BY219" s="128"/>
      <c r="BZ219" s="128"/>
      <c r="CA219" s="128"/>
      <c r="CB219" s="128"/>
      <c r="CC219" s="128"/>
      <c r="CD219" s="128"/>
      <c r="CE219" s="128"/>
      <c r="CF219" s="128"/>
      <c r="CG219" s="128"/>
      <c r="CH219" s="128"/>
      <c r="CI219" s="128"/>
      <c r="CJ219" s="128"/>
      <c r="CK219" s="128"/>
      <c r="CL219" s="128"/>
      <c r="CM219" s="128"/>
    </row>
    <row r="220" spans="1:91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  <c r="BR220" s="128"/>
      <c r="BS220" s="128"/>
      <c r="BT220" s="128"/>
      <c r="BU220" s="128"/>
      <c r="BV220" s="128"/>
      <c r="BW220" s="128"/>
      <c r="BX220" s="128"/>
      <c r="BY220" s="128"/>
      <c r="BZ220" s="128"/>
      <c r="CA220" s="128"/>
      <c r="CB220" s="128"/>
      <c r="CC220" s="128"/>
      <c r="CD220" s="128"/>
      <c r="CE220" s="128"/>
      <c r="CF220" s="128"/>
      <c r="CG220" s="128"/>
      <c r="CH220" s="128"/>
      <c r="CI220" s="128"/>
      <c r="CJ220" s="128"/>
      <c r="CK220" s="128"/>
      <c r="CL220" s="128"/>
      <c r="CM220" s="128"/>
    </row>
    <row r="221" spans="1:91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/>
      <c r="BS221" s="128"/>
      <c r="BT221" s="128"/>
      <c r="BU221" s="128"/>
      <c r="BV221" s="128"/>
      <c r="BW221" s="128"/>
      <c r="BX221" s="128"/>
      <c r="BY221" s="128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</row>
    <row r="222" spans="1:91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</row>
    <row r="223" spans="1:91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</row>
    <row r="224" spans="1:91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  <c r="BR224" s="128"/>
      <c r="BS224" s="128"/>
      <c r="BT224" s="128"/>
      <c r="BU224" s="128"/>
      <c r="BV224" s="128"/>
      <c r="BW224" s="128"/>
      <c r="BX224" s="128"/>
      <c r="BY224" s="128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</row>
    <row r="225" spans="1:91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  <c r="BR225" s="128"/>
      <c r="BS225" s="128"/>
      <c r="BT225" s="128"/>
      <c r="BU225" s="128"/>
      <c r="BV225" s="128"/>
      <c r="BW225" s="128"/>
      <c r="BX225" s="128"/>
      <c r="BY225" s="128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</row>
    <row r="226" spans="1:91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  <c r="BR226" s="128"/>
      <c r="BS226" s="128"/>
      <c r="BT226" s="128"/>
      <c r="BU226" s="128"/>
      <c r="BV226" s="128"/>
      <c r="BW226" s="128"/>
      <c r="BX226" s="128"/>
      <c r="BY226" s="128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</row>
    <row r="227" spans="1:91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  <c r="BR227" s="128"/>
      <c r="BS227" s="128"/>
      <c r="BT227" s="128"/>
      <c r="BU227" s="128"/>
      <c r="BV227" s="128"/>
      <c r="BW227" s="128"/>
      <c r="BX227" s="128"/>
      <c r="BY227" s="128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</row>
    <row r="228" spans="1:91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  <c r="BR228" s="128"/>
      <c r="BS228" s="128"/>
      <c r="BT228" s="128"/>
      <c r="BU228" s="128"/>
      <c r="BV228" s="128"/>
      <c r="BW228" s="128"/>
      <c r="BX228" s="128"/>
      <c r="BY228" s="128"/>
      <c r="BZ228" s="128"/>
      <c r="CA228" s="128"/>
      <c r="CB228" s="128"/>
      <c r="CC228" s="128"/>
      <c r="CD228" s="128"/>
      <c r="CE228" s="128"/>
      <c r="CF228" s="128"/>
      <c r="CG228" s="128"/>
      <c r="CH228" s="128"/>
      <c r="CI228" s="128"/>
      <c r="CJ228" s="128"/>
      <c r="CK228" s="128"/>
      <c r="CL228" s="128"/>
      <c r="CM228" s="128"/>
    </row>
    <row r="229" spans="1:91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  <c r="BR229" s="128"/>
      <c r="BS229" s="128"/>
      <c r="BT229" s="128"/>
      <c r="BU229" s="128"/>
      <c r="BV229" s="128"/>
      <c r="BW229" s="128"/>
      <c r="BX229" s="128"/>
      <c r="BY229" s="128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</row>
    <row r="230" spans="1:91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8"/>
      <c r="BO230" s="128"/>
      <c r="BP230" s="128"/>
      <c r="BQ230" s="128"/>
      <c r="BR230" s="128"/>
      <c r="BS230" s="128"/>
      <c r="BT230" s="128"/>
      <c r="BU230" s="128"/>
      <c r="BV230" s="128"/>
      <c r="BW230" s="128"/>
      <c r="BX230" s="128"/>
      <c r="BY230" s="128"/>
      <c r="BZ230" s="128"/>
      <c r="CA230" s="128"/>
      <c r="CB230" s="128"/>
      <c r="CC230" s="128"/>
      <c r="CD230" s="128"/>
      <c r="CE230" s="128"/>
      <c r="CF230" s="128"/>
      <c r="CG230" s="128"/>
      <c r="CH230" s="128"/>
      <c r="CI230" s="128"/>
      <c r="CJ230" s="128"/>
      <c r="CK230" s="128"/>
      <c r="CL230" s="128"/>
      <c r="CM230" s="128"/>
    </row>
    <row r="231" spans="1:91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  <c r="BR231" s="128"/>
      <c r="BS231" s="128"/>
      <c r="BT231" s="128"/>
      <c r="BU231" s="128"/>
      <c r="BV231" s="128"/>
      <c r="BW231" s="128"/>
      <c r="BX231" s="128"/>
      <c r="BY231" s="128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</row>
    <row r="232" spans="1:91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8"/>
      <c r="BR232" s="128"/>
      <c r="BS232" s="128"/>
      <c r="BT232" s="128"/>
      <c r="BU232" s="128"/>
      <c r="BV232" s="128"/>
      <c r="BW232" s="128"/>
      <c r="BX232" s="128"/>
      <c r="BY232" s="128"/>
      <c r="BZ232" s="128"/>
      <c r="CA232" s="128"/>
      <c r="CB232" s="128"/>
      <c r="CC232" s="128"/>
      <c r="CD232" s="128"/>
      <c r="CE232" s="128"/>
      <c r="CF232" s="128"/>
      <c r="CG232" s="128"/>
      <c r="CH232" s="128"/>
      <c r="CI232" s="128"/>
      <c r="CJ232" s="128"/>
      <c r="CK232" s="128"/>
      <c r="CL232" s="128"/>
      <c r="CM232" s="128"/>
    </row>
    <row r="233" spans="1:91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  <c r="BR233" s="128"/>
      <c r="BS233" s="128"/>
      <c r="BT233" s="128"/>
      <c r="BU233" s="128"/>
      <c r="BV233" s="128"/>
      <c r="BW233" s="128"/>
      <c r="BX233" s="128"/>
      <c r="BY233" s="128"/>
      <c r="BZ233" s="128"/>
      <c r="CA233" s="128"/>
      <c r="CB233" s="128"/>
      <c r="CC233" s="128"/>
      <c r="CD233" s="128"/>
      <c r="CE233" s="128"/>
      <c r="CF233" s="128"/>
      <c r="CG233" s="128"/>
      <c r="CH233" s="128"/>
      <c r="CI233" s="128"/>
      <c r="CJ233" s="128"/>
      <c r="CK233" s="128"/>
      <c r="CL233" s="128"/>
      <c r="CM233" s="128"/>
    </row>
    <row r="234" spans="1:91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/>
      <c r="BR234" s="128"/>
      <c r="BS234" s="128"/>
      <c r="BT234" s="128"/>
      <c r="BU234" s="128"/>
      <c r="BV234" s="128"/>
      <c r="BW234" s="128"/>
      <c r="BX234" s="128"/>
      <c r="BY234" s="128"/>
      <c r="BZ234" s="128"/>
      <c r="CA234" s="128"/>
      <c r="CB234" s="128"/>
      <c r="CC234" s="128"/>
      <c r="CD234" s="128"/>
      <c r="CE234" s="128"/>
      <c r="CF234" s="128"/>
      <c r="CG234" s="128"/>
      <c r="CH234" s="128"/>
      <c r="CI234" s="128"/>
      <c r="CJ234" s="128"/>
      <c r="CK234" s="128"/>
      <c r="CL234" s="128"/>
      <c r="CM234" s="128"/>
    </row>
    <row r="235" spans="1:91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/>
      <c r="BP235" s="128"/>
      <c r="BQ235" s="128"/>
      <c r="BR235" s="128"/>
      <c r="BS235" s="128"/>
      <c r="BT235" s="128"/>
      <c r="BU235" s="128"/>
      <c r="BV235" s="128"/>
      <c r="BW235" s="128"/>
      <c r="BX235" s="128"/>
      <c r="BY235" s="128"/>
      <c r="BZ235" s="128"/>
      <c r="CA235" s="128"/>
      <c r="CB235" s="128"/>
      <c r="CC235" s="128"/>
      <c r="CD235" s="128"/>
      <c r="CE235" s="128"/>
      <c r="CF235" s="128"/>
      <c r="CG235" s="128"/>
      <c r="CH235" s="128"/>
      <c r="CI235" s="128"/>
      <c r="CJ235" s="128"/>
      <c r="CK235" s="128"/>
      <c r="CL235" s="128"/>
      <c r="CM235" s="128"/>
    </row>
    <row r="236" spans="1:91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128"/>
      <c r="BN236" s="128"/>
      <c r="BO236" s="128"/>
      <c r="BP236" s="128"/>
      <c r="BQ236" s="128"/>
      <c r="BR236" s="128"/>
      <c r="BS236" s="128"/>
      <c r="BT236" s="128"/>
      <c r="BU236" s="128"/>
      <c r="BV236" s="128"/>
      <c r="BW236" s="128"/>
      <c r="BX236" s="128"/>
      <c r="BY236" s="128"/>
      <c r="BZ236" s="128"/>
      <c r="CA236" s="128"/>
      <c r="CB236" s="128"/>
      <c r="CC236" s="128"/>
      <c r="CD236" s="128"/>
      <c r="CE236" s="128"/>
      <c r="CF236" s="128"/>
      <c r="CG236" s="128"/>
      <c r="CH236" s="128"/>
      <c r="CI236" s="128"/>
      <c r="CJ236" s="128"/>
      <c r="CK236" s="128"/>
      <c r="CL236" s="128"/>
      <c r="CM236" s="128"/>
    </row>
    <row r="237" spans="1:91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8"/>
      <c r="BP237" s="128"/>
      <c r="BQ237" s="128"/>
      <c r="BR237" s="128"/>
      <c r="BS237" s="128"/>
      <c r="BT237" s="128"/>
      <c r="BU237" s="128"/>
      <c r="BV237" s="128"/>
      <c r="BW237" s="128"/>
      <c r="BX237" s="128"/>
      <c r="BY237" s="128"/>
      <c r="BZ237" s="128"/>
      <c r="CA237" s="128"/>
      <c r="CB237" s="128"/>
      <c r="CC237" s="128"/>
      <c r="CD237" s="128"/>
      <c r="CE237" s="128"/>
      <c r="CF237" s="128"/>
      <c r="CG237" s="128"/>
      <c r="CH237" s="128"/>
      <c r="CI237" s="128"/>
      <c r="CJ237" s="128"/>
      <c r="CK237" s="128"/>
      <c r="CL237" s="128"/>
      <c r="CM237" s="128"/>
    </row>
    <row r="238" spans="1:91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  <c r="BR238" s="128"/>
      <c r="BS238" s="128"/>
      <c r="BT238" s="128"/>
      <c r="BU238" s="128"/>
      <c r="BV238" s="128"/>
      <c r="BW238" s="128"/>
      <c r="BX238" s="128"/>
      <c r="BY238" s="128"/>
      <c r="BZ238" s="128"/>
      <c r="CA238" s="128"/>
      <c r="CB238" s="128"/>
      <c r="CC238" s="128"/>
      <c r="CD238" s="128"/>
      <c r="CE238" s="128"/>
      <c r="CF238" s="128"/>
      <c r="CG238" s="128"/>
      <c r="CH238" s="128"/>
      <c r="CI238" s="128"/>
      <c r="CJ238" s="128"/>
      <c r="CK238" s="128"/>
      <c r="CL238" s="128"/>
      <c r="CM238" s="128"/>
    </row>
    <row r="239" spans="1:91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/>
      <c r="BS239" s="128"/>
      <c r="BT239" s="128"/>
      <c r="BU239" s="128"/>
      <c r="BV239" s="128"/>
      <c r="BW239" s="128"/>
      <c r="BX239" s="128"/>
      <c r="BY239" s="128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</row>
    <row r="240" spans="1:91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8"/>
      <c r="CA240" s="128"/>
      <c r="CB240" s="128"/>
      <c r="CC240" s="128"/>
      <c r="CD240" s="128"/>
      <c r="CE240" s="128"/>
      <c r="CF240" s="128"/>
      <c r="CG240" s="128"/>
      <c r="CH240" s="128"/>
      <c r="CI240" s="128"/>
      <c r="CJ240" s="128"/>
      <c r="CK240" s="128"/>
      <c r="CL240" s="128"/>
      <c r="CM240" s="128"/>
    </row>
    <row r="241" spans="1:91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  <c r="BR241" s="128"/>
      <c r="BS241" s="128"/>
      <c r="BT241" s="128"/>
      <c r="BU241" s="128"/>
      <c r="BV241" s="128"/>
      <c r="BW241" s="128"/>
      <c r="BX241" s="128"/>
      <c r="BY241" s="128"/>
      <c r="BZ241" s="128"/>
      <c r="CA241" s="128"/>
      <c r="CB241" s="128"/>
      <c r="CC241" s="128"/>
      <c r="CD241" s="128"/>
      <c r="CE241" s="128"/>
      <c r="CF241" s="128"/>
      <c r="CG241" s="128"/>
      <c r="CH241" s="128"/>
      <c r="CI241" s="128"/>
      <c r="CJ241" s="128"/>
      <c r="CK241" s="128"/>
      <c r="CL241" s="128"/>
      <c r="CM241" s="128"/>
    </row>
    <row r="242" spans="1:91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128"/>
      <c r="BN242" s="128"/>
      <c r="BO242" s="128"/>
      <c r="BP242" s="128"/>
      <c r="BQ242" s="128"/>
      <c r="BR242" s="128"/>
      <c r="BS242" s="128"/>
      <c r="BT242" s="128"/>
      <c r="BU242" s="128"/>
      <c r="BV242" s="128"/>
      <c r="BW242" s="128"/>
      <c r="BX242" s="128"/>
      <c r="BY242" s="128"/>
      <c r="BZ242" s="128"/>
      <c r="CA242" s="128"/>
      <c r="CB242" s="128"/>
      <c r="CC242" s="128"/>
      <c r="CD242" s="128"/>
      <c r="CE242" s="128"/>
      <c r="CF242" s="128"/>
      <c r="CG242" s="128"/>
      <c r="CH242" s="128"/>
      <c r="CI242" s="128"/>
      <c r="CJ242" s="128"/>
      <c r="CK242" s="128"/>
      <c r="CL242" s="128"/>
      <c r="CM242" s="128"/>
    </row>
    <row r="243" spans="1:91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</row>
    <row r="244" spans="1:91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  <c r="BR244" s="128"/>
      <c r="BS244" s="128"/>
      <c r="BT244" s="128"/>
      <c r="BU244" s="128"/>
      <c r="BV244" s="128"/>
      <c r="BW244" s="128"/>
      <c r="BX244" s="128"/>
      <c r="BY244" s="128"/>
      <c r="BZ244" s="128"/>
      <c r="CA244" s="128"/>
      <c r="CB244" s="128"/>
      <c r="CC244" s="128"/>
      <c r="CD244" s="128"/>
      <c r="CE244" s="128"/>
      <c r="CF244" s="128"/>
      <c r="CG244" s="128"/>
      <c r="CH244" s="128"/>
      <c r="CI244" s="128"/>
      <c r="CJ244" s="128"/>
      <c r="CK244" s="128"/>
      <c r="CL244" s="128"/>
      <c r="CM244" s="128"/>
    </row>
    <row r="245" spans="1:91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  <c r="BP245" s="128"/>
      <c r="BQ245" s="128"/>
      <c r="BR245" s="128"/>
      <c r="BS245" s="128"/>
      <c r="BT245" s="128"/>
      <c r="BU245" s="128"/>
      <c r="BV245" s="128"/>
      <c r="BW245" s="128"/>
      <c r="BX245" s="128"/>
      <c r="BY245" s="128"/>
      <c r="BZ245" s="128"/>
      <c r="CA245" s="128"/>
      <c r="CB245" s="128"/>
      <c r="CC245" s="128"/>
      <c r="CD245" s="128"/>
      <c r="CE245" s="128"/>
      <c r="CF245" s="128"/>
      <c r="CG245" s="128"/>
      <c r="CH245" s="128"/>
      <c r="CI245" s="128"/>
      <c r="CJ245" s="128"/>
      <c r="CK245" s="128"/>
      <c r="CL245" s="128"/>
      <c r="CM245" s="128"/>
    </row>
    <row r="246" spans="1:91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  <c r="BQ246" s="128"/>
      <c r="BR246" s="128"/>
      <c r="BS246" s="128"/>
      <c r="BT246" s="128"/>
      <c r="BU246" s="128"/>
      <c r="BV246" s="128"/>
      <c r="BW246" s="128"/>
      <c r="BX246" s="128"/>
      <c r="BY246" s="128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8"/>
      <c r="CK246" s="128"/>
      <c r="CL246" s="128"/>
      <c r="CM246" s="128"/>
    </row>
    <row r="247" spans="1:91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  <c r="BB247" s="128"/>
      <c r="BC247" s="128"/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128"/>
      <c r="BN247" s="128"/>
      <c r="BO247" s="128"/>
      <c r="BP247" s="128"/>
      <c r="BQ247" s="128"/>
      <c r="BR247" s="128"/>
      <c r="BS247" s="128"/>
      <c r="BT247" s="128"/>
      <c r="BU247" s="128"/>
      <c r="BV247" s="128"/>
      <c r="BW247" s="128"/>
      <c r="BX247" s="128"/>
      <c r="BY247" s="128"/>
      <c r="BZ247" s="128"/>
      <c r="CA247" s="128"/>
      <c r="CB247" s="128"/>
      <c r="CC247" s="128"/>
      <c r="CD247" s="128"/>
      <c r="CE247" s="128"/>
      <c r="CF247" s="128"/>
      <c r="CG247" s="128"/>
      <c r="CH247" s="128"/>
      <c r="CI247" s="128"/>
      <c r="CJ247" s="128"/>
      <c r="CK247" s="128"/>
      <c r="CL247" s="128"/>
      <c r="CM247" s="128"/>
    </row>
    <row r="248" spans="1:91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8"/>
      <c r="AZ248" s="128"/>
      <c r="BA248" s="128"/>
      <c r="BB248" s="128"/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</row>
    <row r="249" spans="1:91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8"/>
      <c r="CA249" s="128"/>
      <c r="CB249" s="128"/>
      <c r="CC249" s="128"/>
      <c r="CD249" s="128"/>
      <c r="CE249" s="128"/>
      <c r="CF249" s="128"/>
      <c r="CG249" s="128"/>
      <c r="CH249" s="128"/>
      <c r="CI249" s="128"/>
      <c r="CJ249" s="128"/>
      <c r="CK249" s="128"/>
      <c r="CL249" s="128"/>
      <c r="CM249" s="128"/>
    </row>
    <row r="250" spans="1:91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8"/>
      <c r="CA250" s="128"/>
      <c r="CB250" s="128"/>
      <c r="CC250" s="128"/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</row>
    <row r="251" spans="1:91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  <c r="BR251" s="128"/>
      <c r="BS251" s="128"/>
      <c r="BT251" s="128"/>
      <c r="BU251" s="128"/>
      <c r="BV251" s="128"/>
      <c r="BW251" s="128"/>
      <c r="BX251" s="128"/>
      <c r="BY251" s="128"/>
      <c r="BZ251" s="128"/>
      <c r="CA251" s="128"/>
      <c r="CB251" s="128"/>
      <c r="CC251" s="128"/>
      <c r="CD251" s="128"/>
      <c r="CE251" s="128"/>
      <c r="CF251" s="128"/>
      <c r="CG251" s="128"/>
      <c r="CH251" s="128"/>
      <c r="CI251" s="128"/>
      <c r="CJ251" s="128"/>
      <c r="CK251" s="128"/>
      <c r="CL251" s="128"/>
      <c r="CM251" s="128"/>
    </row>
    <row r="252" spans="1:91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/>
      <c r="BS252" s="128"/>
      <c r="BT252" s="128"/>
      <c r="BU252" s="128"/>
      <c r="BV252" s="128"/>
      <c r="BW252" s="128"/>
      <c r="BX252" s="128"/>
      <c r="BY252" s="128"/>
      <c r="BZ252" s="128"/>
      <c r="CA252" s="128"/>
      <c r="CB252" s="128"/>
      <c r="CC252" s="128"/>
      <c r="CD252" s="128"/>
      <c r="CE252" s="128"/>
      <c r="CF252" s="128"/>
      <c r="CG252" s="128"/>
      <c r="CH252" s="128"/>
      <c r="CI252" s="128"/>
      <c r="CJ252" s="128"/>
      <c r="CK252" s="128"/>
      <c r="CL252" s="128"/>
      <c r="CM252" s="128"/>
    </row>
    <row r="253" spans="1:91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8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BM253" s="128"/>
      <c r="BN253" s="128"/>
      <c r="BO253" s="128"/>
      <c r="BP253" s="128"/>
      <c r="BQ253" s="128"/>
      <c r="BR253" s="128"/>
      <c r="BS253" s="128"/>
      <c r="BT253" s="128"/>
      <c r="BU253" s="128"/>
      <c r="BV253" s="128"/>
      <c r="BW253" s="128"/>
      <c r="BX253" s="128"/>
      <c r="BY253" s="128"/>
      <c r="BZ253" s="128"/>
      <c r="CA253" s="128"/>
      <c r="CB253" s="128"/>
      <c r="CC253" s="128"/>
      <c r="CD253" s="128"/>
      <c r="CE253" s="128"/>
      <c r="CF253" s="128"/>
      <c r="CG253" s="128"/>
      <c r="CH253" s="128"/>
      <c r="CI253" s="128"/>
      <c r="CJ253" s="128"/>
      <c r="CK253" s="128"/>
      <c r="CL253" s="128"/>
      <c r="CM253" s="128"/>
    </row>
    <row r="254" spans="1:91" x14ac:dyDescent="0.2">
      <c r="A254" s="18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8"/>
      <c r="AZ254" s="128"/>
      <c r="BA254" s="128"/>
      <c r="BB254" s="128"/>
      <c r="BC254" s="128"/>
      <c r="BD254" s="128"/>
      <c r="BE254" s="128"/>
      <c r="BF254" s="128"/>
      <c r="BG254" s="128"/>
      <c r="BH254" s="128"/>
      <c r="BI254" s="128"/>
      <c r="BJ254" s="128"/>
      <c r="BK254" s="128"/>
      <c r="BL254" s="128"/>
      <c r="BM254" s="128"/>
      <c r="BN254" s="128"/>
      <c r="BO254" s="128"/>
      <c r="BP254" s="128"/>
      <c r="BQ254" s="128"/>
      <c r="BR254" s="128"/>
      <c r="BS254" s="128"/>
      <c r="BT254" s="128"/>
      <c r="BU254" s="128"/>
      <c r="BV254" s="128"/>
      <c r="BW254" s="128"/>
      <c r="BX254" s="128"/>
      <c r="BY254" s="128"/>
      <c r="BZ254" s="128"/>
      <c r="CA254" s="128"/>
      <c r="CB254" s="128"/>
      <c r="CC254" s="128"/>
      <c r="CD254" s="128"/>
      <c r="CE254" s="128"/>
      <c r="CF254" s="128"/>
      <c r="CG254" s="128"/>
      <c r="CH254" s="128"/>
      <c r="CI254" s="128"/>
      <c r="CJ254" s="128"/>
      <c r="CK254" s="128"/>
      <c r="CL254" s="128"/>
      <c r="CM254" s="128"/>
    </row>
    <row r="255" spans="1:91" x14ac:dyDescent="0.2">
      <c r="A255" s="18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8"/>
      <c r="AZ255" s="128"/>
      <c r="BA255" s="128"/>
      <c r="BB255" s="128"/>
      <c r="BC255" s="128"/>
      <c r="BD255" s="128"/>
      <c r="BE255" s="128"/>
      <c r="BF255" s="128"/>
      <c r="BG255" s="128"/>
      <c r="BH255" s="128"/>
      <c r="BI255" s="128"/>
      <c r="BJ255" s="128"/>
      <c r="BK255" s="128"/>
      <c r="BL255" s="128"/>
      <c r="BM255" s="128"/>
      <c r="BN255" s="128"/>
      <c r="BO255" s="128"/>
      <c r="BP255" s="128"/>
      <c r="BQ255" s="128"/>
      <c r="BR255" s="128"/>
      <c r="BS255" s="128"/>
      <c r="BT255" s="128"/>
      <c r="BU255" s="128"/>
      <c r="BV255" s="128"/>
      <c r="BW255" s="128"/>
      <c r="BX255" s="128"/>
      <c r="BY255" s="128"/>
      <c r="BZ255" s="128"/>
      <c r="CA255" s="128"/>
      <c r="CB255" s="128"/>
      <c r="CC255" s="128"/>
      <c r="CD255" s="128"/>
      <c r="CE255" s="128"/>
      <c r="CF255" s="128"/>
      <c r="CG255" s="128"/>
      <c r="CH255" s="128"/>
      <c r="CI255" s="128"/>
      <c r="CJ255" s="128"/>
      <c r="CK255" s="128"/>
      <c r="CL255" s="128"/>
      <c r="CM255" s="128"/>
    </row>
    <row r="256" spans="1:91" x14ac:dyDescent="0.2">
      <c r="A256" s="18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128"/>
      <c r="BN256" s="128"/>
      <c r="BO256" s="128"/>
      <c r="BP256" s="128"/>
      <c r="BQ256" s="128"/>
      <c r="BR256" s="128"/>
      <c r="BS256" s="128"/>
      <c r="BT256" s="128"/>
      <c r="BU256" s="128"/>
      <c r="BV256" s="128"/>
      <c r="BW256" s="128"/>
      <c r="BX256" s="128"/>
      <c r="BY256" s="128"/>
      <c r="BZ256" s="128"/>
      <c r="CA256" s="128"/>
      <c r="CB256" s="128"/>
      <c r="CC256" s="128"/>
      <c r="CD256" s="128"/>
      <c r="CE256" s="128"/>
      <c r="CF256" s="128"/>
      <c r="CG256" s="128"/>
      <c r="CH256" s="128"/>
      <c r="CI256" s="128"/>
      <c r="CJ256" s="128"/>
      <c r="CK256" s="128"/>
      <c r="CL256" s="128"/>
      <c r="CM256" s="128"/>
    </row>
    <row r="257" spans="1:91" x14ac:dyDescent="0.2">
      <c r="A257" s="18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8"/>
      <c r="BR257" s="128"/>
      <c r="BS257" s="128"/>
      <c r="BT257" s="128"/>
      <c r="BU257" s="128"/>
      <c r="BV257" s="128"/>
      <c r="BW257" s="128"/>
      <c r="BX257" s="128"/>
      <c r="BY257" s="128"/>
      <c r="BZ257" s="128"/>
      <c r="CA257" s="128"/>
      <c r="CB257" s="128"/>
      <c r="CC257" s="128"/>
      <c r="CD257" s="128"/>
      <c r="CE257" s="128"/>
      <c r="CF257" s="128"/>
      <c r="CG257" s="128"/>
      <c r="CH257" s="128"/>
      <c r="CI257" s="128"/>
      <c r="CJ257" s="128"/>
      <c r="CK257" s="128"/>
      <c r="CL257" s="128"/>
      <c r="CM257" s="128"/>
    </row>
    <row r="258" spans="1:91" x14ac:dyDescent="0.2">
      <c r="A258" s="18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  <c r="BR258" s="128"/>
      <c r="BS258" s="128"/>
      <c r="BT258" s="128"/>
      <c r="BU258" s="128"/>
      <c r="BV258" s="128"/>
      <c r="BW258" s="128"/>
      <c r="BX258" s="128"/>
      <c r="BY258" s="128"/>
      <c r="BZ258" s="128"/>
      <c r="CA258" s="128"/>
      <c r="CB258" s="128"/>
      <c r="CC258" s="128"/>
      <c r="CD258" s="128"/>
      <c r="CE258" s="128"/>
      <c r="CF258" s="128"/>
      <c r="CG258" s="128"/>
      <c r="CH258" s="128"/>
      <c r="CI258" s="128"/>
      <c r="CJ258" s="128"/>
      <c r="CK258" s="128"/>
      <c r="CL258" s="128"/>
      <c r="CM258" s="128"/>
    </row>
    <row r="259" spans="1:91" x14ac:dyDescent="0.2">
      <c r="A259" s="18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/>
      <c r="BS259" s="128"/>
      <c r="BT259" s="128"/>
      <c r="BU259" s="128"/>
      <c r="BV259" s="128"/>
      <c r="BW259" s="128"/>
      <c r="BX259" s="128"/>
      <c r="BY259" s="128"/>
      <c r="BZ259" s="128"/>
      <c r="CA259" s="128"/>
      <c r="CB259" s="128"/>
      <c r="CC259" s="128"/>
      <c r="CD259" s="128"/>
      <c r="CE259" s="128"/>
      <c r="CF259" s="128"/>
      <c r="CG259" s="128"/>
      <c r="CH259" s="128"/>
      <c r="CI259" s="128"/>
      <c r="CJ259" s="128"/>
      <c r="CK259" s="128"/>
      <c r="CL259" s="128"/>
      <c r="CM259" s="128"/>
    </row>
    <row r="260" spans="1:91" x14ac:dyDescent="0.2">
      <c r="A260" s="18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  <c r="BR260" s="128"/>
      <c r="BS260" s="128"/>
      <c r="BT260" s="128"/>
      <c r="BU260" s="128"/>
      <c r="BV260" s="128"/>
      <c r="BW260" s="128"/>
      <c r="BX260" s="128"/>
      <c r="BY260" s="128"/>
      <c r="BZ260" s="128"/>
      <c r="CA260" s="128"/>
      <c r="CB260" s="128"/>
      <c r="CC260" s="128"/>
      <c r="CD260" s="128"/>
      <c r="CE260" s="128"/>
      <c r="CF260" s="128"/>
      <c r="CG260" s="128"/>
      <c r="CH260" s="128"/>
      <c r="CI260" s="128"/>
      <c r="CJ260" s="128"/>
      <c r="CK260" s="128"/>
      <c r="CL260" s="128"/>
      <c r="CM260" s="128"/>
    </row>
    <row r="261" spans="1:91" x14ac:dyDescent="0.2">
      <c r="A261" s="18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128"/>
      <c r="BN261" s="128"/>
      <c r="BO261" s="128"/>
      <c r="BP261" s="128"/>
      <c r="BQ261" s="128"/>
      <c r="BR261" s="128"/>
      <c r="BS261" s="128"/>
      <c r="BT261" s="128"/>
      <c r="BU261" s="128"/>
      <c r="BV261" s="128"/>
      <c r="BW261" s="128"/>
      <c r="BX261" s="128"/>
      <c r="BY261" s="128"/>
      <c r="BZ261" s="128"/>
      <c r="CA261" s="128"/>
      <c r="CB261" s="128"/>
      <c r="CC261" s="128"/>
      <c r="CD261" s="128"/>
      <c r="CE261" s="128"/>
      <c r="CF261" s="128"/>
      <c r="CG261" s="128"/>
      <c r="CH261" s="128"/>
      <c r="CI261" s="128"/>
      <c r="CJ261" s="128"/>
      <c r="CK261" s="128"/>
      <c r="CL261" s="128"/>
      <c r="CM261" s="128"/>
    </row>
    <row r="262" spans="1:91" x14ac:dyDescent="0.2">
      <c r="A262" s="18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128"/>
      <c r="BN262" s="128"/>
      <c r="BO262" s="128"/>
      <c r="BP262" s="128"/>
      <c r="BQ262" s="128"/>
      <c r="BR262" s="128"/>
      <c r="BS262" s="128"/>
      <c r="BT262" s="128"/>
      <c r="BU262" s="128"/>
      <c r="BV262" s="128"/>
      <c r="BW262" s="128"/>
      <c r="BX262" s="128"/>
      <c r="BY262" s="128"/>
      <c r="BZ262" s="128"/>
      <c r="CA262" s="128"/>
      <c r="CB262" s="128"/>
      <c r="CC262" s="128"/>
      <c r="CD262" s="128"/>
      <c r="CE262" s="128"/>
      <c r="CF262" s="128"/>
      <c r="CG262" s="128"/>
      <c r="CH262" s="128"/>
      <c r="CI262" s="128"/>
      <c r="CJ262" s="128"/>
      <c r="CK262" s="128"/>
      <c r="CL262" s="128"/>
      <c r="CM262" s="128"/>
    </row>
    <row r="263" spans="1:91" x14ac:dyDescent="0.2">
      <c r="A263" s="18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8"/>
      <c r="BR263" s="128"/>
      <c r="BS263" s="128"/>
      <c r="BT263" s="128"/>
      <c r="BU263" s="128"/>
      <c r="BV263" s="128"/>
      <c r="BW263" s="128"/>
      <c r="BX263" s="128"/>
      <c r="BY263" s="128"/>
      <c r="BZ263" s="128"/>
      <c r="CA263" s="128"/>
      <c r="CB263" s="128"/>
      <c r="CC263" s="128"/>
      <c r="CD263" s="128"/>
      <c r="CE263" s="128"/>
      <c r="CF263" s="128"/>
      <c r="CG263" s="128"/>
      <c r="CH263" s="128"/>
      <c r="CI263" s="128"/>
      <c r="CJ263" s="128"/>
      <c r="CK263" s="128"/>
      <c r="CL263" s="128"/>
      <c r="CM263" s="128"/>
    </row>
    <row r="264" spans="1:91" x14ac:dyDescent="0.2">
      <c r="A264" s="18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  <c r="BP264" s="128"/>
      <c r="BQ264" s="128"/>
      <c r="BR264" s="128"/>
      <c r="BS264" s="128"/>
      <c r="BT264" s="128"/>
      <c r="BU264" s="128"/>
      <c r="BV264" s="128"/>
      <c r="BW264" s="128"/>
      <c r="BX264" s="128"/>
      <c r="BY264" s="128"/>
      <c r="BZ264" s="128"/>
      <c r="CA264" s="128"/>
      <c r="CB264" s="128"/>
      <c r="CC264" s="128"/>
      <c r="CD264" s="128"/>
      <c r="CE264" s="128"/>
      <c r="CF264" s="128"/>
      <c r="CG264" s="128"/>
      <c r="CH264" s="128"/>
      <c r="CI264" s="128"/>
      <c r="CJ264" s="128"/>
      <c r="CK264" s="128"/>
      <c r="CL264" s="128"/>
      <c r="CM264" s="128"/>
    </row>
    <row r="265" spans="1:91" x14ac:dyDescent="0.2">
      <c r="A265" s="18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  <c r="BQ265" s="128"/>
      <c r="BR265" s="128"/>
      <c r="BS265" s="128"/>
      <c r="BT265" s="128"/>
      <c r="BU265" s="128"/>
      <c r="BV265" s="128"/>
      <c r="BW265" s="128"/>
      <c r="BX265" s="128"/>
      <c r="BY265" s="128"/>
      <c r="BZ265" s="128"/>
      <c r="CA265" s="128"/>
      <c r="CB265" s="128"/>
      <c r="CC265" s="128"/>
      <c r="CD265" s="128"/>
      <c r="CE265" s="128"/>
      <c r="CF265" s="128"/>
      <c r="CG265" s="128"/>
      <c r="CH265" s="128"/>
      <c r="CI265" s="128"/>
      <c r="CJ265" s="128"/>
      <c r="CK265" s="128"/>
      <c r="CL265" s="128"/>
      <c r="CM265" s="128"/>
    </row>
    <row r="266" spans="1:91" x14ac:dyDescent="0.2">
      <c r="A266" s="18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  <c r="BQ266" s="128"/>
      <c r="BR266" s="128"/>
      <c r="BS266" s="128"/>
      <c r="BT266" s="128"/>
      <c r="BU266" s="128"/>
      <c r="BV266" s="128"/>
      <c r="BW266" s="128"/>
      <c r="BX266" s="128"/>
      <c r="BY266" s="128"/>
      <c r="BZ266" s="128"/>
      <c r="CA266" s="128"/>
      <c r="CB266" s="128"/>
      <c r="CC266" s="128"/>
      <c r="CD266" s="128"/>
      <c r="CE266" s="128"/>
      <c r="CF266" s="128"/>
      <c r="CG266" s="128"/>
      <c r="CH266" s="128"/>
      <c r="CI266" s="128"/>
      <c r="CJ266" s="128"/>
      <c r="CK266" s="128"/>
      <c r="CL266" s="128"/>
      <c r="CM266" s="128"/>
    </row>
    <row r="267" spans="1:91" x14ac:dyDescent="0.2">
      <c r="A267" s="18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8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128"/>
      <c r="BN267" s="128"/>
      <c r="BO267" s="128"/>
      <c r="BP267" s="128"/>
      <c r="BQ267" s="128"/>
      <c r="BR267" s="128"/>
      <c r="BS267" s="128"/>
      <c r="BT267" s="128"/>
      <c r="BU267" s="128"/>
      <c r="BV267" s="128"/>
      <c r="BW267" s="128"/>
      <c r="BX267" s="128"/>
      <c r="BY267" s="128"/>
      <c r="BZ267" s="128"/>
      <c r="CA267" s="128"/>
      <c r="CB267" s="128"/>
      <c r="CC267" s="128"/>
      <c r="CD267" s="128"/>
      <c r="CE267" s="128"/>
      <c r="CF267" s="128"/>
      <c r="CG267" s="128"/>
      <c r="CH267" s="128"/>
      <c r="CI267" s="128"/>
      <c r="CJ267" s="128"/>
      <c r="CK267" s="128"/>
      <c r="CL267" s="128"/>
      <c r="CM267" s="128"/>
    </row>
    <row r="268" spans="1:91" x14ac:dyDescent="0.2">
      <c r="A268" s="18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128"/>
      <c r="BN268" s="128"/>
      <c r="BO268" s="128"/>
      <c r="BP268" s="128"/>
      <c r="BQ268" s="128"/>
      <c r="BR268" s="128"/>
      <c r="BS268" s="128"/>
      <c r="BT268" s="128"/>
      <c r="BU268" s="128"/>
      <c r="BV268" s="128"/>
      <c r="BW268" s="128"/>
      <c r="BX268" s="128"/>
      <c r="BY268" s="128"/>
      <c r="BZ268" s="128"/>
      <c r="CA268" s="128"/>
      <c r="CB268" s="128"/>
      <c r="CC268" s="128"/>
      <c r="CD268" s="128"/>
      <c r="CE268" s="128"/>
      <c r="CF268" s="128"/>
      <c r="CG268" s="128"/>
      <c r="CH268" s="128"/>
      <c r="CI268" s="128"/>
      <c r="CJ268" s="128"/>
      <c r="CK268" s="128"/>
      <c r="CL268" s="128"/>
      <c r="CM268" s="128"/>
    </row>
    <row r="269" spans="1:91" x14ac:dyDescent="0.2">
      <c r="A269" s="18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8"/>
      <c r="AZ269" s="128"/>
      <c r="BA269" s="128"/>
      <c r="BB269" s="128"/>
      <c r="BC269" s="128"/>
      <c r="BD269" s="128"/>
      <c r="BE269" s="128"/>
      <c r="BF269" s="128"/>
      <c r="BG269" s="128"/>
      <c r="BH269" s="128"/>
      <c r="BI269" s="128"/>
      <c r="BJ269" s="128"/>
      <c r="BK269" s="128"/>
      <c r="BL269" s="128"/>
      <c r="BM269" s="128"/>
      <c r="BN269" s="128"/>
      <c r="BO269" s="128"/>
      <c r="BP269" s="128"/>
      <c r="BQ269" s="128"/>
      <c r="BR269" s="128"/>
      <c r="BS269" s="128"/>
      <c r="BT269" s="128"/>
      <c r="BU269" s="128"/>
      <c r="BV269" s="128"/>
      <c r="BW269" s="128"/>
      <c r="BX269" s="128"/>
      <c r="BY269" s="128"/>
      <c r="BZ269" s="128"/>
      <c r="CA269" s="128"/>
      <c r="CB269" s="128"/>
      <c r="CC269" s="128"/>
      <c r="CD269" s="128"/>
      <c r="CE269" s="128"/>
      <c r="CF269" s="128"/>
      <c r="CG269" s="128"/>
      <c r="CH269" s="128"/>
      <c r="CI269" s="128"/>
      <c r="CJ269" s="128"/>
      <c r="CK269" s="128"/>
      <c r="CL269" s="128"/>
      <c r="CM269" s="128"/>
    </row>
    <row r="270" spans="1:91" x14ac:dyDescent="0.2">
      <c r="A270" s="18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8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128"/>
      <c r="BN270" s="128"/>
      <c r="BO270" s="128"/>
      <c r="BP270" s="128"/>
      <c r="BQ270" s="128"/>
      <c r="BR270" s="128"/>
      <c r="BS270" s="128"/>
      <c r="BT270" s="128"/>
      <c r="BU270" s="128"/>
      <c r="BV270" s="128"/>
      <c r="BW270" s="128"/>
      <c r="BX270" s="128"/>
      <c r="BY270" s="128"/>
      <c r="BZ270" s="128"/>
      <c r="CA270" s="128"/>
      <c r="CB270" s="128"/>
      <c r="CC270" s="128"/>
      <c r="CD270" s="128"/>
      <c r="CE270" s="128"/>
      <c r="CF270" s="128"/>
      <c r="CG270" s="128"/>
      <c r="CH270" s="128"/>
      <c r="CI270" s="128"/>
      <c r="CJ270" s="128"/>
      <c r="CK270" s="128"/>
      <c r="CL270" s="128"/>
      <c r="CM270" s="128"/>
    </row>
    <row r="271" spans="1:91" x14ac:dyDescent="0.2">
      <c r="A271" s="18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AD271" s="128"/>
      <c r="AE271" s="128"/>
      <c r="AF271" s="128"/>
      <c r="AG271" s="128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B271" s="128"/>
      <c r="BC271" s="128"/>
      <c r="BD271" s="128"/>
      <c r="BE271" s="128"/>
      <c r="BF271" s="128"/>
      <c r="BG271" s="128"/>
      <c r="BH271" s="128"/>
      <c r="BI271" s="128"/>
      <c r="BJ271" s="128"/>
      <c r="BK271" s="128"/>
      <c r="BL271" s="128"/>
      <c r="BM271" s="128"/>
      <c r="BN271" s="128"/>
      <c r="BO271" s="128"/>
      <c r="BP271" s="128"/>
      <c r="BQ271" s="128"/>
      <c r="BR271" s="128"/>
      <c r="BS271" s="128"/>
      <c r="BT271" s="128"/>
      <c r="BU271" s="128"/>
      <c r="BV271" s="128"/>
      <c r="BW271" s="128"/>
      <c r="BX271" s="128"/>
      <c r="BY271" s="128"/>
      <c r="BZ271" s="128"/>
      <c r="CA271" s="128"/>
      <c r="CB271" s="128"/>
      <c r="CC271" s="128"/>
      <c r="CD271" s="128"/>
      <c r="CE271" s="128"/>
      <c r="CF271" s="128"/>
      <c r="CG271" s="128"/>
      <c r="CH271" s="128"/>
      <c r="CI271" s="128"/>
      <c r="CJ271" s="128"/>
      <c r="CK271" s="128"/>
      <c r="CL271" s="128"/>
      <c r="CM271" s="128"/>
    </row>
    <row r="272" spans="1:91" x14ac:dyDescent="0.2">
      <c r="A272" s="18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AD272" s="128"/>
      <c r="AE272" s="128"/>
      <c r="AF272" s="128"/>
      <c r="AG272" s="12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8"/>
      <c r="AZ272" s="128"/>
      <c r="BA272" s="128"/>
      <c r="BB272" s="128"/>
      <c r="BC272" s="128"/>
      <c r="BD272" s="128"/>
      <c r="BE272" s="128"/>
      <c r="BF272" s="128"/>
      <c r="BG272" s="128"/>
      <c r="BH272" s="128"/>
      <c r="BI272" s="128"/>
      <c r="BJ272" s="128"/>
      <c r="BK272" s="128"/>
      <c r="BL272" s="128"/>
      <c r="BM272" s="128"/>
      <c r="BN272" s="128"/>
      <c r="BO272" s="128"/>
      <c r="BP272" s="128"/>
      <c r="BQ272" s="128"/>
      <c r="BR272" s="128"/>
      <c r="BS272" s="128"/>
      <c r="BT272" s="128"/>
      <c r="BU272" s="128"/>
      <c r="BV272" s="128"/>
      <c r="BW272" s="128"/>
      <c r="BX272" s="128"/>
      <c r="BY272" s="128"/>
      <c r="BZ272" s="128"/>
      <c r="CA272" s="128"/>
      <c r="CB272" s="128"/>
      <c r="CC272" s="128"/>
      <c r="CD272" s="128"/>
      <c r="CE272" s="128"/>
      <c r="CF272" s="128"/>
      <c r="CG272" s="128"/>
      <c r="CH272" s="128"/>
      <c r="CI272" s="128"/>
      <c r="CJ272" s="128"/>
      <c r="CK272" s="128"/>
      <c r="CL272" s="128"/>
      <c r="CM272" s="128"/>
    </row>
    <row r="273" spans="1:91" x14ac:dyDescent="0.2">
      <c r="A273" s="18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128"/>
      <c r="BN273" s="128"/>
      <c r="BO273" s="128"/>
      <c r="BP273" s="128"/>
      <c r="BQ273" s="128"/>
      <c r="BR273" s="128"/>
      <c r="BS273" s="128"/>
      <c r="BT273" s="128"/>
      <c r="BU273" s="128"/>
      <c r="BV273" s="128"/>
      <c r="BW273" s="128"/>
      <c r="BX273" s="128"/>
      <c r="BY273" s="128"/>
      <c r="BZ273" s="128"/>
      <c r="CA273" s="128"/>
      <c r="CB273" s="128"/>
      <c r="CC273" s="128"/>
      <c r="CD273" s="128"/>
      <c r="CE273" s="128"/>
      <c r="CF273" s="128"/>
      <c r="CG273" s="128"/>
      <c r="CH273" s="128"/>
      <c r="CI273" s="128"/>
      <c r="CJ273" s="128"/>
      <c r="CK273" s="128"/>
      <c r="CL273" s="128"/>
      <c r="CM273" s="128"/>
    </row>
    <row r="274" spans="1:91" x14ac:dyDescent="0.2">
      <c r="A274" s="18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128"/>
      <c r="BN274" s="128"/>
      <c r="BO274" s="128"/>
      <c r="BP274" s="128"/>
      <c r="BQ274" s="128"/>
      <c r="BR274" s="128"/>
      <c r="BS274" s="128"/>
      <c r="BT274" s="128"/>
      <c r="BU274" s="128"/>
      <c r="BV274" s="128"/>
      <c r="BW274" s="128"/>
      <c r="BX274" s="128"/>
      <c r="BY274" s="128"/>
      <c r="BZ274" s="128"/>
      <c r="CA274" s="128"/>
      <c r="CB274" s="128"/>
      <c r="CC274" s="128"/>
      <c r="CD274" s="128"/>
      <c r="CE274" s="128"/>
      <c r="CF274" s="128"/>
      <c r="CG274" s="128"/>
      <c r="CH274" s="128"/>
      <c r="CI274" s="128"/>
      <c r="CJ274" s="128"/>
      <c r="CK274" s="128"/>
      <c r="CL274" s="128"/>
      <c r="CM274" s="128"/>
    </row>
    <row r="275" spans="1:91" x14ac:dyDescent="0.2">
      <c r="A275" s="18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AD275" s="128"/>
      <c r="AE275" s="128"/>
      <c r="AF275" s="128"/>
      <c r="AG275" s="12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8"/>
      <c r="AZ275" s="128"/>
      <c r="BA275" s="128"/>
      <c r="BB275" s="128"/>
      <c r="BC275" s="128"/>
      <c r="BD275" s="128"/>
      <c r="BE275" s="128"/>
      <c r="BF275" s="128"/>
      <c r="BG275" s="128"/>
      <c r="BH275" s="128"/>
      <c r="BI275" s="128"/>
      <c r="BJ275" s="128"/>
      <c r="BK275" s="128"/>
      <c r="BL275" s="128"/>
      <c r="BM275" s="128"/>
      <c r="BN275" s="128"/>
      <c r="BO275" s="128"/>
      <c r="BP275" s="128"/>
      <c r="BQ275" s="128"/>
      <c r="BR275" s="128"/>
      <c r="BS275" s="128"/>
      <c r="BT275" s="128"/>
      <c r="BU275" s="128"/>
      <c r="BV275" s="128"/>
      <c r="BW275" s="128"/>
      <c r="BX275" s="128"/>
      <c r="BY275" s="128"/>
      <c r="BZ275" s="128"/>
      <c r="CA275" s="128"/>
      <c r="CB275" s="128"/>
      <c r="CC275" s="128"/>
      <c r="CD275" s="128"/>
      <c r="CE275" s="128"/>
      <c r="CF275" s="128"/>
      <c r="CG275" s="128"/>
      <c r="CH275" s="128"/>
      <c r="CI275" s="128"/>
      <c r="CJ275" s="128"/>
      <c r="CK275" s="128"/>
      <c r="CL275" s="128"/>
      <c r="CM275" s="128"/>
    </row>
    <row r="276" spans="1:91" x14ac:dyDescent="0.2">
      <c r="A276" s="18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/>
      <c r="BC276" s="128"/>
      <c r="BD276" s="128"/>
      <c r="BE276" s="128"/>
      <c r="BF276" s="128"/>
      <c r="BG276" s="128"/>
      <c r="BH276" s="128"/>
      <c r="BI276" s="128"/>
      <c r="BJ276" s="128"/>
      <c r="BK276" s="128"/>
      <c r="BL276" s="128"/>
      <c r="BM276" s="128"/>
      <c r="BN276" s="128"/>
      <c r="BO276" s="128"/>
      <c r="BP276" s="128"/>
      <c r="BQ276" s="128"/>
      <c r="BR276" s="128"/>
      <c r="BS276" s="128"/>
      <c r="BT276" s="128"/>
      <c r="BU276" s="128"/>
      <c r="BV276" s="128"/>
      <c r="BW276" s="128"/>
      <c r="BX276" s="128"/>
      <c r="BY276" s="128"/>
      <c r="BZ276" s="128"/>
      <c r="CA276" s="128"/>
      <c r="CB276" s="128"/>
      <c r="CC276" s="128"/>
      <c r="CD276" s="128"/>
      <c r="CE276" s="128"/>
      <c r="CF276" s="128"/>
      <c r="CG276" s="128"/>
      <c r="CH276" s="128"/>
      <c r="CI276" s="128"/>
      <c r="CJ276" s="128"/>
      <c r="CK276" s="128"/>
      <c r="CL276" s="128"/>
      <c r="CM276" s="128"/>
    </row>
    <row r="277" spans="1:91" x14ac:dyDescent="0.2">
      <c r="A277" s="18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B277" s="128"/>
      <c r="BC277" s="128"/>
      <c r="BD277" s="128"/>
      <c r="BE277" s="128"/>
      <c r="BF277" s="128"/>
      <c r="BG277" s="128"/>
      <c r="BH277" s="128"/>
      <c r="BI277" s="128"/>
      <c r="BJ277" s="128"/>
      <c r="BK277" s="128"/>
      <c r="BL277" s="128"/>
      <c r="BM277" s="128"/>
      <c r="BN277" s="128"/>
      <c r="BO277" s="128"/>
      <c r="BP277" s="128"/>
      <c r="BQ277" s="128"/>
      <c r="BR277" s="128"/>
      <c r="BS277" s="128"/>
      <c r="BT277" s="128"/>
      <c r="BU277" s="128"/>
      <c r="BV277" s="128"/>
      <c r="BW277" s="128"/>
      <c r="BX277" s="128"/>
      <c r="BY277" s="128"/>
      <c r="BZ277" s="128"/>
      <c r="CA277" s="128"/>
      <c r="CB277" s="128"/>
      <c r="CC277" s="128"/>
      <c r="CD277" s="128"/>
      <c r="CE277" s="128"/>
      <c r="CF277" s="128"/>
      <c r="CG277" s="128"/>
      <c r="CH277" s="128"/>
      <c r="CI277" s="128"/>
      <c r="CJ277" s="128"/>
      <c r="CK277" s="128"/>
      <c r="CL277" s="128"/>
      <c r="CM277" s="128"/>
    </row>
    <row r="278" spans="1:91" x14ac:dyDescent="0.2">
      <c r="A278" s="18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AD278" s="128"/>
      <c r="AE278" s="128"/>
      <c r="AF278" s="128"/>
      <c r="AG278" s="12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8"/>
      <c r="AW278" s="128"/>
      <c r="AX278" s="128"/>
      <c r="AY278" s="128"/>
      <c r="AZ278" s="128"/>
      <c r="BA278" s="128"/>
      <c r="BB278" s="128"/>
      <c r="BC278" s="128"/>
      <c r="BD278" s="128"/>
      <c r="BE278" s="128"/>
      <c r="BF278" s="128"/>
      <c r="BG278" s="128"/>
      <c r="BH278" s="128"/>
      <c r="BI278" s="128"/>
      <c r="BJ278" s="128"/>
      <c r="BK278" s="128"/>
      <c r="BL278" s="128"/>
      <c r="BM278" s="128"/>
      <c r="BN278" s="128"/>
      <c r="BO278" s="128"/>
      <c r="BP278" s="128"/>
      <c r="BQ278" s="128"/>
      <c r="BR278" s="128"/>
      <c r="BS278" s="128"/>
      <c r="BT278" s="128"/>
      <c r="BU278" s="128"/>
      <c r="BV278" s="128"/>
      <c r="BW278" s="128"/>
      <c r="BX278" s="128"/>
      <c r="BY278" s="128"/>
      <c r="BZ278" s="128"/>
      <c r="CA278" s="128"/>
      <c r="CB278" s="128"/>
      <c r="CC278" s="128"/>
      <c r="CD278" s="128"/>
      <c r="CE278" s="128"/>
      <c r="CF278" s="128"/>
      <c r="CG278" s="128"/>
      <c r="CH278" s="128"/>
      <c r="CI278" s="128"/>
      <c r="CJ278" s="128"/>
      <c r="CK278" s="128"/>
      <c r="CL278" s="128"/>
      <c r="CM278" s="128"/>
    </row>
    <row r="279" spans="1:91" x14ac:dyDescent="0.2">
      <c r="A279" s="18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AD279" s="128"/>
      <c r="AE279" s="128"/>
      <c r="AF279" s="128"/>
      <c r="AG279" s="12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8"/>
      <c r="AW279" s="128"/>
      <c r="AX279" s="128"/>
      <c r="AY279" s="128"/>
      <c r="AZ279" s="128"/>
      <c r="BA279" s="128"/>
      <c r="BB279" s="128"/>
      <c r="BC279" s="128"/>
      <c r="BD279" s="128"/>
      <c r="BE279" s="128"/>
      <c r="BF279" s="128"/>
      <c r="BG279" s="128"/>
      <c r="BH279" s="128"/>
      <c r="BI279" s="128"/>
      <c r="BJ279" s="128"/>
      <c r="BK279" s="128"/>
      <c r="BL279" s="128"/>
      <c r="BM279" s="128"/>
      <c r="BN279" s="128"/>
      <c r="BO279" s="128"/>
      <c r="BP279" s="128"/>
      <c r="BQ279" s="128"/>
      <c r="BR279" s="128"/>
      <c r="BS279" s="128"/>
      <c r="BT279" s="128"/>
      <c r="BU279" s="128"/>
      <c r="BV279" s="128"/>
      <c r="BW279" s="128"/>
      <c r="BX279" s="128"/>
      <c r="BY279" s="128"/>
      <c r="BZ279" s="128"/>
      <c r="CA279" s="128"/>
      <c r="CB279" s="128"/>
      <c r="CC279" s="128"/>
      <c r="CD279" s="128"/>
      <c r="CE279" s="128"/>
      <c r="CF279" s="128"/>
      <c r="CG279" s="128"/>
      <c r="CH279" s="128"/>
      <c r="CI279" s="128"/>
      <c r="CJ279" s="128"/>
      <c r="CK279" s="128"/>
      <c r="CL279" s="128"/>
      <c r="CM279" s="128"/>
    </row>
    <row r="280" spans="1:91" x14ac:dyDescent="0.2">
      <c r="A280" s="18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AD280" s="128"/>
      <c r="AE280" s="128"/>
      <c r="AF280" s="128"/>
      <c r="AG280" s="12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8"/>
      <c r="AS280" s="128"/>
      <c r="AT280" s="128"/>
      <c r="AU280" s="128"/>
      <c r="AV280" s="128"/>
      <c r="AW280" s="128"/>
      <c r="AX280" s="128"/>
      <c r="AY280" s="128"/>
      <c r="AZ280" s="128"/>
      <c r="BA280" s="128"/>
      <c r="BB280" s="128"/>
      <c r="BC280" s="128"/>
      <c r="BD280" s="128"/>
      <c r="BE280" s="128"/>
      <c r="BF280" s="128"/>
      <c r="BG280" s="128"/>
      <c r="BH280" s="128"/>
      <c r="BI280" s="128"/>
      <c r="BJ280" s="128"/>
      <c r="BK280" s="128"/>
      <c r="BL280" s="128"/>
      <c r="BM280" s="128"/>
      <c r="BN280" s="128"/>
      <c r="BO280" s="128"/>
      <c r="BP280" s="128"/>
      <c r="BQ280" s="128"/>
      <c r="BR280" s="128"/>
      <c r="BS280" s="128"/>
      <c r="BT280" s="128"/>
      <c r="BU280" s="128"/>
      <c r="BV280" s="128"/>
      <c r="BW280" s="128"/>
      <c r="BX280" s="128"/>
      <c r="BY280" s="128"/>
      <c r="BZ280" s="128"/>
      <c r="CA280" s="128"/>
      <c r="CB280" s="128"/>
      <c r="CC280" s="128"/>
      <c r="CD280" s="128"/>
      <c r="CE280" s="128"/>
      <c r="CF280" s="128"/>
      <c r="CG280" s="128"/>
      <c r="CH280" s="128"/>
      <c r="CI280" s="128"/>
      <c r="CJ280" s="128"/>
      <c r="CK280" s="128"/>
      <c r="CL280" s="128"/>
      <c r="CM280" s="128"/>
    </row>
    <row r="281" spans="1:91" x14ac:dyDescent="0.2">
      <c r="A281" s="18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  <c r="BD281" s="128"/>
      <c r="BE281" s="128"/>
      <c r="BF281" s="128"/>
      <c r="BG281" s="128"/>
      <c r="BH281" s="128"/>
      <c r="BI281" s="128"/>
      <c r="BJ281" s="128"/>
      <c r="BK281" s="128"/>
      <c r="BL281" s="128"/>
      <c r="BM281" s="128"/>
      <c r="BN281" s="128"/>
      <c r="BO281" s="128"/>
      <c r="BP281" s="128"/>
      <c r="BQ281" s="128"/>
      <c r="BR281" s="128"/>
      <c r="BS281" s="128"/>
      <c r="BT281" s="128"/>
      <c r="BU281" s="128"/>
      <c r="BV281" s="128"/>
      <c r="BW281" s="128"/>
      <c r="BX281" s="128"/>
      <c r="BY281" s="128"/>
      <c r="BZ281" s="128"/>
      <c r="CA281" s="128"/>
      <c r="CB281" s="128"/>
      <c r="CC281" s="128"/>
      <c r="CD281" s="128"/>
      <c r="CE281" s="128"/>
      <c r="CF281" s="128"/>
      <c r="CG281" s="128"/>
      <c r="CH281" s="128"/>
      <c r="CI281" s="128"/>
      <c r="CJ281" s="128"/>
      <c r="CK281" s="128"/>
      <c r="CL281" s="128"/>
      <c r="CM281" s="128"/>
    </row>
    <row r="282" spans="1:91" x14ac:dyDescent="0.2">
      <c r="A282" s="18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  <c r="BE282" s="128"/>
      <c r="BF282" s="128"/>
      <c r="BG282" s="128"/>
      <c r="BH282" s="128"/>
      <c r="BI282" s="128"/>
      <c r="BJ282" s="128"/>
      <c r="BK282" s="128"/>
      <c r="BL282" s="128"/>
      <c r="BM282" s="128"/>
      <c r="BN282" s="128"/>
      <c r="BO282" s="128"/>
      <c r="BP282" s="128"/>
      <c r="BQ282" s="128"/>
      <c r="BR282" s="128"/>
      <c r="BS282" s="128"/>
      <c r="BT282" s="128"/>
      <c r="BU282" s="128"/>
      <c r="BV282" s="128"/>
      <c r="BW282" s="128"/>
      <c r="BX282" s="128"/>
      <c r="BY282" s="128"/>
      <c r="BZ282" s="128"/>
      <c r="CA282" s="128"/>
      <c r="CB282" s="128"/>
      <c r="CC282" s="128"/>
      <c r="CD282" s="128"/>
      <c r="CE282" s="128"/>
      <c r="CF282" s="128"/>
      <c r="CG282" s="128"/>
      <c r="CH282" s="128"/>
      <c r="CI282" s="128"/>
      <c r="CJ282" s="128"/>
      <c r="CK282" s="128"/>
      <c r="CL282" s="128"/>
      <c r="CM282" s="128"/>
    </row>
    <row r="283" spans="1:91" x14ac:dyDescent="0.2">
      <c r="A283" s="18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  <c r="BD283" s="128"/>
      <c r="BE283" s="128"/>
      <c r="BF283" s="128"/>
      <c r="BG283" s="128"/>
      <c r="BH283" s="128"/>
      <c r="BI283" s="128"/>
      <c r="BJ283" s="128"/>
      <c r="BK283" s="128"/>
      <c r="BL283" s="128"/>
      <c r="BM283" s="128"/>
      <c r="BN283" s="128"/>
      <c r="BO283" s="128"/>
      <c r="BP283" s="128"/>
      <c r="BQ283" s="128"/>
      <c r="BR283" s="128"/>
      <c r="BS283" s="128"/>
      <c r="BT283" s="128"/>
      <c r="BU283" s="128"/>
      <c r="BV283" s="128"/>
      <c r="BW283" s="128"/>
      <c r="BX283" s="128"/>
      <c r="BY283" s="128"/>
      <c r="BZ283" s="128"/>
      <c r="CA283" s="128"/>
      <c r="CB283" s="128"/>
      <c r="CC283" s="128"/>
      <c r="CD283" s="128"/>
      <c r="CE283" s="128"/>
      <c r="CF283" s="128"/>
      <c r="CG283" s="128"/>
      <c r="CH283" s="128"/>
      <c r="CI283" s="128"/>
      <c r="CJ283" s="128"/>
      <c r="CK283" s="128"/>
      <c r="CL283" s="128"/>
      <c r="CM283" s="128"/>
    </row>
    <row r="284" spans="1:91" x14ac:dyDescent="0.2">
      <c r="A284" s="18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128"/>
      <c r="BN284" s="128"/>
      <c r="BO284" s="128"/>
      <c r="BP284" s="128"/>
      <c r="BQ284" s="128"/>
      <c r="BR284" s="128"/>
      <c r="BS284" s="128"/>
      <c r="BT284" s="128"/>
      <c r="BU284" s="128"/>
      <c r="BV284" s="128"/>
      <c r="BW284" s="128"/>
      <c r="BX284" s="128"/>
      <c r="BY284" s="128"/>
      <c r="BZ284" s="128"/>
      <c r="CA284" s="128"/>
      <c r="CB284" s="128"/>
      <c r="CC284" s="128"/>
      <c r="CD284" s="128"/>
      <c r="CE284" s="128"/>
      <c r="CF284" s="128"/>
      <c r="CG284" s="128"/>
      <c r="CH284" s="128"/>
      <c r="CI284" s="128"/>
      <c r="CJ284" s="128"/>
      <c r="CK284" s="128"/>
      <c r="CL284" s="128"/>
      <c r="CM284" s="128"/>
    </row>
    <row r="285" spans="1:91" x14ac:dyDescent="0.2">
      <c r="A285" s="18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128"/>
      <c r="BN285" s="128"/>
      <c r="BO285" s="128"/>
      <c r="BP285" s="128"/>
      <c r="BQ285" s="128"/>
      <c r="BR285" s="128"/>
      <c r="BS285" s="128"/>
      <c r="BT285" s="128"/>
      <c r="BU285" s="128"/>
      <c r="BV285" s="128"/>
      <c r="BW285" s="128"/>
      <c r="BX285" s="128"/>
      <c r="BY285" s="128"/>
      <c r="BZ285" s="128"/>
      <c r="CA285" s="128"/>
      <c r="CB285" s="128"/>
      <c r="CC285" s="128"/>
      <c r="CD285" s="128"/>
      <c r="CE285" s="128"/>
      <c r="CF285" s="128"/>
      <c r="CG285" s="128"/>
      <c r="CH285" s="128"/>
      <c r="CI285" s="128"/>
      <c r="CJ285" s="128"/>
      <c r="CK285" s="128"/>
      <c r="CL285" s="128"/>
      <c r="CM285" s="128"/>
    </row>
    <row r="286" spans="1:91" x14ac:dyDescent="0.2">
      <c r="A286" s="18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  <c r="BD286" s="128"/>
      <c r="BE286" s="128"/>
      <c r="BF286" s="128"/>
      <c r="BG286" s="128"/>
      <c r="BH286" s="128"/>
      <c r="BI286" s="128"/>
      <c r="BJ286" s="128"/>
      <c r="BK286" s="128"/>
      <c r="BL286" s="128"/>
      <c r="BM286" s="128"/>
      <c r="BN286" s="128"/>
      <c r="BO286" s="128"/>
      <c r="BP286" s="128"/>
      <c r="BQ286" s="128"/>
      <c r="BR286" s="128"/>
      <c r="BS286" s="128"/>
      <c r="BT286" s="128"/>
      <c r="BU286" s="128"/>
      <c r="BV286" s="128"/>
      <c r="BW286" s="128"/>
      <c r="BX286" s="128"/>
      <c r="BY286" s="128"/>
      <c r="BZ286" s="128"/>
      <c r="CA286" s="128"/>
      <c r="CB286" s="128"/>
      <c r="CC286" s="128"/>
      <c r="CD286" s="128"/>
      <c r="CE286" s="128"/>
      <c r="CF286" s="128"/>
      <c r="CG286" s="128"/>
      <c r="CH286" s="128"/>
      <c r="CI286" s="128"/>
      <c r="CJ286" s="128"/>
      <c r="CK286" s="128"/>
      <c r="CL286" s="128"/>
      <c r="CM286" s="128"/>
    </row>
    <row r="287" spans="1:91" x14ac:dyDescent="0.2">
      <c r="A287" s="18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AD287" s="128"/>
      <c r="AE287" s="128"/>
      <c r="AF287" s="128"/>
      <c r="AG287" s="128"/>
      <c r="AH287" s="128"/>
      <c r="AI287" s="128"/>
      <c r="AJ287" s="128"/>
      <c r="AK287" s="128"/>
      <c r="AL287" s="128"/>
      <c r="AM287" s="128"/>
      <c r="AN287" s="128"/>
      <c r="AO287" s="128"/>
      <c r="AP287" s="128"/>
      <c r="AQ287" s="128"/>
      <c r="AR287" s="128"/>
      <c r="AS287" s="128"/>
      <c r="AT287" s="128"/>
      <c r="AU287" s="128"/>
      <c r="AV287" s="128"/>
      <c r="AW287" s="128"/>
      <c r="AX287" s="128"/>
      <c r="AY287" s="128"/>
      <c r="AZ287" s="128"/>
      <c r="BA287" s="128"/>
      <c r="BB287" s="128"/>
      <c r="BC287" s="128"/>
      <c r="BD287" s="128"/>
      <c r="BE287" s="128"/>
      <c r="BF287" s="128"/>
      <c r="BG287" s="128"/>
      <c r="BH287" s="128"/>
      <c r="BI287" s="128"/>
      <c r="BJ287" s="128"/>
      <c r="BK287" s="128"/>
      <c r="BL287" s="128"/>
      <c r="BM287" s="128"/>
      <c r="BN287" s="128"/>
      <c r="BO287" s="128"/>
      <c r="BP287" s="128"/>
      <c r="BQ287" s="128"/>
      <c r="BR287" s="128"/>
      <c r="BS287" s="128"/>
      <c r="BT287" s="128"/>
      <c r="BU287" s="128"/>
      <c r="BV287" s="128"/>
      <c r="BW287" s="128"/>
      <c r="BX287" s="128"/>
      <c r="BY287" s="128"/>
      <c r="BZ287" s="128"/>
      <c r="CA287" s="128"/>
      <c r="CB287" s="128"/>
      <c r="CC287" s="128"/>
      <c r="CD287" s="128"/>
      <c r="CE287" s="128"/>
      <c r="CF287" s="128"/>
      <c r="CG287" s="128"/>
      <c r="CH287" s="128"/>
      <c r="CI287" s="128"/>
      <c r="CJ287" s="128"/>
      <c r="CK287" s="128"/>
      <c r="CL287" s="128"/>
      <c r="CM287" s="128"/>
    </row>
    <row r="288" spans="1:91" x14ac:dyDescent="0.2">
      <c r="A288" s="18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AD288" s="128"/>
      <c r="AE288" s="128"/>
      <c r="AF288" s="128"/>
      <c r="AG288" s="12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8"/>
      <c r="BR288" s="128"/>
      <c r="BS288" s="128"/>
      <c r="BT288" s="128"/>
      <c r="BU288" s="128"/>
      <c r="BV288" s="128"/>
      <c r="BW288" s="128"/>
      <c r="BX288" s="128"/>
      <c r="BY288" s="128"/>
      <c r="BZ288" s="128"/>
      <c r="CA288" s="128"/>
      <c r="CB288" s="128"/>
      <c r="CC288" s="128"/>
      <c r="CD288" s="128"/>
      <c r="CE288" s="128"/>
      <c r="CF288" s="128"/>
      <c r="CG288" s="128"/>
      <c r="CH288" s="128"/>
      <c r="CI288" s="128"/>
      <c r="CJ288" s="128"/>
      <c r="CK288" s="128"/>
      <c r="CL288" s="128"/>
      <c r="CM288" s="128"/>
    </row>
    <row r="289" spans="1:91" x14ac:dyDescent="0.2">
      <c r="A289" s="18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AD289" s="128"/>
      <c r="AE289" s="128"/>
      <c r="AF289" s="128"/>
      <c r="AG289" s="12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8"/>
      <c r="AW289" s="128"/>
      <c r="AX289" s="128"/>
      <c r="AY289" s="128"/>
      <c r="AZ289" s="128"/>
      <c r="BA289" s="128"/>
      <c r="BB289" s="128"/>
      <c r="BC289" s="128"/>
      <c r="BD289" s="128"/>
      <c r="BE289" s="128"/>
      <c r="BF289" s="128"/>
      <c r="BG289" s="128"/>
      <c r="BH289" s="128"/>
      <c r="BI289" s="128"/>
      <c r="BJ289" s="128"/>
      <c r="BK289" s="128"/>
      <c r="BL289" s="128"/>
      <c r="BM289" s="128"/>
      <c r="BN289" s="128"/>
      <c r="BO289" s="128"/>
      <c r="BP289" s="128"/>
      <c r="BQ289" s="128"/>
      <c r="BR289" s="128"/>
      <c r="BS289" s="128"/>
      <c r="BT289" s="128"/>
      <c r="BU289" s="128"/>
      <c r="BV289" s="128"/>
      <c r="BW289" s="128"/>
      <c r="BX289" s="128"/>
      <c r="BY289" s="128"/>
      <c r="BZ289" s="128"/>
      <c r="CA289" s="128"/>
      <c r="CB289" s="128"/>
      <c r="CC289" s="128"/>
      <c r="CD289" s="128"/>
      <c r="CE289" s="128"/>
      <c r="CF289" s="128"/>
      <c r="CG289" s="128"/>
      <c r="CH289" s="128"/>
      <c r="CI289" s="128"/>
      <c r="CJ289" s="128"/>
      <c r="CK289" s="128"/>
      <c r="CL289" s="128"/>
      <c r="CM289" s="128"/>
    </row>
    <row r="290" spans="1:91" x14ac:dyDescent="0.2">
      <c r="A290" s="18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AD290" s="128"/>
      <c r="AE290" s="128"/>
      <c r="AF290" s="128"/>
      <c r="AG290" s="128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/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128"/>
      <c r="BN290" s="128"/>
      <c r="BO290" s="128"/>
      <c r="BP290" s="128"/>
      <c r="BQ290" s="128"/>
      <c r="BR290" s="128"/>
      <c r="BS290" s="128"/>
      <c r="BT290" s="128"/>
      <c r="BU290" s="128"/>
      <c r="BV290" s="128"/>
      <c r="BW290" s="128"/>
      <c r="BX290" s="128"/>
      <c r="BY290" s="128"/>
      <c r="BZ290" s="128"/>
      <c r="CA290" s="128"/>
      <c r="CB290" s="128"/>
      <c r="CC290" s="128"/>
      <c r="CD290" s="128"/>
      <c r="CE290" s="128"/>
      <c r="CF290" s="128"/>
      <c r="CG290" s="128"/>
      <c r="CH290" s="128"/>
      <c r="CI290" s="128"/>
      <c r="CJ290" s="128"/>
      <c r="CK290" s="128"/>
      <c r="CL290" s="128"/>
      <c r="CM290" s="128"/>
    </row>
    <row r="291" spans="1:91" x14ac:dyDescent="0.2">
      <c r="A291" s="18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AD291" s="128"/>
      <c r="AE291" s="128"/>
      <c r="AF291" s="128"/>
      <c r="AG291" s="12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28"/>
      <c r="AW291" s="128"/>
      <c r="AX291" s="128"/>
      <c r="AY291" s="128"/>
      <c r="AZ291" s="128"/>
      <c r="BA291" s="128"/>
      <c r="BB291" s="128"/>
      <c r="BC291" s="128"/>
      <c r="BD291" s="128"/>
      <c r="BE291" s="128"/>
      <c r="BF291" s="128"/>
      <c r="BG291" s="128"/>
      <c r="BH291" s="128"/>
      <c r="BI291" s="128"/>
      <c r="BJ291" s="128"/>
      <c r="BK291" s="128"/>
      <c r="BL291" s="128"/>
      <c r="BM291" s="128"/>
      <c r="BN291" s="128"/>
      <c r="BO291" s="128"/>
      <c r="BP291" s="128"/>
      <c r="BQ291" s="128"/>
      <c r="BR291" s="128"/>
      <c r="BS291" s="128"/>
      <c r="BT291" s="128"/>
      <c r="BU291" s="128"/>
      <c r="BV291" s="128"/>
      <c r="BW291" s="128"/>
      <c r="BX291" s="128"/>
      <c r="BY291" s="128"/>
      <c r="BZ291" s="128"/>
      <c r="CA291" s="128"/>
      <c r="CB291" s="128"/>
      <c r="CC291" s="128"/>
      <c r="CD291" s="128"/>
      <c r="CE291" s="128"/>
      <c r="CF291" s="128"/>
      <c r="CG291" s="128"/>
      <c r="CH291" s="128"/>
      <c r="CI291" s="128"/>
      <c r="CJ291" s="128"/>
      <c r="CK291" s="128"/>
      <c r="CL291" s="128"/>
      <c r="CM291" s="128"/>
    </row>
    <row r="292" spans="1:91" x14ac:dyDescent="0.2">
      <c r="A292" s="18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AD292" s="128"/>
      <c r="AE292" s="128"/>
      <c r="AF292" s="128"/>
      <c r="AG292" s="12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128"/>
      <c r="BN292" s="128"/>
      <c r="BO292" s="128"/>
      <c r="BP292" s="128"/>
      <c r="BQ292" s="128"/>
      <c r="BR292" s="128"/>
      <c r="BS292" s="128"/>
      <c r="BT292" s="128"/>
      <c r="BU292" s="128"/>
      <c r="BV292" s="128"/>
      <c r="BW292" s="128"/>
      <c r="BX292" s="128"/>
      <c r="BY292" s="128"/>
      <c r="BZ292" s="128"/>
      <c r="CA292" s="128"/>
      <c r="CB292" s="128"/>
      <c r="CC292" s="128"/>
      <c r="CD292" s="128"/>
      <c r="CE292" s="128"/>
      <c r="CF292" s="128"/>
      <c r="CG292" s="128"/>
      <c r="CH292" s="128"/>
      <c r="CI292" s="128"/>
      <c r="CJ292" s="128"/>
      <c r="CK292" s="128"/>
      <c r="CL292" s="128"/>
      <c r="CM292" s="128"/>
    </row>
    <row r="293" spans="1:91" x14ac:dyDescent="0.2">
      <c r="A293" s="18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AD293" s="128"/>
      <c r="AE293" s="128"/>
      <c r="AF293" s="128"/>
      <c r="AG293" s="128"/>
      <c r="AH293" s="128"/>
      <c r="AI293" s="128"/>
      <c r="AJ293" s="128"/>
      <c r="AK293" s="128"/>
      <c r="AL293" s="128"/>
      <c r="AM293" s="128"/>
      <c r="AN293" s="128"/>
      <c r="AO293" s="128"/>
      <c r="AP293" s="128"/>
      <c r="AQ293" s="128"/>
      <c r="AR293" s="128"/>
      <c r="AS293" s="128"/>
      <c r="AT293" s="128"/>
      <c r="AU293" s="128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/>
      <c r="BH293" s="128"/>
      <c r="BI293" s="128"/>
      <c r="BJ293" s="128"/>
      <c r="BK293" s="128"/>
      <c r="BL293" s="128"/>
      <c r="BM293" s="128"/>
      <c r="BN293" s="128"/>
      <c r="BO293" s="128"/>
      <c r="BP293" s="128"/>
      <c r="BQ293" s="128"/>
      <c r="BR293" s="128"/>
      <c r="BS293" s="128"/>
      <c r="BT293" s="128"/>
      <c r="BU293" s="128"/>
      <c r="BV293" s="128"/>
      <c r="BW293" s="128"/>
      <c r="BX293" s="128"/>
      <c r="BY293" s="128"/>
      <c r="BZ293" s="128"/>
      <c r="CA293" s="128"/>
      <c r="CB293" s="128"/>
      <c r="CC293" s="128"/>
      <c r="CD293" s="128"/>
      <c r="CE293" s="128"/>
      <c r="CF293" s="128"/>
      <c r="CG293" s="128"/>
      <c r="CH293" s="128"/>
      <c r="CI293" s="128"/>
      <c r="CJ293" s="128"/>
      <c r="CK293" s="128"/>
      <c r="CL293" s="128"/>
      <c r="CM293" s="128"/>
    </row>
    <row r="294" spans="1:91" x14ac:dyDescent="0.2">
      <c r="A294" s="18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AD294" s="128"/>
      <c r="AE294" s="128"/>
      <c r="AF294" s="128"/>
      <c r="AG294" s="128"/>
      <c r="AH294" s="128"/>
      <c r="AI294" s="128"/>
      <c r="AJ294" s="128"/>
      <c r="AK294" s="128"/>
      <c r="AL294" s="128"/>
      <c r="AM294" s="128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8"/>
      <c r="BR294" s="128"/>
      <c r="BS294" s="128"/>
      <c r="BT294" s="128"/>
      <c r="BU294" s="128"/>
      <c r="BV294" s="128"/>
      <c r="BW294" s="128"/>
      <c r="BX294" s="128"/>
      <c r="BY294" s="128"/>
      <c r="BZ294" s="128"/>
      <c r="CA294" s="128"/>
      <c r="CB294" s="128"/>
      <c r="CC294" s="128"/>
      <c r="CD294" s="128"/>
      <c r="CE294" s="128"/>
      <c r="CF294" s="128"/>
      <c r="CG294" s="128"/>
      <c r="CH294" s="128"/>
      <c r="CI294" s="128"/>
      <c r="CJ294" s="128"/>
      <c r="CK294" s="128"/>
      <c r="CL294" s="128"/>
      <c r="CM294" s="128"/>
    </row>
    <row r="295" spans="1:91" x14ac:dyDescent="0.2">
      <c r="A295" s="18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AD295" s="128"/>
      <c r="AE295" s="128"/>
      <c r="AF295" s="128"/>
      <c r="AG295" s="128"/>
      <c r="AH295" s="128"/>
      <c r="AI295" s="128"/>
      <c r="AJ295" s="128"/>
      <c r="AK295" s="128"/>
      <c r="AL295" s="128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28"/>
      <c r="AW295" s="128"/>
      <c r="AX295" s="128"/>
      <c r="AY295" s="128"/>
      <c r="AZ295" s="128"/>
      <c r="BA295" s="128"/>
      <c r="BB295" s="128"/>
      <c r="BC295" s="128"/>
      <c r="BD295" s="128"/>
      <c r="BE295" s="128"/>
      <c r="BF295" s="128"/>
      <c r="BG295" s="128"/>
      <c r="BH295" s="128"/>
      <c r="BI295" s="128"/>
      <c r="BJ295" s="128"/>
      <c r="BK295" s="128"/>
      <c r="BL295" s="128"/>
      <c r="BM295" s="128"/>
      <c r="BN295" s="128"/>
      <c r="BO295" s="128"/>
      <c r="BP295" s="128"/>
      <c r="BQ295" s="128"/>
      <c r="BR295" s="128"/>
      <c r="BS295" s="128"/>
      <c r="BT295" s="128"/>
      <c r="BU295" s="128"/>
      <c r="BV295" s="128"/>
      <c r="BW295" s="128"/>
      <c r="BX295" s="128"/>
      <c r="BY295" s="128"/>
      <c r="BZ295" s="128"/>
      <c r="CA295" s="128"/>
      <c r="CB295" s="128"/>
      <c r="CC295" s="128"/>
      <c r="CD295" s="128"/>
      <c r="CE295" s="128"/>
      <c r="CF295" s="128"/>
      <c r="CG295" s="128"/>
      <c r="CH295" s="128"/>
      <c r="CI295" s="128"/>
      <c r="CJ295" s="128"/>
      <c r="CK295" s="128"/>
      <c r="CL295" s="128"/>
      <c r="CM295" s="128"/>
    </row>
    <row r="296" spans="1:91" x14ac:dyDescent="0.2">
      <c r="A296" s="18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AD296" s="128"/>
      <c r="AE296" s="128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8"/>
      <c r="AS296" s="128"/>
      <c r="AT296" s="128"/>
      <c r="AU296" s="128"/>
      <c r="AV296" s="128"/>
      <c r="AW296" s="128"/>
      <c r="AX296" s="128"/>
      <c r="AY296" s="128"/>
      <c r="AZ296" s="128"/>
      <c r="BA296" s="128"/>
      <c r="BB296" s="128"/>
      <c r="BC296" s="128"/>
      <c r="BD296" s="128"/>
      <c r="BE296" s="128"/>
      <c r="BF296" s="128"/>
      <c r="BG296" s="128"/>
      <c r="BH296" s="128"/>
      <c r="BI296" s="128"/>
      <c r="BJ296" s="128"/>
      <c r="BK296" s="128"/>
      <c r="BL296" s="128"/>
      <c r="BM296" s="128"/>
      <c r="BN296" s="128"/>
      <c r="BO296" s="128"/>
      <c r="BP296" s="128"/>
      <c r="BQ296" s="128"/>
      <c r="BR296" s="128"/>
      <c r="BS296" s="128"/>
      <c r="BT296" s="128"/>
      <c r="BU296" s="128"/>
      <c r="BV296" s="128"/>
      <c r="BW296" s="128"/>
      <c r="BX296" s="128"/>
      <c r="BY296" s="128"/>
      <c r="BZ296" s="128"/>
      <c r="CA296" s="128"/>
      <c r="CB296" s="128"/>
      <c r="CC296" s="128"/>
      <c r="CD296" s="128"/>
      <c r="CE296" s="128"/>
      <c r="CF296" s="128"/>
      <c r="CG296" s="128"/>
      <c r="CH296" s="128"/>
      <c r="CI296" s="128"/>
      <c r="CJ296" s="128"/>
      <c r="CK296" s="128"/>
      <c r="CL296" s="128"/>
      <c r="CM296" s="128"/>
    </row>
    <row r="297" spans="1:91" x14ac:dyDescent="0.2">
      <c r="A297" s="18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8"/>
      <c r="AW297" s="128"/>
      <c r="AX297" s="128"/>
      <c r="AY297" s="128"/>
      <c r="AZ297" s="128"/>
      <c r="BA297" s="128"/>
      <c r="BB297" s="128"/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128"/>
      <c r="BN297" s="128"/>
      <c r="BO297" s="128"/>
      <c r="BP297" s="128"/>
      <c r="BQ297" s="128"/>
      <c r="BR297" s="128"/>
      <c r="BS297" s="128"/>
      <c r="BT297" s="128"/>
      <c r="BU297" s="128"/>
      <c r="BV297" s="128"/>
      <c r="BW297" s="128"/>
      <c r="BX297" s="128"/>
      <c r="BY297" s="128"/>
      <c r="BZ297" s="128"/>
      <c r="CA297" s="128"/>
      <c r="CB297" s="128"/>
      <c r="CC297" s="128"/>
      <c r="CD297" s="128"/>
      <c r="CE297" s="128"/>
      <c r="CF297" s="128"/>
      <c r="CG297" s="128"/>
      <c r="CH297" s="128"/>
      <c r="CI297" s="128"/>
      <c r="CJ297" s="128"/>
      <c r="CK297" s="128"/>
      <c r="CL297" s="128"/>
      <c r="CM297" s="128"/>
    </row>
    <row r="298" spans="1:91" x14ac:dyDescent="0.2">
      <c r="A298" s="18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AD298" s="128"/>
      <c r="AE298" s="128"/>
      <c r="AF298" s="128"/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28"/>
      <c r="AR298" s="128"/>
      <c r="AS298" s="128"/>
      <c r="AT298" s="128"/>
      <c r="AU298" s="128"/>
      <c r="AV298" s="128"/>
      <c r="AW298" s="128"/>
      <c r="AX298" s="128"/>
      <c r="AY298" s="128"/>
      <c r="AZ298" s="128"/>
      <c r="BA298" s="128"/>
      <c r="BB298" s="128"/>
      <c r="BC298" s="128"/>
      <c r="BD298" s="128"/>
      <c r="BE298" s="128"/>
      <c r="BF298" s="128"/>
      <c r="BG298" s="128"/>
      <c r="BH298" s="128"/>
      <c r="BI298" s="128"/>
      <c r="BJ298" s="128"/>
      <c r="BK298" s="128"/>
      <c r="BL298" s="128"/>
      <c r="BM298" s="128"/>
      <c r="BN298" s="128"/>
      <c r="BO298" s="128"/>
      <c r="BP298" s="128"/>
      <c r="BQ298" s="128"/>
      <c r="BR298" s="128"/>
      <c r="BS298" s="128"/>
      <c r="BT298" s="128"/>
      <c r="BU298" s="128"/>
      <c r="BV298" s="128"/>
      <c r="BW298" s="128"/>
      <c r="BX298" s="128"/>
      <c r="BY298" s="128"/>
      <c r="BZ298" s="128"/>
      <c r="CA298" s="128"/>
      <c r="CB298" s="128"/>
      <c r="CC298" s="128"/>
      <c r="CD298" s="128"/>
      <c r="CE298" s="128"/>
      <c r="CF298" s="128"/>
      <c r="CG298" s="128"/>
      <c r="CH298" s="128"/>
      <c r="CI298" s="128"/>
      <c r="CJ298" s="128"/>
      <c r="CK298" s="128"/>
      <c r="CL298" s="128"/>
      <c r="CM298" s="128"/>
    </row>
    <row r="299" spans="1:91" x14ac:dyDescent="0.2">
      <c r="A299" s="18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AD299" s="128"/>
      <c r="AE299" s="128"/>
      <c r="AF299" s="128"/>
      <c r="AG299" s="128"/>
      <c r="AH299" s="128"/>
      <c r="AI299" s="128"/>
      <c r="AJ299" s="128"/>
      <c r="AK299" s="128"/>
      <c r="AL299" s="128"/>
      <c r="AM299" s="128"/>
      <c r="AN299" s="128"/>
      <c r="AO299" s="128"/>
      <c r="AP299" s="128"/>
      <c r="AQ299" s="128"/>
      <c r="AR299" s="128"/>
      <c r="AS299" s="128"/>
      <c r="AT299" s="128"/>
      <c r="AU299" s="128"/>
      <c r="AV299" s="128"/>
      <c r="AW299" s="128"/>
      <c r="AX299" s="128"/>
      <c r="AY299" s="128"/>
      <c r="AZ299" s="128"/>
      <c r="BA299" s="128"/>
      <c r="BB299" s="128"/>
      <c r="BC299" s="128"/>
      <c r="BD299" s="128"/>
      <c r="BE299" s="128"/>
      <c r="BF299" s="128"/>
      <c r="BG299" s="128"/>
      <c r="BH299" s="128"/>
      <c r="BI299" s="128"/>
      <c r="BJ299" s="128"/>
      <c r="BK299" s="128"/>
      <c r="BL299" s="128"/>
      <c r="BM299" s="128"/>
      <c r="BN299" s="128"/>
      <c r="BO299" s="128"/>
      <c r="BP299" s="128"/>
      <c r="BQ299" s="128"/>
      <c r="BR299" s="128"/>
      <c r="BS299" s="128"/>
      <c r="BT299" s="128"/>
      <c r="BU299" s="128"/>
      <c r="BV299" s="128"/>
      <c r="BW299" s="128"/>
      <c r="BX299" s="128"/>
      <c r="BY299" s="128"/>
      <c r="BZ299" s="128"/>
      <c r="CA299" s="128"/>
      <c r="CB299" s="128"/>
      <c r="CC299" s="128"/>
      <c r="CD299" s="128"/>
      <c r="CE299" s="128"/>
      <c r="CF299" s="128"/>
      <c r="CG299" s="128"/>
      <c r="CH299" s="128"/>
      <c r="CI299" s="128"/>
      <c r="CJ299" s="128"/>
      <c r="CK299" s="128"/>
      <c r="CL299" s="128"/>
      <c r="CM299" s="128"/>
    </row>
    <row r="300" spans="1:91" x14ac:dyDescent="0.2">
      <c r="A300" s="18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AD300" s="128"/>
      <c r="AE300" s="128"/>
      <c r="AF300" s="128"/>
      <c r="AG300" s="12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28"/>
      <c r="AR300" s="128"/>
      <c r="AS300" s="128"/>
      <c r="AT300" s="128"/>
      <c r="AU300" s="128"/>
      <c r="AV300" s="128"/>
      <c r="AW300" s="128"/>
      <c r="AX300" s="128"/>
      <c r="AY300" s="128"/>
      <c r="AZ300" s="128"/>
      <c r="BA300" s="128"/>
      <c r="BB300" s="128"/>
      <c r="BC300" s="128"/>
      <c r="BD300" s="128"/>
      <c r="BE300" s="128"/>
      <c r="BF300" s="128"/>
      <c r="BG300" s="128"/>
      <c r="BH300" s="128"/>
      <c r="BI300" s="128"/>
      <c r="BJ300" s="128"/>
      <c r="BK300" s="128"/>
      <c r="BL300" s="128"/>
      <c r="BM300" s="128"/>
      <c r="BN300" s="128"/>
      <c r="BO300" s="128"/>
      <c r="BP300" s="128"/>
      <c r="BQ300" s="128"/>
      <c r="BR300" s="128"/>
      <c r="BS300" s="128"/>
      <c r="BT300" s="128"/>
      <c r="BU300" s="128"/>
      <c r="BV300" s="128"/>
      <c r="BW300" s="128"/>
      <c r="BX300" s="128"/>
      <c r="BY300" s="128"/>
      <c r="BZ300" s="128"/>
      <c r="CA300" s="128"/>
      <c r="CB300" s="128"/>
      <c r="CC300" s="128"/>
      <c r="CD300" s="128"/>
      <c r="CE300" s="128"/>
      <c r="CF300" s="128"/>
      <c r="CG300" s="128"/>
      <c r="CH300" s="128"/>
      <c r="CI300" s="128"/>
      <c r="CJ300" s="128"/>
      <c r="CK300" s="128"/>
      <c r="CL300" s="128"/>
      <c r="CM300" s="128"/>
    </row>
    <row r="301" spans="1:91" x14ac:dyDescent="0.2">
      <c r="A301" s="18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AD301" s="128"/>
      <c r="AE301" s="128"/>
      <c r="AF301" s="128"/>
      <c r="AG301" s="12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8"/>
      <c r="AS301" s="128"/>
      <c r="AT301" s="128"/>
      <c r="AU301" s="128"/>
      <c r="AV301" s="128"/>
      <c r="AW301" s="128"/>
      <c r="AX301" s="128"/>
      <c r="AY301" s="128"/>
      <c r="AZ301" s="128"/>
      <c r="BA301" s="128"/>
      <c r="BB301" s="128"/>
      <c r="BC301" s="128"/>
      <c r="BD301" s="128"/>
      <c r="BE301" s="128"/>
      <c r="BF301" s="128"/>
      <c r="BG301" s="128"/>
      <c r="BH301" s="128"/>
      <c r="BI301" s="128"/>
      <c r="BJ301" s="128"/>
      <c r="BK301" s="128"/>
      <c r="BL301" s="128"/>
      <c r="BM301" s="128"/>
      <c r="BN301" s="128"/>
      <c r="BO301" s="128"/>
      <c r="BP301" s="128"/>
      <c r="BQ301" s="128"/>
      <c r="BR301" s="128"/>
      <c r="BS301" s="128"/>
      <c r="BT301" s="128"/>
      <c r="BU301" s="128"/>
      <c r="BV301" s="128"/>
      <c r="BW301" s="128"/>
      <c r="BX301" s="128"/>
      <c r="BY301" s="128"/>
      <c r="BZ301" s="128"/>
      <c r="CA301" s="128"/>
      <c r="CB301" s="128"/>
      <c r="CC301" s="128"/>
      <c r="CD301" s="128"/>
      <c r="CE301" s="128"/>
      <c r="CF301" s="128"/>
      <c r="CG301" s="128"/>
      <c r="CH301" s="128"/>
      <c r="CI301" s="128"/>
      <c r="CJ301" s="128"/>
      <c r="CK301" s="128"/>
      <c r="CL301" s="128"/>
      <c r="CM301" s="128"/>
    </row>
    <row r="302" spans="1:91" x14ac:dyDescent="0.2">
      <c r="A302" s="18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AD302" s="128"/>
      <c r="AE302" s="128"/>
      <c r="AF302" s="128"/>
      <c r="AG302" s="128"/>
      <c r="AH302" s="128"/>
      <c r="AI302" s="128"/>
      <c r="AJ302" s="128"/>
      <c r="AK302" s="128"/>
      <c r="AL302" s="128"/>
      <c r="AM302" s="128"/>
      <c r="AN302" s="128"/>
      <c r="AO302" s="128"/>
      <c r="AP302" s="128"/>
      <c r="AQ302" s="128"/>
      <c r="AR302" s="128"/>
      <c r="AS302" s="128"/>
      <c r="AT302" s="128"/>
      <c r="AU302" s="128"/>
      <c r="AV302" s="128"/>
      <c r="AW302" s="128"/>
      <c r="AX302" s="128"/>
      <c r="AY302" s="128"/>
      <c r="AZ302" s="128"/>
      <c r="BA302" s="128"/>
      <c r="BB302" s="128"/>
      <c r="BC302" s="128"/>
      <c r="BD302" s="128"/>
      <c r="BE302" s="128"/>
      <c r="BF302" s="128"/>
      <c r="BG302" s="128"/>
      <c r="BH302" s="128"/>
      <c r="BI302" s="128"/>
      <c r="BJ302" s="128"/>
      <c r="BK302" s="128"/>
      <c r="BL302" s="128"/>
      <c r="BM302" s="128"/>
      <c r="BN302" s="128"/>
      <c r="BO302" s="128"/>
      <c r="BP302" s="128"/>
      <c r="BQ302" s="128"/>
      <c r="BR302" s="128"/>
      <c r="BS302" s="128"/>
      <c r="BT302" s="128"/>
      <c r="BU302" s="128"/>
      <c r="BV302" s="128"/>
      <c r="BW302" s="128"/>
      <c r="BX302" s="128"/>
      <c r="BY302" s="128"/>
      <c r="BZ302" s="128"/>
      <c r="CA302" s="128"/>
      <c r="CB302" s="128"/>
      <c r="CC302" s="128"/>
      <c r="CD302" s="128"/>
      <c r="CE302" s="128"/>
      <c r="CF302" s="128"/>
      <c r="CG302" s="128"/>
      <c r="CH302" s="128"/>
      <c r="CI302" s="128"/>
      <c r="CJ302" s="128"/>
      <c r="CK302" s="128"/>
      <c r="CL302" s="128"/>
      <c r="CM302" s="128"/>
    </row>
    <row r="303" spans="1:91" x14ac:dyDescent="0.2">
      <c r="A303" s="18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AD303" s="128"/>
      <c r="AE303" s="128"/>
      <c r="AF303" s="128"/>
      <c r="AG303" s="128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28"/>
      <c r="AR303" s="128"/>
      <c r="AS303" s="128"/>
      <c r="AT303" s="128"/>
      <c r="AU303" s="128"/>
      <c r="AV303" s="128"/>
      <c r="AW303" s="128"/>
      <c r="AX303" s="128"/>
      <c r="AY303" s="128"/>
      <c r="AZ303" s="128"/>
      <c r="BA303" s="128"/>
      <c r="BB303" s="128"/>
      <c r="BC303" s="128"/>
      <c r="BD303" s="128"/>
      <c r="BE303" s="128"/>
      <c r="BF303" s="128"/>
      <c r="BG303" s="128"/>
      <c r="BH303" s="128"/>
      <c r="BI303" s="128"/>
      <c r="BJ303" s="128"/>
      <c r="BK303" s="128"/>
      <c r="BL303" s="128"/>
      <c r="BM303" s="128"/>
      <c r="BN303" s="128"/>
      <c r="BO303" s="128"/>
      <c r="BP303" s="128"/>
      <c r="BQ303" s="128"/>
      <c r="BR303" s="128"/>
      <c r="BS303" s="128"/>
      <c r="BT303" s="128"/>
      <c r="BU303" s="128"/>
      <c r="BV303" s="128"/>
      <c r="BW303" s="128"/>
      <c r="BX303" s="128"/>
      <c r="BY303" s="128"/>
      <c r="BZ303" s="128"/>
      <c r="CA303" s="128"/>
      <c r="CB303" s="128"/>
      <c r="CC303" s="128"/>
      <c r="CD303" s="128"/>
      <c r="CE303" s="128"/>
      <c r="CF303" s="128"/>
      <c r="CG303" s="128"/>
      <c r="CH303" s="128"/>
      <c r="CI303" s="128"/>
      <c r="CJ303" s="128"/>
      <c r="CK303" s="128"/>
      <c r="CL303" s="128"/>
      <c r="CM303" s="128"/>
    </row>
    <row r="304" spans="1:91" x14ac:dyDescent="0.2">
      <c r="A304" s="18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28"/>
      <c r="AW304" s="128"/>
      <c r="AX304" s="128"/>
      <c r="AY304" s="128"/>
      <c r="AZ304" s="128"/>
      <c r="BA304" s="128"/>
      <c r="BB304" s="128"/>
      <c r="BC304" s="128"/>
      <c r="BD304" s="128"/>
      <c r="BE304" s="128"/>
      <c r="BF304" s="128"/>
      <c r="BG304" s="128"/>
      <c r="BH304" s="128"/>
      <c r="BI304" s="128"/>
      <c r="BJ304" s="128"/>
      <c r="BK304" s="128"/>
      <c r="BL304" s="128"/>
      <c r="BM304" s="128"/>
      <c r="BN304" s="128"/>
      <c r="BO304" s="128"/>
      <c r="BP304" s="128"/>
      <c r="BQ304" s="128"/>
      <c r="BR304" s="128"/>
      <c r="BS304" s="128"/>
      <c r="BT304" s="128"/>
      <c r="BU304" s="128"/>
      <c r="BV304" s="128"/>
      <c r="BW304" s="128"/>
      <c r="BX304" s="128"/>
      <c r="BY304" s="128"/>
      <c r="BZ304" s="128"/>
      <c r="CA304" s="128"/>
      <c r="CB304" s="128"/>
      <c r="CC304" s="128"/>
      <c r="CD304" s="128"/>
      <c r="CE304" s="128"/>
      <c r="CF304" s="128"/>
      <c r="CG304" s="128"/>
      <c r="CH304" s="128"/>
      <c r="CI304" s="128"/>
      <c r="CJ304" s="128"/>
      <c r="CK304" s="128"/>
      <c r="CL304" s="128"/>
      <c r="CM304" s="128"/>
    </row>
    <row r="305" spans="1:91" x14ac:dyDescent="0.2">
      <c r="A305" s="18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AD305" s="128"/>
      <c r="AE305" s="128"/>
      <c r="AF305" s="128"/>
      <c r="AG305" s="128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28"/>
      <c r="AW305" s="128"/>
      <c r="AX305" s="128"/>
      <c r="AY305" s="128"/>
      <c r="AZ305" s="128"/>
      <c r="BA305" s="128"/>
      <c r="BB305" s="128"/>
      <c r="BC305" s="128"/>
      <c r="BD305" s="128"/>
      <c r="BE305" s="128"/>
      <c r="BF305" s="128"/>
      <c r="BG305" s="128"/>
      <c r="BH305" s="128"/>
      <c r="BI305" s="128"/>
      <c r="BJ305" s="128"/>
      <c r="BK305" s="128"/>
      <c r="BL305" s="128"/>
      <c r="BM305" s="128"/>
      <c r="BN305" s="128"/>
      <c r="BO305" s="128"/>
      <c r="BP305" s="128"/>
      <c r="BQ305" s="128"/>
      <c r="BR305" s="128"/>
      <c r="BS305" s="128"/>
      <c r="BT305" s="128"/>
      <c r="BU305" s="128"/>
      <c r="BV305" s="128"/>
      <c r="BW305" s="128"/>
      <c r="BX305" s="128"/>
      <c r="BY305" s="128"/>
      <c r="BZ305" s="128"/>
      <c r="CA305" s="128"/>
      <c r="CB305" s="128"/>
      <c r="CC305" s="128"/>
      <c r="CD305" s="128"/>
      <c r="CE305" s="128"/>
      <c r="CF305" s="128"/>
      <c r="CG305" s="128"/>
      <c r="CH305" s="128"/>
      <c r="CI305" s="128"/>
      <c r="CJ305" s="128"/>
      <c r="CK305" s="128"/>
      <c r="CL305" s="128"/>
      <c r="CM305" s="128"/>
    </row>
    <row r="306" spans="1:91" x14ac:dyDescent="0.2">
      <c r="A306" s="18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AD306" s="128"/>
      <c r="AE306" s="128"/>
      <c r="AF306" s="128"/>
      <c r="AG306" s="12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28"/>
      <c r="AW306" s="128"/>
      <c r="AX306" s="128"/>
      <c r="AY306" s="128"/>
      <c r="AZ306" s="128"/>
      <c r="BA306" s="128"/>
      <c r="BB306" s="128"/>
      <c r="BC306" s="128"/>
      <c r="BD306" s="128"/>
      <c r="BE306" s="128"/>
      <c r="BF306" s="128"/>
      <c r="BG306" s="128"/>
      <c r="BH306" s="128"/>
      <c r="BI306" s="128"/>
      <c r="BJ306" s="128"/>
      <c r="BK306" s="128"/>
      <c r="BL306" s="128"/>
      <c r="BM306" s="128"/>
      <c r="BN306" s="128"/>
      <c r="BO306" s="128"/>
      <c r="BP306" s="128"/>
      <c r="BQ306" s="128"/>
      <c r="BR306" s="128"/>
      <c r="BS306" s="128"/>
      <c r="BT306" s="128"/>
      <c r="BU306" s="128"/>
      <c r="BV306" s="128"/>
      <c r="BW306" s="128"/>
      <c r="BX306" s="128"/>
      <c r="BY306" s="128"/>
      <c r="BZ306" s="128"/>
      <c r="CA306" s="128"/>
      <c r="CB306" s="128"/>
      <c r="CC306" s="128"/>
      <c r="CD306" s="128"/>
      <c r="CE306" s="128"/>
      <c r="CF306" s="128"/>
      <c r="CG306" s="128"/>
      <c r="CH306" s="128"/>
      <c r="CI306" s="128"/>
      <c r="CJ306" s="128"/>
      <c r="CK306" s="128"/>
      <c r="CL306" s="128"/>
      <c r="CM306" s="128"/>
    </row>
    <row r="307" spans="1:91" x14ac:dyDescent="0.2">
      <c r="A307" s="18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AD307" s="128"/>
      <c r="AE307" s="128"/>
      <c r="AF307" s="128"/>
      <c r="AG307" s="12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8"/>
      <c r="AW307" s="128"/>
      <c r="AX307" s="128"/>
      <c r="AY307" s="128"/>
      <c r="AZ307" s="128"/>
      <c r="BA307" s="128"/>
      <c r="BB307" s="128"/>
      <c r="BC307" s="128"/>
      <c r="BD307" s="128"/>
      <c r="BE307" s="128"/>
      <c r="BF307" s="128"/>
      <c r="BG307" s="128"/>
      <c r="BH307" s="128"/>
      <c r="BI307" s="128"/>
      <c r="BJ307" s="128"/>
      <c r="BK307" s="128"/>
      <c r="BL307" s="128"/>
      <c r="BM307" s="128"/>
      <c r="BN307" s="128"/>
      <c r="BO307" s="128"/>
      <c r="BP307" s="128"/>
      <c r="BQ307" s="128"/>
      <c r="BR307" s="128"/>
      <c r="BS307" s="128"/>
      <c r="BT307" s="128"/>
      <c r="BU307" s="128"/>
      <c r="BV307" s="128"/>
      <c r="BW307" s="128"/>
      <c r="BX307" s="128"/>
      <c r="BY307" s="128"/>
      <c r="BZ307" s="128"/>
      <c r="CA307" s="128"/>
      <c r="CB307" s="128"/>
      <c r="CC307" s="128"/>
      <c r="CD307" s="128"/>
      <c r="CE307" s="128"/>
      <c r="CF307" s="128"/>
      <c r="CG307" s="128"/>
      <c r="CH307" s="128"/>
      <c r="CI307" s="128"/>
      <c r="CJ307" s="128"/>
      <c r="CK307" s="128"/>
      <c r="CL307" s="128"/>
      <c r="CM307" s="128"/>
    </row>
    <row r="308" spans="1:91" x14ac:dyDescent="0.2">
      <c r="A308" s="18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AD308" s="128"/>
      <c r="AE308" s="128"/>
      <c r="AF308" s="128"/>
      <c r="AG308" s="12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8"/>
      <c r="AV308" s="128"/>
      <c r="AW308" s="128"/>
      <c r="AX308" s="128"/>
      <c r="AY308" s="128"/>
      <c r="AZ308" s="128"/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8"/>
      <c r="BL308" s="128"/>
      <c r="BM308" s="128"/>
      <c r="BN308" s="128"/>
      <c r="BO308" s="128"/>
      <c r="BP308" s="128"/>
      <c r="BQ308" s="128"/>
      <c r="BR308" s="128"/>
      <c r="BS308" s="128"/>
      <c r="BT308" s="128"/>
      <c r="BU308" s="128"/>
      <c r="BV308" s="128"/>
      <c r="BW308" s="128"/>
      <c r="BX308" s="128"/>
      <c r="BY308" s="128"/>
      <c r="BZ308" s="128"/>
      <c r="CA308" s="128"/>
      <c r="CB308" s="128"/>
      <c r="CC308" s="128"/>
      <c r="CD308" s="128"/>
      <c r="CE308" s="128"/>
      <c r="CF308" s="128"/>
      <c r="CG308" s="128"/>
      <c r="CH308" s="128"/>
      <c r="CI308" s="128"/>
      <c r="CJ308" s="128"/>
      <c r="CK308" s="128"/>
      <c r="CL308" s="128"/>
      <c r="CM308" s="128"/>
    </row>
    <row r="309" spans="1:91" x14ac:dyDescent="0.2">
      <c r="A309" s="18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AD309" s="128"/>
      <c r="AE309" s="128"/>
      <c r="AF309" s="128"/>
      <c r="AG309" s="128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28"/>
      <c r="AW309" s="128"/>
      <c r="AX309" s="128"/>
      <c r="AY309" s="128"/>
      <c r="AZ309" s="128"/>
      <c r="BA309" s="128"/>
      <c r="BB309" s="128"/>
      <c r="BC309" s="128"/>
      <c r="BD309" s="128"/>
      <c r="BE309" s="128"/>
      <c r="BF309" s="128"/>
      <c r="BG309" s="128"/>
      <c r="BH309" s="128"/>
      <c r="BI309" s="128"/>
      <c r="BJ309" s="128"/>
      <c r="BK309" s="128"/>
      <c r="BL309" s="128"/>
      <c r="BM309" s="128"/>
      <c r="BN309" s="128"/>
      <c r="BO309" s="128"/>
      <c r="BP309" s="128"/>
      <c r="BQ309" s="128"/>
      <c r="BR309" s="128"/>
      <c r="BS309" s="128"/>
      <c r="BT309" s="128"/>
      <c r="BU309" s="128"/>
      <c r="BV309" s="128"/>
      <c r="BW309" s="128"/>
      <c r="BX309" s="128"/>
      <c r="BY309" s="128"/>
      <c r="BZ309" s="128"/>
      <c r="CA309" s="128"/>
      <c r="CB309" s="128"/>
      <c r="CC309" s="128"/>
      <c r="CD309" s="128"/>
      <c r="CE309" s="128"/>
      <c r="CF309" s="128"/>
      <c r="CG309" s="128"/>
      <c r="CH309" s="128"/>
      <c r="CI309" s="128"/>
      <c r="CJ309" s="128"/>
      <c r="CK309" s="128"/>
      <c r="CL309" s="128"/>
      <c r="CM309" s="128"/>
    </row>
    <row r="310" spans="1:91" x14ac:dyDescent="0.2">
      <c r="A310" s="18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AD310" s="128"/>
      <c r="AE310" s="128"/>
      <c r="AF310" s="128"/>
      <c r="AG310" s="128"/>
      <c r="AH310" s="128"/>
      <c r="AI310" s="128"/>
      <c r="AJ310" s="128"/>
      <c r="AK310" s="128"/>
      <c r="AL310" s="128"/>
      <c r="AM310" s="128"/>
      <c r="AN310" s="128"/>
      <c r="AO310" s="128"/>
      <c r="AP310" s="128"/>
      <c r="AQ310" s="128"/>
      <c r="AR310" s="128"/>
      <c r="AS310" s="128"/>
      <c r="AT310" s="128"/>
      <c r="AU310" s="128"/>
      <c r="AV310" s="128"/>
      <c r="AW310" s="128"/>
      <c r="AX310" s="128"/>
      <c r="AY310" s="128"/>
      <c r="AZ310" s="128"/>
      <c r="BA310" s="128"/>
      <c r="BB310" s="128"/>
      <c r="BC310" s="128"/>
      <c r="BD310" s="128"/>
      <c r="BE310" s="128"/>
      <c r="BF310" s="128"/>
      <c r="BG310" s="128"/>
      <c r="BH310" s="128"/>
      <c r="BI310" s="128"/>
      <c r="BJ310" s="128"/>
      <c r="BK310" s="128"/>
      <c r="BL310" s="128"/>
      <c r="BM310" s="128"/>
      <c r="BN310" s="128"/>
      <c r="BO310" s="128"/>
      <c r="BP310" s="128"/>
      <c r="BQ310" s="128"/>
      <c r="BR310" s="128"/>
      <c r="BS310" s="128"/>
      <c r="BT310" s="128"/>
      <c r="BU310" s="128"/>
      <c r="BV310" s="128"/>
      <c r="BW310" s="128"/>
      <c r="BX310" s="128"/>
      <c r="BY310" s="128"/>
      <c r="BZ310" s="128"/>
      <c r="CA310" s="128"/>
      <c r="CB310" s="128"/>
      <c r="CC310" s="128"/>
      <c r="CD310" s="128"/>
      <c r="CE310" s="128"/>
      <c r="CF310" s="128"/>
      <c r="CG310" s="128"/>
      <c r="CH310" s="128"/>
      <c r="CI310" s="128"/>
      <c r="CJ310" s="128"/>
      <c r="CK310" s="128"/>
      <c r="CL310" s="128"/>
      <c r="CM310" s="128"/>
    </row>
    <row r="311" spans="1:91" x14ac:dyDescent="0.2">
      <c r="A311" s="18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AD311" s="128"/>
      <c r="AE311" s="128"/>
      <c r="AF311" s="128"/>
      <c r="AG311" s="12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28"/>
      <c r="AR311" s="128"/>
      <c r="AS311" s="128"/>
      <c r="AT311" s="128"/>
      <c r="AU311" s="128"/>
      <c r="AV311" s="128"/>
      <c r="AW311" s="128"/>
      <c r="AX311" s="128"/>
      <c r="AY311" s="128"/>
      <c r="AZ311" s="128"/>
      <c r="BA311" s="128"/>
      <c r="BB311" s="128"/>
      <c r="BC311" s="128"/>
      <c r="BD311" s="128"/>
      <c r="BE311" s="128"/>
      <c r="BF311" s="128"/>
      <c r="BG311" s="128"/>
      <c r="BH311" s="128"/>
      <c r="BI311" s="128"/>
      <c r="BJ311" s="128"/>
      <c r="BK311" s="128"/>
      <c r="BL311" s="128"/>
      <c r="BM311" s="128"/>
      <c r="BN311" s="128"/>
      <c r="BO311" s="128"/>
      <c r="BP311" s="128"/>
      <c r="BQ311" s="128"/>
      <c r="BR311" s="128"/>
      <c r="BS311" s="128"/>
      <c r="BT311" s="128"/>
      <c r="BU311" s="128"/>
      <c r="BV311" s="128"/>
      <c r="BW311" s="128"/>
      <c r="BX311" s="128"/>
      <c r="BY311" s="128"/>
      <c r="BZ311" s="128"/>
      <c r="CA311" s="128"/>
      <c r="CB311" s="128"/>
      <c r="CC311" s="128"/>
      <c r="CD311" s="128"/>
      <c r="CE311" s="128"/>
      <c r="CF311" s="128"/>
      <c r="CG311" s="128"/>
      <c r="CH311" s="128"/>
      <c r="CI311" s="128"/>
      <c r="CJ311" s="128"/>
      <c r="CK311" s="128"/>
      <c r="CL311" s="128"/>
      <c r="CM311" s="128"/>
    </row>
    <row r="312" spans="1:91" x14ac:dyDescent="0.2">
      <c r="A312" s="18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AD312" s="128"/>
      <c r="AE312" s="128"/>
      <c r="AF312" s="128"/>
      <c r="AG312" s="128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28"/>
      <c r="AR312" s="128"/>
      <c r="AS312" s="128"/>
      <c r="AT312" s="128"/>
      <c r="AU312" s="128"/>
      <c r="AV312" s="128"/>
      <c r="AW312" s="128"/>
      <c r="AX312" s="128"/>
      <c r="AY312" s="128"/>
      <c r="AZ312" s="128"/>
      <c r="BA312" s="128"/>
      <c r="BB312" s="128"/>
      <c r="BC312" s="128"/>
      <c r="BD312" s="128"/>
      <c r="BE312" s="128"/>
      <c r="BF312" s="128"/>
      <c r="BG312" s="128"/>
      <c r="BH312" s="128"/>
      <c r="BI312" s="128"/>
      <c r="BJ312" s="128"/>
      <c r="BK312" s="128"/>
      <c r="BL312" s="128"/>
      <c r="BM312" s="128"/>
      <c r="BN312" s="128"/>
      <c r="BO312" s="128"/>
      <c r="BP312" s="128"/>
      <c r="BQ312" s="128"/>
      <c r="BR312" s="128"/>
      <c r="BS312" s="128"/>
      <c r="BT312" s="128"/>
      <c r="BU312" s="128"/>
      <c r="BV312" s="128"/>
      <c r="BW312" s="128"/>
      <c r="BX312" s="128"/>
      <c r="BY312" s="128"/>
      <c r="BZ312" s="128"/>
      <c r="CA312" s="128"/>
      <c r="CB312" s="128"/>
      <c r="CC312" s="128"/>
      <c r="CD312" s="128"/>
      <c r="CE312" s="128"/>
      <c r="CF312" s="128"/>
      <c r="CG312" s="128"/>
      <c r="CH312" s="128"/>
      <c r="CI312" s="128"/>
      <c r="CJ312" s="128"/>
      <c r="CK312" s="128"/>
      <c r="CL312" s="128"/>
      <c r="CM312" s="128"/>
    </row>
    <row r="313" spans="1:91" x14ac:dyDescent="0.2">
      <c r="A313" s="18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AD313" s="128"/>
      <c r="AE313" s="128"/>
      <c r="AF313" s="128"/>
      <c r="AG313" s="12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28"/>
      <c r="AR313" s="128"/>
      <c r="AS313" s="128"/>
      <c r="AT313" s="128"/>
      <c r="AU313" s="128"/>
      <c r="AV313" s="128"/>
      <c r="AW313" s="128"/>
      <c r="AX313" s="128"/>
      <c r="AY313" s="128"/>
      <c r="AZ313" s="128"/>
      <c r="BA313" s="128"/>
      <c r="BB313" s="128"/>
      <c r="BC313" s="128"/>
      <c r="BD313" s="128"/>
      <c r="BE313" s="128"/>
      <c r="BF313" s="128"/>
      <c r="BG313" s="128"/>
      <c r="BH313" s="128"/>
      <c r="BI313" s="128"/>
      <c r="BJ313" s="128"/>
      <c r="BK313" s="128"/>
      <c r="BL313" s="128"/>
      <c r="BM313" s="128"/>
      <c r="BN313" s="128"/>
      <c r="BO313" s="128"/>
      <c r="BP313" s="128"/>
      <c r="BQ313" s="128"/>
      <c r="BR313" s="128"/>
      <c r="BS313" s="128"/>
      <c r="BT313" s="128"/>
      <c r="BU313" s="128"/>
      <c r="BV313" s="128"/>
      <c r="BW313" s="128"/>
      <c r="BX313" s="128"/>
      <c r="BY313" s="128"/>
      <c r="BZ313" s="128"/>
      <c r="CA313" s="128"/>
      <c r="CB313" s="128"/>
      <c r="CC313" s="128"/>
      <c r="CD313" s="128"/>
      <c r="CE313" s="128"/>
      <c r="CF313" s="128"/>
      <c r="CG313" s="128"/>
      <c r="CH313" s="128"/>
      <c r="CI313" s="128"/>
      <c r="CJ313" s="128"/>
      <c r="CK313" s="128"/>
      <c r="CL313" s="128"/>
      <c r="CM313" s="128"/>
    </row>
    <row r="314" spans="1:91" x14ac:dyDescent="0.2">
      <c r="A314" s="18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AD314" s="128"/>
      <c r="AE314" s="128"/>
      <c r="AF314" s="128"/>
      <c r="AG314" s="12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28"/>
      <c r="AR314" s="128"/>
      <c r="AS314" s="128"/>
      <c r="AT314" s="128"/>
      <c r="AU314" s="128"/>
      <c r="AV314" s="128"/>
      <c r="AW314" s="128"/>
      <c r="AX314" s="128"/>
      <c r="AY314" s="128"/>
      <c r="AZ314" s="128"/>
      <c r="BA314" s="128"/>
      <c r="BB314" s="128"/>
      <c r="BC314" s="128"/>
      <c r="BD314" s="128"/>
      <c r="BE314" s="128"/>
      <c r="BF314" s="128"/>
      <c r="BG314" s="128"/>
      <c r="BH314" s="128"/>
      <c r="BI314" s="128"/>
      <c r="BJ314" s="128"/>
      <c r="BK314" s="128"/>
      <c r="BL314" s="128"/>
      <c r="BM314" s="128"/>
      <c r="BN314" s="128"/>
      <c r="BO314" s="128"/>
      <c r="BP314" s="128"/>
      <c r="BQ314" s="128"/>
      <c r="BR314" s="128"/>
      <c r="BS314" s="128"/>
      <c r="BT314" s="128"/>
      <c r="BU314" s="128"/>
      <c r="BV314" s="128"/>
      <c r="BW314" s="128"/>
      <c r="BX314" s="128"/>
      <c r="BY314" s="128"/>
      <c r="BZ314" s="128"/>
      <c r="CA314" s="128"/>
      <c r="CB314" s="128"/>
      <c r="CC314" s="128"/>
      <c r="CD314" s="128"/>
      <c r="CE314" s="128"/>
      <c r="CF314" s="128"/>
      <c r="CG314" s="128"/>
      <c r="CH314" s="128"/>
      <c r="CI314" s="128"/>
      <c r="CJ314" s="128"/>
      <c r="CK314" s="128"/>
      <c r="CL314" s="128"/>
      <c r="CM314" s="128"/>
    </row>
    <row r="315" spans="1:91" x14ac:dyDescent="0.2">
      <c r="A315" s="18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AD315" s="128"/>
      <c r="AE315" s="128"/>
      <c r="AF315" s="128"/>
      <c r="AG315" s="12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28"/>
      <c r="AR315" s="128"/>
      <c r="AS315" s="128"/>
      <c r="AT315" s="128"/>
      <c r="AU315" s="128"/>
      <c r="AV315" s="128"/>
      <c r="AW315" s="128"/>
      <c r="AX315" s="128"/>
      <c r="AY315" s="128"/>
      <c r="AZ315" s="128"/>
      <c r="BA315" s="128"/>
      <c r="BB315" s="128"/>
      <c r="BC315" s="128"/>
      <c r="BD315" s="128"/>
      <c r="BE315" s="128"/>
      <c r="BF315" s="128"/>
      <c r="BG315" s="128"/>
      <c r="BH315" s="128"/>
      <c r="BI315" s="128"/>
      <c r="BJ315" s="128"/>
      <c r="BK315" s="128"/>
      <c r="BL315" s="128"/>
      <c r="BM315" s="128"/>
      <c r="BN315" s="128"/>
      <c r="BO315" s="128"/>
      <c r="BP315" s="128"/>
      <c r="BQ315" s="128"/>
      <c r="BR315" s="128"/>
      <c r="BS315" s="128"/>
      <c r="BT315" s="128"/>
      <c r="BU315" s="128"/>
      <c r="BV315" s="128"/>
      <c r="BW315" s="128"/>
      <c r="BX315" s="128"/>
      <c r="BY315" s="128"/>
      <c r="BZ315" s="128"/>
      <c r="CA315" s="128"/>
      <c r="CB315" s="128"/>
      <c r="CC315" s="128"/>
      <c r="CD315" s="128"/>
      <c r="CE315" s="128"/>
      <c r="CF315" s="128"/>
      <c r="CG315" s="128"/>
      <c r="CH315" s="128"/>
      <c r="CI315" s="128"/>
      <c r="CJ315" s="128"/>
      <c r="CK315" s="128"/>
      <c r="CL315" s="128"/>
      <c r="CM315" s="128"/>
    </row>
    <row r="316" spans="1:91" x14ac:dyDescent="0.2">
      <c r="A316" s="18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8"/>
      <c r="AS316" s="128"/>
      <c r="AT316" s="128"/>
      <c r="AU316" s="128"/>
      <c r="AV316" s="128"/>
      <c r="AW316" s="128"/>
      <c r="AX316" s="128"/>
      <c r="AY316" s="128"/>
      <c r="AZ316" s="128"/>
      <c r="BA316" s="128"/>
      <c r="BB316" s="128"/>
      <c r="BC316" s="128"/>
      <c r="BD316" s="128"/>
      <c r="BE316" s="128"/>
      <c r="BF316" s="128"/>
      <c r="BG316" s="128"/>
      <c r="BH316" s="128"/>
      <c r="BI316" s="128"/>
      <c r="BJ316" s="128"/>
      <c r="BK316" s="128"/>
      <c r="BL316" s="128"/>
      <c r="BM316" s="128"/>
      <c r="BN316" s="128"/>
      <c r="BO316" s="128"/>
      <c r="BP316" s="128"/>
      <c r="BQ316" s="128"/>
      <c r="BR316" s="128"/>
      <c r="BS316" s="128"/>
      <c r="BT316" s="128"/>
      <c r="BU316" s="128"/>
      <c r="BV316" s="128"/>
      <c r="BW316" s="128"/>
      <c r="BX316" s="128"/>
      <c r="BY316" s="128"/>
      <c r="BZ316" s="128"/>
      <c r="CA316" s="128"/>
      <c r="CB316" s="128"/>
      <c r="CC316" s="128"/>
      <c r="CD316" s="128"/>
      <c r="CE316" s="128"/>
      <c r="CF316" s="128"/>
      <c r="CG316" s="128"/>
      <c r="CH316" s="128"/>
      <c r="CI316" s="128"/>
      <c r="CJ316" s="128"/>
      <c r="CK316" s="128"/>
      <c r="CL316" s="128"/>
      <c r="CM316" s="128"/>
    </row>
    <row r="317" spans="1:91" x14ac:dyDescent="0.2">
      <c r="A317" s="18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AD317" s="128"/>
      <c r="AE317" s="128"/>
      <c r="AF317" s="128"/>
      <c r="AG317" s="128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28"/>
      <c r="AY317" s="128"/>
      <c r="AZ317" s="128"/>
      <c r="BA317" s="128"/>
      <c r="BB317" s="128"/>
      <c r="BC317" s="128"/>
      <c r="BD317" s="128"/>
      <c r="BE317" s="128"/>
      <c r="BF317" s="128"/>
      <c r="BG317" s="128"/>
      <c r="BH317" s="128"/>
      <c r="BI317" s="128"/>
      <c r="BJ317" s="128"/>
      <c r="BK317" s="128"/>
      <c r="BL317" s="128"/>
      <c r="BM317" s="128"/>
      <c r="BN317" s="128"/>
      <c r="BO317" s="128"/>
      <c r="BP317" s="128"/>
      <c r="BQ317" s="128"/>
      <c r="BR317" s="128"/>
      <c r="BS317" s="128"/>
      <c r="BT317" s="128"/>
      <c r="BU317" s="128"/>
      <c r="BV317" s="128"/>
      <c r="BW317" s="128"/>
      <c r="BX317" s="128"/>
      <c r="BY317" s="128"/>
      <c r="BZ317" s="128"/>
      <c r="CA317" s="128"/>
      <c r="CB317" s="128"/>
      <c r="CC317" s="128"/>
      <c r="CD317" s="128"/>
      <c r="CE317" s="128"/>
      <c r="CF317" s="128"/>
      <c r="CG317" s="128"/>
      <c r="CH317" s="128"/>
      <c r="CI317" s="128"/>
      <c r="CJ317" s="128"/>
      <c r="CK317" s="128"/>
      <c r="CL317" s="128"/>
      <c r="CM317" s="128"/>
    </row>
    <row r="318" spans="1:91" x14ac:dyDescent="0.2">
      <c r="A318" s="18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AD318" s="128"/>
      <c r="AE318" s="128"/>
      <c r="AF318" s="128"/>
      <c r="AG318" s="12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28"/>
      <c r="AR318" s="128"/>
      <c r="AS318" s="128"/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/>
      <c r="BD318" s="128"/>
      <c r="BE318" s="128"/>
      <c r="BF318" s="128"/>
      <c r="BG318" s="128"/>
      <c r="BH318" s="128"/>
      <c r="BI318" s="128"/>
      <c r="BJ318" s="128"/>
      <c r="BK318" s="128"/>
      <c r="BL318" s="128"/>
      <c r="BM318" s="128"/>
      <c r="BN318" s="128"/>
      <c r="BO318" s="128"/>
      <c r="BP318" s="128"/>
      <c r="BQ318" s="128"/>
      <c r="BR318" s="128"/>
      <c r="BS318" s="128"/>
      <c r="BT318" s="128"/>
      <c r="BU318" s="128"/>
      <c r="BV318" s="128"/>
      <c r="BW318" s="128"/>
      <c r="BX318" s="128"/>
      <c r="BY318" s="128"/>
      <c r="BZ318" s="128"/>
      <c r="CA318" s="128"/>
      <c r="CB318" s="128"/>
      <c r="CC318" s="128"/>
      <c r="CD318" s="128"/>
      <c r="CE318" s="128"/>
      <c r="CF318" s="128"/>
      <c r="CG318" s="128"/>
      <c r="CH318" s="128"/>
      <c r="CI318" s="128"/>
      <c r="CJ318" s="128"/>
      <c r="CK318" s="128"/>
      <c r="CL318" s="128"/>
      <c r="CM318" s="128"/>
    </row>
    <row r="319" spans="1:91" x14ac:dyDescent="0.2">
      <c r="A319" s="18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AD319" s="128"/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8"/>
      <c r="BR319" s="128"/>
      <c r="BS319" s="128"/>
      <c r="BT319" s="128"/>
      <c r="BU319" s="128"/>
      <c r="BV319" s="128"/>
      <c r="BW319" s="128"/>
      <c r="BX319" s="128"/>
      <c r="BY319" s="128"/>
      <c r="BZ319" s="128"/>
      <c r="CA319" s="128"/>
      <c r="CB319" s="128"/>
      <c r="CC319" s="128"/>
      <c r="CD319" s="128"/>
      <c r="CE319" s="128"/>
      <c r="CF319" s="128"/>
      <c r="CG319" s="128"/>
      <c r="CH319" s="128"/>
      <c r="CI319" s="128"/>
      <c r="CJ319" s="128"/>
      <c r="CK319" s="128"/>
      <c r="CL319" s="128"/>
      <c r="CM319" s="128"/>
    </row>
    <row r="320" spans="1:91" x14ac:dyDescent="0.2">
      <c r="A320" s="18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AD320" s="128"/>
      <c r="AE320" s="128"/>
      <c r="AF320" s="128"/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28"/>
      <c r="AR320" s="128"/>
      <c r="AS320" s="128"/>
      <c r="AT320" s="128"/>
      <c r="AU320" s="128"/>
      <c r="AV320" s="128"/>
      <c r="AW320" s="128"/>
      <c r="AX320" s="128"/>
      <c r="AY320" s="128"/>
      <c r="AZ320" s="128"/>
      <c r="BA320" s="128"/>
      <c r="BB320" s="128"/>
      <c r="BC320" s="128"/>
      <c r="BD320" s="128"/>
      <c r="BE320" s="128"/>
      <c r="BF320" s="128"/>
      <c r="BG320" s="128"/>
      <c r="BH320" s="128"/>
      <c r="BI320" s="128"/>
      <c r="BJ320" s="128"/>
      <c r="BK320" s="128"/>
      <c r="BL320" s="128"/>
      <c r="BM320" s="128"/>
      <c r="BN320" s="128"/>
      <c r="BO320" s="128"/>
      <c r="BP320" s="128"/>
      <c r="BQ320" s="128"/>
      <c r="BR320" s="128"/>
      <c r="BS320" s="128"/>
      <c r="BT320" s="128"/>
      <c r="BU320" s="128"/>
      <c r="BV320" s="128"/>
      <c r="BW320" s="128"/>
      <c r="BX320" s="128"/>
      <c r="BY320" s="128"/>
      <c r="BZ320" s="128"/>
      <c r="CA320" s="128"/>
      <c r="CB320" s="128"/>
      <c r="CC320" s="128"/>
      <c r="CD320" s="128"/>
      <c r="CE320" s="128"/>
      <c r="CF320" s="128"/>
      <c r="CG320" s="128"/>
      <c r="CH320" s="128"/>
      <c r="CI320" s="128"/>
      <c r="CJ320" s="128"/>
      <c r="CK320" s="128"/>
      <c r="CL320" s="128"/>
      <c r="CM320" s="128"/>
    </row>
    <row r="321" spans="1:91" x14ac:dyDescent="0.2">
      <c r="A321" s="18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AD321" s="128"/>
      <c r="AE321" s="128"/>
      <c r="AF321" s="128"/>
      <c r="AG321" s="12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8"/>
      <c r="AS321" s="128"/>
      <c r="AT321" s="128"/>
      <c r="AU321" s="128"/>
      <c r="AV321" s="128"/>
      <c r="AW321" s="128"/>
      <c r="AX321" s="128"/>
      <c r="AY321" s="128"/>
      <c r="AZ321" s="128"/>
      <c r="BA321" s="128"/>
      <c r="BB321" s="128"/>
      <c r="BC321" s="128"/>
      <c r="BD321" s="128"/>
      <c r="BE321" s="128"/>
      <c r="BF321" s="128"/>
      <c r="BG321" s="128"/>
      <c r="BH321" s="128"/>
      <c r="BI321" s="128"/>
      <c r="BJ321" s="128"/>
      <c r="BK321" s="128"/>
      <c r="BL321" s="128"/>
      <c r="BM321" s="128"/>
      <c r="BN321" s="128"/>
      <c r="BO321" s="128"/>
      <c r="BP321" s="128"/>
      <c r="BQ321" s="128"/>
      <c r="BR321" s="128"/>
      <c r="BS321" s="128"/>
      <c r="BT321" s="128"/>
      <c r="BU321" s="128"/>
      <c r="BV321" s="128"/>
      <c r="BW321" s="128"/>
      <c r="BX321" s="128"/>
      <c r="BY321" s="128"/>
      <c r="BZ321" s="128"/>
      <c r="CA321" s="128"/>
      <c r="CB321" s="128"/>
      <c r="CC321" s="128"/>
      <c r="CD321" s="128"/>
      <c r="CE321" s="128"/>
      <c r="CF321" s="128"/>
      <c r="CG321" s="128"/>
      <c r="CH321" s="128"/>
      <c r="CI321" s="128"/>
      <c r="CJ321" s="128"/>
      <c r="CK321" s="128"/>
      <c r="CL321" s="128"/>
      <c r="CM321" s="128"/>
    </row>
    <row r="322" spans="1:91" x14ac:dyDescent="0.2">
      <c r="A322" s="18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AD322" s="128"/>
      <c r="AE322" s="128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8"/>
      <c r="AT322" s="128"/>
      <c r="AU322" s="128"/>
      <c r="AV322" s="128"/>
      <c r="AW322" s="128"/>
      <c r="AX322" s="128"/>
      <c r="AY322" s="128"/>
      <c r="AZ322" s="128"/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128"/>
      <c r="BN322" s="128"/>
      <c r="BO322" s="128"/>
      <c r="BP322" s="128"/>
      <c r="BQ322" s="128"/>
      <c r="BR322" s="128"/>
      <c r="BS322" s="128"/>
      <c r="BT322" s="128"/>
      <c r="BU322" s="128"/>
      <c r="BV322" s="128"/>
      <c r="BW322" s="128"/>
      <c r="BX322" s="128"/>
      <c r="BY322" s="128"/>
      <c r="BZ322" s="128"/>
      <c r="CA322" s="128"/>
      <c r="CB322" s="128"/>
      <c r="CC322" s="128"/>
      <c r="CD322" s="128"/>
      <c r="CE322" s="128"/>
      <c r="CF322" s="128"/>
      <c r="CG322" s="128"/>
      <c r="CH322" s="128"/>
      <c r="CI322" s="128"/>
      <c r="CJ322" s="128"/>
      <c r="CK322" s="128"/>
      <c r="CL322" s="128"/>
      <c r="CM322" s="128"/>
    </row>
    <row r="323" spans="1:91" x14ac:dyDescent="0.2">
      <c r="A323" s="18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AD323" s="128"/>
      <c r="AE323" s="128"/>
      <c r="AF323" s="128"/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/>
      <c r="AR323" s="128"/>
      <c r="AS323" s="128"/>
      <c r="AT323" s="128"/>
      <c r="AU323" s="128"/>
      <c r="AV323" s="128"/>
      <c r="AW323" s="128"/>
      <c r="AX323" s="128"/>
      <c r="AY323" s="128"/>
      <c r="AZ323" s="128"/>
      <c r="BA323" s="128"/>
      <c r="BB323" s="128"/>
      <c r="BC323" s="128"/>
      <c r="BD323" s="128"/>
      <c r="BE323" s="128"/>
      <c r="BF323" s="128"/>
      <c r="BG323" s="128"/>
      <c r="BH323" s="128"/>
      <c r="BI323" s="128"/>
      <c r="BJ323" s="128"/>
      <c r="BK323" s="128"/>
      <c r="BL323" s="128"/>
      <c r="BM323" s="128"/>
      <c r="BN323" s="128"/>
      <c r="BO323" s="128"/>
      <c r="BP323" s="128"/>
      <c r="BQ323" s="128"/>
      <c r="BR323" s="128"/>
      <c r="BS323" s="128"/>
      <c r="BT323" s="128"/>
      <c r="BU323" s="128"/>
      <c r="BV323" s="128"/>
      <c r="BW323" s="128"/>
      <c r="BX323" s="128"/>
      <c r="BY323" s="128"/>
      <c r="BZ323" s="128"/>
      <c r="CA323" s="128"/>
      <c r="CB323" s="128"/>
      <c r="CC323" s="128"/>
      <c r="CD323" s="128"/>
      <c r="CE323" s="128"/>
      <c r="CF323" s="128"/>
      <c r="CG323" s="128"/>
      <c r="CH323" s="128"/>
      <c r="CI323" s="128"/>
      <c r="CJ323" s="128"/>
      <c r="CK323" s="128"/>
      <c r="CL323" s="128"/>
      <c r="CM323" s="128"/>
    </row>
    <row r="324" spans="1:91" x14ac:dyDescent="0.2">
      <c r="A324" s="18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8"/>
      <c r="AW324" s="128"/>
      <c r="AX324" s="128"/>
      <c r="AY324" s="128"/>
      <c r="AZ324" s="128"/>
      <c r="BA324" s="128"/>
      <c r="BB324" s="128"/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128"/>
      <c r="BN324" s="128"/>
      <c r="BO324" s="128"/>
      <c r="BP324" s="128"/>
      <c r="BQ324" s="128"/>
      <c r="BR324" s="128"/>
      <c r="BS324" s="128"/>
      <c r="BT324" s="128"/>
      <c r="BU324" s="128"/>
      <c r="BV324" s="128"/>
      <c r="BW324" s="128"/>
      <c r="BX324" s="128"/>
      <c r="BY324" s="128"/>
      <c r="BZ324" s="128"/>
      <c r="CA324" s="128"/>
      <c r="CB324" s="128"/>
      <c r="CC324" s="128"/>
      <c r="CD324" s="128"/>
      <c r="CE324" s="128"/>
      <c r="CF324" s="128"/>
      <c r="CG324" s="128"/>
      <c r="CH324" s="128"/>
      <c r="CI324" s="128"/>
      <c r="CJ324" s="128"/>
      <c r="CK324" s="128"/>
      <c r="CL324" s="128"/>
      <c r="CM324" s="128"/>
    </row>
    <row r="325" spans="1:91" x14ac:dyDescent="0.2">
      <c r="A325" s="18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8"/>
      <c r="BR325" s="128"/>
      <c r="BS325" s="128"/>
      <c r="BT325" s="128"/>
      <c r="BU325" s="128"/>
      <c r="BV325" s="128"/>
      <c r="BW325" s="128"/>
      <c r="BX325" s="128"/>
      <c r="BY325" s="128"/>
      <c r="BZ325" s="128"/>
      <c r="CA325" s="128"/>
      <c r="CB325" s="128"/>
      <c r="CC325" s="128"/>
      <c r="CD325" s="128"/>
      <c r="CE325" s="128"/>
      <c r="CF325" s="128"/>
      <c r="CG325" s="128"/>
      <c r="CH325" s="128"/>
      <c r="CI325" s="128"/>
      <c r="CJ325" s="128"/>
      <c r="CK325" s="128"/>
      <c r="CL325" s="128"/>
      <c r="CM325" s="128"/>
    </row>
    <row r="326" spans="1:91" x14ac:dyDescent="0.2">
      <c r="A326" s="18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AD326" s="128"/>
      <c r="AE326" s="128"/>
      <c r="AF326" s="128"/>
      <c r="AG326" s="128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8"/>
      <c r="AW326" s="128"/>
      <c r="AX326" s="128"/>
      <c r="AY326" s="128"/>
      <c r="AZ326" s="128"/>
      <c r="BA326" s="128"/>
      <c r="BB326" s="128"/>
      <c r="BC326" s="128"/>
      <c r="BD326" s="128"/>
      <c r="BE326" s="128"/>
      <c r="BF326" s="128"/>
      <c r="BG326" s="128"/>
      <c r="BH326" s="128"/>
      <c r="BI326" s="128"/>
      <c r="BJ326" s="128"/>
      <c r="BK326" s="128"/>
      <c r="BL326" s="128"/>
      <c r="BM326" s="128"/>
      <c r="BN326" s="128"/>
      <c r="BO326" s="128"/>
      <c r="BP326" s="128"/>
      <c r="BQ326" s="128"/>
      <c r="BR326" s="128"/>
      <c r="BS326" s="128"/>
      <c r="BT326" s="128"/>
      <c r="BU326" s="128"/>
      <c r="BV326" s="128"/>
      <c r="BW326" s="128"/>
      <c r="BX326" s="128"/>
      <c r="BY326" s="128"/>
      <c r="BZ326" s="128"/>
      <c r="CA326" s="128"/>
      <c r="CB326" s="128"/>
      <c r="CC326" s="128"/>
      <c r="CD326" s="128"/>
      <c r="CE326" s="128"/>
      <c r="CF326" s="128"/>
      <c r="CG326" s="128"/>
      <c r="CH326" s="128"/>
      <c r="CI326" s="128"/>
      <c r="CJ326" s="128"/>
      <c r="CK326" s="128"/>
      <c r="CL326" s="128"/>
      <c r="CM326" s="128"/>
    </row>
    <row r="327" spans="1:91" x14ac:dyDescent="0.2">
      <c r="A327" s="18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8"/>
      <c r="AR327" s="128"/>
      <c r="AS327" s="128"/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8"/>
      <c r="BH327" s="128"/>
      <c r="BI327" s="128"/>
      <c r="BJ327" s="128"/>
      <c r="BK327" s="128"/>
      <c r="BL327" s="128"/>
      <c r="BM327" s="128"/>
      <c r="BN327" s="128"/>
      <c r="BO327" s="128"/>
      <c r="BP327" s="128"/>
      <c r="BQ327" s="128"/>
      <c r="BR327" s="128"/>
      <c r="BS327" s="128"/>
      <c r="BT327" s="128"/>
      <c r="BU327" s="128"/>
      <c r="BV327" s="128"/>
      <c r="BW327" s="128"/>
      <c r="BX327" s="128"/>
      <c r="BY327" s="128"/>
      <c r="BZ327" s="128"/>
      <c r="CA327" s="128"/>
      <c r="CB327" s="128"/>
      <c r="CC327" s="128"/>
      <c r="CD327" s="128"/>
      <c r="CE327" s="128"/>
      <c r="CF327" s="128"/>
      <c r="CG327" s="128"/>
      <c r="CH327" s="128"/>
      <c r="CI327" s="128"/>
      <c r="CJ327" s="128"/>
      <c r="CK327" s="128"/>
      <c r="CL327" s="128"/>
      <c r="CM327" s="128"/>
    </row>
    <row r="328" spans="1:91" x14ac:dyDescent="0.2">
      <c r="A328" s="18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AD328" s="128"/>
      <c r="AE328" s="128"/>
      <c r="AF328" s="128"/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28"/>
      <c r="AR328" s="128"/>
      <c r="AS328" s="128"/>
      <c r="AT328" s="128"/>
      <c r="AU328" s="128"/>
      <c r="AV328" s="128"/>
      <c r="AW328" s="128"/>
      <c r="AX328" s="128"/>
      <c r="AY328" s="128"/>
      <c r="AZ328" s="128"/>
      <c r="BA328" s="128"/>
      <c r="BB328" s="128"/>
      <c r="BC328" s="128"/>
      <c r="BD328" s="128"/>
      <c r="BE328" s="128"/>
      <c r="BF328" s="128"/>
      <c r="BG328" s="128"/>
      <c r="BH328" s="128"/>
      <c r="BI328" s="128"/>
      <c r="BJ328" s="128"/>
      <c r="BK328" s="128"/>
      <c r="BL328" s="128"/>
      <c r="BM328" s="128"/>
      <c r="BN328" s="128"/>
      <c r="BO328" s="128"/>
      <c r="BP328" s="128"/>
      <c r="BQ328" s="128"/>
      <c r="BR328" s="128"/>
      <c r="BS328" s="128"/>
      <c r="BT328" s="128"/>
      <c r="BU328" s="128"/>
      <c r="BV328" s="128"/>
      <c r="BW328" s="128"/>
      <c r="BX328" s="128"/>
      <c r="BY328" s="128"/>
      <c r="BZ328" s="128"/>
      <c r="CA328" s="128"/>
      <c r="CB328" s="128"/>
      <c r="CC328" s="128"/>
      <c r="CD328" s="128"/>
      <c r="CE328" s="128"/>
      <c r="CF328" s="128"/>
      <c r="CG328" s="128"/>
      <c r="CH328" s="128"/>
      <c r="CI328" s="128"/>
      <c r="CJ328" s="128"/>
      <c r="CK328" s="128"/>
      <c r="CL328" s="128"/>
      <c r="CM328" s="128"/>
    </row>
    <row r="329" spans="1:91" x14ac:dyDescent="0.2">
      <c r="A329" s="18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AD329" s="128"/>
      <c r="AE329" s="128"/>
      <c r="AF329" s="128"/>
      <c r="AG329" s="12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28"/>
      <c r="AR329" s="128"/>
      <c r="AS329" s="128"/>
      <c r="AT329" s="128"/>
      <c r="AU329" s="128"/>
      <c r="AV329" s="128"/>
      <c r="AW329" s="128"/>
      <c r="AX329" s="128"/>
      <c r="AY329" s="128"/>
      <c r="AZ329" s="128"/>
      <c r="BA329" s="128"/>
      <c r="BB329" s="128"/>
      <c r="BC329" s="128"/>
      <c r="BD329" s="128"/>
      <c r="BE329" s="128"/>
      <c r="BF329" s="128"/>
      <c r="BG329" s="128"/>
      <c r="BH329" s="128"/>
      <c r="BI329" s="128"/>
      <c r="BJ329" s="128"/>
      <c r="BK329" s="128"/>
      <c r="BL329" s="128"/>
      <c r="BM329" s="128"/>
      <c r="BN329" s="128"/>
      <c r="BO329" s="128"/>
      <c r="BP329" s="128"/>
      <c r="BQ329" s="128"/>
      <c r="BR329" s="128"/>
      <c r="BS329" s="128"/>
      <c r="BT329" s="128"/>
      <c r="BU329" s="128"/>
      <c r="BV329" s="128"/>
      <c r="BW329" s="128"/>
      <c r="BX329" s="128"/>
      <c r="BY329" s="128"/>
      <c r="BZ329" s="128"/>
      <c r="CA329" s="128"/>
      <c r="CB329" s="128"/>
      <c r="CC329" s="128"/>
      <c r="CD329" s="128"/>
      <c r="CE329" s="128"/>
      <c r="CF329" s="128"/>
      <c r="CG329" s="128"/>
      <c r="CH329" s="128"/>
      <c r="CI329" s="128"/>
      <c r="CJ329" s="128"/>
      <c r="CK329" s="128"/>
      <c r="CL329" s="128"/>
      <c r="CM329" s="128"/>
    </row>
    <row r="330" spans="1:91" x14ac:dyDescent="0.2">
      <c r="A330" s="18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AD330" s="128"/>
      <c r="AE330" s="128"/>
      <c r="AF330" s="128"/>
      <c r="AG330" s="128"/>
      <c r="AH330" s="128"/>
      <c r="AI330" s="128"/>
      <c r="AJ330" s="128"/>
      <c r="AK330" s="128"/>
      <c r="AL330" s="128"/>
      <c r="AM330" s="128"/>
      <c r="AN330" s="128"/>
      <c r="AO330" s="128"/>
      <c r="AP330" s="128"/>
      <c r="AQ330" s="128"/>
      <c r="AR330" s="128"/>
      <c r="AS330" s="128"/>
      <c r="AT330" s="128"/>
      <c r="AU330" s="128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128"/>
      <c r="BN330" s="128"/>
      <c r="BO330" s="128"/>
      <c r="BP330" s="128"/>
      <c r="BQ330" s="128"/>
      <c r="BR330" s="128"/>
      <c r="BS330" s="128"/>
      <c r="BT330" s="128"/>
      <c r="BU330" s="128"/>
      <c r="BV330" s="128"/>
      <c r="BW330" s="128"/>
      <c r="BX330" s="128"/>
      <c r="BY330" s="128"/>
      <c r="BZ330" s="128"/>
      <c r="CA330" s="128"/>
      <c r="CB330" s="128"/>
      <c r="CC330" s="128"/>
      <c r="CD330" s="128"/>
      <c r="CE330" s="128"/>
      <c r="CF330" s="128"/>
      <c r="CG330" s="128"/>
      <c r="CH330" s="128"/>
      <c r="CI330" s="128"/>
      <c r="CJ330" s="128"/>
      <c r="CK330" s="128"/>
      <c r="CL330" s="128"/>
      <c r="CM330" s="128"/>
    </row>
    <row r="331" spans="1:91" x14ac:dyDescent="0.2">
      <c r="A331" s="18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AD331" s="128"/>
      <c r="AE331" s="128"/>
      <c r="AF331" s="128"/>
      <c r="AG331" s="128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28"/>
      <c r="AR331" s="128"/>
      <c r="AS331" s="128"/>
      <c r="AT331" s="128"/>
      <c r="AU331" s="128"/>
      <c r="AV331" s="128"/>
      <c r="AW331" s="128"/>
      <c r="AX331" s="128"/>
      <c r="AY331" s="128"/>
      <c r="AZ331" s="128"/>
      <c r="BA331" s="128"/>
      <c r="BB331" s="128"/>
      <c r="BC331" s="128"/>
      <c r="BD331" s="128"/>
      <c r="BE331" s="128"/>
      <c r="BF331" s="128"/>
      <c r="BG331" s="128"/>
      <c r="BH331" s="128"/>
      <c r="BI331" s="128"/>
      <c r="BJ331" s="128"/>
      <c r="BK331" s="128"/>
      <c r="BL331" s="128"/>
      <c r="BM331" s="128"/>
      <c r="BN331" s="128"/>
      <c r="BO331" s="128"/>
      <c r="BP331" s="128"/>
      <c r="BQ331" s="128"/>
      <c r="BR331" s="128"/>
      <c r="BS331" s="128"/>
      <c r="BT331" s="128"/>
      <c r="BU331" s="128"/>
      <c r="BV331" s="128"/>
      <c r="BW331" s="128"/>
      <c r="BX331" s="128"/>
      <c r="BY331" s="128"/>
      <c r="BZ331" s="128"/>
      <c r="CA331" s="128"/>
      <c r="CB331" s="128"/>
      <c r="CC331" s="128"/>
      <c r="CD331" s="128"/>
      <c r="CE331" s="128"/>
      <c r="CF331" s="128"/>
      <c r="CG331" s="128"/>
      <c r="CH331" s="128"/>
      <c r="CI331" s="128"/>
      <c r="CJ331" s="128"/>
      <c r="CK331" s="128"/>
      <c r="CL331" s="128"/>
      <c r="CM331" s="128"/>
    </row>
    <row r="332" spans="1:91" x14ac:dyDescent="0.2">
      <c r="A332" s="18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AD332" s="128"/>
      <c r="AE332" s="128"/>
      <c r="AF332" s="128"/>
      <c r="AG332" s="128"/>
      <c r="AH332" s="128"/>
      <c r="AI332" s="128"/>
      <c r="AJ332" s="128"/>
      <c r="AK332" s="128"/>
      <c r="AL332" s="128"/>
      <c r="AM332" s="128"/>
      <c r="AN332" s="128"/>
      <c r="AO332" s="128"/>
      <c r="AP332" s="128"/>
      <c r="AQ332" s="128"/>
      <c r="AR332" s="128"/>
      <c r="AS332" s="128"/>
      <c r="AT332" s="128"/>
      <c r="AU332" s="128"/>
      <c r="AV332" s="128"/>
      <c r="AW332" s="128"/>
      <c r="AX332" s="128"/>
      <c r="AY332" s="128"/>
      <c r="AZ332" s="128"/>
      <c r="BA332" s="128"/>
      <c r="BB332" s="128"/>
      <c r="BC332" s="128"/>
      <c r="BD332" s="128"/>
      <c r="BE332" s="128"/>
      <c r="BF332" s="128"/>
      <c r="BG332" s="128"/>
      <c r="BH332" s="128"/>
      <c r="BI332" s="128"/>
      <c r="BJ332" s="128"/>
      <c r="BK332" s="128"/>
      <c r="BL332" s="128"/>
      <c r="BM332" s="128"/>
      <c r="BN332" s="128"/>
      <c r="BO332" s="128"/>
      <c r="BP332" s="128"/>
      <c r="BQ332" s="128"/>
      <c r="BR332" s="128"/>
      <c r="BS332" s="128"/>
      <c r="BT332" s="128"/>
      <c r="BU332" s="128"/>
      <c r="BV332" s="128"/>
      <c r="BW332" s="128"/>
      <c r="BX332" s="128"/>
      <c r="BY332" s="128"/>
      <c r="BZ332" s="128"/>
      <c r="CA332" s="128"/>
      <c r="CB332" s="128"/>
      <c r="CC332" s="128"/>
      <c r="CD332" s="128"/>
      <c r="CE332" s="128"/>
      <c r="CF332" s="128"/>
      <c r="CG332" s="128"/>
      <c r="CH332" s="128"/>
      <c r="CI332" s="128"/>
      <c r="CJ332" s="128"/>
      <c r="CK332" s="128"/>
      <c r="CL332" s="128"/>
      <c r="CM332" s="128"/>
    </row>
    <row r="333" spans="1:91" x14ac:dyDescent="0.2">
      <c r="A333" s="18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AD333" s="128"/>
      <c r="AE333" s="128"/>
      <c r="AF333" s="128"/>
      <c r="AG333" s="128"/>
      <c r="AH333" s="128"/>
      <c r="AI333" s="128"/>
      <c r="AJ333" s="128"/>
      <c r="AK333" s="128"/>
      <c r="AL333" s="128"/>
      <c r="AM333" s="128"/>
      <c r="AN333" s="128"/>
      <c r="AO333" s="128"/>
      <c r="AP333" s="128"/>
      <c r="AQ333" s="128"/>
      <c r="AR333" s="128"/>
      <c r="AS333" s="128"/>
      <c r="AT333" s="128"/>
      <c r="AU333" s="128"/>
      <c r="AV333" s="128"/>
      <c r="AW333" s="128"/>
      <c r="AX333" s="128"/>
      <c r="AY333" s="128"/>
      <c r="AZ333" s="128"/>
      <c r="BA333" s="128"/>
      <c r="BB333" s="128"/>
      <c r="BC333" s="128"/>
      <c r="BD333" s="128"/>
      <c r="BE333" s="128"/>
      <c r="BF333" s="128"/>
      <c r="BG333" s="128"/>
      <c r="BH333" s="128"/>
      <c r="BI333" s="128"/>
      <c r="BJ333" s="128"/>
      <c r="BK333" s="128"/>
      <c r="BL333" s="128"/>
      <c r="BM333" s="128"/>
      <c r="BN333" s="128"/>
      <c r="BO333" s="128"/>
      <c r="BP333" s="128"/>
      <c r="BQ333" s="128"/>
      <c r="BR333" s="128"/>
      <c r="BS333" s="128"/>
      <c r="BT333" s="128"/>
      <c r="BU333" s="128"/>
      <c r="BV333" s="128"/>
      <c r="BW333" s="128"/>
      <c r="BX333" s="128"/>
      <c r="BY333" s="128"/>
      <c r="BZ333" s="128"/>
      <c r="CA333" s="128"/>
      <c r="CB333" s="128"/>
      <c r="CC333" s="128"/>
      <c r="CD333" s="128"/>
      <c r="CE333" s="128"/>
      <c r="CF333" s="128"/>
      <c r="CG333" s="128"/>
      <c r="CH333" s="128"/>
      <c r="CI333" s="128"/>
      <c r="CJ333" s="128"/>
      <c r="CK333" s="128"/>
      <c r="CL333" s="128"/>
      <c r="CM333" s="128"/>
    </row>
    <row r="334" spans="1:91" x14ac:dyDescent="0.2">
      <c r="A334" s="18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AD334" s="128"/>
      <c r="AE334" s="128"/>
      <c r="AF334" s="128"/>
      <c r="AG334" s="128"/>
      <c r="AH334" s="128"/>
      <c r="AI334" s="128"/>
      <c r="AJ334" s="128"/>
      <c r="AK334" s="128"/>
      <c r="AL334" s="128"/>
      <c r="AM334" s="128"/>
      <c r="AN334" s="128"/>
      <c r="AO334" s="128"/>
      <c r="AP334" s="128"/>
      <c r="AQ334" s="128"/>
      <c r="AR334" s="128"/>
      <c r="AS334" s="128"/>
      <c r="AT334" s="128"/>
      <c r="AU334" s="128"/>
      <c r="AV334" s="128"/>
      <c r="AW334" s="128"/>
      <c r="AX334" s="128"/>
      <c r="AY334" s="128"/>
      <c r="AZ334" s="128"/>
      <c r="BA334" s="128"/>
      <c r="BB334" s="128"/>
      <c r="BC334" s="128"/>
      <c r="BD334" s="128"/>
      <c r="BE334" s="128"/>
      <c r="BF334" s="128"/>
      <c r="BG334" s="128"/>
      <c r="BH334" s="128"/>
      <c r="BI334" s="128"/>
      <c r="BJ334" s="128"/>
      <c r="BK334" s="128"/>
      <c r="BL334" s="128"/>
      <c r="BM334" s="128"/>
      <c r="BN334" s="128"/>
      <c r="BO334" s="128"/>
      <c r="BP334" s="128"/>
      <c r="BQ334" s="128"/>
      <c r="BR334" s="128"/>
      <c r="BS334" s="128"/>
      <c r="BT334" s="128"/>
      <c r="BU334" s="128"/>
      <c r="BV334" s="128"/>
      <c r="BW334" s="128"/>
      <c r="BX334" s="128"/>
      <c r="BY334" s="128"/>
      <c r="BZ334" s="128"/>
      <c r="CA334" s="128"/>
      <c r="CB334" s="128"/>
      <c r="CC334" s="128"/>
      <c r="CD334" s="128"/>
      <c r="CE334" s="128"/>
      <c r="CF334" s="128"/>
      <c r="CG334" s="128"/>
      <c r="CH334" s="128"/>
      <c r="CI334" s="128"/>
      <c r="CJ334" s="128"/>
      <c r="CK334" s="128"/>
      <c r="CL334" s="128"/>
      <c r="CM334" s="128"/>
    </row>
    <row r="335" spans="1:91" x14ac:dyDescent="0.2">
      <c r="A335" s="18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AD335" s="128"/>
      <c r="AE335" s="128"/>
      <c r="AF335" s="128"/>
      <c r="AG335" s="128"/>
      <c r="AH335" s="128"/>
      <c r="AI335" s="128"/>
      <c r="AJ335" s="128"/>
      <c r="AK335" s="128"/>
      <c r="AL335" s="128"/>
      <c r="AM335" s="128"/>
      <c r="AN335" s="128"/>
      <c r="AO335" s="128"/>
      <c r="AP335" s="128"/>
      <c r="AQ335" s="128"/>
      <c r="AR335" s="128"/>
      <c r="AS335" s="128"/>
      <c r="AT335" s="128"/>
      <c r="AU335" s="128"/>
      <c r="AV335" s="128"/>
      <c r="AW335" s="128"/>
      <c r="AX335" s="128"/>
      <c r="AY335" s="128"/>
      <c r="AZ335" s="128"/>
      <c r="BA335" s="128"/>
      <c r="BB335" s="128"/>
      <c r="BC335" s="128"/>
      <c r="BD335" s="128"/>
      <c r="BE335" s="128"/>
      <c r="BF335" s="128"/>
      <c r="BG335" s="128"/>
      <c r="BH335" s="128"/>
      <c r="BI335" s="128"/>
      <c r="BJ335" s="128"/>
      <c r="BK335" s="128"/>
      <c r="BL335" s="128"/>
      <c r="BM335" s="128"/>
      <c r="BN335" s="128"/>
      <c r="BO335" s="128"/>
      <c r="BP335" s="128"/>
      <c r="BQ335" s="128"/>
      <c r="BR335" s="128"/>
      <c r="BS335" s="128"/>
      <c r="BT335" s="128"/>
      <c r="BU335" s="128"/>
      <c r="BV335" s="128"/>
      <c r="BW335" s="128"/>
      <c r="BX335" s="128"/>
      <c r="BY335" s="128"/>
      <c r="BZ335" s="128"/>
      <c r="CA335" s="128"/>
      <c r="CB335" s="128"/>
      <c r="CC335" s="128"/>
      <c r="CD335" s="128"/>
      <c r="CE335" s="128"/>
      <c r="CF335" s="128"/>
      <c r="CG335" s="128"/>
      <c r="CH335" s="128"/>
      <c r="CI335" s="128"/>
      <c r="CJ335" s="128"/>
      <c r="CK335" s="128"/>
      <c r="CL335" s="128"/>
      <c r="CM335" s="128"/>
    </row>
    <row r="336" spans="1:91" x14ac:dyDescent="0.2">
      <c r="A336" s="18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AD336" s="128"/>
      <c r="AE336" s="128"/>
      <c r="AF336" s="128"/>
      <c r="AG336" s="128"/>
      <c r="AH336" s="128"/>
      <c r="AI336" s="128"/>
      <c r="AJ336" s="128"/>
      <c r="AK336" s="128"/>
      <c r="AL336" s="128"/>
      <c r="AM336" s="128"/>
      <c r="AN336" s="128"/>
      <c r="AO336" s="128"/>
      <c r="AP336" s="128"/>
      <c r="AQ336" s="128"/>
      <c r="AR336" s="128"/>
      <c r="AS336" s="128"/>
      <c r="AT336" s="128"/>
      <c r="AU336" s="128"/>
      <c r="AV336" s="128"/>
      <c r="AW336" s="128"/>
      <c r="AX336" s="128"/>
      <c r="AY336" s="128"/>
      <c r="AZ336" s="128"/>
      <c r="BA336" s="128"/>
      <c r="BB336" s="128"/>
      <c r="BC336" s="128"/>
      <c r="BD336" s="128"/>
      <c r="BE336" s="128"/>
      <c r="BF336" s="128"/>
      <c r="BG336" s="128"/>
      <c r="BH336" s="128"/>
      <c r="BI336" s="128"/>
      <c r="BJ336" s="128"/>
      <c r="BK336" s="128"/>
      <c r="BL336" s="128"/>
      <c r="BM336" s="128"/>
      <c r="BN336" s="128"/>
      <c r="BO336" s="128"/>
      <c r="BP336" s="128"/>
      <c r="BQ336" s="128"/>
      <c r="BR336" s="128"/>
      <c r="BS336" s="128"/>
      <c r="BT336" s="128"/>
      <c r="BU336" s="128"/>
      <c r="BV336" s="128"/>
      <c r="BW336" s="128"/>
      <c r="BX336" s="128"/>
      <c r="BY336" s="128"/>
      <c r="BZ336" s="128"/>
      <c r="CA336" s="128"/>
      <c r="CB336" s="128"/>
      <c r="CC336" s="128"/>
      <c r="CD336" s="128"/>
      <c r="CE336" s="128"/>
      <c r="CF336" s="128"/>
      <c r="CG336" s="128"/>
      <c r="CH336" s="128"/>
      <c r="CI336" s="128"/>
      <c r="CJ336" s="128"/>
      <c r="CK336" s="128"/>
      <c r="CL336" s="128"/>
      <c r="CM336" s="128"/>
    </row>
    <row r="337" spans="1:91" x14ac:dyDescent="0.2">
      <c r="A337" s="18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AD337" s="128"/>
      <c r="AE337" s="128"/>
      <c r="AF337" s="128"/>
      <c r="AG337" s="128"/>
      <c r="AH337" s="128"/>
      <c r="AI337" s="128"/>
      <c r="AJ337" s="128"/>
      <c r="AK337" s="128"/>
      <c r="AL337" s="128"/>
      <c r="AM337" s="128"/>
      <c r="AN337" s="128"/>
      <c r="AO337" s="128"/>
      <c r="AP337" s="128"/>
      <c r="AQ337" s="128"/>
      <c r="AR337" s="128"/>
      <c r="AS337" s="128"/>
      <c r="AT337" s="128"/>
      <c r="AU337" s="128"/>
      <c r="AV337" s="128"/>
      <c r="AW337" s="128"/>
      <c r="AX337" s="128"/>
      <c r="AY337" s="128"/>
      <c r="AZ337" s="128"/>
      <c r="BA337" s="128"/>
      <c r="BB337" s="128"/>
      <c r="BC337" s="128"/>
      <c r="BD337" s="128"/>
      <c r="BE337" s="128"/>
      <c r="BF337" s="128"/>
      <c r="BG337" s="128"/>
      <c r="BH337" s="128"/>
      <c r="BI337" s="128"/>
      <c r="BJ337" s="128"/>
      <c r="BK337" s="128"/>
      <c r="BL337" s="128"/>
      <c r="BM337" s="128"/>
      <c r="BN337" s="128"/>
      <c r="BO337" s="128"/>
      <c r="BP337" s="128"/>
      <c r="BQ337" s="128"/>
      <c r="BR337" s="128"/>
      <c r="BS337" s="128"/>
      <c r="BT337" s="128"/>
      <c r="BU337" s="128"/>
      <c r="BV337" s="128"/>
      <c r="BW337" s="128"/>
      <c r="BX337" s="128"/>
      <c r="BY337" s="128"/>
      <c r="BZ337" s="128"/>
      <c r="CA337" s="128"/>
      <c r="CB337" s="128"/>
      <c r="CC337" s="128"/>
      <c r="CD337" s="128"/>
      <c r="CE337" s="128"/>
      <c r="CF337" s="128"/>
      <c r="CG337" s="128"/>
      <c r="CH337" s="128"/>
      <c r="CI337" s="128"/>
      <c r="CJ337" s="128"/>
      <c r="CK337" s="128"/>
      <c r="CL337" s="128"/>
      <c r="CM337" s="128"/>
    </row>
    <row r="338" spans="1:91" x14ac:dyDescent="0.2">
      <c r="A338" s="18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AD338" s="128"/>
      <c r="AE338" s="128"/>
      <c r="AF338" s="128"/>
      <c r="AG338" s="128"/>
      <c r="AH338" s="128"/>
      <c r="AI338" s="128"/>
      <c r="AJ338" s="128"/>
      <c r="AK338" s="128"/>
      <c r="AL338" s="128"/>
      <c r="AM338" s="128"/>
      <c r="AN338" s="128"/>
      <c r="AO338" s="128"/>
      <c r="AP338" s="128"/>
      <c r="AQ338" s="128"/>
      <c r="AR338" s="128"/>
      <c r="AS338" s="128"/>
      <c r="AT338" s="128"/>
      <c r="AU338" s="128"/>
      <c r="AV338" s="128"/>
      <c r="AW338" s="128"/>
      <c r="AX338" s="128"/>
      <c r="AY338" s="128"/>
      <c r="AZ338" s="128"/>
      <c r="BA338" s="128"/>
      <c r="BB338" s="128"/>
      <c r="BC338" s="128"/>
      <c r="BD338" s="128"/>
      <c r="BE338" s="128"/>
      <c r="BF338" s="128"/>
      <c r="BG338" s="128"/>
      <c r="BH338" s="128"/>
      <c r="BI338" s="128"/>
      <c r="BJ338" s="128"/>
      <c r="BK338" s="128"/>
      <c r="BL338" s="128"/>
      <c r="BM338" s="128"/>
      <c r="BN338" s="128"/>
      <c r="BO338" s="128"/>
      <c r="BP338" s="128"/>
      <c r="BQ338" s="128"/>
      <c r="BR338" s="128"/>
      <c r="BS338" s="128"/>
      <c r="BT338" s="128"/>
      <c r="BU338" s="128"/>
      <c r="BV338" s="128"/>
      <c r="BW338" s="128"/>
      <c r="BX338" s="128"/>
      <c r="BY338" s="128"/>
      <c r="BZ338" s="128"/>
      <c r="CA338" s="128"/>
      <c r="CB338" s="128"/>
      <c r="CC338" s="128"/>
      <c r="CD338" s="128"/>
      <c r="CE338" s="128"/>
      <c r="CF338" s="128"/>
      <c r="CG338" s="128"/>
      <c r="CH338" s="128"/>
      <c r="CI338" s="128"/>
      <c r="CJ338" s="128"/>
      <c r="CK338" s="128"/>
      <c r="CL338" s="128"/>
      <c r="CM338" s="128"/>
    </row>
    <row r="339" spans="1:91" x14ac:dyDescent="0.2">
      <c r="A339" s="18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AD339" s="128"/>
      <c r="AE339" s="128"/>
      <c r="AF339" s="128"/>
      <c r="AG339" s="128"/>
      <c r="AH339" s="128"/>
      <c r="AI339" s="128"/>
      <c r="AJ339" s="128"/>
      <c r="AK339" s="128"/>
      <c r="AL339" s="128"/>
      <c r="AM339" s="128"/>
      <c r="AN339" s="128"/>
      <c r="AO339" s="128"/>
      <c r="AP339" s="128"/>
      <c r="AQ339" s="128"/>
      <c r="AR339" s="128"/>
      <c r="AS339" s="128"/>
      <c r="AT339" s="128"/>
      <c r="AU339" s="128"/>
      <c r="AV339" s="128"/>
      <c r="AW339" s="128"/>
      <c r="AX339" s="128"/>
      <c r="AY339" s="128"/>
      <c r="AZ339" s="128"/>
      <c r="BA339" s="128"/>
      <c r="BB339" s="128"/>
      <c r="BC339" s="128"/>
      <c r="BD339" s="128"/>
      <c r="BE339" s="128"/>
      <c r="BF339" s="128"/>
      <c r="BG339" s="128"/>
      <c r="BH339" s="128"/>
      <c r="BI339" s="128"/>
      <c r="BJ339" s="128"/>
      <c r="BK339" s="128"/>
      <c r="BL339" s="128"/>
      <c r="BM339" s="128"/>
      <c r="BN339" s="128"/>
      <c r="BO339" s="128"/>
      <c r="BP339" s="128"/>
      <c r="BQ339" s="128"/>
      <c r="BR339" s="128"/>
      <c r="BS339" s="128"/>
      <c r="BT339" s="128"/>
      <c r="BU339" s="128"/>
      <c r="BV339" s="128"/>
      <c r="BW339" s="128"/>
      <c r="BX339" s="128"/>
      <c r="BY339" s="128"/>
      <c r="BZ339" s="128"/>
      <c r="CA339" s="128"/>
      <c r="CB339" s="128"/>
      <c r="CC339" s="128"/>
      <c r="CD339" s="128"/>
      <c r="CE339" s="128"/>
      <c r="CF339" s="128"/>
      <c r="CG339" s="128"/>
      <c r="CH339" s="128"/>
      <c r="CI339" s="128"/>
      <c r="CJ339" s="128"/>
      <c r="CK339" s="128"/>
      <c r="CL339" s="128"/>
      <c r="CM339" s="128"/>
    </row>
    <row r="340" spans="1:91" x14ac:dyDescent="0.2">
      <c r="A340" s="18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AD340" s="128"/>
      <c r="AE340" s="128"/>
      <c r="AF340" s="128"/>
      <c r="AG340" s="128"/>
      <c r="AH340" s="128"/>
      <c r="AI340" s="128"/>
      <c r="AJ340" s="128"/>
      <c r="AK340" s="128"/>
      <c r="AL340" s="128"/>
      <c r="AM340" s="128"/>
      <c r="AN340" s="128"/>
      <c r="AO340" s="128"/>
      <c r="AP340" s="128"/>
      <c r="AQ340" s="128"/>
      <c r="AR340" s="128"/>
      <c r="AS340" s="128"/>
      <c r="AT340" s="128"/>
      <c r="AU340" s="128"/>
      <c r="AV340" s="128"/>
      <c r="AW340" s="128"/>
      <c r="AX340" s="128"/>
      <c r="AY340" s="128"/>
      <c r="AZ340" s="128"/>
      <c r="BA340" s="128"/>
      <c r="BB340" s="128"/>
      <c r="BC340" s="128"/>
      <c r="BD340" s="128"/>
      <c r="BE340" s="128"/>
      <c r="BF340" s="128"/>
      <c r="BG340" s="128"/>
      <c r="BH340" s="128"/>
      <c r="BI340" s="128"/>
      <c r="BJ340" s="128"/>
      <c r="BK340" s="128"/>
      <c r="BL340" s="128"/>
      <c r="BM340" s="128"/>
      <c r="BN340" s="128"/>
      <c r="BO340" s="128"/>
      <c r="BP340" s="128"/>
      <c r="BQ340" s="128"/>
      <c r="BR340" s="128"/>
      <c r="BS340" s="128"/>
      <c r="BT340" s="128"/>
      <c r="BU340" s="128"/>
      <c r="BV340" s="128"/>
      <c r="BW340" s="128"/>
      <c r="BX340" s="128"/>
      <c r="BY340" s="128"/>
      <c r="BZ340" s="128"/>
      <c r="CA340" s="128"/>
      <c r="CB340" s="128"/>
      <c r="CC340" s="128"/>
      <c r="CD340" s="128"/>
      <c r="CE340" s="128"/>
      <c r="CF340" s="128"/>
      <c r="CG340" s="128"/>
      <c r="CH340" s="128"/>
      <c r="CI340" s="128"/>
      <c r="CJ340" s="128"/>
      <c r="CK340" s="128"/>
      <c r="CL340" s="128"/>
      <c r="CM340" s="128"/>
    </row>
    <row r="341" spans="1:91" x14ac:dyDescent="0.2">
      <c r="A341" s="18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AD341" s="128"/>
      <c r="AE341" s="128"/>
      <c r="AF341" s="128"/>
      <c r="AG341" s="128"/>
      <c r="AH341" s="128"/>
      <c r="AI341" s="128"/>
      <c r="AJ341" s="128"/>
      <c r="AK341" s="128"/>
      <c r="AL341" s="128"/>
      <c r="AM341" s="128"/>
      <c r="AN341" s="128"/>
      <c r="AO341" s="128"/>
      <c r="AP341" s="128"/>
      <c r="AQ341" s="128"/>
      <c r="AR341" s="128"/>
      <c r="AS341" s="128"/>
      <c r="AT341" s="128"/>
      <c r="AU341" s="128"/>
      <c r="AV341" s="128"/>
      <c r="AW341" s="128"/>
      <c r="AX341" s="128"/>
      <c r="AY341" s="128"/>
      <c r="AZ341" s="128"/>
      <c r="BA341" s="128"/>
      <c r="BB341" s="128"/>
      <c r="BC341" s="128"/>
      <c r="BD341" s="128"/>
      <c r="BE341" s="128"/>
      <c r="BF341" s="128"/>
      <c r="BG341" s="128"/>
      <c r="BH341" s="128"/>
      <c r="BI341" s="128"/>
      <c r="BJ341" s="128"/>
      <c r="BK341" s="128"/>
      <c r="BL341" s="128"/>
      <c r="BM341" s="128"/>
      <c r="BN341" s="128"/>
      <c r="BO341" s="128"/>
      <c r="BP341" s="128"/>
      <c r="BQ341" s="128"/>
      <c r="BR341" s="128"/>
      <c r="BS341" s="128"/>
      <c r="BT341" s="128"/>
      <c r="BU341" s="128"/>
      <c r="BV341" s="128"/>
      <c r="BW341" s="128"/>
      <c r="BX341" s="128"/>
      <c r="BY341" s="128"/>
      <c r="BZ341" s="128"/>
      <c r="CA341" s="128"/>
      <c r="CB341" s="128"/>
      <c r="CC341" s="128"/>
      <c r="CD341" s="128"/>
      <c r="CE341" s="128"/>
      <c r="CF341" s="128"/>
      <c r="CG341" s="128"/>
      <c r="CH341" s="128"/>
      <c r="CI341" s="128"/>
      <c r="CJ341" s="128"/>
      <c r="CK341" s="128"/>
      <c r="CL341" s="128"/>
      <c r="CM341" s="128"/>
    </row>
    <row r="342" spans="1:91" x14ac:dyDescent="0.2">
      <c r="A342" s="18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AD342" s="128"/>
      <c r="AE342" s="128"/>
      <c r="AF342" s="128"/>
      <c r="AG342" s="128"/>
      <c r="AH342" s="128"/>
      <c r="AI342" s="128"/>
      <c r="AJ342" s="128"/>
      <c r="AK342" s="128"/>
      <c r="AL342" s="128"/>
      <c r="AM342" s="128"/>
      <c r="AN342" s="128"/>
      <c r="AO342" s="128"/>
      <c r="AP342" s="128"/>
      <c r="AQ342" s="128"/>
      <c r="AR342" s="128"/>
      <c r="AS342" s="128"/>
      <c r="AT342" s="128"/>
      <c r="AU342" s="128"/>
      <c r="AV342" s="128"/>
      <c r="AW342" s="128"/>
      <c r="AX342" s="128"/>
      <c r="AY342" s="128"/>
      <c r="AZ342" s="128"/>
      <c r="BA342" s="128"/>
      <c r="BB342" s="128"/>
      <c r="BC342" s="128"/>
      <c r="BD342" s="128"/>
      <c r="BE342" s="128"/>
      <c r="BF342" s="128"/>
      <c r="BG342" s="128"/>
      <c r="BH342" s="128"/>
      <c r="BI342" s="128"/>
      <c r="BJ342" s="128"/>
      <c r="BK342" s="128"/>
      <c r="BL342" s="128"/>
      <c r="BM342" s="128"/>
      <c r="BN342" s="128"/>
      <c r="BO342" s="128"/>
      <c r="BP342" s="128"/>
      <c r="BQ342" s="128"/>
      <c r="BR342" s="128"/>
      <c r="BS342" s="128"/>
      <c r="BT342" s="128"/>
      <c r="BU342" s="128"/>
      <c r="BV342" s="128"/>
      <c r="BW342" s="128"/>
      <c r="BX342" s="128"/>
      <c r="BY342" s="128"/>
      <c r="BZ342" s="128"/>
      <c r="CA342" s="128"/>
      <c r="CB342" s="128"/>
      <c r="CC342" s="128"/>
      <c r="CD342" s="128"/>
      <c r="CE342" s="128"/>
      <c r="CF342" s="128"/>
      <c r="CG342" s="128"/>
      <c r="CH342" s="128"/>
      <c r="CI342" s="128"/>
      <c r="CJ342" s="128"/>
      <c r="CK342" s="128"/>
      <c r="CL342" s="128"/>
      <c r="CM342" s="128"/>
    </row>
    <row r="343" spans="1:91" x14ac:dyDescent="0.2">
      <c r="A343" s="18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AD343" s="128"/>
      <c r="AE343" s="128"/>
      <c r="AF343" s="128"/>
      <c r="AG343" s="128"/>
      <c r="AH343" s="128"/>
      <c r="AI343" s="128"/>
      <c r="AJ343" s="128"/>
      <c r="AK343" s="128"/>
      <c r="AL343" s="128"/>
      <c r="AM343" s="128"/>
      <c r="AN343" s="128"/>
      <c r="AO343" s="128"/>
      <c r="AP343" s="128"/>
      <c r="AQ343" s="128"/>
      <c r="AR343" s="128"/>
      <c r="AS343" s="128"/>
      <c r="AT343" s="128"/>
      <c r="AU343" s="128"/>
      <c r="AV343" s="128"/>
      <c r="AW343" s="128"/>
      <c r="AX343" s="128"/>
      <c r="AY343" s="128"/>
      <c r="AZ343" s="128"/>
      <c r="BA343" s="128"/>
      <c r="BB343" s="128"/>
      <c r="BC343" s="128"/>
      <c r="BD343" s="128"/>
      <c r="BE343" s="128"/>
      <c r="BF343" s="128"/>
      <c r="BG343" s="128"/>
      <c r="BH343" s="128"/>
      <c r="BI343" s="128"/>
      <c r="BJ343" s="128"/>
      <c r="BK343" s="128"/>
      <c r="BL343" s="128"/>
      <c r="BM343" s="128"/>
      <c r="BN343" s="128"/>
      <c r="BO343" s="128"/>
      <c r="BP343" s="128"/>
      <c r="BQ343" s="128"/>
      <c r="BR343" s="128"/>
      <c r="BS343" s="128"/>
      <c r="BT343" s="128"/>
      <c r="BU343" s="128"/>
      <c r="BV343" s="128"/>
      <c r="BW343" s="128"/>
      <c r="BX343" s="128"/>
      <c r="BY343" s="128"/>
      <c r="BZ343" s="128"/>
      <c r="CA343" s="128"/>
      <c r="CB343" s="128"/>
      <c r="CC343" s="128"/>
      <c r="CD343" s="128"/>
      <c r="CE343" s="128"/>
      <c r="CF343" s="128"/>
      <c r="CG343" s="128"/>
      <c r="CH343" s="128"/>
      <c r="CI343" s="128"/>
      <c r="CJ343" s="128"/>
      <c r="CK343" s="128"/>
      <c r="CL343" s="128"/>
      <c r="CM343" s="128"/>
    </row>
    <row r="344" spans="1:91" x14ac:dyDescent="0.2">
      <c r="A344" s="18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AD344" s="128"/>
      <c r="AE344" s="128"/>
      <c r="AF344" s="128"/>
      <c r="AG344" s="128"/>
      <c r="AH344" s="128"/>
      <c r="AI344" s="128"/>
      <c r="AJ344" s="128"/>
      <c r="AK344" s="128"/>
      <c r="AL344" s="128"/>
      <c r="AM344" s="128"/>
      <c r="AN344" s="128"/>
      <c r="AO344" s="128"/>
      <c r="AP344" s="128"/>
      <c r="AQ344" s="128"/>
      <c r="AR344" s="128"/>
      <c r="AS344" s="128"/>
      <c r="AT344" s="128"/>
      <c r="AU344" s="128"/>
      <c r="AV344" s="128"/>
      <c r="AW344" s="128"/>
      <c r="AX344" s="128"/>
      <c r="AY344" s="128"/>
      <c r="AZ344" s="128"/>
      <c r="BA344" s="128"/>
      <c r="BB344" s="128"/>
      <c r="BC344" s="128"/>
      <c r="BD344" s="128"/>
      <c r="BE344" s="128"/>
      <c r="BF344" s="128"/>
      <c r="BG344" s="128"/>
      <c r="BH344" s="128"/>
      <c r="BI344" s="128"/>
      <c r="BJ344" s="128"/>
      <c r="BK344" s="128"/>
      <c r="BL344" s="128"/>
      <c r="BM344" s="128"/>
      <c r="BN344" s="128"/>
      <c r="BO344" s="128"/>
      <c r="BP344" s="128"/>
      <c r="BQ344" s="128"/>
      <c r="BR344" s="128"/>
      <c r="BS344" s="128"/>
      <c r="BT344" s="128"/>
      <c r="BU344" s="128"/>
      <c r="BV344" s="128"/>
      <c r="BW344" s="128"/>
      <c r="BX344" s="128"/>
      <c r="BY344" s="128"/>
      <c r="BZ344" s="128"/>
      <c r="CA344" s="128"/>
      <c r="CB344" s="128"/>
      <c r="CC344" s="128"/>
      <c r="CD344" s="128"/>
      <c r="CE344" s="128"/>
      <c r="CF344" s="128"/>
      <c r="CG344" s="128"/>
      <c r="CH344" s="128"/>
      <c r="CI344" s="128"/>
      <c r="CJ344" s="128"/>
      <c r="CK344" s="128"/>
      <c r="CL344" s="128"/>
      <c r="CM344" s="128"/>
    </row>
    <row r="345" spans="1:91" x14ac:dyDescent="0.2">
      <c r="A345" s="18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AD345" s="128"/>
      <c r="AE345" s="128"/>
      <c r="AF345" s="128"/>
      <c r="AG345" s="128"/>
      <c r="AH345" s="128"/>
      <c r="AI345" s="128"/>
      <c r="AJ345" s="128"/>
      <c r="AK345" s="128"/>
      <c r="AL345" s="128"/>
      <c r="AM345" s="128"/>
      <c r="AN345" s="128"/>
      <c r="AO345" s="128"/>
      <c r="AP345" s="128"/>
      <c r="AQ345" s="128"/>
      <c r="AR345" s="128"/>
      <c r="AS345" s="128"/>
      <c r="AT345" s="128"/>
      <c r="AU345" s="128"/>
      <c r="AV345" s="128"/>
      <c r="AW345" s="128"/>
      <c r="AX345" s="128"/>
      <c r="AY345" s="128"/>
      <c r="AZ345" s="128"/>
      <c r="BA345" s="128"/>
      <c r="BB345" s="128"/>
      <c r="BC345" s="128"/>
      <c r="BD345" s="128"/>
      <c r="BE345" s="128"/>
      <c r="BF345" s="128"/>
      <c r="BG345" s="128"/>
      <c r="BH345" s="128"/>
      <c r="BI345" s="128"/>
      <c r="BJ345" s="128"/>
      <c r="BK345" s="128"/>
      <c r="BL345" s="128"/>
      <c r="BM345" s="128"/>
      <c r="BN345" s="128"/>
      <c r="BO345" s="128"/>
      <c r="BP345" s="128"/>
      <c r="BQ345" s="128"/>
      <c r="BR345" s="128"/>
      <c r="BS345" s="128"/>
      <c r="BT345" s="128"/>
      <c r="BU345" s="128"/>
      <c r="BV345" s="128"/>
      <c r="BW345" s="128"/>
      <c r="BX345" s="128"/>
      <c r="BY345" s="128"/>
      <c r="BZ345" s="128"/>
      <c r="CA345" s="128"/>
      <c r="CB345" s="128"/>
      <c r="CC345" s="128"/>
      <c r="CD345" s="128"/>
      <c r="CE345" s="128"/>
      <c r="CF345" s="128"/>
      <c r="CG345" s="128"/>
      <c r="CH345" s="128"/>
      <c r="CI345" s="128"/>
      <c r="CJ345" s="128"/>
      <c r="CK345" s="128"/>
      <c r="CL345" s="128"/>
      <c r="CM345" s="128"/>
    </row>
    <row r="346" spans="1:91" x14ac:dyDescent="0.2">
      <c r="A346" s="18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AD346" s="128"/>
      <c r="AE346" s="128"/>
      <c r="AF346" s="128"/>
      <c r="AG346" s="128"/>
      <c r="AH346" s="128"/>
      <c r="AI346" s="128"/>
      <c r="AJ346" s="128"/>
      <c r="AK346" s="128"/>
      <c r="AL346" s="128"/>
      <c r="AM346" s="128"/>
      <c r="AN346" s="128"/>
      <c r="AO346" s="128"/>
      <c r="AP346" s="128"/>
      <c r="AQ346" s="128"/>
      <c r="AR346" s="128"/>
      <c r="AS346" s="128"/>
      <c r="AT346" s="128"/>
      <c r="AU346" s="128"/>
      <c r="AV346" s="128"/>
      <c r="AW346" s="128"/>
      <c r="AX346" s="128"/>
      <c r="AY346" s="128"/>
      <c r="AZ346" s="128"/>
      <c r="BA346" s="128"/>
      <c r="BB346" s="128"/>
      <c r="BC346" s="128"/>
      <c r="BD346" s="128"/>
      <c r="BE346" s="128"/>
      <c r="BF346" s="128"/>
      <c r="BG346" s="128"/>
      <c r="BH346" s="128"/>
      <c r="BI346" s="128"/>
      <c r="BJ346" s="128"/>
      <c r="BK346" s="128"/>
      <c r="BL346" s="128"/>
      <c r="BM346" s="128"/>
      <c r="BN346" s="128"/>
      <c r="BO346" s="128"/>
      <c r="BP346" s="128"/>
      <c r="BQ346" s="128"/>
      <c r="BR346" s="128"/>
      <c r="BS346" s="128"/>
      <c r="BT346" s="128"/>
      <c r="BU346" s="128"/>
      <c r="BV346" s="128"/>
      <c r="BW346" s="128"/>
      <c r="BX346" s="128"/>
      <c r="BY346" s="128"/>
      <c r="BZ346" s="128"/>
      <c r="CA346" s="128"/>
      <c r="CB346" s="128"/>
      <c r="CC346" s="128"/>
      <c r="CD346" s="128"/>
      <c r="CE346" s="128"/>
      <c r="CF346" s="128"/>
      <c r="CG346" s="128"/>
      <c r="CH346" s="128"/>
      <c r="CI346" s="128"/>
      <c r="CJ346" s="128"/>
      <c r="CK346" s="128"/>
      <c r="CL346" s="128"/>
      <c r="CM346" s="128"/>
    </row>
    <row r="347" spans="1:91" x14ac:dyDescent="0.2">
      <c r="A347" s="18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AD347" s="128"/>
      <c r="AE347" s="128"/>
      <c r="AF347" s="128"/>
      <c r="AG347" s="128"/>
      <c r="AH347" s="128"/>
      <c r="AI347" s="128"/>
      <c r="AJ347" s="128"/>
      <c r="AK347" s="128"/>
      <c r="AL347" s="128"/>
      <c r="AM347" s="128"/>
      <c r="AN347" s="128"/>
      <c r="AO347" s="128"/>
      <c r="AP347" s="128"/>
      <c r="AQ347" s="128"/>
      <c r="AR347" s="128"/>
      <c r="AS347" s="128"/>
      <c r="AT347" s="128"/>
      <c r="AU347" s="128"/>
      <c r="AV347" s="128"/>
      <c r="AW347" s="128"/>
      <c r="AX347" s="128"/>
      <c r="AY347" s="128"/>
      <c r="AZ347" s="128"/>
      <c r="BA347" s="128"/>
      <c r="BB347" s="128"/>
      <c r="BC347" s="128"/>
      <c r="BD347" s="128"/>
      <c r="BE347" s="128"/>
      <c r="BF347" s="128"/>
      <c r="BG347" s="128"/>
      <c r="BH347" s="128"/>
      <c r="BI347" s="128"/>
      <c r="BJ347" s="128"/>
      <c r="BK347" s="128"/>
      <c r="BL347" s="128"/>
      <c r="BM347" s="128"/>
      <c r="BN347" s="128"/>
      <c r="BO347" s="128"/>
      <c r="BP347" s="128"/>
      <c r="BQ347" s="128"/>
      <c r="BR347" s="128"/>
      <c r="BS347" s="128"/>
      <c r="BT347" s="128"/>
      <c r="BU347" s="128"/>
      <c r="BV347" s="128"/>
      <c r="BW347" s="128"/>
      <c r="BX347" s="128"/>
      <c r="BY347" s="128"/>
      <c r="BZ347" s="128"/>
      <c r="CA347" s="128"/>
      <c r="CB347" s="128"/>
      <c r="CC347" s="128"/>
      <c r="CD347" s="128"/>
      <c r="CE347" s="128"/>
      <c r="CF347" s="128"/>
      <c r="CG347" s="128"/>
      <c r="CH347" s="128"/>
      <c r="CI347" s="128"/>
      <c r="CJ347" s="128"/>
      <c r="CK347" s="128"/>
      <c r="CL347" s="128"/>
      <c r="CM347" s="128"/>
    </row>
    <row r="348" spans="1:91" x14ac:dyDescent="0.2">
      <c r="A348" s="18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AD348" s="128"/>
      <c r="AE348" s="128"/>
      <c r="AF348" s="128"/>
      <c r="AG348" s="128"/>
      <c r="AH348" s="128"/>
      <c r="AI348" s="128"/>
      <c r="AJ348" s="128"/>
      <c r="AK348" s="128"/>
      <c r="AL348" s="128"/>
      <c r="AM348" s="128"/>
      <c r="AN348" s="128"/>
      <c r="AO348" s="128"/>
      <c r="AP348" s="128"/>
      <c r="AQ348" s="128"/>
      <c r="AR348" s="128"/>
      <c r="AS348" s="128"/>
      <c r="AT348" s="128"/>
      <c r="AU348" s="128"/>
      <c r="AV348" s="128"/>
      <c r="AW348" s="128"/>
      <c r="AX348" s="128"/>
      <c r="AY348" s="128"/>
      <c r="AZ348" s="128"/>
      <c r="BA348" s="128"/>
      <c r="BB348" s="128"/>
      <c r="BC348" s="128"/>
      <c r="BD348" s="128"/>
      <c r="BE348" s="128"/>
      <c r="BF348" s="128"/>
      <c r="BG348" s="128"/>
      <c r="BH348" s="128"/>
      <c r="BI348" s="128"/>
      <c r="BJ348" s="128"/>
      <c r="BK348" s="128"/>
      <c r="BL348" s="128"/>
      <c r="BM348" s="128"/>
      <c r="BN348" s="128"/>
      <c r="BO348" s="128"/>
      <c r="BP348" s="128"/>
      <c r="BQ348" s="128"/>
      <c r="BR348" s="128"/>
      <c r="BS348" s="128"/>
      <c r="BT348" s="128"/>
      <c r="BU348" s="128"/>
      <c r="BV348" s="128"/>
      <c r="BW348" s="128"/>
      <c r="BX348" s="128"/>
      <c r="BY348" s="128"/>
      <c r="BZ348" s="128"/>
      <c r="CA348" s="128"/>
      <c r="CB348" s="128"/>
      <c r="CC348" s="128"/>
      <c r="CD348" s="128"/>
      <c r="CE348" s="128"/>
      <c r="CF348" s="128"/>
      <c r="CG348" s="128"/>
      <c r="CH348" s="128"/>
      <c r="CI348" s="128"/>
      <c r="CJ348" s="128"/>
      <c r="CK348" s="128"/>
      <c r="CL348" s="128"/>
      <c r="CM348" s="128"/>
    </row>
    <row r="349" spans="1:91" x14ac:dyDescent="0.2">
      <c r="A349" s="18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AD349" s="128"/>
      <c r="AE349" s="128"/>
      <c r="AF349" s="128"/>
      <c r="AG349" s="128"/>
      <c r="AH349" s="128"/>
      <c r="AI349" s="128"/>
      <c r="AJ349" s="128"/>
      <c r="AK349" s="128"/>
      <c r="AL349" s="128"/>
      <c r="AM349" s="128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8"/>
      <c r="BR349" s="128"/>
      <c r="BS349" s="128"/>
      <c r="BT349" s="128"/>
      <c r="BU349" s="128"/>
      <c r="BV349" s="128"/>
      <c r="BW349" s="128"/>
      <c r="BX349" s="128"/>
      <c r="BY349" s="128"/>
      <c r="BZ349" s="128"/>
      <c r="CA349" s="128"/>
      <c r="CB349" s="128"/>
      <c r="CC349" s="128"/>
      <c r="CD349" s="128"/>
      <c r="CE349" s="128"/>
      <c r="CF349" s="128"/>
      <c r="CG349" s="128"/>
      <c r="CH349" s="128"/>
      <c r="CI349" s="128"/>
      <c r="CJ349" s="128"/>
      <c r="CK349" s="128"/>
      <c r="CL349" s="128"/>
      <c r="CM349" s="128"/>
    </row>
    <row r="350" spans="1:91" x14ac:dyDescent="0.2">
      <c r="A350" s="18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AD350" s="128"/>
      <c r="AE350" s="128"/>
      <c r="AF350" s="128"/>
      <c r="AG350" s="128"/>
      <c r="AH350" s="128"/>
      <c r="AI350" s="128"/>
      <c r="AJ350" s="128"/>
      <c r="AK350" s="128"/>
      <c r="AL350" s="128"/>
      <c r="AM350" s="128"/>
      <c r="AN350" s="128"/>
      <c r="AO350" s="128"/>
      <c r="AP350" s="128"/>
      <c r="AQ350" s="128"/>
      <c r="AR350" s="128"/>
      <c r="AS350" s="128"/>
      <c r="AT350" s="128"/>
      <c r="AU350" s="128"/>
      <c r="AV350" s="128"/>
      <c r="AW350" s="128"/>
      <c r="AX350" s="128"/>
      <c r="AY350" s="128"/>
      <c r="AZ350" s="128"/>
      <c r="BA350" s="128"/>
      <c r="BB350" s="128"/>
      <c r="BC350" s="128"/>
      <c r="BD350" s="128"/>
      <c r="BE350" s="128"/>
      <c r="BF350" s="128"/>
      <c r="BG350" s="128"/>
      <c r="BH350" s="128"/>
      <c r="BI350" s="128"/>
      <c r="BJ350" s="128"/>
      <c r="BK350" s="128"/>
      <c r="BL350" s="128"/>
      <c r="BM350" s="128"/>
      <c r="BN350" s="128"/>
      <c r="BO350" s="128"/>
      <c r="BP350" s="128"/>
      <c r="BQ350" s="128"/>
      <c r="BR350" s="128"/>
      <c r="BS350" s="128"/>
      <c r="BT350" s="128"/>
      <c r="BU350" s="128"/>
      <c r="BV350" s="128"/>
      <c r="BW350" s="128"/>
      <c r="BX350" s="128"/>
      <c r="BY350" s="128"/>
      <c r="BZ350" s="128"/>
      <c r="CA350" s="128"/>
      <c r="CB350" s="128"/>
      <c r="CC350" s="128"/>
      <c r="CD350" s="128"/>
      <c r="CE350" s="128"/>
      <c r="CF350" s="128"/>
      <c r="CG350" s="128"/>
      <c r="CH350" s="128"/>
      <c r="CI350" s="128"/>
      <c r="CJ350" s="128"/>
      <c r="CK350" s="128"/>
      <c r="CL350" s="128"/>
      <c r="CM350" s="128"/>
    </row>
    <row r="351" spans="1:91" x14ac:dyDescent="0.2">
      <c r="A351" s="18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AD351" s="128"/>
      <c r="AE351" s="128"/>
      <c r="AF351" s="128"/>
      <c r="AG351" s="128"/>
      <c r="AH351" s="128"/>
      <c r="AI351" s="128"/>
      <c r="AJ351" s="128"/>
      <c r="AK351" s="128"/>
      <c r="AL351" s="128"/>
      <c r="AM351" s="128"/>
      <c r="AN351" s="128"/>
      <c r="AO351" s="128"/>
      <c r="AP351" s="128"/>
      <c r="AQ351" s="128"/>
      <c r="AR351" s="128"/>
      <c r="AS351" s="128"/>
      <c r="AT351" s="128"/>
      <c r="AU351" s="128"/>
      <c r="AV351" s="128"/>
      <c r="AW351" s="128"/>
      <c r="AX351" s="128"/>
      <c r="AY351" s="128"/>
      <c r="AZ351" s="128"/>
      <c r="BA351" s="128"/>
      <c r="BB351" s="128"/>
      <c r="BC351" s="128"/>
      <c r="BD351" s="128"/>
      <c r="BE351" s="128"/>
      <c r="BF351" s="128"/>
      <c r="BG351" s="128"/>
      <c r="BH351" s="128"/>
      <c r="BI351" s="128"/>
      <c r="BJ351" s="128"/>
      <c r="BK351" s="128"/>
      <c r="BL351" s="128"/>
      <c r="BM351" s="128"/>
      <c r="BN351" s="128"/>
      <c r="BO351" s="128"/>
      <c r="BP351" s="128"/>
      <c r="BQ351" s="128"/>
      <c r="BR351" s="128"/>
      <c r="BS351" s="128"/>
      <c r="BT351" s="128"/>
      <c r="BU351" s="128"/>
      <c r="BV351" s="128"/>
      <c r="BW351" s="128"/>
      <c r="BX351" s="128"/>
      <c r="BY351" s="128"/>
      <c r="BZ351" s="128"/>
      <c r="CA351" s="128"/>
      <c r="CB351" s="128"/>
      <c r="CC351" s="128"/>
      <c r="CD351" s="128"/>
      <c r="CE351" s="128"/>
      <c r="CF351" s="128"/>
      <c r="CG351" s="128"/>
      <c r="CH351" s="128"/>
      <c r="CI351" s="128"/>
      <c r="CJ351" s="128"/>
      <c r="CK351" s="128"/>
      <c r="CL351" s="128"/>
      <c r="CM351" s="128"/>
    </row>
    <row r="352" spans="1:91" x14ac:dyDescent="0.2">
      <c r="A352" s="18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AD352" s="128"/>
      <c r="AE352" s="128"/>
      <c r="AF352" s="128"/>
      <c r="AG352" s="128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28"/>
      <c r="AR352" s="128"/>
      <c r="AS352" s="128"/>
      <c r="AT352" s="128"/>
      <c r="AU352" s="128"/>
      <c r="AV352" s="128"/>
      <c r="AW352" s="128"/>
      <c r="AX352" s="128"/>
      <c r="AY352" s="128"/>
      <c r="AZ352" s="128"/>
      <c r="BA352" s="128"/>
      <c r="BB352" s="128"/>
      <c r="BC352" s="128"/>
      <c r="BD352" s="128"/>
      <c r="BE352" s="128"/>
      <c r="BF352" s="128"/>
      <c r="BG352" s="128"/>
      <c r="BH352" s="128"/>
      <c r="BI352" s="128"/>
      <c r="BJ352" s="128"/>
      <c r="BK352" s="128"/>
      <c r="BL352" s="128"/>
      <c r="BM352" s="128"/>
      <c r="BN352" s="128"/>
      <c r="BO352" s="128"/>
      <c r="BP352" s="128"/>
      <c r="BQ352" s="128"/>
      <c r="BR352" s="128"/>
      <c r="BS352" s="128"/>
      <c r="BT352" s="128"/>
      <c r="BU352" s="128"/>
      <c r="BV352" s="128"/>
      <c r="BW352" s="128"/>
      <c r="BX352" s="128"/>
      <c r="BY352" s="128"/>
      <c r="BZ352" s="128"/>
      <c r="CA352" s="128"/>
      <c r="CB352" s="128"/>
      <c r="CC352" s="128"/>
      <c r="CD352" s="128"/>
      <c r="CE352" s="128"/>
      <c r="CF352" s="128"/>
      <c r="CG352" s="128"/>
      <c r="CH352" s="128"/>
      <c r="CI352" s="128"/>
      <c r="CJ352" s="128"/>
      <c r="CK352" s="128"/>
      <c r="CL352" s="128"/>
      <c r="CM352" s="128"/>
    </row>
    <row r="353" spans="1:91" x14ac:dyDescent="0.2">
      <c r="A353" s="18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AD353" s="128"/>
      <c r="AE353" s="128"/>
      <c r="AF353" s="128"/>
      <c r="AG353" s="128"/>
      <c r="AH353" s="128"/>
      <c r="AI353" s="128"/>
      <c r="AJ353" s="128"/>
      <c r="AK353" s="128"/>
      <c r="AL353" s="128"/>
      <c r="AM353" s="128"/>
      <c r="AN353" s="128"/>
      <c r="AO353" s="128"/>
      <c r="AP353" s="128"/>
      <c r="AQ353" s="128"/>
      <c r="AR353" s="128"/>
      <c r="AS353" s="128"/>
      <c r="AT353" s="128"/>
      <c r="AU353" s="128"/>
      <c r="AV353" s="128"/>
      <c r="AW353" s="128"/>
      <c r="AX353" s="128"/>
      <c r="AY353" s="128"/>
      <c r="AZ353" s="128"/>
      <c r="BA353" s="128"/>
      <c r="BB353" s="128"/>
      <c r="BC353" s="128"/>
      <c r="BD353" s="128"/>
      <c r="BE353" s="128"/>
      <c r="BF353" s="128"/>
      <c r="BG353" s="128"/>
      <c r="BH353" s="128"/>
      <c r="BI353" s="128"/>
      <c r="BJ353" s="128"/>
      <c r="BK353" s="128"/>
      <c r="BL353" s="128"/>
      <c r="BM353" s="128"/>
      <c r="BN353" s="128"/>
      <c r="BO353" s="128"/>
      <c r="BP353" s="128"/>
      <c r="BQ353" s="128"/>
      <c r="BR353" s="128"/>
      <c r="BS353" s="128"/>
      <c r="BT353" s="128"/>
      <c r="BU353" s="128"/>
      <c r="BV353" s="128"/>
      <c r="BW353" s="128"/>
      <c r="BX353" s="128"/>
      <c r="BY353" s="128"/>
      <c r="BZ353" s="128"/>
      <c r="CA353" s="128"/>
      <c r="CB353" s="128"/>
      <c r="CC353" s="128"/>
      <c r="CD353" s="128"/>
      <c r="CE353" s="128"/>
      <c r="CF353" s="128"/>
      <c r="CG353" s="128"/>
      <c r="CH353" s="128"/>
      <c r="CI353" s="128"/>
      <c r="CJ353" s="128"/>
      <c r="CK353" s="128"/>
      <c r="CL353" s="128"/>
      <c r="CM353" s="128"/>
    </row>
    <row r="354" spans="1:91" x14ac:dyDescent="0.2">
      <c r="A354" s="18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AD354" s="128"/>
      <c r="AE354" s="128"/>
      <c r="AF354" s="128"/>
      <c r="AG354" s="128"/>
      <c r="AH354" s="128"/>
      <c r="AI354" s="128"/>
      <c r="AJ354" s="128"/>
      <c r="AK354" s="128"/>
      <c r="AL354" s="128"/>
      <c r="AM354" s="128"/>
      <c r="AN354" s="128"/>
      <c r="AO354" s="128"/>
      <c r="AP354" s="128"/>
      <c r="AQ354" s="128"/>
      <c r="AR354" s="128"/>
      <c r="AS354" s="128"/>
      <c r="AT354" s="128"/>
      <c r="AU354" s="128"/>
      <c r="AV354" s="128"/>
      <c r="AW354" s="128"/>
      <c r="AX354" s="128"/>
      <c r="AY354" s="128"/>
      <c r="AZ354" s="128"/>
      <c r="BA354" s="128"/>
      <c r="BB354" s="128"/>
      <c r="BC354" s="128"/>
      <c r="BD354" s="128"/>
      <c r="BE354" s="128"/>
      <c r="BF354" s="128"/>
      <c r="BG354" s="128"/>
      <c r="BH354" s="128"/>
      <c r="BI354" s="128"/>
      <c r="BJ354" s="128"/>
      <c r="BK354" s="128"/>
      <c r="BL354" s="128"/>
      <c r="BM354" s="128"/>
      <c r="BN354" s="128"/>
      <c r="BO354" s="128"/>
      <c r="BP354" s="128"/>
      <c r="BQ354" s="128"/>
      <c r="BR354" s="128"/>
      <c r="BS354" s="128"/>
      <c r="BT354" s="128"/>
      <c r="BU354" s="128"/>
      <c r="BV354" s="128"/>
      <c r="BW354" s="128"/>
      <c r="BX354" s="128"/>
      <c r="BY354" s="128"/>
      <c r="BZ354" s="128"/>
      <c r="CA354" s="128"/>
      <c r="CB354" s="128"/>
      <c r="CC354" s="128"/>
      <c r="CD354" s="128"/>
      <c r="CE354" s="128"/>
      <c r="CF354" s="128"/>
      <c r="CG354" s="128"/>
      <c r="CH354" s="128"/>
      <c r="CI354" s="128"/>
      <c r="CJ354" s="128"/>
      <c r="CK354" s="128"/>
      <c r="CL354" s="128"/>
      <c r="CM354" s="128"/>
    </row>
    <row r="355" spans="1:91" x14ac:dyDescent="0.2">
      <c r="A355" s="18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8"/>
      <c r="BR355" s="128"/>
      <c r="BS355" s="128"/>
      <c r="BT355" s="128"/>
      <c r="BU355" s="128"/>
      <c r="BV355" s="128"/>
      <c r="BW355" s="128"/>
      <c r="BX355" s="128"/>
      <c r="BY355" s="128"/>
      <c r="BZ355" s="128"/>
      <c r="CA355" s="128"/>
      <c r="CB355" s="128"/>
      <c r="CC355" s="128"/>
      <c r="CD355" s="128"/>
      <c r="CE355" s="128"/>
      <c r="CF355" s="128"/>
      <c r="CG355" s="128"/>
      <c r="CH355" s="128"/>
      <c r="CI355" s="128"/>
      <c r="CJ355" s="128"/>
      <c r="CK355" s="128"/>
      <c r="CL355" s="128"/>
      <c r="CM355" s="128"/>
    </row>
    <row r="356" spans="1:91" x14ac:dyDescent="0.2">
      <c r="A356" s="18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AD356" s="128"/>
      <c r="AE356" s="128"/>
      <c r="AF356" s="128"/>
      <c r="AG356" s="128"/>
      <c r="AH356" s="128"/>
      <c r="AI356" s="128"/>
      <c r="AJ356" s="128"/>
      <c r="AK356" s="128"/>
      <c r="AL356" s="128"/>
      <c r="AM356" s="128"/>
      <c r="AN356" s="128"/>
      <c r="AO356" s="128"/>
      <c r="AP356" s="128"/>
      <c r="AQ356" s="128"/>
      <c r="AR356" s="128"/>
      <c r="AS356" s="128"/>
      <c r="AT356" s="128"/>
      <c r="AU356" s="128"/>
      <c r="AV356" s="128"/>
      <c r="AW356" s="128"/>
      <c r="AX356" s="128"/>
      <c r="AY356" s="128"/>
      <c r="AZ356" s="128"/>
      <c r="BA356" s="128"/>
      <c r="BB356" s="128"/>
      <c r="BC356" s="128"/>
      <c r="BD356" s="128"/>
      <c r="BE356" s="128"/>
      <c r="BF356" s="128"/>
      <c r="BG356" s="128"/>
      <c r="BH356" s="128"/>
      <c r="BI356" s="128"/>
      <c r="BJ356" s="128"/>
      <c r="BK356" s="128"/>
      <c r="BL356" s="128"/>
      <c r="BM356" s="128"/>
      <c r="BN356" s="128"/>
      <c r="BO356" s="128"/>
      <c r="BP356" s="128"/>
      <c r="BQ356" s="128"/>
      <c r="BR356" s="128"/>
      <c r="BS356" s="128"/>
      <c r="BT356" s="128"/>
      <c r="BU356" s="128"/>
      <c r="BV356" s="128"/>
      <c r="BW356" s="128"/>
      <c r="BX356" s="128"/>
      <c r="BY356" s="128"/>
      <c r="BZ356" s="128"/>
      <c r="CA356" s="128"/>
      <c r="CB356" s="128"/>
      <c r="CC356" s="128"/>
      <c r="CD356" s="128"/>
      <c r="CE356" s="128"/>
      <c r="CF356" s="128"/>
      <c r="CG356" s="128"/>
      <c r="CH356" s="128"/>
      <c r="CI356" s="128"/>
      <c r="CJ356" s="128"/>
      <c r="CK356" s="128"/>
      <c r="CL356" s="128"/>
      <c r="CM356" s="128"/>
    </row>
    <row r="357" spans="1:91" x14ac:dyDescent="0.2">
      <c r="A357" s="18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AD357" s="128"/>
      <c r="AE357" s="128"/>
      <c r="AF357" s="128"/>
      <c r="AG357" s="128"/>
      <c r="AH357" s="128"/>
      <c r="AI357" s="128"/>
      <c r="AJ357" s="128"/>
      <c r="AK357" s="128"/>
      <c r="AL357" s="128"/>
      <c r="AM357" s="128"/>
      <c r="AN357" s="128"/>
      <c r="AO357" s="128"/>
      <c r="AP357" s="128"/>
      <c r="AQ357" s="128"/>
      <c r="AR357" s="128"/>
      <c r="AS357" s="128"/>
      <c r="AT357" s="128"/>
      <c r="AU357" s="128"/>
      <c r="AV357" s="128"/>
      <c r="AW357" s="128"/>
      <c r="AX357" s="128"/>
      <c r="AY357" s="128"/>
      <c r="AZ357" s="128"/>
      <c r="BA357" s="128"/>
      <c r="BB357" s="128"/>
      <c r="BC357" s="128"/>
      <c r="BD357" s="128"/>
      <c r="BE357" s="128"/>
      <c r="BF357" s="128"/>
      <c r="BG357" s="128"/>
      <c r="BH357" s="128"/>
      <c r="BI357" s="128"/>
      <c r="BJ357" s="128"/>
      <c r="BK357" s="128"/>
      <c r="BL357" s="128"/>
      <c r="BM357" s="128"/>
      <c r="BN357" s="128"/>
      <c r="BO357" s="128"/>
      <c r="BP357" s="128"/>
      <c r="BQ357" s="128"/>
      <c r="BR357" s="128"/>
      <c r="BS357" s="128"/>
      <c r="BT357" s="128"/>
      <c r="BU357" s="128"/>
      <c r="BV357" s="128"/>
      <c r="BW357" s="128"/>
      <c r="BX357" s="128"/>
      <c r="BY357" s="128"/>
      <c r="BZ357" s="128"/>
      <c r="CA357" s="128"/>
      <c r="CB357" s="128"/>
      <c r="CC357" s="128"/>
      <c r="CD357" s="128"/>
      <c r="CE357" s="128"/>
      <c r="CF357" s="128"/>
      <c r="CG357" s="128"/>
      <c r="CH357" s="128"/>
      <c r="CI357" s="128"/>
      <c r="CJ357" s="128"/>
      <c r="CK357" s="128"/>
      <c r="CL357" s="128"/>
      <c r="CM357" s="128"/>
    </row>
    <row r="358" spans="1:91" x14ac:dyDescent="0.2">
      <c r="A358" s="18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AD358" s="128"/>
      <c r="AE358" s="128"/>
      <c r="AF358" s="128"/>
      <c r="AG358" s="128"/>
      <c r="AH358" s="128"/>
      <c r="AI358" s="128"/>
      <c r="AJ358" s="128"/>
      <c r="AK358" s="128"/>
      <c r="AL358" s="128"/>
      <c r="AM358" s="128"/>
      <c r="AN358" s="128"/>
      <c r="AO358" s="128"/>
      <c r="AP358" s="128"/>
      <c r="AQ358" s="128"/>
      <c r="AR358" s="128"/>
      <c r="AS358" s="128"/>
      <c r="AT358" s="128"/>
      <c r="AU358" s="128"/>
      <c r="AV358" s="128"/>
      <c r="AW358" s="128"/>
      <c r="AX358" s="128"/>
      <c r="AY358" s="128"/>
      <c r="AZ358" s="128"/>
      <c r="BA358" s="128"/>
      <c r="BB358" s="128"/>
      <c r="BC358" s="128"/>
      <c r="BD358" s="128"/>
      <c r="BE358" s="128"/>
      <c r="BF358" s="128"/>
      <c r="BG358" s="128"/>
      <c r="BH358" s="128"/>
      <c r="BI358" s="128"/>
      <c r="BJ358" s="128"/>
      <c r="BK358" s="128"/>
      <c r="BL358" s="128"/>
      <c r="BM358" s="128"/>
      <c r="BN358" s="128"/>
      <c r="BO358" s="128"/>
      <c r="BP358" s="128"/>
      <c r="BQ358" s="128"/>
      <c r="BR358" s="128"/>
      <c r="BS358" s="128"/>
      <c r="BT358" s="128"/>
      <c r="BU358" s="128"/>
      <c r="BV358" s="128"/>
      <c r="BW358" s="128"/>
      <c r="BX358" s="128"/>
      <c r="BY358" s="128"/>
      <c r="BZ358" s="128"/>
      <c r="CA358" s="128"/>
      <c r="CB358" s="128"/>
      <c r="CC358" s="128"/>
      <c r="CD358" s="128"/>
      <c r="CE358" s="128"/>
      <c r="CF358" s="128"/>
      <c r="CG358" s="128"/>
      <c r="CH358" s="128"/>
      <c r="CI358" s="128"/>
      <c r="CJ358" s="128"/>
      <c r="CK358" s="128"/>
      <c r="CL358" s="128"/>
      <c r="CM358" s="128"/>
    </row>
    <row r="359" spans="1:91" x14ac:dyDescent="0.2">
      <c r="A359" s="18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AD359" s="128"/>
      <c r="AE359" s="128"/>
      <c r="AF359" s="128"/>
      <c r="AG359" s="12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  <c r="BD359" s="128"/>
      <c r="BE359" s="128"/>
      <c r="BF359" s="128"/>
      <c r="BG359" s="128"/>
      <c r="BH359" s="128"/>
      <c r="BI359" s="128"/>
      <c r="BJ359" s="128"/>
      <c r="BK359" s="128"/>
      <c r="BL359" s="128"/>
      <c r="BM359" s="128"/>
      <c r="BN359" s="128"/>
      <c r="BO359" s="128"/>
      <c r="BP359" s="128"/>
      <c r="BQ359" s="128"/>
      <c r="BR359" s="128"/>
      <c r="BS359" s="128"/>
      <c r="BT359" s="128"/>
      <c r="BU359" s="128"/>
      <c r="BV359" s="128"/>
      <c r="BW359" s="128"/>
      <c r="BX359" s="128"/>
      <c r="BY359" s="128"/>
      <c r="BZ359" s="128"/>
      <c r="CA359" s="128"/>
      <c r="CB359" s="128"/>
      <c r="CC359" s="128"/>
      <c r="CD359" s="128"/>
      <c r="CE359" s="128"/>
      <c r="CF359" s="128"/>
      <c r="CG359" s="128"/>
      <c r="CH359" s="128"/>
      <c r="CI359" s="128"/>
      <c r="CJ359" s="128"/>
      <c r="CK359" s="128"/>
      <c r="CL359" s="128"/>
      <c r="CM359" s="128"/>
    </row>
    <row r="360" spans="1:91" x14ac:dyDescent="0.2">
      <c r="A360" s="18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AD360" s="128"/>
      <c r="AE360" s="128"/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  <c r="BD360" s="128"/>
      <c r="BE360" s="128"/>
      <c r="BF360" s="128"/>
      <c r="BG360" s="128"/>
      <c r="BH360" s="128"/>
      <c r="BI360" s="128"/>
      <c r="BJ360" s="128"/>
      <c r="BK360" s="128"/>
      <c r="BL360" s="128"/>
      <c r="BM360" s="128"/>
      <c r="BN360" s="128"/>
      <c r="BO360" s="128"/>
      <c r="BP360" s="128"/>
      <c r="BQ360" s="128"/>
      <c r="BR360" s="128"/>
      <c r="BS360" s="128"/>
      <c r="BT360" s="128"/>
      <c r="BU360" s="128"/>
      <c r="BV360" s="128"/>
      <c r="BW360" s="128"/>
      <c r="BX360" s="128"/>
      <c r="BY360" s="128"/>
      <c r="BZ360" s="128"/>
      <c r="CA360" s="128"/>
      <c r="CB360" s="128"/>
      <c r="CC360" s="128"/>
      <c r="CD360" s="128"/>
      <c r="CE360" s="128"/>
      <c r="CF360" s="128"/>
      <c r="CG360" s="128"/>
      <c r="CH360" s="128"/>
      <c r="CI360" s="128"/>
      <c r="CJ360" s="128"/>
      <c r="CK360" s="128"/>
      <c r="CL360" s="128"/>
      <c r="CM360" s="128"/>
    </row>
    <row r="361" spans="1:91" x14ac:dyDescent="0.2">
      <c r="A361" s="18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AD361" s="128"/>
      <c r="AE361" s="128"/>
      <c r="AF361" s="128"/>
      <c r="AG361" s="128"/>
      <c r="AH361" s="128"/>
      <c r="AI361" s="128"/>
      <c r="AJ361" s="128"/>
      <c r="AK361" s="128"/>
      <c r="AL361" s="128"/>
      <c r="AM361" s="128"/>
      <c r="AN361" s="128"/>
      <c r="AO361" s="128"/>
      <c r="AP361" s="128"/>
      <c r="AQ361" s="128"/>
      <c r="AR361" s="128"/>
      <c r="AS361" s="128"/>
      <c r="AT361" s="128"/>
      <c r="AU361" s="128"/>
      <c r="AV361" s="128"/>
      <c r="AW361" s="128"/>
      <c r="AX361" s="128"/>
      <c r="AY361" s="128"/>
      <c r="AZ361" s="128"/>
      <c r="BA361" s="128"/>
      <c r="BB361" s="128"/>
      <c r="BC361" s="128"/>
      <c r="BD361" s="128"/>
      <c r="BE361" s="128"/>
      <c r="BF361" s="128"/>
      <c r="BG361" s="128"/>
      <c r="BH361" s="128"/>
      <c r="BI361" s="128"/>
      <c r="BJ361" s="128"/>
      <c r="BK361" s="128"/>
      <c r="BL361" s="128"/>
      <c r="BM361" s="128"/>
      <c r="BN361" s="128"/>
      <c r="BO361" s="128"/>
      <c r="BP361" s="128"/>
      <c r="BQ361" s="128"/>
      <c r="BR361" s="128"/>
      <c r="BS361" s="128"/>
      <c r="BT361" s="128"/>
      <c r="BU361" s="128"/>
      <c r="BV361" s="128"/>
      <c r="BW361" s="128"/>
      <c r="BX361" s="128"/>
      <c r="BY361" s="128"/>
      <c r="BZ361" s="128"/>
      <c r="CA361" s="128"/>
      <c r="CB361" s="128"/>
      <c r="CC361" s="128"/>
      <c r="CD361" s="128"/>
      <c r="CE361" s="128"/>
      <c r="CF361" s="128"/>
      <c r="CG361" s="128"/>
      <c r="CH361" s="128"/>
      <c r="CI361" s="128"/>
      <c r="CJ361" s="128"/>
      <c r="CK361" s="128"/>
      <c r="CL361" s="128"/>
      <c r="CM361" s="128"/>
    </row>
    <row r="362" spans="1:91" x14ac:dyDescent="0.2">
      <c r="A362" s="18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AD362" s="128"/>
      <c r="AE362" s="128"/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/>
      <c r="AY362" s="128"/>
      <c r="AZ362" s="128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/>
      <c r="BQ362" s="128"/>
      <c r="BR362" s="128"/>
      <c r="BS362" s="128"/>
      <c r="BT362" s="128"/>
      <c r="BU362" s="128"/>
      <c r="BV362" s="128"/>
      <c r="BW362" s="128"/>
      <c r="BX362" s="128"/>
      <c r="BY362" s="128"/>
      <c r="BZ362" s="128"/>
      <c r="CA362" s="128"/>
      <c r="CB362" s="128"/>
      <c r="CC362" s="128"/>
      <c r="CD362" s="128"/>
      <c r="CE362" s="128"/>
      <c r="CF362" s="128"/>
      <c r="CG362" s="128"/>
      <c r="CH362" s="128"/>
      <c r="CI362" s="128"/>
      <c r="CJ362" s="128"/>
      <c r="CK362" s="128"/>
      <c r="CL362" s="128"/>
      <c r="CM362" s="128"/>
    </row>
    <row r="363" spans="1:91" x14ac:dyDescent="0.2">
      <c r="A363" s="18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AD363" s="128"/>
      <c r="AE363" s="128"/>
      <c r="AF363" s="128"/>
      <c r="AG363" s="128"/>
      <c r="AH363" s="128"/>
      <c r="AI363" s="128"/>
      <c r="AJ363" s="128"/>
      <c r="AK363" s="128"/>
      <c r="AL363" s="128"/>
      <c r="AM363" s="128"/>
      <c r="AN363" s="128"/>
      <c r="AO363" s="128"/>
      <c r="AP363" s="128"/>
      <c r="AQ363" s="128"/>
      <c r="AR363" s="128"/>
      <c r="AS363" s="128"/>
      <c r="AT363" s="128"/>
      <c r="AU363" s="128"/>
      <c r="AV363" s="128"/>
      <c r="AW363" s="128"/>
      <c r="AX363" s="128"/>
      <c r="AY363" s="128"/>
      <c r="AZ363" s="128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28"/>
      <c r="BL363" s="128"/>
      <c r="BM363" s="128"/>
      <c r="BN363" s="128"/>
      <c r="BO363" s="128"/>
      <c r="BP363" s="128"/>
      <c r="BQ363" s="128"/>
      <c r="BR363" s="128"/>
      <c r="BS363" s="128"/>
      <c r="BT363" s="128"/>
      <c r="BU363" s="128"/>
      <c r="BV363" s="128"/>
      <c r="BW363" s="128"/>
      <c r="BX363" s="128"/>
      <c r="BY363" s="128"/>
      <c r="BZ363" s="128"/>
      <c r="CA363" s="128"/>
      <c r="CB363" s="128"/>
      <c r="CC363" s="128"/>
      <c r="CD363" s="128"/>
      <c r="CE363" s="128"/>
      <c r="CF363" s="128"/>
      <c r="CG363" s="128"/>
      <c r="CH363" s="128"/>
      <c r="CI363" s="128"/>
      <c r="CJ363" s="128"/>
      <c r="CK363" s="128"/>
      <c r="CL363" s="128"/>
      <c r="CM363" s="128"/>
    </row>
    <row r="364" spans="1:91" x14ac:dyDescent="0.2">
      <c r="A364" s="18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AD364" s="128"/>
      <c r="AE364" s="128"/>
      <c r="AF364" s="128"/>
      <c r="AG364" s="128"/>
      <c r="AH364" s="128"/>
      <c r="AI364" s="128"/>
      <c r="AJ364" s="128"/>
      <c r="AK364" s="128"/>
      <c r="AL364" s="128"/>
      <c r="AM364" s="128"/>
      <c r="AN364" s="128"/>
      <c r="AO364" s="128"/>
      <c r="AP364" s="128"/>
      <c r="AQ364" s="128"/>
      <c r="AR364" s="128"/>
      <c r="AS364" s="128"/>
      <c r="AT364" s="128"/>
      <c r="AU364" s="128"/>
      <c r="AV364" s="128"/>
      <c r="AW364" s="128"/>
      <c r="AX364" s="128"/>
      <c r="AY364" s="128"/>
      <c r="AZ364" s="128"/>
      <c r="BA364" s="128"/>
      <c r="BB364" s="128"/>
      <c r="BC364" s="128"/>
      <c r="BD364" s="128"/>
      <c r="BE364" s="128"/>
      <c r="BF364" s="128"/>
      <c r="BG364" s="128"/>
      <c r="BH364" s="128"/>
      <c r="BI364" s="128"/>
      <c r="BJ364" s="128"/>
      <c r="BK364" s="128"/>
      <c r="BL364" s="128"/>
      <c r="BM364" s="128"/>
      <c r="BN364" s="128"/>
      <c r="BO364" s="128"/>
      <c r="BP364" s="128"/>
      <c r="BQ364" s="128"/>
      <c r="BR364" s="128"/>
      <c r="BS364" s="128"/>
      <c r="BT364" s="128"/>
      <c r="BU364" s="128"/>
      <c r="BV364" s="128"/>
      <c r="BW364" s="128"/>
      <c r="BX364" s="128"/>
      <c r="BY364" s="128"/>
      <c r="BZ364" s="128"/>
      <c r="CA364" s="128"/>
      <c r="CB364" s="128"/>
      <c r="CC364" s="128"/>
      <c r="CD364" s="128"/>
      <c r="CE364" s="128"/>
      <c r="CF364" s="128"/>
      <c r="CG364" s="128"/>
      <c r="CH364" s="128"/>
      <c r="CI364" s="128"/>
      <c r="CJ364" s="128"/>
      <c r="CK364" s="128"/>
      <c r="CL364" s="128"/>
      <c r="CM364" s="128"/>
    </row>
    <row r="365" spans="1:91" x14ac:dyDescent="0.2">
      <c r="A365" s="18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AD365" s="128"/>
      <c r="AE365" s="128"/>
      <c r="AF365" s="128"/>
      <c r="AG365" s="128"/>
      <c r="AH365" s="128"/>
      <c r="AI365" s="128"/>
      <c r="AJ365" s="128"/>
      <c r="AK365" s="128"/>
      <c r="AL365" s="128"/>
      <c r="AM365" s="128"/>
      <c r="AN365" s="128"/>
      <c r="AO365" s="128"/>
      <c r="AP365" s="128"/>
      <c r="AQ365" s="128"/>
      <c r="AR365" s="128"/>
      <c r="AS365" s="128"/>
      <c r="AT365" s="128"/>
      <c r="AU365" s="128"/>
      <c r="AV365" s="128"/>
      <c r="AW365" s="128"/>
      <c r="AX365" s="128"/>
      <c r="AY365" s="128"/>
      <c r="AZ365" s="128"/>
      <c r="BA365" s="128"/>
      <c r="BB365" s="128"/>
      <c r="BC365" s="128"/>
      <c r="BD365" s="128"/>
      <c r="BE365" s="128"/>
      <c r="BF365" s="128"/>
      <c r="BG365" s="128"/>
      <c r="BH365" s="128"/>
      <c r="BI365" s="128"/>
      <c r="BJ365" s="128"/>
      <c r="BK365" s="128"/>
      <c r="BL365" s="128"/>
      <c r="BM365" s="128"/>
      <c r="BN365" s="128"/>
      <c r="BO365" s="128"/>
      <c r="BP365" s="128"/>
      <c r="BQ365" s="128"/>
      <c r="BR365" s="128"/>
      <c r="BS365" s="128"/>
      <c r="BT365" s="128"/>
      <c r="BU365" s="128"/>
      <c r="BV365" s="128"/>
      <c r="BW365" s="128"/>
      <c r="BX365" s="128"/>
      <c r="BY365" s="128"/>
      <c r="BZ365" s="128"/>
      <c r="CA365" s="128"/>
      <c r="CB365" s="128"/>
      <c r="CC365" s="128"/>
      <c r="CD365" s="128"/>
      <c r="CE365" s="128"/>
      <c r="CF365" s="128"/>
      <c r="CG365" s="128"/>
      <c r="CH365" s="128"/>
      <c r="CI365" s="128"/>
      <c r="CJ365" s="128"/>
      <c r="CK365" s="128"/>
      <c r="CL365" s="128"/>
      <c r="CM365" s="128"/>
    </row>
    <row r="366" spans="1:91" x14ac:dyDescent="0.2">
      <c r="A366" s="18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AD366" s="128"/>
      <c r="AE366" s="128"/>
      <c r="AF366" s="128"/>
      <c r="AG366" s="128"/>
      <c r="AH366" s="128"/>
      <c r="AI366" s="128"/>
      <c r="AJ366" s="128"/>
      <c r="AK366" s="128"/>
      <c r="AL366" s="128"/>
      <c r="AM366" s="128"/>
      <c r="AN366" s="128"/>
      <c r="AO366" s="128"/>
      <c r="AP366" s="128"/>
      <c r="AQ366" s="128"/>
      <c r="AR366" s="128"/>
      <c r="AS366" s="128"/>
      <c r="AT366" s="128"/>
      <c r="AU366" s="128"/>
      <c r="AV366" s="128"/>
      <c r="AW366" s="128"/>
      <c r="AX366" s="128"/>
      <c r="AY366" s="128"/>
      <c r="AZ366" s="128"/>
      <c r="BA366" s="128"/>
      <c r="BB366" s="128"/>
      <c r="BC366" s="128"/>
      <c r="BD366" s="128"/>
      <c r="BE366" s="128"/>
      <c r="BF366" s="128"/>
      <c r="BG366" s="128"/>
      <c r="BH366" s="128"/>
      <c r="BI366" s="128"/>
      <c r="BJ366" s="128"/>
      <c r="BK366" s="128"/>
      <c r="BL366" s="128"/>
      <c r="BM366" s="128"/>
      <c r="BN366" s="128"/>
      <c r="BO366" s="128"/>
      <c r="BP366" s="128"/>
      <c r="BQ366" s="128"/>
      <c r="BR366" s="128"/>
      <c r="BS366" s="128"/>
      <c r="BT366" s="128"/>
      <c r="BU366" s="128"/>
      <c r="BV366" s="128"/>
      <c r="BW366" s="128"/>
      <c r="BX366" s="128"/>
      <c r="BY366" s="128"/>
      <c r="BZ366" s="128"/>
      <c r="CA366" s="128"/>
      <c r="CB366" s="128"/>
      <c r="CC366" s="128"/>
      <c r="CD366" s="128"/>
      <c r="CE366" s="128"/>
      <c r="CF366" s="128"/>
      <c r="CG366" s="128"/>
      <c r="CH366" s="128"/>
      <c r="CI366" s="128"/>
      <c r="CJ366" s="128"/>
      <c r="CK366" s="128"/>
      <c r="CL366" s="128"/>
      <c r="CM366" s="128"/>
    </row>
    <row r="367" spans="1:91" x14ac:dyDescent="0.2">
      <c r="A367" s="18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AD367" s="128"/>
      <c r="AE367" s="128"/>
      <c r="AF367" s="128"/>
      <c r="AG367" s="128"/>
      <c r="AH367" s="128"/>
      <c r="AI367" s="128"/>
      <c r="AJ367" s="128"/>
      <c r="AK367" s="128"/>
      <c r="AL367" s="128"/>
      <c r="AM367" s="128"/>
      <c r="AN367" s="128"/>
      <c r="AO367" s="128"/>
      <c r="AP367" s="128"/>
      <c r="AQ367" s="128"/>
      <c r="AR367" s="128"/>
      <c r="AS367" s="128"/>
      <c r="AT367" s="128"/>
      <c r="AU367" s="128"/>
      <c r="AV367" s="128"/>
      <c r="AW367" s="128"/>
      <c r="AX367" s="128"/>
      <c r="AY367" s="128"/>
      <c r="AZ367" s="128"/>
      <c r="BA367" s="128"/>
      <c r="BB367" s="128"/>
      <c r="BC367" s="128"/>
      <c r="BD367" s="128"/>
      <c r="BE367" s="128"/>
      <c r="BF367" s="128"/>
      <c r="BG367" s="128"/>
      <c r="BH367" s="128"/>
      <c r="BI367" s="128"/>
      <c r="BJ367" s="128"/>
      <c r="BK367" s="128"/>
      <c r="BL367" s="128"/>
      <c r="BM367" s="128"/>
      <c r="BN367" s="128"/>
      <c r="BO367" s="128"/>
      <c r="BP367" s="128"/>
      <c r="BQ367" s="128"/>
      <c r="BR367" s="128"/>
      <c r="BS367" s="128"/>
      <c r="BT367" s="128"/>
      <c r="BU367" s="128"/>
      <c r="BV367" s="128"/>
      <c r="BW367" s="128"/>
      <c r="BX367" s="128"/>
      <c r="BY367" s="128"/>
      <c r="BZ367" s="128"/>
      <c r="CA367" s="128"/>
      <c r="CB367" s="128"/>
      <c r="CC367" s="128"/>
      <c r="CD367" s="128"/>
      <c r="CE367" s="128"/>
      <c r="CF367" s="128"/>
      <c r="CG367" s="128"/>
      <c r="CH367" s="128"/>
      <c r="CI367" s="128"/>
      <c r="CJ367" s="128"/>
      <c r="CK367" s="128"/>
      <c r="CL367" s="128"/>
      <c r="CM367" s="128"/>
    </row>
    <row r="368" spans="1:91" x14ac:dyDescent="0.2">
      <c r="A368" s="18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AD368" s="128"/>
      <c r="AE368" s="128"/>
      <c r="AF368" s="128"/>
      <c r="AG368" s="128"/>
      <c r="AH368" s="128"/>
      <c r="AI368" s="128"/>
      <c r="AJ368" s="128"/>
      <c r="AK368" s="128"/>
      <c r="AL368" s="128"/>
      <c r="AM368" s="128"/>
      <c r="AN368" s="128"/>
      <c r="AO368" s="128"/>
      <c r="AP368" s="128"/>
      <c r="AQ368" s="128"/>
      <c r="AR368" s="128"/>
      <c r="AS368" s="128"/>
      <c r="AT368" s="128"/>
      <c r="AU368" s="128"/>
      <c r="AV368" s="128"/>
      <c r="AW368" s="128"/>
      <c r="AX368" s="128"/>
      <c r="AY368" s="128"/>
      <c r="AZ368" s="128"/>
      <c r="BA368" s="128"/>
      <c r="BB368" s="128"/>
      <c r="BC368" s="128"/>
      <c r="BD368" s="128"/>
      <c r="BE368" s="128"/>
      <c r="BF368" s="128"/>
      <c r="BG368" s="128"/>
      <c r="BH368" s="128"/>
      <c r="BI368" s="128"/>
      <c r="BJ368" s="128"/>
      <c r="BK368" s="128"/>
      <c r="BL368" s="128"/>
      <c r="BM368" s="128"/>
      <c r="BN368" s="128"/>
      <c r="BO368" s="128"/>
      <c r="BP368" s="128"/>
      <c r="BQ368" s="128"/>
      <c r="BR368" s="128"/>
      <c r="BS368" s="128"/>
      <c r="BT368" s="128"/>
      <c r="BU368" s="128"/>
      <c r="BV368" s="128"/>
      <c r="BW368" s="128"/>
      <c r="BX368" s="128"/>
      <c r="BY368" s="128"/>
      <c r="BZ368" s="128"/>
      <c r="CA368" s="128"/>
      <c r="CB368" s="128"/>
      <c r="CC368" s="128"/>
      <c r="CD368" s="128"/>
      <c r="CE368" s="128"/>
      <c r="CF368" s="128"/>
      <c r="CG368" s="128"/>
      <c r="CH368" s="128"/>
      <c r="CI368" s="128"/>
      <c r="CJ368" s="128"/>
      <c r="CK368" s="128"/>
      <c r="CL368" s="128"/>
      <c r="CM368" s="128"/>
    </row>
    <row r="369" spans="1:91" x14ac:dyDescent="0.2">
      <c r="A369" s="18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AD369" s="128"/>
      <c r="AE369" s="128"/>
      <c r="AF369" s="128"/>
      <c r="AG369" s="128"/>
      <c r="AH369" s="128"/>
      <c r="AI369" s="128"/>
      <c r="AJ369" s="128"/>
      <c r="AK369" s="128"/>
      <c r="AL369" s="128"/>
      <c r="AM369" s="128"/>
      <c r="AN369" s="128"/>
      <c r="AO369" s="128"/>
      <c r="AP369" s="128"/>
      <c r="AQ369" s="128"/>
      <c r="AR369" s="128"/>
      <c r="AS369" s="128"/>
      <c r="AT369" s="128"/>
      <c r="AU369" s="128"/>
      <c r="AV369" s="128"/>
      <c r="AW369" s="128"/>
      <c r="AX369" s="128"/>
      <c r="AY369" s="128"/>
      <c r="AZ369" s="128"/>
      <c r="BA369" s="128"/>
      <c r="BB369" s="128"/>
      <c r="BC369" s="128"/>
      <c r="BD369" s="128"/>
      <c r="BE369" s="128"/>
      <c r="BF369" s="128"/>
      <c r="BG369" s="128"/>
      <c r="BH369" s="128"/>
      <c r="BI369" s="128"/>
      <c r="BJ369" s="128"/>
      <c r="BK369" s="128"/>
      <c r="BL369" s="128"/>
      <c r="BM369" s="128"/>
      <c r="BN369" s="128"/>
      <c r="BO369" s="128"/>
      <c r="BP369" s="128"/>
      <c r="BQ369" s="128"/>
      <c r="BR369" s="128"/>
      <c r="BS369" s="128"/>
      <c r="BT369" s="128"/>
      <c r="BU369" s="128"/>
      <c r="BV369" s="128"/>
      <c r="BW369" s="128"/>
      <c r="BX369" s="128"/>
      <c r="BY369" s="128"/>
      <c r="BZ369" s="128"/>
      <c r="CA369" s="128"/>
      <c r="CB369" s="128"/>
      <c r="CC369" s="128"/>
      <c r="CD369" s="128"/>
      <c r="CE369" s="128"/>
      <c r="CF369" s="128"/>
      <c r="CG369" s="128"/>
      <c r="CH369" s="128"/>
      <c r="CI369" s="128"/>
      <c r="CJ369" s="128"/>
      <c r="CK369" s="128"/>
      <c r="CL369" s="128"/>
      <c r="CM369" s="128"/>
    </row>
    <row r="370" spans="1:91" x14ac:dyDescent="0.2">
      <c r="A370" s="18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AD370" s="128"/>
      <c r="AE370" s="128"/>
      <c r="AF370" s="128"/>
      <c r="AG370" s="12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  <c r="AS370" s="128"/>
      <c r="AT370" s="128"/>
      <c r="AU370" s="128"/>
      <c r="AV370" s="128"/>
      <c r="AW370" s="128"/>
      <c r="AX370" s="128"/>
      <c r="AY370" s="128"/>
      <c r="AZ370" s="128"/>
      <c r="BA370" s="128"/>
      <c r="BB370" s="128"/>
      <c r="BC370" s="128"/>
      <c r="BD370" s="128"/>
      <c r="BE370" s="128"/>
      <c r="BF370" s="128"/>
      <c r="BG370" s="128"/>
      <c r="BH370" s="128"/>
      <c r="BI370" s="128"/>
      <c r="BJ370" s="128"/>
      <c r="BK370" s="128"/>
      <c r="BL370" s="128"/>
      <c r="BM370" s="128"/>
      <c r="BN370" s="128"/>
      <c r="BO370" s="128"/>
      <c r="BP370" s="128"/>
      <c r="BQ370" s="128"/>
      <c r="BR370" s="128"/>
      <c r="BS370" s="128"/>
      <c r="BT370" s="128"/>
      <c r="BU370" s="128"/>
      <c r="BV370" s="128"/>
      <c r="BW370" s="128"/>
      <c r="BX370" s="128"/>
      <c r="BY370" s="128"/>
      <c r="BZ370" s="128"/>
      <c r="CA370" s="128"/>
      <c r="CB370" s="128"/>
      <c r="CC370" s="128"/>
      <c r="CD370" s="128"/>
      <c r="CE370" s="128"/>
      <c r="CF370" s="128"/>
      <c r="CG370" s="128"/>
      <c r="CH370" s="128"/>
      <c r="CI370" s="128"/>
      <c r="CJ370" s="128"/>
      <c r="CK370" s="128"/>
      <c r="CL370" s="128"/>
      <c r="CM370" s="128"/>
    </row>
    <row r="371" spans="1:91" x14ac:dyDescent="0.2">
      <c r="A371" s="18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AD371" s="128"/>
      <c r="AE371" s="128"/>
      <c r="AF371" s="128"/>
      <c r="AG371" s="128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8"/>
      <c r="AS371" s="128"/>
      <c r="AT371" s="128"/>
      <c r="AU371" s="128"/>
      <c r="AV371" s="128"/>
      <c r="AW371" s="128"/>
      <c r="AX371" s="128"/>
      <c r="AY371" s="128"/>
      <c r="AZ371" s="128"/>
      <c r="BA371" s="128"/>
      <c r="BB371" s="128"/>
      <c r="BC371" s="128"/>
      <c r="BD371" s="128"/>
      <c r="BE371" s="128"/>
      <c r="BF371" s="128"/>
      <c r="BG371" s="128"/>
      <c r="BH371" s="128"/>
      <c r="BI371" s="128"/>
      <c r="BJ371" s="128"/>
      <c r="BK371" s="128"/>
      <c r="BL371" s="128"/>
      <c r="BM371" s="128"/>
      <c r="BN371" s="128"/>
      <c r="BO371" s="128"/>
      <c r="BP371" s="128"/>
      <c r="BQ371" s="128"/>
      <c r="BR371" s="128"/>
      <c r="BS371" s="128"/>
      <c r="BT371" s="128"/>
      <c r="BU371" s="128"/>
      <c r="BV371" s="128"/>
      <c r="BW371" s="128"/>
      <c r="BX371" s="128"/>
      <c r="BY371" s="128"/>
      <c r="BZ371" s="128"/>
      <c r="CA371" s="128"/>
      <c r="CB371" s="128"/>
      <c r="CC371" s="128"/>
      <c r="CD371" s="128"/>
      <c r="CE371" s="128"/>
      <c r="CF371" s="128"/>
      <c r="CG371" s="128"/>
      <c r="CH371" s="128"/>
      <c r="CI371" s="128"/>
      <c r="CJ371" s="128"/>
      <c r="CK371" s="128"/>
      <c r="CL371" s="128"/>
      <c r="CM371" s="128"/>
    </row>
    <row r="372" spans="1:91" x14ac:dyDescent="0.2">
      <c r="A372" s="18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  <c r="BD372" s="128"/>
      <c r="BE372" s="128"/>
      <c r="BF372" s="128"/>
      <c r="BG372" s="128"/>
      <c r="BH372" s="128"/>
      <c r="BI372" s="128"/>
      <c r="BJ372" s="128"/>
      <c r="BK372" s="128"/>
      <c r="BL372" s="128"/>
      <c r="BM372" s="128"/>
      <c r="BN372" s="128"/>
      <c r="BO372" s="128"/>
      <c r="BP372" s="128"/>
      <c r="BQ372" s="128"/>
      <c r="BR372" s="128"/>
      <c r="BS372" s="128"/>
      <c r="BT372" s="128"/>
      <c r="BU372" s="128"/>
      <c r="BV372" s="128"/>
      <c r="BW372" s="128"/>
      <c r="BX372" s="128"/>
      <c r="BY372" s="128"/>
      <c r="BZ372" s="128"/>
      <c r="CA372" s="128"/>
      <c r="CB372" s="128"/>
      <c r="CC372" s="128"/>
      <c r="CD372" s="128"/>
      <c r="CE372" s="128"/>
      <c r="CF372" s="128"/>
      <c r="CG372" s="128"/>
      <c r="CH372" s="128"/>
      <c r="CI372" s="128"/>
      <c r="CJ372" s="128"/>
      <c r="CK372" s="128"/>
      <c r="CL372" s="128"/>
      <c r="CM372" s="128"/>
    </row>
    <row r="373" spans="1:91" x14ac:dyDescent="0.2">
      <c r="A373" s="18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AD373" s="128"/>
      <c r="AE373" s="128"/>
      <c r="AF373" s="128"/>
      <c r="AG373" s="128"/>
      <c r="AH373" s="128"/>
      <c r="AI373" s="128"/>
      <c r="AJ373" s="128"/>
      <c r="AK373" s="128"/>
      <c r="AL373" s="128"/>
      <c r="AM373" s="128"/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  <c r="AZ373" s="128"/>
      <c r="BA373" s="128"/>
      <c r="BB373" s="128"/>
      <c r="BC373" s="128"/>
      <c r="BD373" s="128"/>
      <c r="BE373" s="128"/>
      <c r="BF373" s="128"/>
      <c r="BG373" s="128"/>
      <c r="BH373" s="128"/>
      <c r="BI373" s="128"/>
      <c r="BJ373" s="128"/>
      <c r="BK373" s="128"/>
      <c r="BL373" s="128"/>
      <c r="BM373" s="128"/>
      <c r="BN373" s="128"/>
      <c r="BO373" s="128"/>
      <c r="BP373" s="128"/>
      <c r="BQ373" s="128"/>
      <c r="BR373" s="128"/>
      <c r="BS373" s="128"/>
      <c r="BT373" s="128"/>
      <c r="BU373" s="128"/>
      <c r="BV373" s="128"/>
      <c r="BW373" s="128"/>
      <c r="BX373" s="128"/>
      <c r="BY373" s="128"/>
      <c r="BZ373" s="128"/>
      <c r="CA373" s="128"/>
      <c r="CB373" s="128"/>
      <c r="CC373" s="128"/>
      <c r="CD373" s="128"/>
      <c r="CE373" s="128"/>
      <c r="CF373" s="128"/>
      <c r="CG373" s="128"/>
      <c r="CH373" s="128"/>
      <c r="CI373" s="128"/>
      <c r="CJ373" s="128"/>
      <c r="CK373" s="128"/>
      <c r="CL373" s="128"/>
      <c r="CM373" s="128"/>
    </row>
    <row r="374" spans="1:91" x14ac:dyDescent="0.2">
      <c r="A374" s="18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AD374" s="128"/>
      <c r="AE374" s="128"/>
      <c r="AF374" s="128"/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/>
      <c r="AR374" s="128"/>
      <c r="AS374" s="128"/>
      <c r="AT374" s="128"/>
      <c r="AU374" s="128"/>
      <c r="AV374" s="128"/>
      <c r="AW374" s="128"/>
      <c r="AX374" s="128"/>
      <c r="AY374" s="128"/>
      <c r="AZ374" s="128"/>
      <c r="BA374" s="128"/>
      <c r="BB374" s="128"/>
      <c r="BC374" s="128"/>
      <c r="BD374" s="128"/>
      <c r="BE374" s="128"/>
      <c r="BF374" s="128"/>
      <c r="BG374" s="128"/>
      <c r="BH374" s="128"/>
      <c r="BI374" s="128"/>
      <c r="BJ374" s="128"/>
      <c r="BK374" s="128"/>
      <c r="BL374" s="128"/>
      <c r="BM374" s="128"/>
      <c r="BN374" s="128"/>
      <c r="BO374" s="128"/>
      <c r="BP374" s="128"/>
      <c r="BQ374" s="128"/>
      <c r="BR374" s="128"/>
      <c r="BS374" s="128"/>
      <c r="BT374" s="128"/>
      <c r="BU374" s="128"/>
      <c r="BV374" s="128"/>
      <c r="BW374" s="128"/>
      <c r="BX374" s="128"/>
      <c r="BY374" s="128"/>
      <c r="BZ374" s="128"/>
      <c r="CA374" s="128"/>
      <c r="CB374" s="128"/>
      <c r="CC374" s="128"/>
      <c r="CD374" s="128"/>
      <c r="CE374" s="128"/>
      <c r="CF374" s="128"/>
      <c r="CG374" s="128"/>
      <c r="CH374" s="128"/>
      <c r="CI374" s="128"/>
      <c r="CJ374" s="128"/>
      <c r="CK374" s="128"/>
      <c r="CL374" s="128"/>
      <c r="CM374" s="128"/>
    </row>
    <row r="375" spans="1:91" x14ac:dyDescent="0.2">
      <c r="A375" s="18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AD375" s="128"/>
      <c r="AE375" s="128"/>
      <c r="AF375" s="128"/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/>
      <c r="AR375" s="128"/>
      <c r="AS375" s="128"/>
      <c r="AT375" s="128"/>
      <c r="AU375" s="128"/>
      <c r="AV375" s="128"/>
      <c r="AW375" s="128"/>
      <c r="AX375" s="128"/>
      <c r="AY375" s="128"/>
      <c r="AZ375" s="128"/>
      <c r="BA375" s="128"/>
      <c r="BB375" s="128"/>
      <c r="BC375" s="128"/>
      <c r="BD375" s="128"/>
      <c r="BE375" s="128"/>
      <c r="BF375" s="128"/>
      <c r="BG375" s="128"/>
      <c r="BH375" s="128"/>
      <c r="BI375" s="128"/>
      <c r="BJ375" s="128"/>
      <c r="BK375" s="128"/>
      <c r="BL375" s="128"/>
      <c r="BM375" s="128"/>
      <c r="BN375" s="128"/>
      <c r="BO375" s="128"/>
      <c r="BP375" s="128"/>
      <c r="BQ375" s="128"/>
      <c r="BR375" s="128"/>
      <c r="BS375" s="128"/>
      <c r="BT375" s="128"/>
      <c r="BU375" s="128"/>
      <c r="BV375" s="128"/>
      <c r="BW375" s="128"/>
      <c r="BX375" s="128"/>
      <c r="BY375" s="128"/>
      <c r="BZ375" s="128"/>
      <c r="CA375" s="128"/>
      <c r="CB375" s="128"/>
      <c r="CC375" s="128"/>
      <c r="CD375" s="128"/>
      <c r="CE375" s="128"/>
      <c r="CF375" s="128"/>
      <c r="CG375" s="128"/>
      <c r="CH375" s="128"/>
      <c r="CI375" s="128"/>
      <c r="CJ375" s="128"/>
      <c r="CK375" s="128"/>
      <c r="CL375" s="128"/>
      <c r="CM375" s="128"/>
    </row>
    <row r="376" spans="1:91" x14ac:dyDescent="0.2">
      <c r="A376" s="18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  <c r="AS376" s="128"/>
      <c r="AT376" s="128"/>
      <c r="AU376" s="128"/>
      <c r="AV376" s="128"/>
      <c r="AW376" s="128"/>
      <c r="AX376" s="128"/>
      <c r="AY376" s="128"/>
      <c r="AZ376" s="128"/>
      <c r="BA376" s="128"/>
      <c r="BB376" s="128"/>
      <c r="BC376" s="128"/>
      <c r="BD376" s="128"/>
      <c r="BE376" s="128"/>
      <c r="BF376" s="128"/>
      <c r="BG376" s="128"/>
      <c r="BH376" s="128"/>
      <c r="BI376" s="128"/>
      <c r="BJ376" s="128"/>
      <c r="BK376" s="128"/>
      <c r="BL376" s="128"/>
      <c r="BM376" s="128"/>
      <c r="BN376" s="128"/>
      <c r="BO376" s="128"/>
      <c r="BP376" s="128"/>
      <c r="BQ376" s="128"/>
      <c r="BR376" s="128"/>
      <c r="BS376" s="128"/>
      <c r="BT376" s="128"/>
      <c r="BU376" s="128"/>
      <c r="BV376" s="128"/>
      <c r="BW376" s="128"/>
      <c r="BX376" s="128"/>
      <c r="BY376" s="128"/>
      <c r="BZ376" s="128"/>
      <c r="CA376" s="128"/>
      <c r="CB376" s="128"/>
      <c r="CC376" s="128"/>
      <c r="CD376" s="128"/>
      <c r="CE376" s="128"/>
      <c r="CF376" s="128"/>
      <c r="CG376" s="128"/>
      <c r="CH376" s="128"/>
      <c r="CI376" s="128"/>
      <c r="CJ376" s="128"/>
      <c r="CK376" s="128"/>
      <c r="CL376" s="128"/>
      <c r="CM376" s="128"/>
    </row>
    <row r="377" spans="1:91" x14ac:dyDescent="0.2">
      <c r="A377" s="18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AD377" s="128"/>
      <c r="AE377" s="128"/>
      <c r="AF377" s="128"/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  <c r="AS377" s="128"/>
      <c r="AT377" s="128"/>
      <c r="AU377" s="128"/>
      <c r="AV377" s="128"/>
      <c r="AW377" s="128"/>
      <c r="AX377" s="128"/>
      <c r="AY377" s="128"/>
      <c r="AZ377" s="128"/>
      <c r="BA377" s="128"/>
      <c r="BB377" s="128"/>
      <c r="BC377" s="128"/>
      <c r="BD377" s="128"/>
      <c r="BE377" s="128"/>
      <c r="BF377" s="128"/>
      <c r="BG377" s="128"/>
      <c r="BH377" s="128"/>
      <c r="BI377" s="128"/>
      <c r="BJ377" s="128"/>
      <c r="BK377" s="128"/>
      <c r="BL377" s="128"/>
      <c r="BM377" s="128"/>
      <c r="BN377" s="128"/>
      <c r="BO377" s="128"/>
      <c r="BP377" s="128"/>
      <c r="BQ377" s="128"/>
      <c r="BR377" s="128"/>
      <c r="BS377" s="128"/>
      <c r="BT377" s="128"/>
      <c r="BU377" s="128"/>
      <c r="BV377" s="128"/>
      <c r="BW377" s="128"/>
      <c r="BX377" s="128"/>
      <c r="BY377" s="128"/>
      <c r="BZ377" s="128"/>
      <c r="CA377" s="128"/>
      <c r="CB377" s="128"/>
      <c r="CC377" s="128"/>
      <c r="CD377" s="128"/>
      <c r="CE377" s="128"/>
      <c r="CF377" s="128"/>
      <c r="CG377" s="128"/>
      <c r="CH377" s="128"/>
      <c r="CI377" s="128"/>
      <c r="CJ377" s="128"/>
      <c r="CK377" s="128"/>
      <c r="CL377" s="128"/>
      <c r="CM377" s="128"/>
    </row>
    <row r="378" spans="1:91" x14ac:dyDescent="0.2">
      <c r="A378" s="18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AD378" s="128"/>
      <c r="AE378" s="128"/>
      <c r="AF378" s="128"/>
      <c r="AG378" s="12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28"/>
      <c r="AR378" s="128"/>
      <c r="AS378" s="128"/>
      <c r="AT378" s="128"/>
      <c r="AU378" s="128"/>
      <c r="AV378" s="128"/>
      <c r="AW378" s="128"/>
      <c r="AX378" s="128"/>
      <c r="AY378" s="128"/>
      <c r="AZ378" s="128"/>
      <c r="BA378" s="128"/>
      <c r="BB378" s="128"/>
      <c r="BC378" s="128"/>
      <c r="BD378" s="128"/>
      <c r="BE378" s="128"/>
      <c r="BF378" s="128"/>
      <c r="BG378" s="128"/>
      <c r="BH378" s="128"/>
      <c r="BI378" s="128"/>
      <c r="BJ378" s="128"/>
      <c r="BK378" s="128"/>
      <c r="BL378" s="128"/>
      <c r="BM378" s="128"/>
      <c r="BN378" s="128"/>
      <c r="BO378" s="128"/>
      <c r="BP378" s="128"/>
      <c r="BQ378" s="128"/>
      <c r="BR378" s="128"/>
      <c r="BS378" s="128"/>
      <c r="BT378" s="128"/>
      <c r="BU378" s="128"/>
      <c r="BV378" s="128"/>
      <c r="BW378" s="128"/>
      <c r="BX378" s="128"/>
      <c r="BY378" s="128"/>
      <c r="BZ378" s="128"/>
      <c r="CA378" s="128"/>
      <c r="CB378" s="128"/>
      <c r="CC378" s="128"/>
      <c r="CD378" s="128"/>
      <c r="CE378" s="128"/>
      <c r="CF378" s="128"/>
      <c r="CG378" s="128"/>
      <c r="CH378" s="128"/>
      <c r="CI378" s="128"/>
      <c r="CJ378" s="128"/>
      <c r="CK378" s="128"/>
      <c r="CL378" s="128"/>
      <c r="CM378" s="128"/>
    </row>
    <row r="379" spans="1:91" x14ac:dyDescent="0.2">
      <c r="A379" s="18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AD379" s="128"/>
      <c r="AE379" s="128"/>
      <c r="AF379" s="128"/>
      <c r="AG379" s="128"/>
      <c r="AH379" s="128"/>
      <c r="AI379" s="128"/>
      <c r="AJ379" s="128"/>
      <c r="AK379" s="128"/>
      <c r="AL379" s="128"/>
      <c r="AM379" s="128"/>
      <c r="AN379" s="128"/>
      <c r="AO379" s="128"/>
      <c r="AP379" s="128"/>
      <c r="AQ379" s="128"/>
      <c r="AR379" s="128"/>
      <c r="AS379" s="128"/>
      <c r="AT379" s="128"/>
      <c r="AU379" s="128"/>
      <c r="AV379" s="128"/>
      <c r="AW379" s="128"/>
      <c r="AX379" s="128"/>
      <c r="AY379" s="128"/>
      <c r="AZ379" s="128"/>
      <c r="BA379" s="128"/>
      <c r="BB379" s="128"/>
      <c r="BC379" s="128"/>
      <c r="BD379" s="128"/>
      <c r="BE379" s="128"/>
      <c r="BF379" s="128"/>
      <c r="BG379" s="128"/>
      <c r="BH379" s="128"/>
      <c r="BI379" s="128"/>
      <c r="BJ379" s="128"/>
      <c r="BK379" s="128"/>
      <c r="BL379" s="128"/>
      <c r="BM379" s="128"/>
      <c r="BN379" s="128"/>
      <c r="BO379" s="128"/>
      <c r="BP379" s="128"/>
      <c r="BQ379" s="128"/>
      <c r="BR379" s="128"/>
      <c r="BS379" s="128"/>
      <c r="BT379" s="128"/>
      <c r="BU379" s="128"/>
      <c r="BV379" s="128"/>
      <c r="BW379" s="128"/>
      <c r="BX379" s="128"/>
      <c r="BY379" s="128"/>
      <c r="BZ379" s="128"/>
      <c r="CA379" s="128"/>
      <c r="CB379" s="128"/>
      <c r="CC379" s="128"/>
      <c r="CD379" s="128"/>
      <c r="CE379" s="128"/>
      <c r="CF379" s="128"/>
      <c r="CG379" s="128"/>
      <c r="CH379" s="128"/>
      <c r="CI379" s="128"/>
      <c r="CJ379" s="128"/>
      <c r="CK379" s="128"/>
      <c r="CL379" s="128"/>
      <c r="CM379" s="128"/>
    </row>
    <row r="380" spans="1:91" x14ac:dyDescent="0.2">
      <c r="A380" s="18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AD380" s="128"/>
      <c r="AE380" s="128"/>
      <c r="AF380" s="128"/>
      <c r="AG380" s="128"/>
      <c r="AH380" s="128"/>
      <c r="AI380" s="128"/>
      <c r="AJ380" s="128"/>
      <c r="AK380" s="128"/>
      <c r="AL380" s="128"/>
      <c r="AM380" s="128"/>
      <c r="AN380" s="128"/>
      <c r="AO380" s="128"/>
      <c r="AP380" s="128"/>
      <c r="AQ380" s="128"/>
      <c r="AR380" s="128"/>
      <c r="AS380" s="128"/>
      <c r="AT380" s="128"/>
      <c r="AU380" s="128"/>
      <c r="AV380" s="128"/>
      <c r="AW380" s="128"/>
      <c r="AX380" s="128"/>
      <c r="AY380" s="128"/>
      <c r="AZ380" s="128"/>
      <c r="BA380" s="128"/>
      <c r="BB380" s="128"/>
      <c r="BC380" s="128"/>
      <c r="BD380" s="128"/>
      <c r="BE380" s="128"/>
      <c r="BF380" s="128"/>
      <c r="BG380" s="128"/>
      <c r="BH380" s="128"/>
      <c r="BI380" s="128"/>
      <c r="BJ380" s="128"/>
      <c r="BK380" s="128"/>
      <c r="BL380" s="128"/>
      <c r="BM380" s="128"/>
      <c r="BN380" s="128"/>
      <c r="BO380" s="128"/>
      <c r="BP380" s="128"/>
      <c r="BQ380" s="128"/>
      <c r="BR380" s="128"/>
      <c r="BS380" s="128"/>
      <c r="BT380" s="128"/>
      <c r="BU380" s="128"/>
      <c r="BV380" s="128"/>
      <c r="BW380" s="128"/>
      <c r="BX380" s="128"/>
      <c r="BY380" s="128"/>
      <c r="BZ380" s="128"/>
      <c r="CA380" s="128"/>
      <c r="CB380" s="128"/>
      <c r="CC380" s="128"/>
      <c r="CD380" s="128"/>
      <c r="CE380" s="128"/>
      <c r="CF380" s="128"/>
      <c r="CG380" s="128"/>
      <c r="CH380" s="128"/>
      <c r="CI380" s="128"/>
      <c r="CJ380" s="128"/>
      <c r="CK380" s="128"/>
      <c r="CL380" s="128"/>
      <c r="CM380" s="128"/>
    </row>
    <row r="381" spans="1:91" x14ac:dyDescent="0.2">
      <c r="A381" s="18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AD381" s="128"/>
      <c r="AE381" s="128"/>
      <c r="AF381" s="128"/>
      <c r="AG381" s="128"/>
      <c r="AH381" s="128"/>
      <c r="AI381" s="128"/>
      <c r="AJ381" s="128"/>
      <c r="AK381" s="128"/>
      <c r="AL381" s="128"/>
      <c r="AM381" s="128"/>
      <c r="AN381" s="128"/>
      <c r="AO381" s="128"/>
      <c r="AP381" s="128"/>
      <c r="AQ381" s="128"/>
      <c r="AR381" s="128"/>
      <c r="AS381" s="128"/>
      <c r="AT381" s="128"/>
      <c r="AU381" s="128"/>
      <c r="AV381" s="128"/>
      <c r="AW381" s="128"/>
      <c r="AX381" s="128"/>
      <c r="AY381" s="128"/>
      <c r="AZ381" s="128"/>
      <c r="BA381" s="128"/>
      <c r="BB381" s="128"/>
      <c r="BC381" s="128"/>
      <c r="BD381" s="128"/>
      <c r="BE381" s="128"/>
      <c r="BF381" s="128"/>
      <c r="BG381" s="128"/>
      <c r="BH381" s="128"/>
      <c r="BI381" s="128"/>
      <c r="BJ381" s="128"/>
      <c r="BK381" s="128"/>
      <c r="BL381" s="128"/>
      <c r="BM381" s="128"/>
      <c r="BN381" s="128"/>
      <c r="BO381" s="128"/>
      <c r="BP381" s="128"/>
      <c r="BQ381" s="128"/>
      <c r="BR381" s="128"/>
      <c r="BS381" s="128"/>
      <c r="BT381" s="128"/>
      <c r="BU381" s="128"/>
      <c r="BV381" s="128"/>
      <c r="BW381" s="128"/>
      <c r="BX381" s="128"/>
      <c r="BY381" s="128"/>
      <c r="BZ381" s="128"/>
      <c r="CA381" s="128"/>
      <c r="CB381" s="128"/>
      <c r="CC381" s="128"/>
      <c r="CD381" s="128"/>
      <c r="CE381" s="128"/>
      <c r="CF381" s="128"/>
      <c r="CG381" s="128"/>
      <c r="CH381" s="128"/>
      <c r="CI381" s="128"/>
      <c r="CJ381" s="128"/>
      <c r="CK381" s="128"/>
      <c r="CL381" s="128"/>
      <c r="CM381" s="128"/>
    </row>
    <row r="382" spans="1:91" x14ac:dyDescent="0.2">
      <c r="A382" s="18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AD382" s="128"/>
      <c r="AE382" s="128"/>
      <c r="AF382" s="128"/>
      <c r="AG382" s="128"/>
      <c r="AH382" s="128"/>
      <c r="AI382" s="128"/>
      <c r="AJ382" s="128"/>
      <c r="AK382" s="128"/>
      <c r="AL382" s="128"/>
      <c r="AM382" s="128"/>
      <c r="AN382" s="128"/>
      <c r="AO382" s="128"/>
      <c r="AP382" s="128"/>
      <c r="AQ382" s="128"/>
      <c r="AR382" s="128"/>
      <c r="AS382" s="128"/>
      <c r="AT382" s="128"/>
      <c r="AU382" s="128"/>
      <c r="AV382" s="128"/>
      <c r="AW382" s="128"/>
      <c r="AX382" s="128"/>
      <c r="AY382" s="128"/>
      <c r="AZ382" s="128"/>
      <c r="BA382" s="128"/>
      <c r="BB382" s="128"/>
      <c r="BC382" s="128"/>
      <c r="BD382" s="128"/>
      <c r="BE382" s="128"/>
      <c r="BF382" s="128"/>
      <c r="BG382" s="128"/>
      <c r="BH382" s="128"/>
      <c r="BI382" s="128"/>
      <c r="BJ382" s="128"/>
      <c r="BK382" s="128"/>
      <c r="BL382" s="128"/>
      <c r="BM382" s="128"/>
      <c r="BN382" s="128"/>
      <c r="BO382" s="128"/>
      <c r="BP382" s="128"/>
      <c r="BQ382" s="128"/>
      <c r="BR382" s="128"/>
      <c r="BS382" s="128"/>
      <c r="BT382" s="128"/>
      <c r="BU382" s="128"/>
      <c r="BV382" s="128"/>
      <c r="BW382" s="128"/>
      <c r="BX382" s="128"/>
      <c r="BY382" s="128"/>
      <c r="BZ382" s="128"/>
      <c r="CA382" s="128"/>
      <c r="CB382" s="128"/>
      <c r="CC382" s="128"/>
      <c r="CD382" s="128"/>
      <c r="CE382" s="128"/>
      <c r="CF382" s="128"/>
      <c r="CG382" s="128"/>
      <c r="CH382" s="128"/>
      <c r="CI382" s="128"/>
      <c r="CJ382" s="128"/>
      <c r="CK382" s="128"/>
      <c r="CL382" s="128"/>
      <c r="CM382" s="128"/>
    </row>
    <row r="383" spans="1:91" x14ac:dyDescent="0.2">
      <c r="A383" s="18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AD383" s="128"/>
      <c r="AE383" s="128"/>
      <c r="AF383" s="128"/>
      <c r="AG383" s="128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  <c r="AS383" s="128"/>
      <c r="AT383" s="128"/>
      <c r="AU383" s="128"/>
      <c r="AV383" s="128"/>
      <c r="AW383" s="128"/>
      <c r="AX383" s="128"/>
      <c r="AY383" s="128"/>
      <c r="AZ383" s="128"/>
      <c r="BA383" s="128"/>
      <c r="BB383" s="128"/>
      <c r="BC383" s="128"/>
      <c r="BD383" s="128"/>
      <c r="BE383" s="128"/>
      <c r="BF383" s="128"/>
      <c r="BG383" s="128"/>
      <c r="BH383" s="128"/>
      <c r="BI383" s="128"/>
      <c r="BJ383" s="128"/>
      <c r="BK383" s="128"/>
      <c r="BL383" s="128"/>
      <c r="BM383" s="128"/>
      <c r="BN383" s="128"/>
      <c r="BO383" s="128"/>
      <c r="BP383" s="128"/>
      <c r="BQ383" s="128"/>
      <c r="BR383" s="128"/>
      <c r="BS383" s="128"/>
      <c r="BT383" s="128"/>
      <c r="BU383" s="128"/>
      <c r="BV383" s="128"/>
      <c r="BW383" s="128"/>
      <c r="BX383" s="128"/>
      <c r="BY383" s="128"/>
      <c r="BZ383" s="128"/>
      <c r="CA383" s="128"/>
      <c r="CB383" s="128"/>
      <c r="CC383" s="128"/>
      <c r="CD383" s="128"/>
      <c r="CE383" s="128"/>
      <c r="CF383" s="128"/>
      <c r="CG383" s="128"/>
      <c r="CH383" s="128"/>
      <c r="CI383" s="128"/>
      <c r="CJ383" s="128"/>
      <c r="CK383" s="128"/>
      <c r="CL383" s="128"/>
      <c r="CM383" s="128"/>
    </row>
    <row r="384" spans="1:91" x14ac:dyDescent="0.2">
      <c r="A384" s="18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  <c r="BC384" s="128"/>
      <c r="BD384" s="128"/>
      <c r="BE384" s="128"/>
      <c r="BF384" s="128"/>
      <c r="BG384" s="128"/>
      <c r="BH384" s="128"/>
      <c r="BI384" s="128"/>
      <c r="BJ384" s="128"/>
      <c r="BK384" s="128"/>
      <c r="BL384" s="128"/>
      <c r="BM384" s="128"/>
      <c r="BN384" s="128"/>
      <c r="BO384" s="128"/>
      <c r="BP384" s="128"/>
      <c r="BQ384" s="128"/>
      <c r="BR384" s="128"/>
      <c r="BS384" s="128"/>
      <c r="BT384" s="128"/>
      <c r="BU384" s="128"/>
      <c r="BV384" s="128"/>
      <c r="BW384" s="128"/>
      <c r="BX384" s="128"/>
      <c r="BY384" s="128"/>
      <c r="BZ384" s="128"/>
      <c r="CA384" s="128"/>
      <c r="CB384" s="128"/>
      <c r="CC384" s="128"/>
      <c r="CD384" s="128"/>
      <c r="CE384" s="128"/>
      <c r="CF384" s="128"/>
      <c r="CG384" s="128"/>
      <c r="CH384" s="128"/>
      <c r="CI384" s="128"/>
      <c r="CJ384" s="128"/>
      <c r="CK384" s="128"/>
      <c r="CL384" s="128"/>
      <c r="CM384" s="128"/>
    </row>
    <row r="385" spans="1:91" x14ac:dyDescent="0.2">
      <c r="A385" s="18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AD385" s="128"/>
      <c r="AE385" s="128"/>
      <c r="AF385" s="128"/>
      <c r="AG385" s="12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28"/>
      <c r="AR385" s="128"/>
      <c r="AS385" s="128"/>
      <c r="AT385" s="128"/>
      <c r="AU385" s="128"/>
      <c r="AV385" s="128"/>
      <c r="AW385" s="128"/>
      <c r="AX385" s="128"/>
      <c r="AY385" s="128"/>
      <c r="AZ385" s="128"/>
      <c r="BA385" s="128"/>
      <c r="BB385" s="128"/>
      <c r="BC385" s="128"/>
      <c r="BD385" s="128"/>
      <c r="BE385" s="128"/>
      <c r="BF385" s="128"/>
      <c r="BG385" s="128"/>
      <c r="BH385" s="128"/>
      <c r="BI385" s="128"/>
      <c r="BJ385" s="128"/>
      <c r="BK385" s="128"/>
      <c r="BL385" s="128"/>
      <c r="BM385" s="128"/>
      <c r="BN385" s="128"/>
      <c r="BO385" s="128"/>
      <c r="BP385" s="128"/>
      <c r="BQ385" s="128"/>
      <c r="BR385" s="128"/>
      <c r="BS385" s="128"/>
      <c r="BT385" s="128"/>
      <c r="BU385" s="128"/>
      <c r="BV385" s="128"/>
      <c r="BW385" s="128"/>
      <c r="BX385" s="128"/>
      <c r="BY385" s="128"/>
      <c r="BZ385" s="128"/>
      <c r="CA385" s="128"/>
      <c r="CB385" s="128"/>
      <c r="CC385" s="128"/>
      <c r="CD385" s="128"/>
      <c r="CE385" s="128"/>
      <c r="CF385" s="128"/>
      <c r="CG385" s="128"/>
      <c r="CH385" s="128"/>
      <c r="CI385" s="128"/>
      <c r="CJ385" s="128"/>
      <c r="CK385" s="128"/>
      <c r="CL385" s="128"/>
      <c r="CM385" s="128"/>
    </row>
    <row r="386" spans="1:91" x14ac:dyDescent="0.2">
      <c r="A386" s="18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AD386" s="128"/>
      <c r="AE386" s="128"/>
      <c r="AF386" s="128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28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8"/>
      <c r="CA386" s="128"/>
      <c r="CB386" s="128"/>
      <c r="CC386" s="128"/>
      <c r="CD386" s="128"/>
      <c r="CE386" s="128"/>
      <c r="CF386" s="128"/>
      <c r="CG386" s="128"/>
      <c r="CH386" s="128"/>
      <c r="CI386" s="128"/>
      <c r="CJ386" s="128"/>
      <c r="CK386" s="128"/>
      <c r="CL386" s="128"/>
      <c r="CM386" s="128"/>
    </row>
    <row r="387" spans="1:91" x14ac:dyDescent="0.2">
      <c r="A387" s="18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AD387" s="128"/>
      <c r="AE387" s="128"/>
      <c r="AF387" s="128"/>
      <c r="AG387" s="128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28"/>
      <c r="AR387" s="128"/>
      <c r="AS387" s="128"/>
      <c r="AT387" s="128"/>
      <c r="AU387" s="128"/>
      <c r="AV387" s="128"/>
      <c r="AW387" s="128"/>
      <c r="AX387" s="128"/>
      <c r="AY387" s="128"/>
      <c r="AZ387" s="128"/>
      <c r="BA387" s="128"/>
      <c r="BB387" s="128"/>
      <c r="BC387" s="128"/>
      <c r="BD387" s="128"/>
      <c r="BE387" s="128"/>
      <c r="BF387" s="128"/>
      <c r="BG387" s="128"/>
      <c r="BH387" s="128"/>
      <c r="BI387" s="128"/>
      <c r="BJ387" s="128"/>
      <c r="BK387" s="128"/>
      <c r="BL387" s="128"/>
      <c r="BM387" s="128"/>
      <c r="BN387" s="128"/>
      <c r="BO387" s="128"/>
      <c r="BP387" s="128"/>
      <c r="BQ387" s="128"/>
      <c r="BR387" s="128"/>
      <c r="BS387" s="128"/>
      <c r="BT387" s="128"/>
      <c r="BU387" s="128"/>
      <c r="BV387" s="128"/>
      <c r="BW387" s="128"/>
      <c r="BX387" s="128"/>
      <c r="BY387" s="128"/>
      <c r="BZ387" s="128"/>
      <c r="CA387" s="128"/>
      <c r="CB387" s="128"/>
      <c r="CC387" s="128"/>
      <c r="CD387" s="128"/>
      <c r="CE387" s="128"/>
      <c r="CF387" s="128"/>
      <c r="CG387" s="128"/>
      <c r="CH387" s="128"/>
      <c r="CI387" s="128"/>
      <c r="CJ387" s="128"/>
      <c r="CK387" s="128"/>
      <c r="CL387" s="128"/>
      <c r="CM387" s="128"/>
    </row>
    <row r="388" spans="1:91" x14ac:dyDescent="0.2">
      <c r="A388" s="18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AD388" s="128"/>
      <c r="AE388" s="128"/>
      <c r="AF388" s="128"/>
      <c r="AG388" s="128"/>
      <c r="AH388" s="128"/>
      <c r="AI388" s="128"/>
      <c r="AJ388" s="128"/>
      <c r="AK388" s="128"/>
      <c r="AL388" s="128"/>
      <c r="AM388" s="128"/>
      <c r="AN388" s="128"/>
      <c r="AO388" s="128"/>
      <c r="AP388" s="128"/>
      <c r="AQ388" s="128"/>
      <c r="AR388" s="128"/>
      <c r="AS388" s="128"/>
      <c r="AT388" s="128"/>
      <c r="AU388" s="128"/>
      <c r="AV388" s="128"/>
      <c r="AW388" s="128"/>
      <c r="AX388" s="128"/>
      <c r="AY388" s="128"/>
      <c r="AZ388" s="128"/>
      <c r="BA388" s="128"/>
      <c r="BB388" s="128"/>
      <c r="BC388" s="128"/>
      <c r="BD388" s="128"/>
      <c r="BE388" s="128"/>
      <c r="BF388" s="128"/>
      <c r="BG388" s="128"/>
      <c r="BH388" s="128"/>
      <c r="BI388" s="128"/>
      <c r="BJ388" s="128"/>
      <c r="BK388" s="128"/>
      <c r="BL388" s="128"/>
      <c r="BM388" s="128"/>
      <c r="BN388" s="128"/>
      <c r="BO388" s="128"/>
      <c r="BP388" s="128"/>
      <c r="BQ388" s="128"/>
      <c r="BR388" s="128"/>
      <c r="BS388" s="128"/>
      <c r="BT388" s="128"/>
      <c r="BU388" s="128"/>
      <c r="BV388" s="128"/>
      <c r="BW388" s="128"/>
      <c r="BX388" s="128"/>
      <c r="BY388" s="128"/>
      <c r="BZ388" s="128"/>
      <c r="CA388" s="128"/>
      <c r="CB388" s="128"/>
      <c r="CC388" s="128"/>
      <c r="CD388" s="128"/>
      <c r="CE388" s="128"/>
      <c r="CF388" s="128"/>
      <c r="CG388" s="128"/>
      <c r="CH388" s="128"/>
      <c r="CI388" s="128"/>
      <c r="CJ388" s="128"/>
      <c r="CK388" s="128"/>
      <c r="CL388" s="128"/>
      <c r="CM388" s="128"/>
    </row>
    <row r="389" spans="1:91" x14ac:dyDescent="0.2">
      <c r="A389" s="18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AD389" s="128"/>
      <c r="AE389" s="128"/>
      <c r="AF389" s="128"/>
      <c r="AG389" s="12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28"/>
      <c r="AR389" s="128"/>
      <c r="AS389" s="128"/>
      <c r="AT389" s="128"/>
      <c r="AU389" s="128"/>
      <c r="AV389" s="128"/>
      <c r="AW389" s="128"/>
      <c r="AX389" s="128"/>
      <c r="AY389" s="128"/>
      <c r="AZ389" s="128"/>
      <c r="BA389" s="128"/>
      <c r="BB389" s="128"/>
      <c r="BC389" s="128"/>
      <c r="BD389" s="128"/>
      <c r="BE389" s="128"/>
      <c r="BF389" s="128"/>
      <c r="BG389" s="128"/>
      <c r="BH389" s="128"/>
      <c r="BI389" s="128"/>
      <c r="BJ389" s="128"/>
      <c r="BK389" s="128"/>
      <c r="BL389" s="128"/>
      <c r="BM389" s="128"/>
      <c r="BN389" s="128"/>
      <c r="BO389" s="128"/>
      <c r="BP389" s="128"/>
      <c r="BQ389" s="128"/>
      <c r="BR389" s="128"/>
      <c r="BS389" s="128"/>
      <c r="BT389" s="128"/>
      <c r="BU389" s="128"/>
      <c r="BV389" s="128"/>
      <c r="BW389" s="128"/>
      <c r="BX389" s="128"/>
      <c r="BY389" s="128"/>
      <c r="BZ389" s="128"/>
      <c r="CA389" s="128"/>
      <c r="CB389" s="128"/>
      <c r="CC389" s="128"/>
      <c r="CD389" s="128"/>
      <c r="CE389" s="128"/>
      <c r="CF389" s="128"/>
      <c r="CG389" s="128"/>
      <c r="CH389" s="128"/>
      <c r="CI389" s="128"/>
      <c r="CJ389" s="128"/>
      <c r="CK389" s="128"/>
      <c r="CL389" s="128"/>
      <c r="CM389" s="128"/>
    </row>
    <row r="390" spans="1:91" x14ac:dyDescent="0.2">
      <c r="A390" s="18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AD390" s="128"/>
      <c r="AE390" s="128"/>
      <c r="AF390" s="128"/>
      <c r="AG390" s="12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28"/>
      <c r="AR390" s="128"/>
      <c r="AS390" s="128"/>
      <c r="AT390" s="128"/>
      <c r="AU390" s="128"/>
      <c r="AV390" s="128"/>
      <c r="AW390" s="128"/>
      <c r="AX390" s="128"/>
      <c r="AY390" s="128"/>
      <c r="AZ390" s="128"/>
      <c r="BA390" s="128"/>
      <c r="BB390" s="128"/>
      <c r="BC390" s="128"/>
      <c r="BD390" s="128"/>
      <c r="BE390" s="128"/>
      <c r="BF390" s="128"/>
      <c r="BG390" s="128"/>
      <c r="BH390" s="128"/>
      <c r="BI390" s="128"/>
      <c r="BJ390" s="128"/>
      <c r="BK390" s="128"/>
      <c r="BL390" s="128"/>
      <c r="BM390" s="128"/>
      <c r="BN390" s="128"/>
      <c r="BO390" s="128"/>
      <c r="BP390" s="128"/>
      <c r="BQ390" s="128"/>
      <c r="BR390" s="128"/>
      <c r="BS390" s="128"/>
      <c r="BT390" s="128"/>
      <c r="BU390" s="128"/>
      <c r="BV390" s="128"/>
      <c r="BW390" s="128"/>
      <c r="BX390" s="128"/>
      <c r="BY390" s="128"/>
      <c r="BZ390" s="128"/>
      <c r="CA390" s="128"/>
      <c r="CB390" s="128"/>
      <c r="CC390" s="128"/>
      <c r="CD390" s="128"/>
      <c r="CE390" s="128"/>
      <c r="CF390" s="128"/>
      <c r="CG390" s="128"/>
      <c r="CH390" s="128"/>
      <c r="CI390" s="128"/>
      <c r="CJ390" s="128"/>
      <c r="CK390" s="128"/>
      <c r="CL390" s="128"/>
      <c r="CM390" s="128"/>
    </row>
    <row r="391" spans="1:91" x14ac:dyDescent="0.2">
      <c r="A391" s="18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  <c r="AS391" s="128"/>
      <c r="AT391" s="128"/>
      <c r="AU391" s="128"/>
      <c r="AV391" s="128"/>
      <c r="AW391" s="128"/>
      <c r="AX391" s="128"/>
      <c r="AY391" s="128"/>
      <c r="AZ391" s="128"/>
      <c r="BA391" s="128"/>
      <c r="BB391" s="128"/>
      <c r="BC391" s="128"/>
      <c r="BD391" s="128"/>
      <c r="BE391" s="128"/>
      <c r="BF391" s="128"/>
      <c r="BG391" s="128"/>
      <c r="BH391" s="128"/>
      <c r="BI391" s="128"/>
      <c r="BJ391" s="128"/>
      <c r="BK391" s="128"/>
      <c r="BL391" s="128"/>
      <c r="BM391" s="128"/>
      <c r="BN391" s="128"/>
      <c r="BO391" s="128"/>
      <c r="BP391" s="128"/>
      <c r="BQ391" s="128"/>
      <c r="BR391" s="128"/>
      <c r="BS391" s="128"/>
      <c r="BT391" s="128"/>
      <c r="BU391" s="128"/>
      <c r="BV391" s="128"/>
      <c r="BW391" s="128"/>
      <c r="BX391" s="128"/>
      <c r="BY391" s="128"/>
      <c r="BZ391" s="128"/>
      <c r="CA391" s="128"/>
      <c r="CB391" s="128"/>
      <c r="CC391" s="128"/>
      <c r="CD391" s="128"/>
      <c r="CE391" s="128"/>
      <c r="CF391" s="128"/>
      <c r="CG391" s="128"/>
      <c r="CH391" s="128"/>
      <c r="CI391" s="128"/>
      <c r="CJ391" s="128"/>
      <c r="CK391" s="128"/>
      <c r="CL391" s="128"/>
      <c r="CM391" s="128"/>
    </row>
    <row r="392" spans="1:91" x14ac:dyDescent="0.2">
      <c r="A392" s="18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8"/>
      <c r="AT392" s="128"/>
      <c r="AU392" s="128"/>
      <c r="AV392" s="128"/>
      <c r="AW392" s="128"/>
      <c r="AX392" s="128"/>
      <c r="AY392" s="128"/>
      <c r="AZ392" s="128"/>
      <c r="BA392" s="128"/>
      <c r="BB392" s="128"/>
      <c r="BC392" s="128"/>
      <c r="BD392" s="128"/>
      <c r="BE392" s="128"/>
      <c r="BF392" s="128"/>
      <c r="BG392" s="128"/>
      <c r="BH392" s="128"/>
      <c r="BI392" s="128"/>
      <c r="BJ392" s="128"/>
      <c r="BK392" s="128"/>
      <c r="BL392" s="128"/>
      <c r="BM392" s="128"/>
      <c r="BN392" s="128"/>
      <c r="BO392" s="128"/>
      <c r="BP392" s="128"/>
      <c r="BQ392" s="128"/>
      <c r="BR392" s="128"/>
      <c r="BS392" s="128"/>
      <c r="BT392" s="128"/>
      <c r="BU392" s="128"/>
      <c r="BV392" s="128"/>
      <c r="BW392" s="128"/>
      <c r="BX392" s="128"/>
      <c r="BY392" s="128"/>
      <c r="BZ392" s="128"/>
      <c r="CA392" s="128"/>
      <c r="CB392" s="128"/>
      <c r="CC392" s="128"/>
      <c r="CD392" s="128"/>
      <c r="CE392" s="128"/>
      <c r="CF392" s="128"/>
      <c r="CG392" s="128"/>
      <c r="CH392" s="128"/>
      <c r="CI392" s="128"/>
      <c r="CJ392" s="128"/>
      <c r="CK392" s="128"/>
      <c r="CL392" s="128"/>
      <c r="CM392" s="128"/>
    </row>
    <row r="393" spans="1:91" x14ac:dyDescent="0.2">
      <c r="A393" s="18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AD393" s="128"/>
      <c r="AE393" s="128"/>
      <c r="AF393" s="128"/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  <c r="AS393" s="128"/>
      <c r="AT393" s="128"/>
      <c r="AU393" s="128"/>
      <c r="AV393" s="128"/>
      <c r="AW393" s="128"/>
      <c r="AX393" s="128"/>
      <c r="AY393" s="128"/>
      <c r="AZ393" s="128"/>
      <c r="BA393" s="128"/>
      <c r="BB393" s="128"/>
      <c r="BC393" s="128"/>
      <c r="BD393" s="128"/>
      <c r="BE393" s="128"/>
      <c r="BF393" s="128"/>
      <c r="BG393" s="128"/>
      <c r="BH393" s="128"/>
      <c r="BI393" s="128"/>
      <c r="BJ393" s="128"/>
      <c r="BK393" s="128"/>
      <c r="BL393" s="128"/>
      <c r="BM393" s="128"/>
      <c r="BN393" s="128"/>
      <c r="BO393" s="128"/>
      <c r="BP393" s="128"/>
      <c r="BQ393" s="128"/>
      <c r="BR393" s="128"/>
      <c r="BS393" s="128"/>
      <c r="BT393" s="128"/>
      <c r="BU393" s="128"/>
      <c r="BV393" s="128"/>
      <c r="BW393" s="128"/>
      <c r="BX393" s="128"/>
      <c r="BY393" s="128"/>
      <c r="BZ393" s="128"/>
      <c r="CA393" s="128"/>
      <c r="CB393" s="128"/>
      <c r="CC393" s="128"/>
      <c r="CD393" s="128"/>
      <c r="CE393" s="128"/>
      <c r="CF393" s="128"/>
      <c r="CG393" s="128"/>
      <c r="CH393" s="128"/>
      <c r="CI393" s="128"/>
      <c r="CJ393" s="128"/>
      <c r="CK393" s="128"/>
      <c r="CL393" s="128"/>
      <c r="CM393" s="128"/>
    </row>
    <row r="394" spans="1:91" x14ac:dyDescent="0.2">
      <c r="A394" s="18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AD394" s="128"/>
      <c r="AE394" s="128"/>
      <c r="AF394" s="128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8"/>
      <c r="AT394" s="128"/>
      <c r="AU394" s="128"/>
      <c r="AV394" s="128"/>
      <c r="AW394" s="128"/>
      <c r="AX394" s="128"/>
      <c r="AY394" s="128"/>
      <c r="AZ394" s="128"/>
      <c r="BA394" s="128"/>
      <c r="BB394" s="128"/>
      <c r="BC394" s="128"/>
      <c r="BD394" s="128"/>
      <c r="BE394" s="128"/>
      <c r="BF394" s="128"/>
      <c r="BG394" s="128"/>
      <c r="BH394" s="128"/>
      <c r="BI394" s="128"/>
      <c r="BJ394" s="128"/>
      <c r="BK394" s="128"/>
      <c r="BL394" s="128"/>
      <c r="BM394" s="128"/>
      <c r="BN394" s="128"/>
      <c r="BO394" s="128"/>
      <c r="BP394" s="128"/>
      <c r="BQ394" s="128"/>
      <c r="BR394" s="128"/>
      <c r="BS394" s="128"/>
      <c r="BT394" s="128"/>
      <c r="BU394" s="128"/>
      <c r="BV394" s="128"/>
      <c r="BW394" s="128"/>
      <c r="BX394" s="128"/>
      <c r="BY394" s="128"/>
      <c r="BZ394" s="128"/>
      <c r="CA394" s="128"/>
      <c r="CB394" s="128"/>
      <c r="CC394" s="128"/>
      <c r="CD394" s="128"/>
      <c r="CE394" s="128"/>
      <c r="CF394" s="128"/>
      <c r="CG394" s="128"/>
      <c r="CH394" s="128"/>
      <c r="CI394" s="128"/>
      <c r="CJ394" s="128"/>
      <c r="CK394" s="128"/>
      <c r="CL394" s="128"/>
      <c r="CM394" s="128"/>
    </row>
    <row r="395" spans="1:91" x14ac:dyDescent="0.2">
      <c r="A395" s="18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AD395" s="128"/>
      <c r="AE395" s="128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8"/>
      <c r="AT395" s="128"/>
      <c r="AU395" s="128"/>
      <c r="AV395" s="128"/>
      <c r="AW395" s="128"/>
      <c r="AX395" s="128"/>
      <c r="AY395" s="128"/>
      <c r="AZ395" s="128"/>
      <c r="BA395" s="128"/>
      <c r="BB395" s="128"/>
      <c r="BC395" s="128"/>
      <c r="BD395" s="128"/>
      <c r="BE395" s="128"/>
      <c r="BF395" s="128"/>
      <c r="BG395" s="128"/>
      <c r="BH395" s="128"/>
      <c r="BI395" s="128"/>
      <c r="BJ395" s="128"/>
      <c r="BK395" s="128"/>
      <c r="BL395" s="128"/>
      <c r="BM395" s="128"/>
      <c r="BN395" s="128"/>
      <c r="BO395" s="128"/>
      <c r="BP395" s="128"/>
      <c r="BQ395" s="128"/>
      <c r="BR395" s="128"/>
      <c r="BS395" s="128"/>
      <c r="BT395" s="128"/>
      <c r="BU395" s="128"/>
      <c r="BV395" s="128"/>
      <c r="BW395" s="128"/>
      <c r="BX395" s="128"/>
      <c r="BY395" s="128"/>
      <c r="BZ395" s="128"/>
      <c r="CA395" s="128"/>
      <c r="CB395" s="128"/>
      <c r="CC395" s="128"/>
      <c r="CD395" s="128"/>
      <c r="CE395" s="128"/>
      <c r="CF395" s="128"/>
      <c r="CG395" s="128"/>
      <c r="CH395" s="128"/>
      <c r="CI395" s="128"/>
      <c r="CJ395" s="128"/>
      <c r="CK395" s="128"/>
      <c r="CL395" s="128"/>
      <c r="CM395" s="128"/>
    </row>
    <row r="396" spans="1:91" x14ac:dyDescent="0.2">
      <c r="A396" s="18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AD396" s="128"/>
      <c r="AE396" s="128"/>
      <c r="AF396" s="128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  <c r="AS396" s="128"/>
      <c r="AT396" s="128"/>
      <c r="AU396" s="128"/>
      <c r="AV396" s="128"/>
      <c r="AW396" s="128"/>
      <c r="AX396" s="128"/>
      <c r="AY396" s="128"/>
      <c r="AZ396" s="128"/>
      <c r="BA396" s="128"/>
      <c r="BB396" s="128"/>
      <c r="BC396" s="128"/>
      <c r="BD396" s="128"/>
      <c r="BE396" s="128"/>
      <c r="BF396" s="128"/>
      <c r="BG396" s="128"/>
      <c r="BH396" s="128"/>
      <c r="BI396" s="128"/>
      <c r="BJ396" s="128"/>
      <c r="BK396" s="128"/>
      <c r="BL396" s="128"/>
      <c r="BM396" s="128"/>
      <c r="BN396" s="128"/>
      <c r="BO396" s="128"/>
      <c r="BP396" s="128"/>
      <c r="BQ396" s="128"/>
      <c r="BR396" s="128"/>
      <c r="BS396" s="128"/>
      <c r="BT396" s="128"/>
      <c r="BU396" s="128"/>
      <c r="BV396" s="128"/>
      <c r="BW396" s="128"/>
      <c r="BX396" s="128"/>
      <c r="BY396" s="128"/>
      <c r="BZ396" s="128"/>
      <c r="CA396" s="128"/>
      <c r="CB396" s="128"/>
      <c r="CC396" s="128"/>
      <c r="CD396" s="128"/>
      <c r="CE396" s="128"/>
      <c r="CF396" s="128"/>
      <c r="CG396" s="128"/>
      <c r="CH396" s="128"/>
      <c r="CI396" s="128"/>
      <c r="CJ396" s="128"/>
      <c r="CK396" s="128"/>
      <c r="CL396" s="128"/>
      <c r="CM396" s="128"/>
    </row>
    <row r="397" spans="1:91" x14ac:dyDescent="0.2">
      <c r="A397" s="18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/>
      <c r="BD397" s="128"/>
      <c r="BE397" s="128"/>
      <c r="BF397" s="128"/>
      <c r="BG397" s="128"/>
      <c r="BH397" s="128"/>
      <c r="BI397" s="128"/>
      <c r="BJ397" s="128"/>
      <c r="BK397" s="128"/>
      <c r="BL397" s="128"/>
      <c r="BM397" s="128"/>
      <c r="BN397" s="128"/>
      <c r="BO397" s="128"/>
      <c r="BP397" s="128"/>
      <c r="BQ397" s="128"/>
      <c r="BR397" s="128"/>
      <c r="BS397" s="128"/>
      <c r="BT397" s="128"/>
      <c r="BU397" s="128"/>
      <c r="BV397" s="128"/>
      <c r="BW397" s="128"/>
      <c r="BX397" s="128"/>
      <c r="BY397" s="128"/>
      <c r="BZ397" s="128"/>
      <c r="CA397" s="128"/>
      <c r="CB397" s="128"/>
      <c r="CC397" s="128"/>
      <c r="CD397" s="128"/>
      <c r="CE397" s="128"/>
      <c r="CF397" s="128"/>
      <c r="CG397" s="128"/>
      <c r="CH397" s="128"/>
      <c r="CI397" s="128"/>
      <c r="CJ397" s="128"/>
      <c r="CK397" s="128"/>
      <c r="CL397" s="128"/>
      <c r="CM397" s="128"/>
    </row>
    <row r="398" spans="1:91" x14ac:dyDescent="0.2">
      <c r="A398" s="18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8"/>
      <c r="BA398" s="128"/>
      <c r="BB398" s="128"/>
      <c r="BC398" s="128"/>
      <c r="BD398" s="128"/>
      <c r="BE398" s="128"/>
      <c r="BF398" s="128"/>
      <c r="BG398" s="128"/>
      <c r="BH398" s="128"/>
      <c r="BI398" s="128"/>
      <c r="BJ398" s="128"/>
      <c r="BK398" s="128"/>
      <c r="BL398" s="128"/>
      <c r="BM398" s="128"/>
      <c r="BN398" s="128"/>
      <c r="BO398" s="128"/>
      <c r="BP398" s="128"/>
      <c r="BQ398" s="128"/>
      <c r="BR398" s="128"/>
      <c r="BS398" s="128"/>
      <c r="BT398" s="128"/>
      <c r="BU398" s="128"/>
      <c r="BV398" s="128"/>
      <c r="BW398" s="128"/>
      <c r="BX398" s="128"/>
      <c r="BY398" s="128"/>
      <c r="BZ398" s="128"/>
      <c r="CA398" s="128"/>
      <c r="CB398" s="128"/>
      <c r="CC398" s="128"/>
      <c r="CD398" s="128"/>
      <c r="CE398" s="128"/>
      <c r="CF398" s="128"/>
      <c r="CG398" s="128"/>
      <c r="CH398" s="128"/>
      <c r="CI398" s="128"/>
      <c r="CJ398" s="128"/>
      <c r="CK398" s="128"/>
      <c r="CL398" s="128"/>
      <c r="CM398" s="128"/>
    </row>
    <row r="399" spans="1:91" x14ac:dyDescent="0.2">
      <c r="A399" s="18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8"/>
      <c r="AT399" s="128"/>
      <c r="AU399" s="128"/>
      <c r="AV399" s="128"/>
      <c r="AW399" s="128"/>
      <c r="AX399" s="128"/>
      <c r="AY399" s="128"/>
      <c r="AZ399" s="128"/>
      <c r="BA399" s="128"/>
      <c r="BB399" s="128"/>
      <c r="BC399" s="128"/>
      <c r="BD399" s="128"/>
      <c r="BE399" s="128"/>
      <c r="BF399" s="128"/>
      <c r="BG399" s="128"/>
      <c r="BH399" s="128"/>
      <c r="BI399" s="128"/>
      <c r="BJ399" s="128"/>
      <c r="BK399" s="128"/>
      <c r="BL399" s="128"/>
      <c r="BM399" s="128"/>
      <c r="BN399" s="128"/>
      <c r="BO399" s="128"/>
      <c r="BP399" s="128"/>
      <c r="BQ399" s="128"/>
      <c r="BR399" s="128"/>
      <c r="BS399" s="128"/>
      <c r="BT399" s="128"/>
      <c r="BU399" s="128"/>
      <c r="BV399" s="128"/>
      <c r="BW399" s="128"/>
      <c r="BX399" s="128"/>
      <c r="BY399" s="128"/>
      <c r="BZ399" s="128"/>
      <c r="CA399" s="128"/>
      <c r="CB399" s="128"/>
      <c r="CC399" s="128"/>
      <c r="CD399" s="128"/>
      <c r="CE399" s="128"/>
      <c r="CF399" s="128"/>
      <c r="CG399" s="128"/>
      <c r="CH399" s="128"/>
      <c r="CI399" s="128"/>
      <c r="CJ399" s="128"/>
      <c r="CK399" s="128"/>
      <c r="CL399" s="128"/>
      <c r="CM399" s="128"/>
    </row>
    <row r="400" spans="1:91" x14ac:dyDescent="0.2">
      <c r="A400" s="18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/>
      <c r="BD400" s="128"/>
      <c r="BE400" s="128"/>
      <c r="BF400" s="128"/>
      <c r="BG400" s="128"/>
      <c r="BH400" s="128"/>
      <c r="BI400" s="128"/>
      <c r="BJ400" s="128"/>
      <c r="BK400" s="128"/>
      <c r="BL400" s="128"/>
      <c r="BM400" s="128"/>
      <c r="BN400" s="128"/>
      <c r="BO400" s="128"/>
      <c r="BP400" s="128"/>
      <c r="BQ400" s="128"/>
      <c r="BR400" s="128"/>
      <c r="BS400" s="128"/>
      <c r="BT400" s="128"/>
      <c r="BU400" s="128"/>
      <c r="BV400" s="128"/>
      <c r="BW400" s="128"/>
      <c r="BX400" s="128"/>
      <c r="BY400" s="128"/>
      <c r="BZ400" s="128"/>
      <c r="CA400" s="128"/>
      <c r="CB400" s="128"/>
      <c r="CC400" s="128"/>
      <c r="CD400" s="128"/>
      <c r="CE400" s="128"/>
      <c r="CF400" s="128"/>
      <c r="CG400" s="128"/>
      <c r="CH400" s="128"/>
      <c r="CI400" s="128"/>
      <c r="CJ400" s="128"/>
      <c r="CK400" s="128"/>
      <c r="CL400" s="128"/>
      <c r="CM400" s="128"/>
    </row>
    <row r="401" spans="1:91" x14ac:dyDescent="0.2">
      <c r="A401" s="18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AD401" s="128"/>
      <c r="AE401" s="128"/>
      <c r="AF401" s="128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  <c r="AS401" s="128"/>
      <c r="AT401" s="128"/>
      <c r="AU401" s="128"/>
      <c r="AV401" s="128"/>
      <c r="AW401" s="128"/>
      <c r="AX401" s="128"/>
      <c r="AY401" s="128"/>
      <c r="AZ401" s="128"/>
      <c r="BA401" s="128"/>
      <c r="BB401" s="128"/>
      <c r="BC401" s="128"/>
      <c r="BD401" s="128"/>
      <c r="BE401" s="128"/>
      <c r="BF401" s="128"/>
      <c r="BG401" s="128"/>
      <c r="BH401" s="128"/>
      <c r="BI401" s="128"/>
      <c r="BJ401" s="128"/>
      <c r="BK401" s="128"/>
      <c r="BL401" s="128"/>
      <c r="BM401" s="128"/>
      <c r="BN401" s="128"/>
      <c r="BO401" s="128"/>
      <c r="BP401" s="128"/>
      <c r="BQ401" s="128"/>
      <c r="BR401" s="128"/>
      <c r="BS401" s="128"/>
      <c r="BT401" s="128"/>
      <c r="BU401" s="128"/>
      <c r="BV401" s="128"/>
      <c r="BW401" s="128"/>
      <c r="BX401" s="128"/>
      <c r="BY401" s="128"/>
      <c r="BZ401" s="128"/>
      <c r="CA401" s="128"/>
      <c r="CB401" s="128"/>
      <c r="CC401" s="128"/>
      <c r="CD401" s="128"/>
      <c r="CE401" s="128"/>
      <c r="CF401" s="128"/>
      <c r="CG401" s="128"/>
      <c r="CH401" s="128"/>
      <c r="CI401" s="128"/>
      <c r="CJ401" s="128"/>
      <c r="CK401" s="128"/>
      <c r="CL401" s="128"/>
      <c r="CM401" s="128"/>
    </row>
    <row r="402" spans="1:91" x14ac:dyDescent="0.2">
      <c r="A402" s="18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8"/>
      <c r="BA402" s="128"/>
      <c r="BB402" s="128"/>
      <c r="BC402" s="128"/>
      <c r="BD402" s="128"/>
      <c r="BE402" s="128"/>
      <c r="BF402" s="128"/>
      <c r="BG402" s="128"/>
      <c r="BH402" s="128"/>
      <c r="BI402" s="128"/>
      <c r="BJ402" s="128"/>
      <c r="BK402" s="128"/>
      <c r="BL402" s="128"/>
      <c r="BM402" s="128"/>
      <c r="BN402" s="128"/>
      <c r="BO402" s="128"/>
      <c r="BP402" s="128"/>
      <c r="BQ402" s="128"/>
      <c r="BR402" s="128"/>
      <c r="BS402" s="128"/>
      <c r="BT402" s="128"/>
      <c r="BU402" s="128"/>
      <c r="BV402" s="128"/>
      <c r="BW402" s="128"/>
      <c r="BX402" s="128"/>
      <c r="BY402" s="128"/>
      <c r="BZ402" s="128"/>
      <c r="CA402" s="128"/>
      <c r="CB402" s="128"/>
      <c r="CC402" s="128"/>
      <c r="CD402" s="128"/>
      <c r="CE402" s="128"/>
      <c r="CF402" s="128"/>
      <c r="CG402" s="128"/>
      <c r="CH402" s="128"/>
      <c r="CI402" s="128"/>
      <c r="CJ402" s="128"/>
      <c r="CK402" s="128"/>
      <c r="CL402" s="128"/>
      <c r="CM402" s="128"/>
    </row>
    <row r="403" spans="1:91" x14ac:dyDescent="0.2">
      <c r="A403" s="18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AD403" s="128"/>
      <c r="AE403" s="128"/>
      <c r="AF403" s="128"/>
      <c r="AG403" s="12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/>
      <c r="BA403" s="128"/>
      <c r="BB403" s="128"/>
      <c r="BC403" s="128"/>
      <c r="BD403" s="128"/>
      <c r="BE403" s="128"/>
      <c r="BF403" s="128"/>
      <c r="BG403" s="128"/>
      <c r="BH403" s="128"/>
      <c r="BI403" s="128"/>
      <c r="BJ403" s="128"/>
      <c r="BK403" s="128"/>
      <c r="BL403" s="128"/>
      <c r="BM403" s="128"/>
      <c r="BN403" s="128"/>
      <c r="BO403" s="128"/>
      <c r="BP403" s="128"/>
      <c r="BQ403" s="128"/>
      <c r="BR403" s="128"/>
      <c r="BS403" s="128"/>
      <c r="BT403" s="128"/>
      <c r="BU403" s="128"/>
      <c r="BV403" s="128"/>
      <c r="BW403" s="128"/>
      <c r="BX403" s="128"/>
      <c r="BY403" s="128"/>
      <c r="BZ403" s="128"/>
      <c r="CA403" s="128"/>
      <c r="CB403" s="128"/>
      <c r="CC403" s="128"/>
      <c r="CD403" s="128"/>
      <c r="CE403" s="128"/>
      <c r="CF403" s="128"/>
      <c r="CG403" s="128"/>
      <c r="CH403" s="128"/>
      <c r="CI403" s="128"/>
      <c r="CJ403" s="128"/>
      <c r="CK403" s="128"/>
      <c r="CL403" s="128"/>
      <c r="CM403" s="128"/>
    </row>
    <row r="404" spans="1:91" x14ac:dyDescent="0.2">
      <c r="A404" s="18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AD404" s="128"/>
      <c r="AE404" s="128"/>
      <c r="AF404" s="128"/>
      <c r="AG404" s="12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28"/>
      <c r="AR404" s="128"/>
      <c r="AS404" s="128"/>
      <c r="AT404" s="128"/>
      <c r="AU404" s="128"/>
      <c r="AV404" s="128"/>
      <c r="AW404" s="128"/>
      <c r="AX404" s="128"/>
      <c r="AY404" s="128"/>
      <c r="AZ404" s="128"/>
      <c r="BA404" s="128"/>
      <c r="BB404" s="128"/>
      <c r="BC404" s="128"/>
      <c r="BD404" s="128"/>
      <c r="BE404" s="128"/>
      <c r="BF404" s="128"/>
      <c r="BG404" s="128"/>
      <c r="BH404" s="128"/>
      <c r="BI404" s="128"/>
      <c r="BJ404" s="128"/>
      <c r="BK404" s="128"/>
      <c r="BL404" s="128"/>
      <c r="BM404" s="128"/>
      <c r="BN404" s="128"/>
      <c r="BO404" s="128"/>
      <c r="BP404" s="128"/>
      <c r="BQ404" s="128"/>
      <c r="BR404" s="128"/>
      <c r="BS404" s="128"/>
      <c r="BT404" s="128"/>
      <c r="BU404" s="128"/>
      <c r="BV404" s="128"/>
      <c r="BW404" s="128"/>
      <c r="BX404" s="128"/>
      <c r="BY404" s="128"/>
      <c r="BZ404" s="128"/>
      <c r="CA404" s="128"/>
      <c r="CB404" s="128"/>
      <c r="CC404" s="128"/>
      <c r="CD404" s="128"/>
      <c r="CE404" s="128"/>
      <c r="CF404" s="128"/>
      <c r="CG404" s="128"/>
      <c r="CH404" s="128"/>
      <c r="CI404" s="128"/>
      <c r="CJ404" s="128"/>
      <c r="CK404" s="128"/>
      <c r="CL404" s="128"/>
      <c r="CM404" s="128"/>
    </row>
    <row r="405" spans="1:91" x14ac:dyDescent="0.2">
      <c r="A405" s="18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AD405" s="128"/>
      <c r="AE405" s="128"/>
      <c r="AF405" s="128"/>
      <c r="AG405" s="12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28"/>
      <c r="AR405" s="128"/>
      <c r="AS405" s="128"/>
      <c r="AT405" s="128"/>
      <c r="AU405" s="128"/>
      <c r="AV405" s="128"/>
      <c r="AW405" s="128"/>
      <c r="AX405" s="128"/>
      <c r="AY405" s="128"/>
      <c r="AZ405" s="128"/>
      <c r="BA405" s="128"/>
      <c r="BB405" s="128"/>
      <c r="BC405" s="128"/>
      <c r="BD405" s="128"/>
      <c r="BE405" s="128"/>
      <c r="BF405" s="128"/>
      <c r="BG405" s="128"/>
      <c r="BH405" s="128"/>
      <c r="BI405" s="128"/>
      <c r="BJ405" s="128"/>
      <c r="BK405" s="128"/>
      <c r="BL405" s="128"/>
      <c r="BM405" s="128"/>
      <c r="BN405" s="128"/>
      <c r="BO405" s="128"/>
      <c r="BP405" s="128"/>
      <c r="BQ405" s="128"/>
      <c r="BR405" s="128"/>
      <c r="BS405" s="128"/>
      <c r="BT405" s="128"/>
      <c r="BU405" s="128"/>
      <c r="BV405" s="128"/>
      <c r="BW405" s="128"/>
      <c r="BX405" s="128"/>
      <c r="BY405" s="128"/>
      <c r="BZ405" s="128"/>
      <c r="CA405" s="128"/>
      <c r="CB405" s="128"/>
      <c r="CC405" s="128"/>
      <c r="CD405" s="128"/>
      <c r="CE405" s="128"/>
      <c r="CF405" s="128"/>
      <c r="CG405" s="128"/>
      <c r="CH405" s="128"/>
      <c r="CI405" s="128"/>
      <c r="CJ405" s="128"/>
      <c r="CK405" s="128"/>
      <c r="CL405" s="128"/>
      <c r="CM405" s="128"/>
    </row>
    <row r="406" spans="1:91" x14ac:dyDescent="0.2">
      <c r="A406" s="18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  <c r="AS406" s="128"/>
      <c r="AT406" s="128"/>
      <c r="AU406" s="128"/>
      <c r="AV406" s="128"/>
      <c r="AW406" s="128"/>
      <c r="AX406" s="128"/>
      <c r="AY406" s="128"/>
      <c r="AZ406" s="128"/>
      <c r="BA406" s="128"/>
      <c r="BB406" s="128"/>
      <c r="BC406" s="128"/>
      <c r="BD406" s="128"/>
      <c r="BE406" s="128"/>
      <c r="BF406" s="128"/>
      <c r="BG406" s="128"/>
      <c r="BH406" s="128"/>
      <c r="BI406" s="128"/>
      <c r="BJ406" s="128"/>
      <c r="BK406" s="128"/>
      <c r="BL406" s="128"/>
      <c r="BM406" s="128"/>
      <c r="BN406" s="128"/>
      <c r="BO406" s="128"/>
      <c r="BP406" s="128"/>
      <c r="BQ406" s="128"/>
      <c r="BR406" s="128"/>
      <c r="BS406" s="128"/>
      <c r="BT406" s="128"/>
      <c r="BU406" s="128"/>
      <c r="BV406" s="128"/>
      <c r="BW406" s="128"/>
      <c r="BX406" s="128"/>
      <c r="BY406" s="128"/>
      <c r="BZ406" s="128"/>
      <c r="CA406" s="128"/>
      <c r="CB406" s="128"/>
      <c r="CC406" s="128"/>
      <c r="CD406" s="128"/>
      <c r="CE406" s="128"/>
      <c r="CF406" s="128"/>
      <c r="CG406" s="128"/>
      <c r="CH406" s="128"/>
      <c r="CI406" s="128"/>
      <c r="CJ406" s="128"/>
      <c r="CK406" s="128"/>
      <c r="CL406" s="128"/>
      <c r="CM406" s="128"/>
    </row>
    <row r="407" spans="1:91" x14ac:dyDescent="0.2">
      <c r="A407" s="18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28"/>
      <c r="AW407" s="128"/>
      <c r="AX407" s="128"/>
      <c r="AY407" s="128"/>
      <c r="AZ407" s="128"/>
      <c r="BA407" s="128"/>
      <c r="BB407" s="128"/>
      <c r="BC407" s="128"/>
      <c r="BD407" s="128"/>
      <c r="BE407" s="128"/>
      <c r="BF407" s="128"/>
      <c r="BG407" s="128"/>
      <c r="BH407" s="128"/>
      <c r="BI407" s="128"/>
      <c r="BJ407" s="128"/>
      <c r="BK407" s="128"/>
      <c r="BL407" s="128"/>
      <c r="BM407" s="128"/>
      <c r="BN407" s="128"/>
      <c r="BO407" s="128"/>
      <c r="BP407" s="128"/>
      <c r="BQ407" s="128"/>
      <c r="BR407" s="128"/>
      <c r="BS407" s="128"/>
      <c r="BT407" s="128"/>
      <c r="BU407" s="128"/>
      <c r="BV407" s="128"/>
      <c r="BW407" s="128"/>
      <c r="BX407" s="128"/>
      <c r="BY407" s="128"/>
      <c r="BZ407" s="128"/>
      <c r="CA407" s="128"/>
      <c r="CB407" s="128"/>
      <c r="CC407" s="128"/>
      <c r="CD407" s="128"/>
      <c r="CE407" s="128"/>
      <c r="CF407" s="128"/>
      <c r="CG407" s="128"/>
      <c r="CH407" s="128"/>
      <c r="CI407" s="128"/>
      <c r="CJ407" s="128"/>
      <c r="CK407" s="128"/>
      <c r="CL407" s="128"/>
      <c r="CM407" s="128"/>
    </row>
    <row r="408" spans="1:91" x14ac:dyDescent="0.2">
      <c r="A408" s="18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28"/>
      <c r="AW408" s="128"/>
      <c r="AX408" s="128"/>
      <c r="AY408" s="128"/>
      <c r="AZ408" s="128"/>
      <c r="BA408" s="128"/>
      <c r="BB408" s="128"/>
      <c r="BC408" s="128"/>
      <c r="BD408" s="128"/>
      <c r="BE408" s="128"/>
      <c r="BF408" s="128"/>
      <c r="BG408" s="128"/>
      <c r="BH408" s="128"/>
      <c r="BI408" s="128"/>
      <c r="BJ408" s="128"/>
      <c r="BK408" s="128"/>
      <c r="BL408" s="128"/>
      <c r="BM408" s="128"/>
      <c r="BN408" s="128"/>
      <c r="BO408" s="128"/>
      <c r="BP408" s="128"/>
      <c r="BQ408" s="128"/>
      <c r="BR408" s="128"/>
      <c r="BS408" s="128"/>
      <c r="BT408" s="128"/>
      <c r="BU408" s="128"/>
      <c r="BV408" s="128"/>
      <c r="BW408" s="128"/>
      <c r="BX408" s="128"/>
      <c r="BY408" s="128"/>
      <c r="BZ408" s="128"/>
      <c r="CA408" s="128"/>
      <c r="CB408" s="128"/>
      <c r="CC408" s="128"/>
      <c r="CD408" s="128"/>
      <c r="CE408" s="128"/>
      <c r="CF408" s="128"/>
      <c r="CG408" s="128"/>
      <c r="CH408" s="128"/>
      <c r="CI408" s="128"/>
      <c r="CJ408" s="128"/>
      <c r="CK408" s="128"/>
      <c r="CL408" s="128"/>
      <c r="CM408" s="128"/>
    </row>
    <row r="409" spans="1:91" x14ac:dyDescent="0.2">
      <c r="A409" s="18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8"/>
      <c r="AW409" s="128"/>
      <c r="AX409" s="128"/>
      <c r="AY409" s="128"/>
      <c r="AZ409" s="128"/>
      <c r="BA409" s="128"/>
      <c r="BB409" s="128"/>
      <c r="BC409" s="128"/>
      <c r="BD409" s="128"/>
      <c r="BE409" s="128"/>
      <c r="BF409" s="128"/>
      <c r="BG409" s="128"/>
      <c r="BH409" s="128"/>
      <c r="BI409" s="128"/>
      <c r="BJ409" s="128"/>
      <c r="BK409" s="128"/>
      <c r="BL409" s="128"/>
      <c r="BM409" s="128"/>
      <c r="BN409" s="128"/>
      <c r="BO409" s="128"/>
      <c r="BP409" s="128"/>
      <c r="BQ409" s="128"/>
      <c r="BR409" s="128"/>
      <c r="BS409" s="128"/>
      <c r="BT409" s="128"/>
      <c r="BU409" s="128"/>
      <c r="BV409" s="128"/>
      <c r="BW409" s="128"/>
      <c r="BX409" s="128"/>
      <c r="BY409" s="128"/>
      <c r="BZ409" s="128"/>
      <c r="CA409" s="128"/>
      <c r="CB409" s="128"/>
      <c r="CC409" s="128"/>
      <c r="CD409" s="128"/>
      <c r="CE409" s="128"/>
      <c r="CF409" s="128"/>
      <c r="CG409" s="128"/>
      <c r="CH409" s="128"/>
      <c r="CI409" s="128"/>
      <c r="CJ409" s="128"/>
      <c r="CK409" s="128"/>
      <c r="CL409" s="128"/>
      <c r="CM409" s="128"/>
    </row>
    <row r="410" spans="1:91" x14ac:dyDescent="0.2">
      <c r="A410" s="18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8"/>
      <c r="AW410" s="128"/>
      <c r="AX410" s="128"/>
      <c r="AY410" s="128"/>
      <c r="AZ410" s="128"/>
      <c r="BA410" s="128"/>
      <c r="BB410" s="128"/>
      <c r="BC410" s="128"/>
      <c r="BD410" s="128"/>
      <c r="BE410" s="128"/>
      <c r="BF410" s="128"/>
      <c r="BG410" s="128"/>
      <c r="BH410" s="128"/>
      <c r="BI410" s="128"/>
      <c r="BJ410" s="128"/>
      <c r="BK410" s="128"/>
      <c r="BL410" s="128"/>
      <c r="BM410" s="128"/>
      <c r="BN410" s="128"/>
      <c r="BO410" s="128"/>
      <c r="BP410" s="128"/>
      <c r="BQ410" s="128"/>
      <c r="BR410" s="128"/>
      <c r="BS410" s="128"/>
      <c r="BT410" s="128"/>
      <c r="BU410" s="128"/>
      <c r="BV410" s="128"/>
      <c r="BW410" s="128"/>
      <c r="BX410" s="128"/>
      <c r="BY410" s="128"/>
      <c r="BZ410" s="128"/>
      <c r="CA410" s="128"/>
      <c r="CB410" s="128"/>
      <c r="CC410" s="128"/>
      <c r="CD410" s="128"/>
      <c r="CE410" s="128"/>
      <c r="CF410" s="128"/>
      <c r="CG410" s="128"/>
      <c r="CH410" s="128"/>
      <c r="CI410" s="128"/>
      <c r="CJ410" s="128"/>
      <c r="CK410" s="128"/>
      <c r="CL410" s="128"/>
      <c r="CM410" s="128"/>
    </row>
    <row r="411" spans="1:91" x14ac:dyDescent="0.2">
      <c r="A411" s="18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8"/>
      <c r="AW411" s="128"/>
      <c r="AX411" s="128"/>
      <c r="AY411" s="128"/>
      <c r="AZ411" s="128"/>
      <c r="BA411" s="128"/>
      <c r="BB411" s="128"/>
      <c r="BC411" s="128"/>
      <c r="BD411" s="128"/>
      <c r="BE411" s="128"/>
      <c r="BF411" s="128"/>
      <c r="BG411" s="128"/>
      <c r="BH411" s="128"/>
      <c r="BI411" s="128"/>
      <c r="BJ411" s="128"/>
      <c r="BK411" s="128"/>
      <c r="BL411" s="128"/>
      <c r="BM411" s="128"/>
      <c r="BN411" s="128"/>
      <c r="BO411" s="128"/>
      <c r="BP411" s="128"/>
      <c r="BQ411" s="128"/>
      <c r="BR411" s="128"/>
      <c r="BS411" s="128"/>
      <c r="BT411" s="128"/>
      <c r="BU411" s="128"/>
      <c r="BV411" s="128"/>
      <c r="BW411" s="128"/>
      <c r="BX411" s="128"/>
      <c r="BY411" s="128"/>
      <c r="BZ411" s="128"/>
      <c r="CA411" s="128"/>
      <c r="CB411" s="128"/>
      <c r="CC411" s="128"/>
      <c r="CD411" s="128"/>
      <c r="CE411" s="128"/>
      <c r="CF411" s="128"/>
      <c r="CG411" s="128"/>
      <c r="CH411" s="128"/>
      <c r="CI411" s="128"/>
      <c r="CJ411" s="128"/>
      <c r="CK411" s="128"/>
      <c r="CL411" s="128"/>
      <c r="CM411" s="128"/>
    </row>
    <row r="412" spans="1:91" x14ac:dyDescent="0.2">
      <c r="A412" s="18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/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8"/>
      <c r="BX412" s="128"/>
      <c r="BY412" s="128"/>
      <c r="BZ412" s="128"/>
      <c r="CA412" s="128"/>
      <c r="CB412" s="128"/>
      <c r="CC412" s="128"/>
      <c r="CD412" s="128"/>
      <c r="CE412" s="128"/>
      <c r="CF412" s="128"/>
      <c r="CG412" s="128"/>
      <c r="CH412" s="128"/>
      <c r="CI412" s="128"/>
      <c r="CJ412" s="128"/>
      <c r="CK412" s="128"/>
      <c r="CL412" s="128"/>
      <c r="CM412" s="128"/>
    </row>
    <row r="413" spans="1:91" x14ac:dyDescent="0.2">
      <c r="A413" s="18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8"/>
      <c r="AZ413" s="128"/>
      <c r="BA413" s="128"/>
      <c r="BB413" s="128"/>
      <c r="BC413" s="128"/>
      <c r="BD413" s="128"/>
      <c r="BE413" s="128"/>
      <c r="BF413" s="128"/>
      <c r="BG413" s="128"/>
      <c r="BH413" s="128"/>
      <c r="BI413" s="128"/>
      <c r="BJ413" s="128"/>
      <c r="BK413" s="128"/>
      <c r="BL413" s="128"/>
      <c r="BM413" s="128"/>
      <c r="BN413" s="128"/>
      <c r="BO413" s="128"/>
      <c r="BP413" s="128"/>
      <c r="BQ413" s="128"/>
      <c r="BR413" s="128"/>
      <c r="BS413" s="128"/>
      <c r="BT413" s="128"/>
      <c r="BU413" s="128"/>
      <c r="BV413" s="128"/>
      <c r="BW413" s="128"/>
      <c r="BX413" s="128"/>
      <c r="BY413" s="128"/>
      <c r="BZ413" s="128"/>
      <c r="CA413" s="128"/>
      <c r="CB413" s="128"/>
      <c r="CC413" s="128"/>
      <c r="CD413" s="128"/>
      <c r="CE413" s="128"/>
      <c r="CF413" s="128"/>
      <c r="CG413" s="128"/>
      <c r="CH413" s="128"/>
      <c r="CI413" s="128"/>
      <c r="CJ413" s="128"/>
      <c r="CK413" s="128"/>
      <c r="CL413" s="128"/>
      <c r="CM413" s="128"/>
    </row>
    <row r="414" spans="1:91" x14ac:dyDescent="0.2">
      <c r="A414" s="18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8"/>
      <c r="AW414" s="128"/>
      <c r="AX414" s="128"/>
      <c r="AY414" s="128"/>
      <c r="AZ414" s="128"/>
      <c r="BA414" s="128"/>
      <c r="BB414" s="128"/>
      <c r="BC414" s="128"/>
      <c r="BD414" s="128"/>
      <c r="BE414" s="128"/>
      <c r="BF414" s="128"/>
      <c r="BG414" s="128"/>
      <c r="BH414" s="128"/>
      <c r="BI414" s="128"/>
      <c r="BJ414" s="128"/>
      <c r="BK414" s="128"/>
      <c r="BL414" s="128"/>
      <c r="BM414" s="128"/>
      <c r="BN414" s="128"/>
      <c r="BO414" s="128"/>
      <c r="BP414" s="128"/>
      <c r="BQ414" s="128"/>
      <c r="BR414" s="128"/>
      <c r="BS414" s="128"/>
      <c r="BT414" s="128"/>
      <c r="BU414" s="128"/>
      <c r="BV414" s="128"/>
      <c r="BW414" s="128"/>
      <c r="BX414" s="128"/>
      <c r="BY414" s="128"/>
      <c r="BZ414" s="128"/>
      <c r="CA414" s="128"/>
      <c r="CB414" s="128"/>
      <c r="CC414" s="128"/>
      <c r="CD414" s="128"/>
      <c r="CE414" s="128"/>
      <c r="CF414" s="128"/>
      <c r="CG414" s="128"/>
      <c r="CH414" s="128"/>
      <c r="CI414" s="128"/>
      <c r="CJ414" s="128"/>
      <c r="CK414" s="128"/>
      <c r="CL414" s="128"/>
      <c r="CM414" s="128"/>
    </row>
    <row r="415" spans="1:91" x14ac:dyDescent="0.2">
      <c r="A415" s="18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AD415" s="128"/>
      <c r="AE415" s="128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8"/>
      <c r="AW415" s="128"/>
      <c r="AX415" s="128"/>
      <c r="AY415" s="128"/>
      <c r="AZ415" s="128"/>
      <c r="BA415" s="128"/>
      <c r="BB415" s="128"/>
      <c r="BC415" s="128"/>
      <c r="BD415" s="128"/>
      <c r="BE415" s="128"/>
      <c r="BF415" s="128"/>
      <c r="BG415" s="128"/>
      <c r="BH415" s="128"/>
      <c r="BI415" s="128"/>
      <c r="BJ415" s="128"/>
      <c r="BK415" s="128"/>
      <c r="BL415" s="128"/>
      <c r="BM415" s="128"/>
      <c r="BN415" s="128"/>
      <c r="BO415" s="128"/>
      <c r="BP415" s="128"/>
      <c r="BQ415" s="128"/>
      <c r="BR415" s="128"/>
      <c r="BS415" s="128"/>
      <c r="BT415" s="128"/>
      <c r="BU415" s="128"/>
      <c r="BV415" s="128"/>
      <c r="BW415" s="128"/>
      <c r="BX415" s="128"/>
      <c r="BY415" s="128"/>
      <c r="BZ415" s="128"/>
      <c r="CA415" s="128"/>
      <c r="CB415" s="128"/>
      <c r="CC415" s="128"/>
      <c r="CD415" s="128"/>
      <c r="CE415" s="128"/>
      <c r="CF415" s="128"/>
      <c r="CG415" s="128"/>
      <c r="CH415" s="128"/>
      <c r="CI415" s="128"/>
      <c r="CJ415" s="128"/>
      <c r="CK415" s="128"/>
      <c r="CL415" s="128"/>
      <c r="CM415" s="128"/>
    </row>
    <row r="416" spans="1:91" x14ac:dyDescent="0.2">
      <c r="A416" s="18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8"/>
      <c r="AZ416" s="128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8"/>
      <c r="BR416" s="128"/>
      <c r="BS416" s="128"/>
      <c r="BT416" s="128"/>
      <c r="BU416" s="128"/>
      <c r="BV416" s="128"/>
      <c r="BW416" s="128"/>
      <c r="BX416" s="128"/>
      <c r="BY416" s="128"/>
      <c r="BZ416" s="128"/>
      <c r="CA416" s="128"/>
      <c r="CB416" s="128"/>
      <c r="CC416" s="128"/>
      <c r="CD416" s="128"/>
      <c r="CE416" s="128"/>
      <c r="CF416" s="128"/>
      <c r="CG416" s="128"/>
      <c r="CH416" s="128"/>
      <c r="CI416" s="128"/>
      <c r="CJ416" s="128"/>
      <c r="CK416" s="128"/>
      <c r="CL416" s="128"/>
      <c r="CM416" s="128"/>
    </row>
    <row r="417" spans="1:91" x14ac:dyDescent="0.2">
      <c r="A417" s="18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8"/>
      <c r="AZ417" s="128"/>
      <c r="BA417" s="128"/>
      <c r="BB417" s="128"/>
      <c r="BC417" s="128"/>
      <c r="BD417" s="128"/>
      <c r="BE417" s="128"/>
      <c r="BF417" s="128"/>
      <c r="BG417" s="128"/>
      <c r="BH417" s="128"/>
      <c r="BI417" s="128"/>
      <c r="BJ417" s="128"/>
      <c r="BK417" s="128"/>
      <c r="BL417" s="128"/>
      <c r="BM417" s="128"/>
      <c r="BN417" s="128"/>
      <c r="BO417" s="128"/>
      <c r="BP417" s="128"/>
      <c r="BQ417" s="128"/>
      <c r="BR417" s="128"/>
      <c r="BS417" s="128"/>
      <c r="BT417" s="128"/>
      <c r="BU417" s="128"/>
      <c r="BV417" s="128"/>
      <c r="BW417" s="128"/>
      <c r="BX417" s="128"/>
      <c r="BY417" s="128"/>
      <c r="BZ417" s="128"/>
      <c r="CA417" s="128"/>
      <c r="CB417" s="128"/>
      <c r="CC417" s="128"/>
      <c r="CD417" s="128"/>
      <c r="CE417" s="128"/>
      <c r="CF417" s="128"/>
      <c r="CG417" s="128"/>
      <c r="CH417" s="128"/>
      <c r="CI417" s="128"/>
      <c r="CJ417" s="128"/>
      <c r="CK417" s="128"/>
      <c r="CL417" s="128"/>
      <c r="CM417" s="128"/>
    </row>
    <row r="418" spans="1:91" x14ac:dyDescent="0.2">
      <c r="A418" s="18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28"/>
      <c r="AY418" s="128"/>
      <c r="AZ418" s="128"/>
      <c r="BA418" s="128"/>
      <c r="BB418" s="128"/>
      <c r="BC418" s="128"/>
      <c r="BD418" s="128"/>
      <c r="BE418" s="128"/>
      <c r="BF418" s="128"/>
      <c r="BG418" s="128"/>
      <c r="BH418" s="128"/>
      <c r="BI418" s="128"/>
      <c r="BJ418" s="128"/>
      <c r="BK418" s="128"/>
      <c r="BL418" s="128"/>
      <c r="BM418" s="128"/>
      <c r="BN418" s="128"/>
      <c r="BO418" s="128"/>
      <c r="BP418" s="128"/>
      <c r="BQ418" s="128"/>
      <c r="BR418" s="128"/>
      <c r="BS418" s="128"/>
      <c r="BT418" s="128"/>
      <c r="BU418" s="128"/>
      <c r="BV418" s="128"/>
      <c r="BW418" s="128"/>
      <c r="BX418" s="128"/>
      <c r="BY418" s="128"/>
      <c r="BZ418" s="128"/>
      <c r="CA418" s="128"/>
      <c r="CB418" s="128"/>
      <c r="CC418" s="128"/>
      <c r="CD418" s="128"/>
      <c r="CE418" s="128"/>
      <c r="CF418" s="128"/>
      <c r="CG418" s="128"/>
      <c r="CH418" s="128"/>
      <c r="CI418" s="128"/>
      <c r="CJ418" s="128"/>
      <c r="CK418" s="128"/>
      <c r="CL418" s="128"/>
      <c r="CM418" s="128"/>
    </row>
    <row r="419" spans="1:91" x14ac:dyDescent="0.2">
      <c r="A419" s="18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28"/>
      <c r="AY419" s="128"/>
      <c r="AZ419" s="128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8"/>
      <c r="BR419" s="128"/>
      <c r="BS419" s="128"/>
      <c r="BT419" s="128"/>
      <c r="BU419" s="128"/>
      <c r="BV419" s="128"/>
      <c r="BW419" s="128"/>
      <c r="BX419" s="128"/>
      <c r="BY419" s="128"/>
      <c r="BZ419" s="128"/>
      <c r="CA419" s="128"/>
      <c r="CB419" s="128"/>
      <c r="CC419" s="128"/>
      <c r="CD419" s="128"/>
      <c r="CE419" s="128"/>
      <c r="CF419" s="128"/>
      <c r="CG419" s="128"/>
      <c r="CH419" s="128"/>
      <c r="CI419" s="128"/>
      <c r="CJ419" s="128"/>
      <c r="CK419" s="128"/>
      <c r="CL419" s="128"/>
      <c r="CM419" s="128"/>
    </row>
    <row r="420" spans="1:91" x14ac:dyDescent="0.2">
      <c r="A420" s="18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AD420" s="128"/>
      <c r="AE420" s="128"/>
      <c r="AF420" s="128"/>
      <c r="AG420" s="12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28"/>
      <c r="AR420" s="128"/>
      <c r="AS420" s="128"/>
      <c r="AT420" s="128"/>
      <c r="AU420" s="128"/>
      <c r="AV420" s="128"/>
      <c r="AW420" s="128"/>
      <c r="AX420" s="128"/>
      <c r="AY420" s="128"/>
      <c r="AZ420" s="128"/>
      <c r="BA420" s="128"/>
      <c r="BB420" s="128"/>
      <c r="BC420" s="128"/>
      <c r="BD420" s="128"/>
      <c r="BE420" s="128"/>
      <c r="BF420" s="128"/>
      <c r="BG420" s="128"/>
      <c r="BH420" s="128"/>
      <c r="BI420" s="128"/>
      <c r="BJ420" s="128"/>
      <c r="BK420" s="128"/>
      <c r="BL420" s="128"/>
      <c r="BM420" s="128"/>
      <c r="BN420" s="128"/>
      <c r="BO420" s="128"/>
      <c r="BP420" s="128"/>
      <c r="BQ420" s="128"/>
      <c r="BR420" s="128"/>
      <c r="BS420" s="128"/>
      <c r="BT420" s="128"/>
      <c r="BU420" s="128"/>
      <c r="BV420" s="128"/>
      <c r="BW420" s="128"/>
      <c r="BX420" s="128"/>
      <c r="BY420" s="128"/>
      <c r="BZ420" s="128"/>
      <c r="CA420" s="128"/>
      <c r="CB420" s="128"/>
      <c r="CC420" s="128"/>
      <c r="CD420" s="128"/>
      <c r="CE420" s="128"/>
      <c r="CF420" s="128"/>
      <c r="CG420" s="128"/>
      <c r="CH420" s="128"/>
      <c r="CI420" s="128"/>
      <c r="CJ420" s="128"/>
      <c r="CK420" s="128"/>
      <c r="CL420" s="128"/>
      <c r="CM420" s="128"/>
    </row>
    <row r="421" spans="1:91" x14ac:dyDescent="0.2">
      <c r="A421" s="18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8"/>
      <c r="AZ421" s="128"/>
      <c r="BA421" s="128"/>
      <c r="BB421" s="128"/>
      <c r="BC421" s="128"/>
      <c r="BD421" s="128"/>
      <c r="BE421" s="128"/>
      <c r="BF421" s="128"/>
      <c r="BG421" s="128"/>
      <c r="BH421" s="128"/>
      <c r="BI421" s="128"/>
      <c r="BJ421" s="128"/>
      <c r="BK421" s="128"/>
      <c r="BL421" s="128"/>
      <c r="BM421" s="128"/>
      <c r="BN421" s="128"/>
      <c r="BO421" s="128"/>
      <c r="BP421" s="128"/>
      <c r="BQ421" s="128"/>
      <c r="BR421" s="128"/>
      <c r="BS421" s="128"/>
      <c r="BT421" s="128"/>
      <c r="BU421" s="128"/>
      <c r="BV421" s="128"/>
      <c r="BW421" s="128"/>
      <c r="BX421" s="128"/>
      <c r="BY421" s="128"/>
      <c r="BZ421" s="128"/>
      <c r="CA421" s="128"/>
      <c r="CB421" s="128"/>
      <c r="CC421" s="128"/>
      <c r="CD421" s="128"/>
      <c r="CE421" s="128"/>
      <c r="CF421" s="128"/>
      <c r="CG421" s="128"/>
      <c r="CH421" s="128"/>
      <c r="CI421" s="128"/>
      <c r="CJ421" s="128"/>
      <c r="CK421" s="128"/>
      <c r="CL421" s="128"/>
      <c r="CM421" s="128"/>
    </row>
    <row r="422" spans="1:91" x14ac:dyDescent="0.2">
      <c r="A422" s="18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8"/>
      <c r="AW422" s="128"/>
      <c r="AX422" s="128"/>
      <c r="AY422" s="128"/>
      <c r="AZ422" s="128"/>
      <c r="BA422" s="128"/>
      <c r="BB422" s="128"/>
      <c r="BC422" s="128"/>
      <c r="BD422" s="128"/>
      <c r="BE422" s="128"/>
      <c r="BF422" s="128"/>
      <c r="BG422" s="128"/>
      <c r="BH422" s="128"/>
      <c r="BI422" s="128"/>
      <c r="BJ422" s="128"/>
      <c r="BK422" s="128"/>
      <c r="BL422" s="128"/>
      <c r="BM422" s="128"/>
      <c r="BN422" s="128"/>
      <c r="BO422" s="128"/>
      <c r="BP422" s="128"/>
      <c r="BQ422" s="128"/>
      <c r="BR422" s="128"/>
      <c r="BS422" s="128"/>
      <c r="BT422" s="128"/>
      <c r="BU422" s="128"/>
      <c r="BV422" s="128"/>
      <c r="BW422" s="128"/>
      <c r="BX422" s="128"/>
      <c r="BY422" s="128"/>
      <c r="BZ422" s="128"/>
      <c r="CA422" s="128"/>
      <c r="CB422" s="128"/>
      <c r="CC422" s="128"/>
      <c r="CD422" s="128"/>
      <c r="CE422" s="128"/>
      <c r="CF422" s="128"/>
      <c r="CG422" s="128"/>
      <c r="CH422" s="128"/>
      <c r="CI422" s="128"/>
      <c r="CJ422" s="128"/>
      <c r="CK422" s="128"/>
      <c r="CL422" s="128"/>
      <c r="CM422" s="128"/>
    </row>
    <row r="423" spans="1:91" x14ac:dyDescent="0.2">
      <c r="A423" s="18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28"/>
      <c r="BG423" s="128"/>
      <c r="BH423" s="128"/>
      <c r="BI423" s="128"/>
      <c r="BJ423" s="128"/>
      <c r="BK423" s="128"/>
      <c r="BL423" s="128"/>
      <c r="BM423" s="128"/>
      <c r="BN423" s="128"/>
      <c r="BO423" s="128"/>
      <c r="BP423" s="128"/>
      <c r="BQ423" s="128"/>
      <c r="BR423" s="128"/>
      <c r="BS423" s="128"/>
      <c r="BT423" s="128"/>
      <c r="BU423" s="128"/>
      <c r="BV423" s="128"/>
      <c r="BW423" s="128"/>
      <c r="BX423" s="128"/>
      <c r="BY423" s="128"/>
      <c r="BZ423" s="128"/>
      <c r="CA423" s="128"/>
      <c r="CB423" s="128"/>
      <c r="CC423" s="128"/>
      <c r="CD423" s="128"/>
      <c r="CE423" s="128"/>
      <c r="CF423" s="128"/>
      <c r="CG423" s="128"/>
      <c r="CH423" s="128"/>
      <c r="CI423" s="128"/>
      <c r="CJ423" s="128"/>
      <c r="CK423" s="128"/>
      <c r="CL423" s="128"/>
      <c r="CM423" s="128"/>
    </row>
    <row r="424" spans="1:91" x14ac:dyDescent="0.2">
      <c r="A424" s="18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  <c r="BE424" s="128"/>
      <c r="BF424" s="128"/>
      <c r="BG424" s="128"/>
      <c r="BH424" s="128"/>
      <c r="BI424" s="128"/>
      <c r="BJ424" s="128"/>
      <c r="BK424" s="128"/>
      <c r="BL424" s="128"/>
      <c r="BM424" s="128"/>
      <c r="BN424" s="128"/>
      <c r="BO424" s="128"/>
      <c r="BP424" s="128"/>
      <c r="BQ424" s="128"/>
      <c r="BR424" s="128"/>
      <c r="BS424" s="128"/>
      <c r="BT424" s="128"/>
      <c r="BU424" s="128"/>
      <c r="BV424" s="128"/>
      <c r="BW424" s="128"/>
      <c r="BX424" s="128"/>
      <c r="BY424" s="128"/>
      <c r="BZ424" s="128"/>
      <c r="CA424" s="128"/>
      <c r="CB424" s="128"/>
      <c r="CC424" s="128"/>
      <c r="CD424" s="128"/>
      <c r="CE424" s="128"/>
      <c r="CF424" s="128"/>
      <c r="CG424" s="128"/>
      <c r="CH424" s="128"/>
      <c r="CI424" s="128"/>
      <c r="CJ424" s="128"/>
      <c r="CK424" s="128"/>
      <c r="CL424" s="128"/>
      <c r="CM424" s="128"/>
    </row>
    <row r="425" spans="1:91" x14ac:dyDescent="0.2">
      <c r="A425" s="18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8"/>
      <c r="AT425" s="128"/>
      <c r="AU425" s="128"/>
      <c r="AV425" s="128"/>
      <c r="AW425" s="128"/>
      <c r="AX425" s="128"/>
      <c r="AY425" s="128"/>
      <c r="AZ425" s="128"/>
      <c r="BA425" s="128"/>
      <c r="BB425" s="128"/>
      <c r="BC425" s="128"/>
      <c r="BD425" s="128"/>
      <c r="BE425" s="128"/>
      <c r="BF425" s="128"/>
      <c r="BG425" s="128"/>
      <c r="BH425" s="128"/>
      <c r="BI425" s="128"/>
      <c r="BJ425" s="128"/>
      <c r="BK425" s="128"/>
      <c r="BL425" s="128"/>
      <c r="BM425" s="128"/>
      <c r="BN425" s="128"/>
      <c r="BO425" s="128"/>
      <c r="BP425" s="128"/>
      <c r="BQ425" s="128"/>
      <c r="BR425" s="128"/>
      <c r="BS425" s="128"/>
      <c r="BT425" s="128"/>
      <c r="BU425" s="128"/>
      <c r="BV425" s="128"/>
      <c r="BW425" s="128"/>
      <c r="BX425" s="128"/>
      <c r="BY425" s="128"/>
      <c r="BZ425" s="128"/>
      <c r="CA425" s="128"/>
      <c r="CB425" s="128"/>
      <c r="CC425" s="128"/>
      <c r="CD425" s="128"/>
      <c r="CE425" s="128"/>
      <c r="CF425" s="128"/>
      <c r="CG425" s="128"/>
      <c r="CH425" s="128"/>
      <c r="CI425" s="128"/>
      <c r="CJ425" s="128"/>
      <c r="CK425" s="128"/>
      <c r="CL425" s="128"/>
      <c r="CM425" s="128"/>
    </row>
    <row r="426" spans="1:91" x14ac:dyDescent="0.2">
      <c r="A426" s="18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  <c r="AS426" s="128"/>
      <c r="AT426" s="128"/>
      <c r="AU426" s="128"/>
      <c r="AV426" s="128"/>
      <c r="AW426" s="128"/>
      <c r="AX426" s="128"/>
      <c r="AY426" s="128"/>
      <c r="AZ426" s="128"/>
      <c r="BA426" s="128"/>
      <c r="BB426" s="128"/>
      <c r="BC426" s="128"/>
      <c r="BD426" s="128"/>
      <c r="BE426" s="128"/>
      <c r="BF426" s="128"/>
      <c r="BG426" s="128"/>
      <c r="BH426" s="128"/>
      <c r="BI426" s="128"/>
      <c r="BJ426" s="128"/>
      <c r="BK426" s="128"/>
      <c r="BL426" s="128"/>
      <c r="BM426" s="128"/>
      <c r="BN426" s="128"/>
      <c r="BO426" s="128"/>
      <c r="BP426" s="128"/>
      <c r="BQ426" s="128"/>
      <c r="BR426" s="128"/>
      <c r="BS426" s="128"/>
      <c r="BT426" s="128"/>
      <c r="BU426" s="128"/>
      <c r="BV426" s="128"/>
      <c r="BW426" s="128"/>
      <c r="BX426" s="128"/>
      <c r="BY426" s="128"/>
      <c r="BZ426" s="128"/>
      <c r="CA426" s="128"/>
      <c r="CB426" s="128"/>
      <c r="CC426" s="128"/>
      <c r="CD426" s="128"/>
      <c r="CE426" s="128"/>
      <c r="CF426" s="128"/>
      <c r="CG426" s="128"/>
      <c r="CH426" s="128"/>
      <c r="CI426" s="128"/>
      <c r="CJ426" s="128"/>
      <c r="CK426" s="128"/>
      <c r="CL426" s="128"/>
      <c r="CM426" s="128"/>
    </row>
    <row r="427" spans="1:91" x14ac:dyDescent="0.2">
      <c r="A427" s="18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  <c r="BE427" s="128"/>
      <c r="BF427" s="128"/>
      <c r="BG427" s="128"/>
      <c r="BH427" s="128"/>
      <c r="BI427" s="128"/>
      <c r="BJ427" s="128"/>
      <c r="BK427" s="128"/>
      <c r="BL427" s="128"/>
      <c r="BM427" s="128"/>
      <c r="BN427" s="128"/>
      <c r="BO427" s="128"/>
      <c r="BP427" s="128"/>
      <c r="BQ427" s="128"/>
      <c r="BR427" s="128"/>
      <c r="BS427" s="128"/>
      <c r="BT427" s="128"/>
      <c r="BU427" s="128"/>
      <c r="BV427" s="128"/>
      <c r="BW427" s="128"/>
      <c r="BX427" s="128"/>
      <c r="BY427" s="128"/>
      <c r="BZ427" s="128"/>
      <c r="CA427" s="128"/>
      <c r="CB427" s="128"/>
      <c r="CC427" s="128"/>
      <c r="CD427" s="128"/>
      <c r="CE427" s="128"/>
      <c r="CF427" s="128"/>
      <c r="CG427" s="128"/>
      <c r="CH427" s="128"/>
      <c r="CI427" s="128"/>
      <c r="CJ427" s="128"/>
      <c r="CK427" s="128"/>
      <c r="CL427" s="128"/>
      <c r="CM427" s="128"/>
    </row>
    <row r="428" spans="1:91" x14ac:dyDescent="0.2">
      <c r="A428" s="18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  <c r="BE428" s="128"/>
      <c r="BF428" s="128"/>
      <c r="BG428" s="128"/>
      <c r="BH428" s="128"/>
      <c r="BI428" s="128"/>
      <c r="BJ428" s="128"/>
      <c r="BK428" s="128"/>
      <c r="BL428" s="128"/>
      <c r="BM428" s="128"/>
      <c r="BN428" s="128"/>
      <c r="BO428" s="128"/>
      <c r="BP428" s="128"/>
      <c r="BQ428" s="128"/>
      <c r="BR428" s="128"/>
      <c r="BS428" s="128"/>
      <c r="BT428" s="128"/>
      <c r="BU428" s="128"/>
      <c r="BV428" s="128"/>
      <c r="BW428" s="128"/>
      <c r="BX428" s="128"/>
      <c r="BY428" s="128"/>
      <c r="BZ428" s="128"/>
      <c r="CA428" s="128"/>
      <c r="CB428" s="128"/>
      <c r="CC428" s="128"/>
      <c r="CD428" s="128"/>
      <c r="CE428" s="128"/>
      <c r="CF428" s="128"/>
      <c r="CG428" s="128"/>
      <c r="CH428" s="128"/>
      <c r="CI428" s="128"/>
      <c r="CJ428" s="128"/>
      <c r="CK428" s="128"/>
      <c r="CL428" s="128"/>
      <c r="CM428" s="128"/>
    </row>
    <row r="429" spans="1:91" x14ac:dyDescent="0.2">
      <c r="A429" s="18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8"/>
      <c r="BC429" s="128"/>
      <c r="BD429" s="128"/>
      <c r="BE429" s="128"/>
      <c r="BF429" s="128"/>
      <c r="BG429" s="128"/>
      <c r="BH429" s="128"/>
      <c r="BI429" s="128"/>
      <c r="BJ429" s="128"/>
      <c r="BK429" s="128"/>
      <c r="BL429" s="128"/>
      <c r="BM429" s="128"/>
      <c r="BN429" s="128"/>
      <c r="BO429" s="128"/>
      <c r="BP429" s="128"/>
      <c r="BQ429" s="128"/>
      <c r="BR429" s="128"/>
      <c r="BS429" s="128"/>
      <c r="BT429" s="128"/>
      <c r="BU429" s="128"/>
      <c r="BV429" s="128"/>
      <c r="BW429" s="128"/>
      <c r="BX429" s="128"/>
      <c r="BY429" s="128"/>
      <c r="BZ429" s="128"/>
      <c r="CA429" s="128"/>
      <c r="CB429" s="128"/>
      <c r="CC429" s="128"/>
      <c r="CD429" s="128"/>
      <c r="CE429" s="128"/>
      <c r="CF429" s="128"/>
      <c r="CG429" s="128"/>
      <c r="CH429" s="128"/>
      <c r="CI429" s="128"/>
      <c r="CJ429" s="128"/>
      <c r="CK429" s="128"/>
      <c r="CL429" s="128"/>
      <c r="CM429" s="128"/>
    </row>
    <row r="430" spans="1:91" x14ac:dyDescent="0.2">
      <c r="A430" s="18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8"/>
      <c r="BC430" s="128"/>
      <c r="BD430" s="128"/>
      <c r="BE430" s="128"/>
      <c r="BF430" s="128"/>
      <c r="BG430" s="128"/>
      <c r="BH430" s="128"/>
      <c r="BI430" s="128"/>
      <c r="BJ430" s="128"/>
      <c r="BK430" s="128"/>
      <c r="BL430" s="128"/>
      <c r="BM430" s="128"/>
      <c r="BN430" s="128"/>
      <c r="BO430" s="128"/>
      <c r="BP430" s="128"/>
      <c r="BQ430" s="128"/>
      <c r="BR430" s="128"/>
      <c r="BS430" s="128"/>
      <c r="BT430" s="128"/>
      <c r="BU430" s="128"/>
      <c r="BV430" s="128"/>
      <c r="BW430" s="128"/>
      <c r="BX430" s="128"/>
      <c r="BY430" s="128"/>
      <c r="BZ430" s="128"/>
      <c r="CA430" s="128"/>
      <c r="CB430" s="128"/>
      <c r="CC430" s="128"/>
      <c r="CD430" s="128"/>
      <c r="CE430" s="128"/>
      <c r="CF430" s="128"/>
      <c r="CG430" s="128"/>
      <c r="CH430" s="128"/>
      <c r="CI430" s="128"/>
      <c r="CJ430" s="128"/>
      <c r="CK430" s="128"/>
      <c r="CL430" s="128"/>
      <c r="CM430" s="128"/>
    </row>
    <row r="431" spans="1:91" x14ac:dyDescent="0.2">
      <c r="A431" s="18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  <c r="BE431" s="128"/>
      <c r="BF431" s="128"/>
      <c r="BG431" s="128"/>
      <c r="BH431" s="128"/>
      <c r="BI431" s="128"/>
      <c r="BJ431" s="128"/>
      <c r="BK431" s="128"/>
      <c r="BL431" s="128"/>
      <c r="BM431" s="128"/>
      <c r="BN431" s="128"/>
      <c r="BO431" s="128"/>
      <c r="BP431" s="128"/>
      <c r="BQ431" s="128"/>
      <c r="BR431" s="128"/>
      <c r="BS431" s="128"/>
      <c r="BT431" s="128"/>
      <c r="BU431" s="128"/>
      <c r="BV431" s="128"/>
      <c r="BW431" s="128"/>
      <c r="BX431" s="128"/>
      <c r="BY431" s="128"/>
      <c r="BZ431" s="128"/>
      <c r="CA431" s="128"/>
      <c r="CB431" s="128"/>
      <c r="CC431" s="128"/>
      <c r="CD431" s="128"/>
      <c r="CE431" s="128"/>
      <c r="CF431" s="128"/>
      <c r="CG431" s="128"/>
      <c r="CH431" s="128"/>
      <c r="CI431" s="128"/>
      <c r="CJ431" s="128"/>
      <c r="CK431" s="128"/>
      <c r="CL431" s="128"/>
      <c r="CM431" s="128"/>
    </row>
    <row r="432" spans="1:91" x14ac:dyDescent="0.2">
      <c r="A432" s="18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8"/>
      <c r="BC432" s="128"/>
      <c r="BD432" s="128"/>
      <c r="BE432" s="128"/>
      <c r="BF432" s="128"/>
      <c r="BG432" s="128"/>
      <c r="BH432" s="128"/>
      <c r="BI432" s="128"/>
      <c r="BJ432" s="128"/>
      <c r="BK432" s="128"/>
      <c r="BL432" s="128"/>
      <c r="BM432" s="128"/>
      <c r="BN432" s="128"/>
      <c r="BO432" s="128"/>
      <c r="BP432" s="128"/>
      <c r="BQ432" s="128"/>
      <c r="BR432" s="128"/>
      <c r="BS432" s="128"/>
      <c r="BT432" s="128"/>
      <c r="BU432" s="128"/>
      <c r="BV432" s="128"/>
      <c r="BW432" s="128"/>
      <c r="BX432" s="128"/>
      <c r="BY432" s="128"/>
      <c r="BZ432" s="128"/>
      <c r="CA432" s="128"/>
      <c r="CB432" s="128"/>
      <c r="CC432" s="128"/>
      <c r="CD432" s="128"/>
      <c r="CE432" s="128"/>
      <c r="CF432" s="128"/>
      <c r="CG432" s="128"/>
      <c r="CH432" s="128"/>
      <c r="CI432" s="128"/>
      <c r="CJ432" s="128"/>
      <c r="CK432" s="128"/>
      <c r="CL432" s="128"/>
      <c r="CM432" s="128"/>
    </row>
    <row r="433" spans="1:91" x14ac:dyDescent="0.2">
      <c r="A433" s="18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8"/>
      <c r="BC433" s="128"/>
      <c r="BD433" s="128"/>
      <c r="BE433" s="128"/>
      <c r="BF433" s="128"/>
      <c r="BG433" s="128"/>
      <c r="BH433" s="128"/>
      <c r="BI433" s="128"/>
      <c r="BJ433" s="128"/>
      <c r="BK433" s="128"/>
      <c r="BL433" s="128"/>
      <c r="BM433" s="128"/>
      <c r="BN433" s="128"/>
      <c r="BO433" s="128"/>
      <c r="BP433" s="128"/>
      <c r="BQ433" s="128"/>
      <c r="BR433" s="128"/>
      <c r="BS433" s="128"/>
      <c r="BT433" s="128"/>
      <c r="BU433" s="128"/>
      <c r="BV433" s="128"/>
      <c r="BW433" s="128"/>
      <c r="BX433" s="128"/>
      <c r="BY433" s="128"/>
      <c r="BZ433" s="128"/>
      <c r="CA433" s="128"/>
      <c r="CB433" s="128"/>
      <c r="CC433" s="128"/>
      <c r="CD433" s="128"/>
      <c r="CE433" s="128"/>
      <c r="CF433" s="128"/>
      <c r="CG433" s="128"/>
      <c r="CH433" s="128"/>
      <c r="CI433" s="128"/>
      <c r="CJ433" s="128"/>
      <c r="CK433" s="128"/>
      <c r="CL433" s="128"/>
      <c r="CM433" s="128"/>
    </row>
    <row r="434" spans="1:91" x14ac:dyDescent="0.2">
      <c r="A434" s="18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AD434" s="128"/>
      <c r="AE434" s="128"/>
      <c r="AF434" s="128"/>
      <c r="AG434" s="128"/>
      <c r="AH434" s="128"/>
      <c r="AI434" s="128"/>
      <c r="AJ434" s="128"/>
      <c r="AK434" s="128"/>
      <c r="AL434" s="128"/>
      <c r="AM434" s="128"/>
      <c r="AN434" s="128"/>
      <c r="AO434" s="128"/>
      <c r="AP434" s="128"/>
      <c r="AQ434" s="128"/>
      <c r="AR434" s="128"/>
      <c r="AS434" s="128"/>
      <c r="AT434" s="128"/>
      <c r="AU434" s="128"/>
      <c r="AV434" s="128"/>
      <c r="AW434" s="128"/>
      <c r="AX434" s="128"/>
      <c r="AY434" s="128"/>
      <c r="AZ434" s="128"/>
      <c r="BA434" s="128"/>
      <c r="BB434" s="128"/>
      <c r="BC434" s="128"/>
      <c r="BD434" s="128"/>
      <c r="BE434" s="128"/>
      <c r="BF434" s="128"/>
      <c r="BG434" s="128"/>
      <c r="BH434" s="128"/>
      <c r="BI434" s="128"/>
      <c r="BJ434" s="128"/>
      <c r="BK434" s="128"/>
      <c r="BL434" s="128"/>
      <c r="BM434" s="128"/>
      <c r="BN434" s="128"/>
      <c r="BO434" s="128"/>
      <c r="BP434" s="128"/>
      <c r="BQ434" s="128"/>
      <c r="BR434" s="128"/>
      <c r="BS434" s="128"/>
      <c r="BT434" s="128"/>
      <c r="BU434" s="128"/>
      <c r="BV434" s="128"/>
      <c r="BW434" s="128"/>
      <c r="BX434" s="128"/>
      <c r="BY434" s="128"/>
      <c r="BZ434" s="128"/>
      <c r="CA434" s="128"/>
      <c r="CB434" s="128"/>
      <c r="CC434" s="128"/>
      <c r="CD434" s="128"/>
      <c r="CE434" s="128"/>
      <c r="CF434" s="128"/>
      <c r="CG434" s="128"/>
      <c r="CH434" s="128"/>
      <c r="CI434" s="128"/>
      <c r="CJ434" s="128"/>
      <c r="CK434" s="128"/>
      <c r="CL434" s="128"/>
      <c r="CM434" s="128"/>
    </row>
    <row r="435" spans="1:91" x14ac:dyDescent="0.2">
      <c r="A435" s="18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AD435" s="128"/>
      <c r="AE435" s="128"/>
      <c r="AF435" s="128"/>
      <c r="AG435" s="128"/>
      <c r="AH435" s="128"/>
      <c r="AI435" s="128"/>
      <c r="AJ435" s="128"/>
      <c r="AK435" s="128"/>
      <c r="AL435" s="128"/>
      <c r="AM435" s="128"/>
      <c r="AN435" s="128"/>
      <c r="AO435" s="128"/>
      <c r="AP435" s="128"/>
      <c r="AQ435" s="128"/>
      <c r="AR435" s="128"/>
      <c r="AS435" s="128"/>
      <c r="AT435" s="128"/>
      <c r="AU435" s="128"/>
      <c r="AV435" s="128"/>
      <c r="AW435" s="128"/>
      <c r="AX435" s="128"/>
      <c r="AY435" s="128"/>
      <c r="AZ435" s="128"/>
      <c r="BA435" s="128"/>
      <c r="BB435" s="128"/>
      <c r="BC435" s="128"/>
      <c r="BD435" s="128"/>
      <c r="BE435" s="128"/>
      <c r="BF435" s="128"/>
      <c r="BG435" s="128"/>
      <c r="BH435" s="128"/>
      <c r="BI435" s="128"/>
      <c r="BJ435" s="128"/>
      <c r="BK435" s="128"/>
      <c r="BL435" s="128"/>
      <c r="BM435" s="128"/>
      <c r="BN435" s="128"/>
      <c r="BO435" s="128"/>
      <c r="BP435" s="128"/>
      <c r="BQ435" s="128"/>
      <c r="BR435" s="128"/>
      <c r="BS435" s="128"/>
      <c r="BT435" s="128"/>
      <c r="BU435" s="128"/>
      <c r="BV435" s="128"/>
      <c r="BW435" s="128"/>
      <c r="BX435" s="128"/>
      <c r="BY435" s="128"/>
      <c r="BZ435" s="128"/>
      <c r="CA435" s="128"/>
      <c r="CB435" s="128"/>
      <c r="CC435" s="128"/>
      <c r="CD435" s="128"/>
      <c r="CE435" s="128"/>
      <c r="CF435" s="128"/>
      <c r="CG435" s="128"/>
      <c r="CH435" s="128"/>
      <c r="CI435" s="128"/>
      <c r="CJ435" s="128"/>
      <c r="CK435" s="128"/>
      <c r="CL435" s="128"/>
      <c r="CM435" s="128"/>
    </row>
    <row r="436" spans="1:91" x14ac:dyDescent="0.2">
      <c r="A436" s="18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  <c r="AS436" s="128"/>
      <c r="AT436" s="128"/>
      <c r="AU436" s="128"/>
      <c r="AV436" s="128"/>
      <c r="AW436" s="128"/>
      <c r="AX436" s="128"/>
      <c r="AY436" s="128"/>
      <c r="AZ436" s="128"/>
      <c r="BA436" s="128"/>
      <c r="BB436" s="128"/>
      <c r="BC436" s="128"/>
      <c r="BD436" s="128"/>
      <c r="BE436" s="128"/>
      <c r="BF436" s="128"/>
      <c r="BG436" s="128"/>
      <c r="BH436" s="128"/>
      <c r="BI436" s="128"/>
      <c r="BJ436" s="128"/>
      <c r="BK436" s="128"/>
      <c r="BL436" s="128"/>
      <c r="BM436" s="128"/>
      <c r="BN436" s="128"/>
      <c r="BO436" s="128"/>
      <c r="BP436" s="128"/>
      <c r="BQ436" s="128"/>
      <c r="BR436" s="128"/>
      <c r="BS436" s="128"/>
      <c r="BT436" s="128"/>
      <c r="BU436" s="128"/>
      <c r="BV436" s="128"/>
      <c r="BW436" s="128"/>
      <c r="BX436" s="128"/>
      <c r="BY436" s="128"/>
      <c r="BZ436" s="128"/>
      <c r="CA436" s="128"/>
      <c r="CB436" s="128"/>
      <c r="CC436" s="128"/>
      <c r="CD436" s="128"/>
      <c r="CE436" s="128"/>
      <c r="CF436" s="128"/>
      <c r="CG436" s="128"/>
      <c r="CH436" s="128"/>
      <c r="CI436" s="128"/>
      <c r="CJ436" s="128"/>
      <c r="CK436" s="128"/>
      <c r="CL436" s="128"/>
      <c r="CM436" s="128"/>
    </row>
    <row r="437" spans="1:91" x14ac:dyDescent="0.2">
      <c r="A437" s="18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AD437" s="128"/>
      <c r="AE437" s="128"/>
      <c r="AF437" s="128"/>
      <c r="AG437" s="128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8"/>
      <c r="AS437" s="128"/>
      <c r="AT437" s="128"/>
      <c r="AU437" s="128"/>
      <c r="AV437" s="128"/>
      <c r="AW437" s="128"/>
      <c r="AX437" s="128"/>
      <c r="AY437" s="128"/>
      <c r="AZ437" s="128"/>
      <c r="BA437" s="128"/>
      <c r="BB437" s="128"/>
      <c r="BC437" s="128"/>
      <c r="BD437" s="128"/>
      <c r="BE437" s="128"/>
      <c r="BF437" s="128"/>
      <c r="BG437" s="128"/>
      <c r="BH437" s="128"/>
      <c r="BI437" s="128"/>
      <c r="BJ437" s="128"/>
      <c r="BK437" s="128"/>
      <c r="BL437" s="128"/>
      <c r="BM437" s="128"/>
      <c r="BN437" s="128"/>
      <c r="BO437" s="128"/>
      <c r="BP437" s="128"/>
      <c r="BQ437" s="128"/>
      <c r="BR437" s="128"/>
      <c r="BS437" s="128"/>
      <c r="BT437" s="128"/>
      <c r="BU437" s="128"/>
      <c r="BV437" s="128"/>
      <c r="BW437" s="128"/>
      <c r="BX437" s="128"/>
      <c r="BY437" s="128"/>
      <c r="BZ437" s="128"/>
      <c r="CA437" s="128"/>
      <c r="CB437" s="128"/>
      <c r="CC437" s="128"/>
      <c r="CD437" s="128"/>
      <c r="CE437" s="128"/>
      <c r="CF437" s="128"/>
      <c r="CG437" s="128"/>
      <c r="CH437" s="128"/>
      <c r="CI437" s="128"/>
      <c r="CJ437" s="128"/>
      <c r="CK437" s="128"/>
      <c r="CL437" s="128"/>
      <c r="CM437" s="128"/>
    </row>
    <row r="438" spans="1:91" x14ac:dyDescent="0.2">
      <c r="A438" s="18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/>
      <c r="BH438" s="128"/>
      <c r="BI438" s="128"/>
      <c r="BJ438" s="128"/>
      <c r="BK438" s="128"/>
      <c r="BL438" s="128"/>
      <c r="BM438" s="128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  <c r="BZ438" s="128"/>
      <c r="CA438" s="128"/>
      <c r="CB438" s="128"/>
      <c r="CC438" s="128"/>
      <c r="CD438" s="128"/>
      <c r="CE438" s="128"/>
      <c r="CF438" s="128"/>
      <c r="CG438" s="128"/>
      <c r="CH438" s="128"/>
      <c r="CI438" s="128"/>
      <c r="CJ438" s="128"/>
      <c r="CK438" s="128"/>
      <c r="CL438" s="128"/>
      <c r="CM438" s="128"/>
    </row>
    <row r="439" spans="1:91" x14ac:dyDescent="0.2">
      <c r="A439" s="18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28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/>
      <c r="BZ439" s="128"/>
      <c r="CA439" s="128"/>
      <c r="CB439" s="128"/>
      <c r="CC439" s="128"/>
      <c r="CD439" s="128"/>
      <c r="CE439" s="128"/>
      <c r="CF439" s="128"/>
      <c r="CG439" s="128"/>
      <c r="CH439" s="128"/>
      <c r="CI439" s="128"/>
      <c r="CJ439" s="128"/>
      <c r="CK439" s="128"/>
      <c r="CL439" s="128"/>
      <c r="CM439" s="128"/>
    </row>
    <row r="440" spans="1:91" x14ac:dyDescent="0.2">
      <c r="A440" s="18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  <c r="AS440" s="128"/>
      <c r="AT440" s="128"/>
      <c r="AU440" s="128"/>
      <c r="AV440" s="128"/>
      <c r="AW440" s="128"/>
      <c r="AX440" s="128"/>
      <c r="AY440" s="128"/>
      <c r="AZ440" s="128"/>
      <c r="BA440" s="128"/>
      <c r="BB440" s="128"/>
      <c r="BC440" s="128"/>
      <c r="BD440" s="128"/>
      <c r="BE440" s="128"/>
      <c r="BF440" s="128"/>
      <c r="BG440" s="128"/>
      <c r="BH440" s="128"/>
      <c r="BI440" s="128"/>
      <c r="BJ440" s="128"/>
      <c r="BK440" s="128"/>
      <c r="BL440" s="128"/>
      <c r="BM440" s="128"/>
      <c r="BN440" s="128"/>
      <c r="BO440" s="128"/>
      <c r="BP440" s="128"/>
      <c r="BQ440" s="128"/>
      <c r="BR440" s="128"/>
      <c r="BS440" s="128"/>
      <c r="BT440" s="128"/>
      <c r="BU440" s="128"/>
      <c r="BV440" s="128"/>
      <c r="BW440" s="128"/>
      <c r="BX440" s="128"/>
      <c r="BY440" s="128"/>
      <c r="BZ440" s="128"/>
      <c r="CA440" s="128"/>
      <c r="CB440" s="128"/>
      <c r="CC440" s="128"/>
      <c r="CD440" s="128"/>
      <c r="CE440" s="128"/>
      <c r="CF440" s="128"/>
      <c r="CG440" s="128"/>
      <c r="CH440" s="128"/>
      <c r="CI440" s="128"/>
      <c r="CJ440" s="128"/>
      <c r="CK440" s="128"/>
      <c r="CL440" s="128"/>
      <c r="CM440" s="128"/>
    </row>
    <row r="441" spans="1:91" x14ac:dyDescent="0.2">
      <c r="A441" s="18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AD441" s="128"/>
      <c r="AE441" s="128"/>
      <c r="AF441" s="128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28"/>
      <c r="AR441" s="128"/>
      <c r="AS441" s="128"/>
      <c r="AT441" s="128"/>
      <c r="AU441" s="128"/>
      <c r="AV441" s="128"/>
      <c r="AW441" s="128"/>
      <c r="AX441" s="128"/>
      <c r="AY441" s="128"/>
      <c r="AZ441" s="128"/>
      <c r="BA441" s="128"/>
      <c r="BB441" s="128"/>
      <c r="BC441" s="128"/>
      <c r="BD441" s="128"/>
      <c r="BE441" s="128"/>
      <c r="BF441" s="128"/>
      <c r="BG441" s="128"/>
      <c r="BH441" s="128"/>
      <c r="BI441" s="128"/>
      <c r="BJ441" s="128"/>
      <c r="BK441" s="128"/>
      <c r="BL441" s="128"/>
      <c r="BM441" s="128"/>
      <c r="BN441" s="128"/>
      <c r="BO441" s="128"/>
      <c r="BP441" s="128"/>
      <c r="BQ441" s="128"/>
      <c r="BR441" s="128"/>
      <c r="BS441" s="128"/>
      <c r="BT441" s="128"/>
      <c r="BU441" s="128"/>
      <c r="BV441" s="128"/>
      <c r="BW441" s="128"/>
      <c r="BX441" s="128"/>
      <c r="BY441" s="128"/>
      <c r="BZ441" s="128"/>
      <c r="CA441" s="128"/>
      <c r="CB441" s="128"/>
      <c r="CC441" s="128"/>
      <c r="CD441" s="128"/>
      <c r="CE441" s="128"/>
      <c r="CF441" s="128"/>
      <c r="CG441" s="128"/>
      <c r="CH441" s="128"/>
      <c r="CI441" s="128"/>
      <c r="CJ441" s="128"/>
      <c r="CK441" s="128"/>
      <c r="CL441" s="128"/>
      <c r="CM441" s="128"/>
    </row>
    <row r="442" spans="1:91" x14ac:dyDescent="0.2">
      <c r="A442" s="18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AD442" s="128"/>
      <c r="AE442" s="128"/>
      <c r="AF442" s="128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  <c r="AS442" s="128"/>
      <c r="AT442" s="128"/>
      <c r="AU442" s="128"/>
      <c r="AV442" s="128"/>
      <c r="AW442" s="128"/>
      <c r="AX442" s="128"/>
      <c r="AY442" s="128"/>
      <c r="AZ442" s="128"/>
      <c r="BA442" s="128"/>
      <c r="BB442" s="128"/>
      <c r="BC442" s="128"/>
      <c r="BD442" s="128"/>
      <c r="BE442" s="128"/>
      <c r="BF442" s="128"/>
      <c r="BG442" s="128"/>
      <c r="BH442" s="128"/>
      <c r="BI442" s="128"/>
      <c r="BJ442" s="128"/>
      <c r="BK442" s="128"/>
      <c r="BL442" s="128"/>
      <c r="BM442" s="128"/>
      <c r="BN442" s="128"/>
      <c r="BO442" s="128"/>
      <c r="BP442" s="128"/>
      <c r="BQ442" s="128"/>
      <c r="BR442" s="128"/>
      <c r="BS442" s="128"/>
      <c r="BT442" s="128"/>
      <c r="BU442" s="128"/>
      <c r="BV442" s="128"/>
      <c r="BW442" s="128"/>
      <c r="BX442" s="128"/>
      <c r="BY442" s="128"/>
      <c r="BZ442" s="128"/>
      <c r="CA442" s="128"/>
      <c r="CB442" s="128"/>
      <c r="CC442" s="128"/>
      <c r="CD442" s="128"/>
      <c r="CE442" s="128"/>
      <c r="CF442" s="128"/>
      <c r="CG442" s="128"/>
      <c r="CH442" s="128"/>
      <c r="CI442" s="128"/>
      <c r="CJ442" s="128"/>
      <c r="CK442" s="128"/>
      <c r="CL442" s="128"/>
      <c r="CM442" s="128"/>
    </row>
    <row r="443" spans="1:91" x14ac:dyDescent="0.2">
      <c r="A443" s="18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AD443" s="128"/>
      <c r="AE443" s="128"/>
      <c r="AF443" s="128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28"/>
      <c r="AR443" s="128"/>
      <c r="AS443" s="128"/>
      <c r="AT443" s="128"/>
      <c r="AU443" s="128"/>
      <c r="AV443" s="128"/>
      <c r="AW443" s="128"/>
      <c r="AX443" s="128"/>
      <c r="AY443" s="128"/>
      <c r="AZ443" s="128"/>
      <c r="BA443" s="128"/>
      <c r="BB443" s="128"/>
      <c r="BC443" s="128"/>
      <c r="BD443" s="128"/>
      <c r="BE443" s="128"/>
      <c r="BF443" s="128"/>
      <c r="BG443" s="128"/>
      <c r="BH443" s="128"/>
      <c r="BI443" s="128"/>
      <c r="BJ443" s="128"/>
      <c r="BK443" s="128"/>
      <c r="BL443" s="128"/>
      <c r="BM443" s="128"/>
      <c r="BN443" s="128"/>
      <c r="BO443" s="128"/>
      <c r="BP443" s="128"/>
      <c r="BQ443" s="128"/>
      <c r="BR443" s="128"/>
      <c r="BS443" s="128"/>
      <c r="BT443" s="128"/>
      <c r="BU443" s="128"/>
      <c r="BV443" s="128"/>
      <c r="BW443" s="128"/>
      <c r="BX443" s="128"/>
      <c r="BY443" s="128"/>
      <c r="BZ443" s="128"/>
      <c r="CA443" s="128"/>
      <c r="CB443" s="128"/>
      <c r="CC443" s="128"/>
      <c r="CD443" s="128"/>
      <c r="CE443" s="128"/>
      <c r="CF443" s="128"/>
      <c r="CG443" s="128"/>
      <c r="CH443" s="128"/>
      <c r="CI443" s="128"/>
      <c r="CJ443" s="128"/>
      <c r="CK443" s="128"/>
      <c r="CL443" s="128"/>
      <c r="CM443" s="128"/>
    </row>
    <row r="444" spans="1:91" x14ac:dyDescent="0.2">
      <c r="A444" s="18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  <c r="AS444" s="128"/>
      <c r="AT444" s="128"/>
      <c r="AU444" s="128"/>
      <c r="AV444" s="128"/>
      <c r="AW444" s="128"/>
      <c r="AX444" s="128"/>
      <c r="AY444" s="128"/>
      <c r="AZ444" s="128"/>
      <c r="BA444" s="128"/>
      <c r="BB444" s="128"/>
      <c r="BC444" s="128"/>
      <c r="BD444" s="128"/>
      <c r="BE444" s="128"/>
      <c r="BF444" s="128"/>
      <c r="BG444" s="128"/>
      <c r="BH444" s="128"/>
      <c r="BI444" s="128"/>
      <c r="BJ444" s="128"/>
      <c r="BK444" s="128"/>
      <c r="BL444" s="128"/>
      <c r="BM444" s="128"/>
      <c r="BN444" s="128"/>
      <c r="BO444" s="128"/>
      <c r="BP444" s="128"/>
      <c r="BQ444" s="128"/>
      <c r="BR444" s="128"/>
      <c r="BS444" s="128"/>
      <c r="BT444" s="128"/>
      <c r="BU444" s="128"/>
      <c r="BV444" s="128"/>
      <c r="BW444" s="128"/>
      <c r="BX444" s="128"/>
      <c r="BY444" s="128"/>
      <c r="BZ444" s="128"/>
      <c r="CA444" s="128"/>
      <c r="CB444" s="128"/>
      <c r="CC444" s="128"/>
      <c r="CD444" s="128"/>
      <c r="CE444" s="128"/>
      <c r="CF444" s="128"/>
      <c r="CG444" s="128"/>
      <c r="CH444" s="128"/>
      <c r="CI444" s="128"/>
      <c r="CJ444" s="128"/>
      <c r="CK444" s="128"/>
      <c r="CL444" s="128"/>
      <c r="CM444" s="128"/>
    </row>
    <row r="445" spans="1:91" x14ac:dyDescent="0.2">
      <c r="A445" s="18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AD445" s="128"/>
      <c r="AE445" s="128"/>
      <c r="AF445" s="128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8"/>
      <c r="BC445" s="128"/>
      <c r="BD445" s="128"/>
      <c r="BE445" s="128"/>
      <c r="BF445" s="128"/>
      <c r="BG445" s="128"/>
      <c r="BH445" s="128"/>
      <c r="BI445" s="128"/>
      <c r="BJ445" s="128"/>
      <c r="BK445" s="128"/>
      <c r="BL445" s="128"/>
      <c r="BM445" s="128"/>
      <c r="BN445" s="128"/>
      <c r="BO445" s="128"/>
      <c r="BP445" s="128"/>
      <c r="BQ445" s="128"/>
      <c r="BR445" s="128"/>
      <c r="BS445" s="128"/>
      <c r="BT445" s="128"/>
      <c r="BU445" s="128"/>
      <c r="BV445" s="128"/>
      <c r="BW445" s="128"/>
      <c r="BX445" s="128"/>
      <c r="BY445" s="128"/>
      <c r="BZ445" s="128"/>
      <c r="CA445" s="128"/>
      <c r="CB445" s="128"/>
      <c r="CC445" s="128"/>
      <c r="CD445" s="128"/>
      <c r="CE445" s="128"/>
      <c r="CF445" s="128"/>
      <c r="CG445" s="128"/>
      <c r="CH445" s="128"/>
      <c r="CI445" s="128"/>
      <c r="CJ445" s="128"/>
      <c r="CK445" s="128"/>
      <c r="CL445" s="128"/>
      <c r="CM445" s="128"/>
    </row>
    <row r="446" spans="1:91" x14ac:dyDescent="0.2">
      <c r="A446" s="18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AD446" s="128"/>
      <c r="AE446" s="128"/>
      <c r="AF446" s="128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28"/>
      <c r="AR446" s="128"/>
      <c r="AS446" s="128"/>
      <c r="AT446" s="128"/>
      <c r="AU446" s="128"/>
      <c r="AV446" s="128"/>
      <c r="AW446" s="128"/>
      <c r="AX446" s="128"/>
      <c r="AY446" s="128"/>
      <c r="AZ446" s="128"/>
      <c r="BA446" s="128"/>
      <c r="BB446" s="128"/>
      <c r="BC446" s="128"/>
      <c r="BD446" s="128"/>
      <c r="BE446" s="128"/>
      <c r="BF446" s="128"/>
      <c r="BG446" s="128"/>
      <c r="BH446" s="128"/>
      <c r="BI446" s="128"/>
      <c r="BJ446" s="128"/>
      <c r="BK446" s="128"/>
      <c r="BL446" s="128"/>
      <c r="BM446" s="128"/>
      <c r="BN446" s="128"/>
      <c r="BO446" s="128"/>
      <c r="BP446" s="128"/>
      <c r="BQ446" s="128"/>
      <c r="BR446" s="128"/>
      <c r="BS446" s="128"/>
      <c r="BT446" s="128"/>
      <c r="BU446" s="128"/>
      <c r="BV446" s="128"/>
      <c r="BW446" s="128"/>
      <c r="BX446" s="128"/>
      <c r="BY446" s="128"/>
      <c r="BZ446" s="128"/>
      <c r="CA446" s="128"/>
      <c r="CB446" s="128"/>
      <c r="CC446" s="128"/>
      <c r="CD446" s="128"/>
      <c r="CE446" s="128"/>
      <c r="CF446" s="128"/>
      <c r="CG446" s="128"/>
      <c r="CH446" s="128"/>
      <c r="CI446" s="128"/>
      <c r="CJ446" s="128"/>
      <c r="CK446" s="128"/>
      <c r="CL446" s="128"/>
      <c r="CM446" s="128"/>
    </row>
    <row r="447" spans="1:91" x14ac:dyDescent="0.2">
      <c r="A447" s="18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  <c r="AS447" s="128"/>
      <c r="AT447" s="128"/>
      <c r="AU447" s="128"/>
      <c r="AV447" s="128"/>
      <c r="AW447" s="128"/>
      <c r="AX447" s="128"/>
      <c r="AY447" s="128"/>
      <c r="AZ447" s="128"/>
      <c r="BA447" s="128"/>
      <c r="BB447" s="128"/>
      <c r="BC447" s="128"/>
      <c r="BD447" s="128"/>
      <c r="BE447" s="128"/>
      <c r="BF447" s="128"/>
      <c r="BG447" s="128"/>
      <c r="BH447" s="128"/>
      <c r="BI447" s="128"/>
      <c r="BJ447" s="128"/>
      <c r="BK447" s="128"/>
      <c r="BL447" s="128"/>
      <c r="BM447" s="128"/>
      <c r="BN447" s="128"/>
      <c r="BO447" s="128"/>
      <c r="BP447" s="128"/>
      <c r="BQ447" s="128"/>
      <c r="BR447" s="128"/>
      <c r="BS447" s="128"/>
      <c r="BT447" s="128"/>
      <c r="BU447" s="128"/>
      <c r="BV447" s="128"/>
      <c r="BW447" s="128"/>
      <c r="BX447" s="128"/>
      <c r="BY447" s="128"/>
      <c r="BZ447" s="128"/>
      <c r="CA447" s="128"/>
      <c r="CB447" s="128"/>
      <c r="CC447" s="128"/>
      <c r="CD447" s="128"/>
      <c r="CE447" s="128"/>
      <c r="CF447" s="128"/>
      <c r="CG447" s="128"/>
      <c r="CH447" s="128"/>
      <c r="CI447" s="128"/>
      <c r="CJ447" s="128"/>
      <c r="CK447" s="128"/>
      <c r="CL447" s="128"/>
      <c r="CM447" s="128"/>
    </row>
    <row r="448" spans="1:91" x14ac:dyDescent="0.2">
      <c r="A448" s="18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8"/>
      <c r="BC448" s="128"/>
      <c r="BD448" s="128"/>
      <c r="BE448" s="128"/>
      <c r="BF448" s="128"/>
      <c r="BG448" s="128"/>
      <c r="BH448" s="128"/>
      <c r="BI448" s="128"/>
      <c r="BJ448" s="128"/>
      <c r="BK448" s="128"/>
      <c r="BL448" s="128"/>
      <c r="BM448" s="128"/>
      <c r="BN448" s="128"/>
      <c r="BO448" s="128"/>
      <c r="BP448" s="128"/>
      <c r="BQ448" s="128"/>
      <c r="BR448" s="128"/>
      <c r="BS448" s="128"/>
      <c r="BT448" s="128"/>
      <c r="BU448" s="128"/>
      <c r="BV448" s="128"/>
      <c r="BW448" s="128"/>
      <c r="BX448" s="128"/>
      <c r="BY448" s="128"/>
      <c r="BZ448" s="128"/>
      <c r="CA448" s="128"/>
      <c r="CB448" s="128"/>
      <c r="CC448" s="128"/>
      <c r="CD448" s="128"/>
      <c r="CE448" s="128"/>
      <c r="CF448" s="128"/>
      <c r="CG448" s="128"/>
      <c r="CH448" s="128"/>
      <c r="CI448" s="128"/>
      <c r="CJ448" s="128"/>
      <c r="CK448" s="128"/>
      <c r="CL448" s="128"/>
      <c r="CM448" s="128"/>
    </row>
    <row r="449" spans="1:91" x14ac:dyDescent="0.2">
      <c r="A449" s="18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AD449" s="128"/>
      <c r="AE449" s="128"/>
      <c r="AF449" s="128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28"/>
      <c r="AR449" s="128"/>
      <c r="AS449" s="128"/>
      <c r="AT449" s="128"/>
      <c r="AU449" s="128"/>
      <c r="AV449" s="128"/>
      <c r="AW449" s="128"/>
      <c r="AX449" s="128"/>
      <c r="AY449" s="128"/>
      <c r="AZ449" s="128"/>
      <c r="BA449" s="128"/>
      <c r="BB449" s="128"/>
      <c r="BC449" s="128"/>
      <c r="BD449" s="128"/>
      <c r="BE449" s="128"/>
      <c r="BF449" s="128"/>
      <c r="BG449" s="128"/>
      <c r="BH449" s="128"/>
      <c r="BI449" s="128"/>
      <c r="BJ449" s="128"/>
      <c r="BK449" s="128"/>
      <c r="BL449" s="128"/>
      <c r="BM449" s="128"/>
      <c r="BN449" s="128"/>
      <c r="BO449" s="128"/>
      <c r="BP449" s="128"/>
      <c r="BQ449" s="128"/>
      <c r="BR449" s="128"/>
      <c r="BS449" s="128"/>
      <c r="BT449" s="128"/>
      <c r="BU449" s="128"/>
      <c r="BV449" s="128"/>
      <c r="BW449" s="128"/>
      <c r="BX449" s="128"/>
      <c r="BY449" s="128"/>
      <c r="BZ449" s="128"/>
      <c r="CA449" s="128"/>
      <c r="CB449" s="128"/>
      <c r="CC449" s="128"/>
      <c r="CD449" s="128"/>
      <c r="CE449" s="128"/>
      <c r="CF449" s="128"/>
      <c r="CG449" s="128"/>
      <c r="CH449" s="128"/>
      <c r="CI449" s="128"/>
      <c r="CJ449" s="128"/>
      <c r="CK449" s="128"/>
      <c r="CL449" s="128"/>
      <c r="CM449" s="128"/>
    </row>
    <row r="450" spans="1:91" x14ac:dyDescent="0.2">
      <c r="A450" s="18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/>
      <c r="BK450" s="128"/>
      <c r="BL450" s="128"/>
      <c r="BM450" s="128"/>
      <c r="BN450" s="128"/>
      <c r="BO450" s="128"/>
      <c r="BP450" s="128"/>
      <c r="BQ450" s="128"/>
      <c r="BR450" s="128"/>
      <c r="BS450" s="128"/>
      <c r="BT450" s="128"/>
      <c r="BU450" s="128"/>
      <c r="BV450" s="128"/>
      <c r="BW450" s="128"/>
      <c r="BX450" s="128"/>
      <c r="BY450" s="128"/>
      <c r="BZ450" s="128"/>
      <c r="CA450" s="128"/>
      <c r="CB450" s="128"/>
      <c r="CC450" s="128"/>
      <c r="CD450" s="128"/>
      <c r="CE450" s="128"/>
      <c r="CF450" s="128"/>
      <c r="CG450" s="128"/>
      <c r="CH450" s="128"/>
      <c r="CI450" s="128"/>
      <c r="CJ450" s="128"/>
      <c r="CK450" s="128"/>
      <c r="CL450" s="128"/>
      <c r="CM450" s="128"/>
    </row>
    <row r="451" spans="1:91" x14ac:dyDescent="0.2">
      <c r="A451" s="18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AD451" s="128"/>
      <c r="AE451" s="128"/>
      <c r="AF451" s="128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28"/>
      <c r="AR451" s="128"/>
      <c r="AS451" s="128"/>
      <c r="AT451" s="128"/>
      <c r="AU451" s="128"/>
      <c r="AV451" s="128"/>
      <c r="AW451" s="128"/>
      <c r="AX451" s="128"/>
      <c r="AY451" s="128"/>
      <c r="AZ451" s="128"/>
      <c r="BA451" s="128"/>
      <c r="BB451" s="128"/>
      <c r="BC451" s="128"/>
      <c r="BD451" s="128"/>
      <c r="BE451" s="128"/>
      <c r="BF451" s="128"/>
      <c r="BG451" s="128"/>
      <c r="BH451" s="128"/>
      <c r="BI451" s="128"/>
      <c r="BJ451" s="128"/>
      <c r="BK451" s="128"/>
      <c r="BL451" s="128"/>
      <c r="BM451" s="128"/>
      <c r="BN451" s="128"/>
      <c r="BO451" s="128"/>
      <c r="BP451" s="128"/>
      <c r="BQ451" s="128"/>
      <c r="BR451" s="128"/>
      <c r="BS451" s="128"/>
      <c r="BT451" s="128"/>
      <c r="BU451" s="128"/>
      <c r="BV451" s="128"/>
      <c r="BW451" s="128"/>
      <c r="BX451" s="128"/>
      <c r="BY451" s="128"/>
      <c r="BZ451" s="128"/>
      <c r="CA451" s="128"/>
      <c r="CB451" s="128"/>
      <c r="CC451" s="128"/>
      <c r="CD451" s="128"/>
      <c r="CE451" s="128"/>
      <c r="CF451" s="128"/>
      <c r="CG451" s="128"/>
      <c r="CH451" s="128"/>
      <c r="CI451" s="128"/>
      <c r="CJ451" s="128"/>
      <c r="CK451" s="128"/>
      <c r="CL451" s="128"/>
      <c r="CM451" s="128"/>
    </row>
    <row r="452" spans="1:91" x14ac:dyDescent="0.2">
      <c r="A452" s="18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AD452" s="128"/>
      <c r="AE452" s="128"/>
      <c r="AF452" s="128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28"/>
      <c r="AR452" s="128"/>
      <c r="AS452" s="128"/>
      <c r="AT452" s="128"/>
      <c r="AU452" s="128"/>
      <c r="AV452" s="128"/>
      <c r="AW452" s="128"/>
      <c r="AX452" s="128"/>
      <c r="AY452" s="128"/>
      <c r="AZ452" s="128"/>
      <c r="BA452" s="128"/>
      <c r="BB452" s="128"/>
      <c r="BC452" s="128"/>
      <c r="BD452" s="128"/>
      <c r="BE452" s="128"/>
      <c r="BF452" s="128"/>
      <c r="BG452" s="128"/>
      <c r="BH452" s="128"/>
      <c r="BI452" s="128"/>
      <c r="BJ452" s="128"/>
      <c r="BK452" s="128"/>
      <c r="BL452" s="128"/>
      <c r="BM452" s="128"/>
      <c r="BN452" s="128"/>
      <c r="BO452" s="128"/>
      <c r="BP452" s="128"/>
      <c r="BQ452" s="128"/>
      <c r="BR452" s="128"/>
      <c r="BS452" s="128"/>
      <c r="BT452" s="128"/>
      <c r="BU452" s="128"/>
      <c r="BV452" s="128"/>
      <c r="BW452" s="128"/>
      <c r="BX452" s="128"/>
      <c r="BY452" s="128"/>
      <c r="BZ452" s="128"/>
      <c r="CA452" s="128"/>
      <c r="CB452" s="128"/>
      <c r="CC452" s="128"/>
      <c r="CD452" s="128"/>
      <c r="CE452" s="128"/>
      <c r="CF452" s="128"/>
      <c r="CG452" s="128"/>
      <c r="CH452" s="128"/>
      <c r="CI452" s="128"/>
      <c r="CJ452" s="128"/>
      <c r="CK452" s="128"/>
      <c r="CL452" s="128"/>
      <c r="CM452" s="128"/>
    </row>
    <row r="453" spans="1:91" x14ac:dyDescent="0.2">
      <c r="A453" s="18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AD453" s="128"/>
      <c r="AE453" s="128"/>
      <c r="AF453" s="128"/>
      <c r="AG453" s="12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28"/>
      <c r="AR453" s="128"/>
      <c r="AS453" s="128"/>
      <c r="AT453" s="128"/>
      <c r="AU453" s="128"/>
      <c r="AV453" s="128"/>
      <c r="AW453" s="128"/>
      <c r="AX453" s="128"/>
      <c r="AY453" s="128"/>
      <c r="AZ453" s="128"/>
      <c r="BA453" s="128"/>
      <c r="BB453" s="128"/>
      <c r="BC453" s="128"/>
      <c r="BD453" s="128"/>
      <c r="BE453" s="128"/>
      <c r="BF453" s="128"/>
      <c r="BG453" s="128"/>
      <c r="BH453" s="128"/>
      <c r="BI453" s="128"/>
      <c r="BJ453" s="128"/>
      <c r="BK453" s="128"/>
      <c r="BL453" s="128"/>
      <c r="BM453" s="128"/>
      <c r="BN453" s="128"/>
      <c r="BO453" s="128"/>
      <c r="BP453" s="128"/>
      <c r="BQ453" s="128"/>
      <c r="BR453" s="128"/>
      <c r="BS453" s="128"/>
      <c r="BT453" s="128"/>
      <c r="BU453" s="128"/>
      <c r="BV453" s="128"/>
      <c r="BW453" s="128"/>
      <c r="BX453" s="128"/>
      <c r="BY453" s="128"/>
      <c r="BZ453" s="128"/>
      <c r="CA453" s="128"/>
      <c r="CB453" s="128"/>
      <c r="CC453" s="128"/>
      <c r="CD453" s="128"/>
      <c r="CE453" s="128"/>
      <c r="CF453" s="128"/>
      <c r="CG453" s="128"/>
      <c r="CH453" s="128"/>
      <c r="CI453" s="128"/>
      <c r="CJ453" s="128"/>
      <c r="CK453" s="128"/>
      <c r="CL453" s="128"/>
      <c r="CM453" s="128"/>
    </row>
    <row r="454" spans="1:91" x14ac:dyDescent="0.2">
      <c r="A454" s="18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AD454" s="128"/>
      <c r="AE454" s="128"/>
      <c r="AF454" s="128"/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28"/>
      <c r="AR454" s="128"/>
      <c r="AS454" s="128"/>
      <c r="AT454" s="128"/>
      <c r="AU454" s="128"/>
      <c r="AV454" s="128"/>
      <c r="AW454" s="128"/>
      <c r="AX454" s="128"/>
      <c r="AY454" s="128"/>
      <c r="AZ454" s="128"/>
      <c r="BA454" s="128"/>
      <c r="BB454" s="128"/>
      <c r="BC454" s="128"/>
      <c r="BD454" s="128"/>
      <c r="BE454" s="128"/>
      <c r="BF454" s="128"/>
      <c r="BG454" s="128"/>
      <c r="BH454" s="128"/>
      <c r="BI454" s="128"/>
      <c r="BJ454" s="128"/>
      <c r="BK454" s="128"/>
      <c r="BL454" s="128"/>
      <c r="BM454" s="128"/>
      <c r="BN454" s="128"/>
      <c r="BO454" s="128"/>
      <c r="BP454" s="128"/>
      <c r="BQ454" s="128"/>
      <c r="BR454" s="128"/>
      <c r="BS454" s="128"/>
      <c r="BT454" s="128"/>
      <c r="BU454" s="128"/>
      <c r="BV454" s="128"/>
      <c r="BW454" s="128"/>
      <c r="BX454" s="128"/>
      <c r="BY454" s="128"/>
      <c r="BZ454" s="128"/>
      <c r="CA454" s="128"/>
      <c r="CB454" s="128"/>
      <c r="CC454" s="128"/>
      <c r="CD454" s="128"/>
      <c r="CE454" s="128"/>
      <c r="CF454" s="128"/>
      <c r="CG454" s="128"/>
      <c r="CH454" s="128"/>
      <c r="CI454" s="128"/>
      <c r="CJ454" s="128"/>
      <c r="CK454" s="128"/>
      <c r="CL454" s="128"/>
      <c r="CM454" s="128"/>
    </row>
    <row r="455" spans="1:91" x14ac:dyDescent="0.2">
      <c r="A455" s="18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  <c r="AS455" s="128"/>
      <c r="AT455" s="128"/>
      <c r="AU455" s="128"/>
      <c r="AV455" s="128"/>
      <c r="AW455" s="128"/>
      <c r="AX455" s="128"/>
      <c r="AY455" s="128"/>
      <c r="AZ455" s="128"/>
      <c r="BA455" s="128"/>
      <c r="BB455" s="128"/>
      <c r="BC455" s="128"/>
      <c r="BD455" s="128"/>
      <c r="BE455" s="128"/>
      <c r="BF455" s="128"/>
      <c r="BG455" s="128"/>
      <c r="BH455" s="128"/>
      <c r="BI455" s="128"/>
      <c r="BJ455" s="128"/>
      <c r="BK455" s="128"/>
      <c r="BL455" s="128"/>
      <c r="BM455" s="128"/>
      <c r="BN455" s="128"/>
      <c r="BO455" s="128"/>
      <c r="BP455" s="128"/>
      <c r="BQ455" s="128"/>
      <c r="BR455" s="128"/>
      <c r="BS455" s="128"/>
      <c r="BT455" s="128"/>
      <c r="BU455" s="128"/>
      <c r="BV455" s="128"/>
      <c r="BW455" s="128"/>
      <c r="BX455" s="128"/>
      <c r="BY455" s="128"/>
      <c r="BZ455" s="128"/>
      <c r="CA455" s="128"/>
      <c r="CB455" s="128"/>
      <c r="CC455" s="128"/>
      <c r="CD455" s="128"/>
      <c r="CE455" s="128"/>
      <c r="CF455" s="128"/>
      <c r="CG455" s="128"/>
      <c r="CH455" s="128"/>
      <c r="CI455" s="128"/>
      <c r="CJ455" s="128"/>
      <c r="CK455" s="128"/>
      <c r="CL455" s="128"/>
      <c r="CM455" s="128"/>
    </row>
    <row r="456" spans="1:91" x14ac:dyDescent="0.2">
      <c r="A456" s="18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/>
      <c r="BH456" s="128"/>
      <c r="BI456" s="128"/>
      <c r="BJ456" s="128"/>
      <c r="BK456" s="128"/>
      <c r="BL456" s="128"/>
      <c r="BM456" s="128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8"/>
      <c r="BX456" s="128"/>
      <c r="BY456" s="128"/>
      <c r="BZ456" s="128"/>
      <c r="CA456" s="128"/>
      <c r="CB456" s="128"/>
      <c r="CC456" s="128"/>
      <c r="CD456" s="128"/>
      <c r="CE456" s="128"/>
      <c r="CF456" s="128"/>
      <c r="CG456" s="128"/>
      <c r="CH456" s="128"/>
      <c r="CI456" s="128"/>
      <c r="CJ456" s="128"/>
      <c r="CK456" s="128"/>
      <c r="CL456" s="128"/>
      <c r="CM456" s="128"/>
    </row>
    <row r="457" spans="1:91" x14ac:dyDescent="0.2">
      <c r="A457" s="18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AD457" s="128"/>
      <c r="AE457" s="128"/>
      <c r="AF457" s="128"/>
      <c r="AG457" s="12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  <c r="AS457" s="128"/>
      <c r="AT457" s="128"/>
      <c r="AU457" s="128"/>
      <c r="AV457" s="128"/>
      <c r="AW457" s="128"/>
      <c r="AX457" s="128"/>
      <c r="AY457" s="128"/>
      <c r="AZ457" s="128"/>
      <c r="BA457" s="128"/>
      <c r="BB457" s="128"/>
      <c r="BC457" s="128"/>
      <c r="BD457" s="128"/>
      <c r="BE457" s="128"/>
      <c r="BF457" s="128"/>
      <c r="BG457" s="128"/>
      <c r="BH457" s="128"/>
      <c r="BI457" s="128"/>
      <c r="BJ457" s="128"/>
      <c r="BK457" s="128"/>
      <c r="BL457" s="128"/>
      <c r="BM457" s="128"/>
      <c r="BN457" s="128"/>
      <c r="BO457" s="128"/>
      <c r="BP457" s="128"/>
      <c r="BQ457" s="128"/>
      <c r="BR457" s="128"/>
      <c r="BS457" s="128"/>
      <c r="BT457" s="128"/>
      <c r="BU457" s="128"/>
      <c r="BV457" s="128"/>
      <c r="BW457" s="128"/>
      <c r="BX457" s="128"/>
      <c r="BY457" s="128"/>
      <c r="BZ457" s="128"/>
      <c r="CA457" s="128"/>
      <c r="CB457" s="128"/>
      <c r="CC457" s="128"/>
      <c r="CD457" s="128"/>
      <c r="CE457" s="128"/>
      <c r="CF457" s="128"/>
      <c r="CG457" s="128"/>
      <c r="CH457" s="128"/>
      <c r="CI457" s="128"/>
      <c r="CJ457" s="128"/>
      <c r="CK457" s="128"/>
      <c r="CL457" s="128"/>
      <c r="CM457" s="128"/>
    </row>
    <row r="458" spans="1:91" x14ac:dyDescent="0.2">
      <c r="A458" s="18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8"/>
      <c r="AT458" s="128"/>
      <c r="AU458" s="128"/>
      <c r="AV458" s="128"/>
      <c r="AW458" s="128"/>
      <c r="AX458" s="128"/>
      <c r="AY458" s="128"/>
      <c r="AZ458" s="128"/>
      <c r="BA458" s="128"/>
      <c r="BB458" s="128"/>
      <c r="BC458" s="128"/>
      <c r="BD458" s="128"/>
      <c r="BE458" s="128"/>
      <c r="BF458" s="128"/>
      <c r="BG458" s="128"/>
      <c r="BH458" s="128"/>
      <c r="BI458" s="128"/>
      <c r="BJ458" s="128"/>
      <c r="BK458" s="128"/>
      <c r="BL458" s="128"/>
      <c r="BM458" s="128"/>
      <c r="BN458" s="128"/>
      <c r="BO458" s="128"/>
      <c r="BP458" s="128"/>
      <c r="BQ458" s="128"/>
      <c r="BR458" s="128"/>
      <c r="BS458" s="128"/>
      <c r="BT458" s="128"/>
      <c r="BU458" s="128"/>
      <c r="BV458" s="128"/>
      <c r="BW458" s="128"/>
      <c r="BX458" s="128"/>
      <c r="BY458" s="128"/>
      <c r="BZ458" s="128"/>
      <c r="CA458" s="128"/>
      <c r="CB458" s="128"/>
      <c r="CC458" s="128"/>
      <c r="CD458" s="128"/>
      <c r="CE458" s="128"/>
      <c r="CF458" s="128"/>
      <c r="CG458" s="128"/>
      <c r="CH458" s="128"/>
      <c r="CI458" s="128"/>
      <c r="CJ458" s="128"/>
      <c r="CK458" s="128"/>
      <c r="CL458" s="128"/>
      <c r="CM458" s="128"/>
    </row>
    <row r="459" spans="1:91" x14ac:dyDescent="0.2">
      <c r="A459" s="18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AD459" s="128"/>
      <c r="AE459" s="128"/>
      <c r="AF459" s="128"/>
      <c r="AG459" s="12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8"/>
      <c r="AW459" s="128"/>
      <c r="AX459" s="128"/>
      <c r="AY459" s="128"/>
      <c r="AZ459" s="128"/>
      <c r="BA459" s="128"/>
      <c r="BB459" s="128"/>
      <c r="BC459" s="128"/>
      <c r="BD459" s="128"/>
      <c r="BE459" s="128"/>
      <c r="BF459" s="128"/>
      <c r="BG459" s="128"/>
      <c r="BH459" s="128"/>
      <c r="BI459" s="128"/>
      <c r="BJ459" s="128"/>
      <c r="BK459" s="128"/>
      <c r="BL459" s="128"/>
      <c r="BM459" s="128"/>
      <c r="BN459" s="128"/>
      <c r="BO459" s="128"/>
      <c r="BP459" s="128"/>
      <c r="BQ459" s="128"/>
      <c r="BR459" s="128"/>
      <c r="BS459" s="128"/>
      <c r="BT459" s="128"/>
      <c r="BU459" s="128"/>
      <c r="BV459" s="128"/>
      <c r="BW459" s="128"/>
      <c r="BX459" s="128"/>
      <c r="BY459" s="128"/>
      <c r="BZ459" s="128"/>
      <c r="CA459" s="128"/>
      <c r="CB459" s="128"/>
      <c r="CC459" s="128"/>
      <c r="CD459" s="128"/>
      <c r="CE459" s="128"/>
      <c r="CF459" s="128"/>
      <c r="CG459" s="128"/>
      <c r="CH459" s="128"/>
      <c r="CI459" s="128"/>
      <c r="CJ459" s="128"/>
      <c r="CK459" s="128"/>
      <c r="CL459" s="128"/>
      <c r="CM459" s="128"/>
    </row>
    <row r="460" spans="1:91" x14ac:dyDescent="0.2">
      <c r="A460" s="18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AD460" s="128"/>
      <c r="AE460" s="128"/>
      <c r="AF460" s="128"/>
      <c r="AG460" s="128"/>
      <c r="AH460" s="128"/>
      <c r="AI460" s="128"/>
      <c r="AJ460" s="128"/>
      <c r="AK460" s="128"/>
      <c r="AL460" s="128"/>
      <c r="AM460" s="128"/>
      <c r="AN460" s="128"/>
      <c r="AO460" s="128"/>
      <c r="AP460" s="128"/>
      <c r="AQ460" s="128"/>
      <c r="AR460" s="128"/>
      <c r="AS460" s="128"/>
      <c r="AT460" s="128"/>
      <c r="AU460" s="128"/>
      <c r="AV460" s="128"/>
      <c r="AW460" s="128"/>
      <c r="AX460" s="128"/>
      <c r="AY460" s="128"/>
      <c r="AZ460" s="128"/>
      <c r="BA460" s="128"/>
      <c r="BB460" s="128"/>
      <c r="BC460" s="128"/>
      <c r="BD460" s="128"/>
      <c r="BE460" s="128"/>
      <c r="BF460" s="128"/>
      <c r="BG460" s="128"/>
      <c r="BH460" s="128"/>
      <c r="BI460" s="128"/>
      <c r="BJ460" s="128"/>
      <c r="BK460" s="128"/>
      <c r="BL460" s="128"/>
      <c r="BM460" s="128"/>
      <c r="BN460" s="128"/>
      <c r="BO460" s="128"/>
      <c r="BP460" s="128"/>
      <c r="BQ460" s="128"/>
      <c r="BR460" s="128"/>
      <c r="BS460" s="128"/>
      <c r="BT460" s="128"/>
      <c r="BU460" s="128"/>
      <c r="BV460" s="128"/>
      <c r="BW460" s="128"/>
      <c r="BX460" s="128"/>
      <c r="BY460" s="128"/>
      <c r="BZ460" s="128"/>
      <c r="CA460" s="128"/>
      <c r="CB460" s="128"/>
      <c r="CC460" s="128"/>
      <c r="CD460" s="128"/>
      <c r="CE460" s="128"/>
      <c r="CF460" s="128"/>
      <c r="CG460" s="128"/>
      <c r="CH460" s="128"/>
      <c r="CI460" s="128"/>
      <c r="CJ460" s="128"/>
      <c r="CK460" s="128"/>
      <c r="CL460" s="128"/>
      <c r="CM460" s="128"/>
    </row>
    <row r="461" spans="1:91" x14ac:dyDescent="0.2">
      <c r="A461" s="18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/>
      <c r="BH461" s="128"/>
      <c r="BI461" s="128"/>
      <c r="BJ461" s="128"/>
      <c r="BK461" s="128"/>
      <c r="BL461" s="128"/>
      <c r="BM461" s="128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8"/>
      <c r="BX461" s="128"/>
      <c r="BY461" s="128"/>
      <c r="BZ461" s="128"/>
      <c r="CA461" s="128"/>
      <c r="CB461" s="128"/>
      <c r="CC461" s="128"/>
      <c r="CD461" s="128"/>
      <c r="CE461" s="128"/>
      <c r="CF461" s="128"/>
      <c r="CG461" s="128"/>
      <c r="CH461" s="128"/>
      <c r="CI461" s="128"/>
      <c r="CJ461" s="128"/>
      <c r="CK461" s="128"/>
      <c r="CL461" s="128"/>
      <c r="CM461" s="128"/>
    </row>
    <row r="462" spans="1:91" x14ac:dyDescent="0.2">
      <c r="A462" s="18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/>
      <c r="BH462" s="128"/>
      <c r="BI462" s="128"/>
      <c r="BJ462" s="128"/>
      <c r="BK462" s="128"/>
      <c r="BL462" s="128"/>
      <c r="BM462" s="128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8"/>
      <c r="BX462" s="128"/>
      <c r="BY462" s="128"/>
      <c r="BZ462" s="128"/>
      <c r="CA462" s="128"/>
      <c r="CB462" s="128"/>
      <c r="CC462" s="128"/>
      <c r="CD462" s="128"/>
      <c r="CE462" s="128"/>
      <c r="CF462" s="128"/>
      <c r="CG462" s="128"/>
      <c r="CH462" s="128"/>
      <c r="CI462" s="128"/>
      <c r="CJ462" s="128"/>
      <c r="CK462" s="128"/>
      <c r="CL462" s="128"/>
      <c r="CM462" s="128"/>
    </row>
    <row r="463" spans="1:91" x14ac:dyDescent="0.2">
      <c r="A463" s="18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AD463" s="128"/>
      <c r="AE463" s="128"/>
      <c r="AF463" s="128"/>
      <c r="AG463" s="12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28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8"/>
      <c r="BX463" s="128"/>
      <c r="BY463" s="128"/>
      <c r="BZ463" s="128"/>
      <c r="CA463" s="128"/>
      <c r="CB463" s="128"/>
      <c r="CC463" s="128"/>
      <c r="CD463" s="128"/>
      <c r="CE463" s="128"/>
      <c r="CF463" s="128"/>
      <c r="CG463" s="128"/>
      <c r="CH463" s="128"/>
      <c r="CI463" s="128"/>
      <c r="CJ463" s="128"/>
      <c r="CK463" s="128"/>
      <c r="CL463" s="128"/>
      <c r="CM463" s="128"/>
    </row>
    <row r="464" spans="1:91" x14ac:dyDescent="0.2">
      <c r="A464" s="18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/>
      <c r="BH464" s="128"/>
      <c r="BI464" s="128"/>
      <c r="BJ464" s="128"/>
      <c r="BK464" s="128"/>
      <c r="BL464" s="128"/>
      <c r="BM464" s="128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8"/>
      <c r="BX464" s="128"/>
      <c r="BY464" s="128"/>
      <c r="BZ464" s="128"/>
      <c r="CA464" s="128"/>
      <c r="CB464" s="128"/>
      <c r="CC464" s="128"/>
      <c r="CD464" s="128"/>
      <c r="CE464" s="128"/>
      <c r="CF464" s="128"/>
      <c r="CG464" s="128"/>
      <c r="CH464" s="128"/>
      <c r="CI464" s="128"/>
      <c r="CJ464" s="128"/>
      <c r="CK464" s="128"/>
      <c r="CL464" s="128"/>
      <c r="CM464" s="128"/>
    </row>
    <row r="465" spans="1:91" x14ac:dyDescent="0.2">
      <c r="A465" s="18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AD465" s="128"/>
      <c r="AE465" s="128"/>
      <c r="AF465" s="128"/>
      <c r="AG465" s="12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28"/>
      <c r="BN465" s="128"/>
      <c r="BO465" s="128"/>
      <c r="BP465" s="128"/>
      <c r="BQ465" s="128"/>
      <c r="BR465" s="128"/>
      <c r="BS465" s="128"/>
      <c r="BT465" s="128"/>
      <c r="BU465" s="128"/>
      <c r="BV465" s="128"/>
      <c r="BW465" s="128"/>
      <c r="BX465" s="128"/>
      <c r="BY465" s="128"/>
      <c r="BZ465" s="128"/>
      <c r="CA465" s="128"/>
      <c r="CB465" s="128"/>
      <c r="CC465" s="128"/>
      <c r="CD465" s="128"/>
      <c r="CE465" s="128"/>
      <c r="CF465" s="128"/>
      <c r="CG465" s="128"/>
      <c r="CH465" s="128"/>
      <c r="CI465" s="128"/>
      <c r="CJ465" s="128"/>
      <c r="CK465" s="128"/>
      <c r="CL465" s="128"/>
      <c r="CM465" s="128"/>
    </row>
    <row r="466" spans="1:91" x14ac:dyDescent="0.2">
      <c r="A466" s="18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28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8"/>
      <c r="BX466" s="128"/>
      <c r="BY466" s="128"/>
      <c r="BZ466" s="128"/>
      <c r="CA466" s="128"/>
      <c r="CB466" s="128"/>
      <c r="CC466" s="128"/>
      <c r="CD466" s="128"/>
      <c r="CE466" s="128"/>
      <c r="CF466" s="128"/>
      <c r="CG466" s="128"/>
      <c r="CH466" s="128"/>
      <c r="CI466" s="128"/>
      <c r="CJ466" s="128"/>
      <c r="CK466" s="128"/>
      <c r="CL466" s="128"/>
      <c r="CM466" s="128"/>
    </row>
    <row r="467" spans="1:91" x14ac:dyDescent="0.2">
      <c r="A467" s="18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/>
      <c r="BH467" s="128"/>
      <c r="BI467" s="128"/>
      <c r="BJ467" s="128"/>
      <c r="BK467" s="128"/>
      <c r="BL467" s="128"/>
      <c r="BM467" s="128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8"/>
      <c r="BX467" s="128"/>
      <c r="BY467" s="128"/>
      <c r="BZ467" s="128"/>
      <c r="CA467" s="128"/>
      <c r="CB467" s="128"/>
      <c r="CC467" s="128"/>
      <c r="CD467" s="128"/>
      <c r="CE467" s="128"/>
      <c r="CF467" s="128"/>
      <c r="CG467" s="128"/>
      <c r="CH467" s="128"/>
      <c r="CI467" s="128"/>
      <c r="CJ467" s="128"/>
      <c r="CK467" s="128"/>
      <c r="CL467" s="128"/>
      <c r="CM467" s="128"/>
    </row>
    <row r="468" spans="1:91" x14ac:dyDescent="0.2">
      <c r="A468" s="18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/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28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8"/>
      <c r="CA468" s="128"/>
      <c r="CB468" s="128"/>
      <c r="CC468" s="128"/>
      <c r="CD468" s="128"/>
      <c r="CE468" s="128"/>
      <c r="CF468" s="128"/>
      <c r="CG468" s="128"/>
      <c r="CH468" s="128"/>
      <c r="CI468" s="128"/>
      <c r="CJ468" s="128"/>
      <c r="CK468" s="128"/>
      <c r="CL468" s="128"/>
      <c r="CM468" s="128"/>
    </row>
    <row r="469" spans="1:91" x14ac:dyDescent="0.2">
      <c r="A469" s="18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AD469" s="128"/>
      <c r="AE469" s="128"/>
      <c r="AF469" s="128"/>
      <c r="AG469" s="12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28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8"/>
      <c r="BX469" s="128"/>
      <c r="BY469" s="128"/>
      <c r="BZ469" s="128"/>
      <c r="CA469" s="128"/>
      <c r="CB469" s="128"/>
      <c r="CC469" s="128"/>
      <c r="CD469" s="128"/>
      <c r="CE469" s="128"/>
      <c r="CF469" s="128"/>
      <c r="CG469" s="128"/>
      <c r="CH469" s="128"/>
      <c r="CI469" s="128"/>
      <c r="CJ469" s="128"/>
      <c r="CK469" s="128"/>
      <c r="CL469" s="128"/>
      <c r="CM469" s="128"/>
    </row>
    <row r="470" spans="1:91" x14ac:dyDescent="0.2">
      <c r="A470" s="18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AD470" s="128"/>
      <c r="AE470" s="128"/>
      <c r="AF470" s="128"/>
      <c r="AG470" s="12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28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8"/>
      <c r="BX470" s="128"/>
      <c r="BY470" s="128"/>
      <c r="BZ470" s="128"/>
      <c r="CA470" s="128"/>
      <c r="CB470" s="128"/>
      <c r="CC470" s="128"/>
      <c r="CD470" s="128"/>
      <c r="CE470" s="128"/>
      <c r="CF470" s="128"/>
      <c r="CG470" s="128"/>
      <c r="CH470" s="128"/>
      <c r="CI470" s="128"/>
      <c r="CJ470" s="128"/>
      <c r="CK470" s="128"/>
      <c r="CL470" s="128"/>
      <c r="CM470" s="128"/>
    </row>
    <row r="471" spans="1:91" x14ac:dyDescent="0.2">
      <c r="A471" s="18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AD471" s="128"/>
      <c r="AE471" s="128"/>
      <c r="AF471" s="128"/>
      <c r="AG471" s="12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28"/>
      <c r="BN471" s="128"/>
      <c r="BO471" s="128"/>
      <c r="BP471" s="128"/>
      <c r="BQ471" s="128"/>
      <c r="BR471" s="128"/>
      <c r="BS471" s="128"/>
      <c r="BT471" s="128"/>
      <c r="BU471" s="128"/>
      <c r="BV471" s="128"/>
      <c r="BW471" s="128"/>
      <c r="BX471" s="128"/>
      <c r="BY471" s="128"/>
      <c r="BZ471" s="128"/>
      <c r="CA471" s="128"/>
      <c r="CB471" s="128"/>
      <c r="CC471" s="128"/>
      <c r="CD471" s="128"/>
      <c r="CE471" s="128"/>
      <c r="CF471" s="128"/>
      <c r="CG471" s="128"/>
      <c r="CH471" s="128"/>
      <c r="CI471" s="128"/>
      <c r="CJ471" s="128"/>
      <c r="CK471" s="128"/>
      <c r="CL471" s="128"/>
      <c r="CM471" s="128"/>
    </row>
    <row r="472" spans="1:91" x14ac:dyDescent="0.2">
      <c r="A472" s="18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AD472" s="128"/>
      <c r="AE472" s="128"/>
      <c r="AF472" s="128"/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28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8"/>
      <c r="BX472" s="128"/>
      <c r="BY472" s="128"/>
      <c r="BZ472" s="128"/>
      <c r="CA472" s="128"/>
      <c r="CB472" s="128"/>
      <c r="CC472" s="128"/>
      <c r="CD472" s="128"/>
      <c r="CE472" s="128"/>
      <c r="CF472" s="128"/>
      <c r="CG472" s="128"/>
      <c r="CH472" s="128"/>
      <c r="CI472" s="128"/>
      <c r="CJ472" s="128"/>
      <c r="CK472" s="128"/>
      <c r="CL472" s="128"/>
      <c r="CM472" s="128"/>
    </row>
    <row r="473" spans="1:91" x14ac:dyDescent="0.2">
      <c r="A473" s="18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AD473" s="128"/>
      <c r="AE473" s="128"/>
      <c r="AF473" s="128"/>
      <c r="AG473" s="12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8"/>
      <c r="AW473" s="128"/>
      <c r="AX473" s="128"/>
      <c r="AY473" s="128"/>
      <c r="AZ473" s="128"/>
      <c r="BA473" s="128"/>
      <c r="BB473" s="128"/>
      <c r="BC473" s="128"/>
      <c r="BD473" s="128"/>
      <c r="BE473" s="128"/>
      <c r="BF473" s="128"/>
      <c r="BG473" s="128"/>
      <c r="BH473" s="128"/>
      <c r="BI473" s="128"/>
      <c r="BJ473" s="128"/>
      <c r="BK473" s="128"/>
      <c r="BL473" s="128"/>
      <c r="BM473" s="128"/>
      <c r="BN473" s="128"/>
      <c r="BO473" s="128"/>
      <c r="BP473" s="128"/>
      <c r="BQ473" s="128"/>
      <c r="BR473" s="128"/>
      <c r="BS473" s="128"/>
      <c r="BT473" s="128"/>
      <c r="BU473" s="128"/>
      <c r="BV473" s="128"/>
      <c r="BW473" s="128"/>
      <c r="BX473" s="128"/>
      <c r="BY473" s="128"/>
      <c r="BZ473" s="128"/>
      <c r="CA473" s="128"/>
      <c r="CB473" s="128"/>
      <c r="CC473" s="128"/>
      <c r="CD473" s="128"/>
      <c r="CE473" s="128"/>
      <c r="CF473" s="128"/>
      <c r="CG473" s="128"/>
      <c r="CH473" s="128"/>
      <c r="CI473" s="128"/>
      <c r="CJ473" s="128"/>
      <c r="CK473" s="128"/>
      <c r="CL473" s="128"/>
      <c r="CM473" s="128"/>
    </row>
    <row r="474" spans="1:91" x14ac:dyDescent="0.2">
      <c r="A474" s="18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AD474" s="128"/>
      <c r="AE474" s="128"/>
      <c r="AF474" s="128"/>
      <c r="AG474" s="12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28"/>
      <c r="AR474" s="128"/>
      <c r="AS474" s="128"/>
      <c r="AT474" s="128"/>
      <c r="AU474" s="128"/>
      <c r="AV474" s="128"/>
      <c r="AW474" s="128"/>
      <c r="AX474" s="128"/>
      <c r="AY474" s="128"/>
      <c r="AZ474" s="128"/>
      <c r="BA474" s="128"/>
      <c r="BB474" s="128"/>
      <c r="BC474" s="128"/>
      <c r="BD474" s="128"/>
      <c r="BE474" s="128"/>
      <c r="BF474" s="128"/>
      <c r="BG474" s="128"/>
      <c r="BH474" s="128"/>
      <c r="BI474" s="128"/>
      <c r="BJ474" s="128"/>
      <c r="BK474" s="128"/>
      <c r="BL474" s="128"/>
      <c r="BM474" s="128"/>
      <c r="BN474" s="128"/>
      <c r="BO474" s="128"/>
      <c r="BP474" s="128"/>
      <c r="BQ474" s="128"/>
      <c r="BR474" s="128"/>
      <c r="BS474" s="128"/>
      <c r="BT474" s="128"/>
      <c r="BU474" s="128"/>
      <c r="BV474" s="128"/>
      <c r="BW474" s="128"/>
      <c r="BX474" s="128"/>
      <c r="BY474" s="128"/>
      <c r="BZ474" s="128"/>
      <c r="CA474" s="128"/>
      <c r="CB474" s="128"/>
      <c r="CC474" s="128"/>
      <c r="CD474" s="128"/>
      <c r="CE474" s="128"/>
      <c r="CF474" s="128"/>
      <c r="CG474" s="128"/>
      <c r="CH474" s="128"/>
      <c r="CI474" s="128"/>
      <c r="CJ474" s="128"/>
      <c r="CK474" s="128"/>
      <c r="CL474" s="128"/>
      <c r="CM474" s="128"/>
    </row>
    <row r="475" spans="1:91" x14ac:dyDescent="0.2">
      <c r="A475" s="18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AD475" s="128"/>
      <c r="AE475" s="128"/>
      <c r="AF475" s="128"/>
      <c r="AG475" s="12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28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8"/>
      <c r="BX475" s="128"/>
      <c r="BY475" s="128"/>
      <c r="BZ475" s="128"/>
      <c r="CA475" s="128"/>
      <c r="CB475" s="128"/>
      <c r="CC475" s="128"/>
      <c r="CD475" s="128"/>
      <c r="CE475" s="128"/>
      <c r="CF475" s="128"/>
      <c r="CG475" s="128"/>
      <c r="CH475" s="128"/>
      <c r="CI475" s="128"/>
      <c r="CJ475" s="128"/>
      <c r="CK475" s="128"/>
      <c r="CL475" s="128"/>
      <c r="CM475" s="128"/>
    </row>
    <row r="476" spans="1:91" x14ac:dyDescent="0.2">
      <c r="A476" s="18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AD476" s="128"/>
      <c r="AE476" s="128"/>
      <c r="AF476" s="128"/>
      <c r="AG476" s="12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8"/>
      <c r="AW476" s="128"/>
      <c r="AX476" s="128"/>
      <c r="AY476" s="128"/>
      <c r="AZ476" s="128"/>
      <c r="BA476" s="128"/>
      <c r="BB476" s="128"/>
      <c r="BC476" s="128"/>
      <c r="BD476" s="128"/>
      <c r="BE476" s="128"/>
      <c r="BF476" s="128"/>
      <c r="BG476" s="128"/>
      <c r="BH476" s="128"/>
      <c r="BI476" s="128"/>
      <c r="BJ476" s="128"/>
      <c r="BK476" s="128"/>
      <c r="BL476" s="128"/>
      <c r="BM476" s="128"/>
      <c r="BN476" s="128"/>
      <c r="BO476" s="128"/>
      <c r="BP476" s="128"/>
      <c r="BQ476" s="128"/>
      <c r="BR476" s="128"/>
      <c r="BS476" s="128"/>
      <c r="BT476" s="128"/>
      <c r="BU476" s="128"/>
      <c r="BV476" s="128"/>
      <c r="BW476" s="128"/>
      <c r="BX476" s="128"/>
      <c r="BY476" s="128"/>
      <c r="BZ476" s="128"/>
      <c r="CA476" s="128"/>
      <c r="CB476" s="128"/>
      <c r="CC476" s="128"/>
      <c r="CD476" s="128"/>
      <c r="CE476" s="128"/>
      <c r="CF476" s="128"/>
      <c r="CG476" s="128"/>
      <c r="CH476" s="128"/>
      <c r="CI476" s="128"/>
      <c r="CJ476" s="128"/>
      <c r="CK476" s="128"/>
      <c r="CL476" s="128"/>
      <c r="CM476" s="128"/>
    </row>
    <row r="477" spans="1:91" x14ac:dyDescent="0.2">
      <c r="A477" s="18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AD477" s="128"/>
      <c r="AE477" s="128"/>
      <c r="AF477" s="128"/>
      <c r="AG477" s="12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8"/>
      <c r="AW477" s="128"/>
      <c r="AX477" s="128"/>
      <c r="AY477" s="128"/>
      <c r="AZ477" s="128"/>
      <c r="BA477" s="128"/>
      <c r="BB477" s="128"/>
      <c r="BC477" s="128"/>
      <c r="BD477" s="128"/>
      <c r="BE477" s="128"/>
      <c r="BF477" s="128"/>
      <c r="BG477" s="128"/>
      <c r="BH477" s="128"/>
      <c r="BI477" s="128"/>
      <c r="BJ477" s="128"/>
      <c r="BK477" s="128"/>
      <c r="BL477" s="128"/>
      <c r="BM477" s="128"/>
      <c r="BN477" s="128"/>
      <c r="BO477" s="128"/>
      <c r="BP477" s="128"/>
      <c r="BQ477" s="128"/>
      <c r="BR477" s="128"/>
      <c r="BS477" s="128"/>
      <c r="BT477" s="128"/>
      <c r="BU477" s="128"/>
      <c r="BV477" s="128"/>
      <c r="BW477" s="128"/>
      <c r="BX477" s="128"/>
      <c r="BY477" s="128"/>
      <c r="BZ477" s="128"/>
      <c r="CA477" s="128"/>
      <c r="CB477" s="128"/>
      <c r="CC477" s="128"/>
      <c r="CD477" s="128"/>
      <c r="CE477" s="128"/>
      <c r="CF477" s="128"/>
      <c r="CG477" s="128"/>
      <c r="CH477" s="128"/>
      <c r="CI477" s="128"/>
      <c r="CJ477" s="128"/>
      <c r="CK477" s="128"/>
      <c r="CL477" s="128"/>
      <c r="CM477" s="128"/>
    </row>
    <row r="478" spans="1:91" x14ac:dyDescent="0.2">
      <c r="A478" s="18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AD478" s="128"/>
      <c r="AE478" s="128"/>
      <c r="AF478" s="128"/>
      <c r="AG478" s="12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8"/>
      <c r="AW478" s="128"/>
      <c r="AX478" s="128"/>
      <c r="AY478" s="128"/>
      <c r="AZ478" s="128"/>
      <c r="BA478" s="128"/>
      <c r="BB478" s="128"/>
      <c r="BC478" s="128"/>
      <c r="BD478" s="128"/>
      <c r="BE478" s="128"/>
      <c r="BF478" s="128"/>
      <c r="BG478" s="128"/>
      <c r="BH478" s="128"/>
      <c r="BI478" s="128"/>
      <c r="BJ478" s="128"/>
      <c r="BK478" s="128"/>
      <c r="BL478" s="128"/>
      <c r="BM478" s="128"/>
      <c r="BN478" s="128"/>
      <c r="BO478" s="128"/>
      <c r="BP478" s="128"/>
      <c r="BQ478" s="128"/>
      <c r="BR478" s="128"/>
      <c r="BS478" s="128"/>
      <c r="BT478" s="128"/>
      <c r="BU478" s="128"/>
      <c r="BV478" s="128"/>
      <c r="BW478" s="128"/>
      <c r="BX478" s="128"/>
      <c r="BY478" s="128"/>
      <c r="BZ478" s="128"/>
      <c r="CA478" s="128"/>
      <c r="CB478" s="128"/>
      <c r="CC478" s="128"/>
      <c r="CD478" s="128"/>
      <c r="CE478" s="128"/>
      <c r="CF478" s="128"/>
      <c r="CG478" s="128"/>
      <c r="CH478" s="128"/>
      <c r="CI478" s="128"/>
      <c r="CJ478" s="128"/>
      <c r="CK478" s="128"/>
      <c r="CL478" s="128"/>
      <c r="CM478" s="128"/>
    </row>
    <row r="479" spans="1:91" x14ac:dyDescent="0.2">
      <c r="A479" s="18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AD479" s="128"/>
      <c r="AE479" s="128"/>
      <c r="AF479" s="128"/>
      <c r="AG479" s="12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  <c r="AS479" s="128"/>
      <c r="AT479" s="128"/>
      <c r="AU479" s="128"/>
      <c r="AV479" s="128"/>
      <c r="AW479" s="128"/>
      <c r="AX479" s="128"/>
      <c r="AY479" s="128"/>
      <c r="AZ479" s="128"/>
      <c r="BA479" s="128"/>
      <c r="BB479" s="128"/>
      <c r="BC479" s="128"/>
      <c r="BD479" s="128"/>
      <c r="BE479" s="128"/>
      <c r="BF479" s="128"/>
      <c r="BG479" s="128"/>
      <c r="BH479" s="128"/>
      <c r="BI479" s="128"/>
      <c r="BJ479" s="128"/>
      <c r="BK479" s="128"/>
      <c r="BL479" s="128"/>
      <c r="BM479" s="128"/>
      <c r="BN479" s="128"/>
      <c r="BO479" s="128"/>
      <c r="BP479" s="128"/>
      <c r="BQ479" s="128"/>
      <c r="BR479" s="128"/>
      <c r="BS479" s="128"/>
      <c r="BT479" s="128"/>
      <c r="BU479" s="128"/>
      <c r="BV479" s="128"/>
      <c r="BW479" s="128"/>
      <c r="BX479" s="128"/>
      <c r="BY479" s="128"/>
      <c r="BZ479" s="128"/>
      <c r="CA479" s="128"/>
      <c r="CB479" s="128"/>
      <c r="CC479" s="128"/>
      <c r="CD479" s="128"/>
      <c r="CE479" s="128"/>
      <c r="CF479" s="128"/>
      <c r="CG479" s="128"/>
      <c r="CH479" s="128"/>
      <c r="CI479" s="128"/>
      <c r="CJ479" s="128"/>
      <c r="CK479" s="128"/>
      <c r="CL479" s="128"/>
      <c r="CM479" s="128"/>
    </row>
    <row r="480" spans="1:91" x14ac:dyDescent="0.2">
      <c r="A480" s="18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AD480" s="128"/>
      <c r="AE480" s="128"/>
      <c r="AF480" s="128"/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28"/>
      <c r="AR480" s="128"/>
      <c r="AS480" s="128"/>
      <c r="AT480" s="128"/>
      <c r="AU480" s="128"/>
      <c r="AV480" s="128"/>
      <c r="AW480" s="128"/>
      <c r="AX480" s="128"/>
      <c r="AY480" s="128"/>
      <c r="AZ480" s="128"/>
      <c r="BA480" s="128"/>
      <c r="BB480" s="128"/>
      <c r="BC480" s="128"/>
      <c r="BD480" s="128"/>
      <c r="BE480" s="128"/>
      <c r="BF480" s="128"/>
      <c r="BG480" s="128"/>
      <c r="BH480" s="128"/>
      <c r="BI480" s="128"/>
      <c r="BJ480" s="128"/>
      <c r="BK480" s="128"/>
      <c r="BL480" s="128"/>
      <c r="BM480" s="128"/>
      <c r="BN480" s="128"/>
      <c r="BO480" s="128"/>
      <c r="BP480" s="128"/>
      <c r="BQ480" s="128"/>
      <c r="BR480" s="128"/>
      <c r="BS480" s="128"/>
      <c r="BT480" s="128"/>
      <c r="BU480" s="128"/>
      <c r="BV480" s="128"/>
      <c r="BW480" s="128"/>
      <c r="BX480" s="128"/>
      <c r="BY480" s="128"/>
      <c r="BZ480" s="128"/>
      <c r="CA480" s="128"/>
      <c r="CB480" s="128"/>
      <c r="CC480" s="128"/>
      <c r="CD480" s="128"/>
      <c r="CE480" s="128"/>
      <c r="CF480" s="128"/>
      <c r="CG480" s="128"/>
      <c r="CH480" s="128"/>
      <c r="CI480" s="128"/>
      <c r="CJ480" s="128"/>
      <c r="CK480" s="128"/>
      <c r="CL480" s="128"/>
      <c r="CM480" s="128"/>
    </row>
    <row r="481" spans="1:91" x14ac:dyDescent="0.2">
      <c r="A481" s="18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AD481" s="128"/>
      <c r="AE481" s="128"/>
      <c r="AF481" s="128"/>
      <c r="AG481" s="12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28"/>
      <c r="AR481" s="128"/>
      <c r="AS481" s="128"/>
      <c r="AT481" s="128"/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28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8"/>
      <c r="BX481" s="128"/>
      <c r="BY481" s="128"/>
      <c r="BZ481" s="128"/>
      <c r="CA481" s="128"/>
      <c r="CB481" s="128"/>
      <c r="CC481" s="128"/>
      <c r="CD481" s="128"/>
      <c r="CE481" s="128"/>
      <c r="CF481" s="128"/>
      <c r="CG481" s="128"/>
      <c r="CH481" s="128"/>
      <c r="CI481" s="128"/>
      <c r="CJ481" s="128"/>
      <c r="CK481" s="128"/>
      <c r="CL481" s="128"/>
      <c r="CM481" s="128"/>
    </row>
    <row r="482" spans="1:91" x14ac:dyDescent="0.2">
      <c r="A482" s="18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AD482" s="128"/>
      <c r="AE482" s="128"/>
      <c r="AF482" s="128"/>
      <c r="AG482" s="12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28"/>
      <c r="AR482" s="128"/>
      <c r="AS482" s="128"/>
      <c r="AT482" s="128"/>
      <c r="AU482" s="128"/>
      <c r="AV482" s="128"/>
      <c r="AW482" s="128"/>
      <c r="AX482" s="128"/>
      <c r="AY482" s="128"/>
      <c r="AZ482" s="128"/>
      <c r="BA482" s="128"/>
      <c r="BB482" s="128"/>
      <c r="BC482" s="128"/>
      <c r="BD482" s="128"/>
      <c r="BE482" s="128"/>
      <c r="BF482" s="128"/>
      <c r="BG482" s="128"/>
      <c r="BH482" s="128"/>
      <c r="BI482" s="128"/>
      <c r="BJ482" s="128"/>
      <c r="BK482" s="128"/>
      <c r="BL482" s="128"/>
      <c r="BM482" s="128"/>
      <c r="BN482" s="128"/>
      <c r="BO482" s="128"/>
      <c r="BP482" s="128"/>
      <c r="BQ482" s="128"/>
      <c r="BR482" s="128"/>
      <c r="BS482" s="128"/>
      <c r="BT482" s="128"/>
      <c r="BU482" s="128"/>
      <c r="BV482" s="128"/>
      <c r="BW482" s="128"/>
      <c r="BX482" s="128"/>
      <c r="BY482" s="128"/>
      <c r="BZ482" s="128"/>
      <c r="CA482" s="128"/>
      <c r="CB482" s="128"/>
      <c r="CC482" s="128"/>
      <c r="CD482" s="128"/>
      <c r="CE482" s="128"/>
      <c r="CF482" s="128"/>
      <c r="CG482" s="128"/>
      <c r="CH482" s="128"/>
      <c r="CI482" s="128"/>
      <c r="CJ482" s="128"/>
      <c r="CK482" s="128"/>
      <c r="CL482" s="128"/>
      <c r="CM482" s="128"/>
    </row>
    <row r="483" spans="1:91" x14ac:dyDescent="0.2">
      <c r="A483" s="18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AD483" s="128"/>
      <c r="AE483" s="128"/>
      <c r="AF483" s="128"/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28"/>
      <c r="AR483" s="128"/>
      <c r="AS483" s="128"/>
      <c r="AT483" s="128"/>
      <c r="AU483" s="128"/>
      <c r="AV483" s="128"/>
      <c r="AW483" s="128"/>
      <c r="AX483" s="128"/>
      <c r="AY483" s="128"/>
      <c r="AZ483" s="128"/>
      <c r="BA483" s="128"/>
      <c r="BB483" s="128"/>
      <c r="BC483" s="128"/>
      <c r="BD483" s="128"/>
      <c r="BE483" s="128"/>
      <c r="BF483" s="128"/>
      <c r="BG483" s="128"/>
      <c r="BH483" s="128"/>
      <c r="BI483" s="128"/>
      <c r="BJ483" s="128"/>
      <c r="BK483" s="128"/>
      <c r="BL483" s="128"/>
      <c r="BM483" s="128"/>
      <c r="BN483" s="128"/>
      <c r="BO483" s="128"/>
      <c r="BP483" s="128"/>
      <c r="BQ483" s="128"/>
      <c r="BR483" s="128"/>
      <c r="BS483" s="128"/>
      <c r="BT483" s="128"/>
      <c r="BU483" s="128"/>
      <c r="BV483" s="128"/>
      <c r="BW483" s="128"/>
      <c r="BX483" s="128"/>
      <c r="BY483" s="128"/>
      <c r="BZ483" s="128"/>
      <c r="CA483" s="128"/>
      <c r="CB483" s="128"/>
      <c r="CC483" s="128"/>
      <c r="CD483" s="128"/>
      <c r="CE483" s="128"/>
      <c r="CF483" s="128"/>
      <c r="CG483" s="128"/>
      <c r="CH483" s="128"/>
      <c r="CI483" s="128"/>
      <c r="CJ483" s="128"/>
      <c r="CK483" s="128"/>
      <c r="CL483" s="128"/>
      <c r="CM483" s="128"/>
    </row>
    <row r="484" spans="1:91" x14ac:dyDescent="0.2">
      <c r="A484" s="18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  <c r="AS484" s="128"/>
      <c r="AT484" s="128"/>
      <c r="AU484" s="128"/>
      <c r="AV484" s="128"/>
      <c r="AW484" s="128"/>
      <c r="AX484" s="128"/>
      <c r="AY484" s="128"/>
      <c r="AZ484" s="128"/>
      <c r="BA484" s="128"/>
      <c r="BB484" s="128"/>
      <c r="BC484" s="128"/>
      <c r="BD484" s="128"/>
      <c r="BE484" s="128"/>
      <c r="BF484" s="128"/>
      <c r="BG484" s="128"/>
      <c r="BH484" s="128"/>
      <c r="BI484" s="128"/>
      <c r="BJ484" s="128"/>
      <c r="BK484" s="128"/>
      <c r="BL484" s="128"/>
      <c r="BM484" s="128"/>
      <c r="BN484" s="128"/>
      <c r="BO484" s="128"/>
      <c r="BP484" s="128"/>
      <c r="BQ484" s="128"/>
      <c r="BR484" s="128"/>
      <c r="BS484" s="128"/>
      <c r="BT484" s="128"/>
      <c r="BU484" s="128"/>
      <c r="BV484" s="128"/>
      <c r="BW484" s="128"/>
      <c r="BX484" s="128"/>
      <c r="BY484" s="128"/>
      <c r="BZ484" s="128"/>
      <c r="CA484" s="128"/>
      <c r="CB484" s="128"/>
      <c r="CC484" s="128"/>
      <c r="CD484" s="128"/>
      <c r="CE484" s="128"/>
      <c r="CF484" s="128"/>
      <c r="CG484" s="128"/>
      <c r="CH484" s="128"/>
      <c r="CI484" s="128"/>
      <c r="CJ484" s="128"/>
      <c r="CK484" s="128"/>
      <c r="CL484" s="128"/>
      <c r="CM484" s="128"/>
    </row>
    <row r="485" spans="1:91" x14ac:dyDescent="0.2">
      <c r="A485" s="18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AD485" s="128"/>
      <c r="AE485" s="128"/>
      <c r="AF485" s="128"/>
      <c r="AG485" s="12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8"/>
      <c r="AW485" s="128"/>
      <c r="AX485" s="128"/>
      <c r="AY485" s="128"/>
      <c r="AZ485" s="128"/>
      <c r="BA485" s="128"/>
      <c r="BB485" s="128"/>
      <c r="BC485" s="128"/>
      <c r="BD485" s="128"/>
      <c r="BE485" s="128"/>
      <c r="BF485" s="128"/>
      <c r="BG485" s="128"/>
      <c r="BH485" s="128"/>
      <c r="BI485" s="128"/>
      <c r="BJ485" s="128"/>
      <c r="BK485" s="128"/>
      <c r="BL485" s="128"/>
      <c r="BM485" s="128"/>
      <c r="BN485" s="128"/>
      <c r="BO485" s="128"/>
      <c r="BP485" s="128"/>
      <c r="BQ485" s="128"/>
      <c r="BR485" s="128"/>
      <c r="BS485" s="128"/>
      <c r="BT485" s="128"/>
      <c r="BU485" s="128"/>
      <c r="BV485" s="128"/>
      <c r="BW485" s="128"/>
      <c r="BX485" s="128"/>
      <c r="BY485" s="128"/>
      <c r="BZ485" s="128"/>
      <c r="CA485" s="128"/>
      <c r="CB485" s="128"/>
      <c r="CC485" s="128"/>
      <c r="CD485" s="128"/>
      <c r="CE485" s="128"/>
      <c r="CF485" s="128"/>
      <c r="CG485" s="128"/>
      <c r="CH485" s="128"/>
      <c r="CI485" s="128"/>
      <c r="CJ485" s="128"/>
      <c r="CK485" s="128"/>
      <c r="CL485" s="128"/>
      <c r="CM485" s="128"/>
    </row>
    <row r="486" spans="1:91" x14ac:dyDescent="0.2">
      <c r="A486" s="18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AD486" s="128"/>
      <c r="AE486" s="128"/>
      <c r="AF486" s="128"/>
      <c r="AG486" s="12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  <c r="AS486" s="128"/>
      <c r="AT486" s="128"/>
      <c r="AU486" s="128"/>
      <c r="AV486" s="128"/>
      <c r="AW486" s="128"/>
      <c r="AX486" s="128"/>
      <c r="AY486" s="128"/>
      <c r="AZ486" s="128"/>
      <c r="BA486" s="128"/>
      <c r="BB486" s="128"/>
      <c r="BC486" s="128"/>
      <c r="BD486" s="128"/>
      <c r="BE486" s="128"/>
      <c r="BF486" s="128"/>
      <c r="BG486" s="128"/>
      <c r="BH486" s="128"/>
      <c r="BI486" s="128"/>
      <c r="BJ486" s="128"/>
      <c r="BK486" s="128"/>
      <c r="BL486" s="128"/>
      <c r="BM486" s="128"/>
      <c r="BN486" s="128"/>
      <c r="BO486" s="128"/>
      <c r="BP486" s="128"/>
      <c r="BQ486" s="128"/>
      <c r="BR486" s="128"/>
      <c r="BS486" s="128"/>
      <c r="BT486" s="128"/>
      <c r="BU486" s="128"/>
      <c r="BV486" s="128"/>
      <c r="BW486" s="128"/>
      <c r="BX486" s="128"/>
      <c r="BY486" s="128"/>
      <c r="BZ486" s="128"/>
      <c r="CA486" s="128"/>
      <c r="CB486" s="128"/>
      <c r="CC486" s="128"/>
      <c r="CD486" s="128"/>
      <c r="CE486" s="128"/>
      <c r="CF486" s="128"/>
      <c r="CG486" s="128"/>
      <c r="CH486" s="128"/>
      <c r="CI486" s="128"/>
      <c r="CJ486" s="128"/>
      <c r="CK486" s="128"/>
      <c r="CL486" s="128"/>
      <c r="CM486" s="128"/>
    </row>
    <row r="487" spans="1:91" x14ac:dyDescent="0.2">
      <c r="A487" s="1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28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8"/>
      <c r="CA487" s="128"/>
      <c r="CB487" s="128"/>
      <c r="CC487" s="128"/>
      <c r="CD487" s="128"/>
      <c r="CE487" s="128"/>
      <c r="CF487" s="128"/>
      <c r="CG487" s="128"/>
      <c r="CH487" s="128"/>
      <c r="CI487" s="128"/>
      <c r="CJ487" s="128"/>
      <c r="CK487" s="128"/>
      <c r="CL487" s="128"/>
      <c r="CM487" s="128"/>
    </row>
    <row r="488" spans="1:91" x14ac:dyDescent="0.2">
      <c r="A488" s="1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AD488" s="128"/>
      <c r="AE488" s="128"/>
      <c r="AF488" s="128"/>
      <c r="AG488" s="12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28"/>
      <c r="AR488" s="128"/>
      <c r="AS488" s="128"/>
      <c r="AT488" s="128"/>
      <c r="AU488" s="128"/>
      <c r="AV488" s="128"/>
      <c r="AW488" s="128"/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8"/>
      <c r="BL488" s="128"/>
      <c r="BM488" s="128"/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8"/>
      <c r="CA488" s="128"/>
      <c r="CB488" s="128"/>
      <c r="CC488" s="128"/>
      <c r="CD488" s="128"/>
      <c r="CE488" s="128"/>
      <c r="CF488" s="128"/>
      <c r="CG488" s="128"/>
      <c r="CH488" s="128"/>
      <c r="CI488" s="128"/>
      <c r="CJ488" s="128"/>
      <c r="CK488" s="128"/>
      <c r="CL488" s="128"/>
      <c r="CM488" s="128"/>
    </row>
    <row r="489" spans="1:91" x14ac:dyDescent="0.2">
      <c r="A489" s="1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AD489" s="128"/>
      <c r="AE489" s="128"/>
      <c r="AF489" s="128"/>
      <c r="AG489" s="12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28"/>
      <c r="AR489" s="128"/>
      <c r="AS489" s="128"/>
      <c r="AT489" s="128"/>
      <c r="AU489" s="128"/>
      <c r="AV489" s="128"/>
      <c r="AW489" s="128"/>
      <c r="AX489" s="128"/>
      <c r="AY489" s="128"/>
      <c r="AZ489" s="128"/>
      <c r="BA489" s="128"/>
      <c r="BB489" s="128"/>
      <c r="BC489" s="128"/>
      <c r="BD489" s="128"/>
      <c r="BE489" s="128"/>
      <c r="BF489" s="128"/>
      <c r="BG489" s="128"/>
      <c r="BH489" s="128"/>
      <c r="BI489" s="128"/>
      <c r="BJ489" s="128"/>
      <c r="BK489" s="128"/>
      <c r="BL489" s="128"/>
      <c r="BM489" s="128"/>
      <c r="BN489" s="128"/>
      <c r="BO489" s="128"/>
      <c r="BP489" s="128"/>
      <c r="BQ489" s="128"/>
      <c r="BR489" s="128"/>
      <c r="BS489" s="128"/>
      <c r="BT489" s="128"/>
      <c r="BU489" s="128"/>
      <c r="BV489" s="128"/>
      <c r="BW489" s="128"/>
      <c r="BX489" s="128"/>
      <c r="BY489" s="128"/>
      <c r="BZ489" s="128"/>
      <c r="CA489" s="128"/>
      <c r="CB489" s="128"/>
      <c r="CC489" s="128"/>
      <c r="CD489" s="128"/>
      <c r="CE489" s="128"/>
      <c r="CF489" s="128"/>
      <c r="CG489" s="128"/>
      <c r="CH489" s="128"/>
      <c r="CI489" s="128"/>
      <c r="CJ489" s="128"/>
      <c r="CK489" s="128"/>
      <c r="CL489" s="128"/>
      <c r="CM489" s="128"/>
    </row>
    <row r="490" spans="1:91" x14ac:dyDescent="0.2">
      <c r="A490" s="1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AD490" s="128"/>
      <c r="AE490" s="128"/>
      <c r="AF490" s="128"/>
      <c r="AG490" s="12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/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28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8"/>
      <c r="BX490" s="128"/>
      <c r="BY490" s="128"/>
      <c r="BZ490" s="128"/>
      <c r="CA490" s="128"/>
      <c r="CB490" s="128"/>
      <c r="CC490" s="128"/>
      <c r="CD490" s="128"/>
      <c r="CE490" s="128"/>
      <c r="CF490" s="128"/>
      <c r="CG490" s="128"/>
      <c r="CH490" s="128"/>
      <c r="CI490" s="128"/>
      <c r="CJ490" s="128"/>
      <c r="CK490" s="128"/>
      <c r="CL490" s="128"/>
      <c r="CM490" s="128"/>
    </row>
    <row r="491" spans="1:91" x14ac:dyDescent="0.2">
      <c r="A491" s="1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AD491" s="128"/>
      <c r="AE491" s="128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  <c r="AS491" s="128"/>
      <c r="AT491" s="128"/>
      <c r="AU491" s="128"/>
      <c r="AV491" s="128"/>
      <c r="AW491" s="128"/>
      <c r="AX491" s="128"/>
      <c r="AY491" s="128"/>
      <c r="AZ491" s="128"/>
      <c r="BA491" s="128"/>
      <c r="BB491" s="128"/>
      <c r="BC491" s="128"/>
      <c r="BD491" s="128"/>
      <c r="BE491" s="128"/>
      <c r="BF491" s="128"/>
      <c r="BG491" s="128"/>
      <c r="BH491" s="128"/>
      <c r="BI491" s="128"/>
      <c r="BJ491" s="128"/>
      <c r="BK491" s="128"/>
      <c r="BL491" s="128"/>
      <c r="BM491" s="128"/>
      <c r="BN491" s="128"/>
      <c r="BO491" s="128"/>
      <c r="BP491" s="128"/>
      <c r="BQ491" s="128"/>
      <c r="BR491" s="128"/>
      <c r="BS491" s="128"/>
      <c r="BT491" s="128"/>
      <c r="BU491" s="128"/>
      <c r="BV491" s="128"/>
      <c r="BW491" s="128"/>
      <c r="BX491" s="128"/>
      <c r="BY491" s="128"/>
      <c r="BZ491" s="128"/>
      <c r="CA491" s="128"/>
      <c r="CB491" s="128"/>
      <c r="CC491" s="128"/>
      <c r="CD491" s="128"/>
      <c r="CE491" s="128"/>
      <c r="CF491" s="128"/>
      <c r="CG491" s="128"/>
      <c r="CH491" s="128"/>
      <c r="CI491" s="128"/>
      <c r="CJ491" s="128"/>
      <c r="CK491" s="128"/>
      <c r="CL491" s="128"/>
      <c r="CM491" s="128"/>
    </row>
    <row r="492" spans="1:91" x14ac:dyDescent="0.2">
      <c r="A492" s="1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AD492" s="128"/>
      <c r="AE492" s="128"/>
      <c r="AF492" s="128"/>
      <c r="AG492" s="12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28"/>
      <c r="AR492" s="128"/>
      <c r="AS492" s="128"/>
      <c r="AT492" s="128"/>
      <c r="AU492" s="128"/>
      <c r="AV492" s="128"/>
      <c r="AW492" s="128"/>
      <c r="AX492" s="128"/>
      <c r="AY492" s="128"/>
      <c r="AZ492" s="128"/>
      <c r="BA492" s="128"/>
      <c r="BB492" s="128"/>
      <c r="BC492" s="128"/>
      <c r="BD492" s="128"/>
      <c r="BE492" s="128"/>
      <c r="BF492" s="128"/>
      <c r="BG492" s="128"/>
      <c r="BH492" s="128"/>
      <c r="BI492" s="128"/>
      <c r="BJ492" s="128"/>
      <c r="BK492" s="128"/>
      <c r="BL492" s="128"/>
      <c r="BM492" s="128"/>
      <c r="BN492" s="128"/>
      <c r="BO492" s="128"/>
      <c r="BP492" s="128"/>
      <c r="BQ492" s="128"/>
      <c r="BR492" s="128"/>
      <c r="BS492" s="128"/>
      <c r="BT492" s="128"/>
      <c r="BU492" s="128"/>
      <c r="BV492" s="128"/>
      <c r="BW492" s="128"/>
      <c r="BX492" s="128"/>
      <c r="BY492" s="128"/>
      <c r="BZ492" s="128"/>
      <c r="CA492" s="128"/>
      <c r="CB492" s="128"/>
      <c r="CC492" s="128"/>
      <c r="CD492" s="128"/>
      <c r="CE492" s="128"/>
      <c r="CF492" s="128"/>
      <c r="CG492" s="128"/>
      <c r="CH492" s="128"/>
      <c r="CI492" s="128"/>
      <c r="CJ492" s="128"/>
      <c r="CK492" s="128"/>
      <c r="CL492" s="128"/>
      <c r="CM492" s="128"/>
    </row>
    <row r="493" spans="1:91" x14ac:dyDescent="0.2">
      <c r="A493" s="1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28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8"/>
      <c r="CA493" s="128"/>
      <c r="CB493" s="128"/>
      <c r="CC493" s="128"/>
      <c r="CD493" s="128"/>
      <c r="CE493" s="128"/>
      <c r="CF493" s="128"/>
      <c r="CG493" s="128"/>
      <c r="CH493" s="128"/>
      <c r="CI493" s="128"/>
      <c r="CJ493" s="128"/>
      <c r="CK493" s="128"/>
      <c r="CL493" s="128"/>
      <c r="CM493" s="128"/>
    </row>
    <row r="494" spans="1:91" x14ac:dyDescent="0.2">
      <c r="A494" s="1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AD494" s="128"/>
      <c r="AE494" s="128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  <c r="AS494" s="128"/>
      <c r="AT494" s="128"/>
      <c r="AU494" s="128"/>
      <c r="AV494" s="128"/>
      <c r="AW494" s="128"/>
      <c r="AX494" s="128"/>
      <c r="AY494" s="128"/>
      <c r="AZ494" s="128"/>
      <c r="BA494" s="128"/>
      <c r="BB494" s="128"/>
      <c r="BC494" s="128"/>
      <c r="BD494" s="128"/>
      <c r="BE494" s="128"/>
      <c r="BF494" s="128"/>
      <c r="BG494" s="128"/>
      <c r="BH494" s="128"/>
      <c r="BI494" s="128"/>
      <c r="BJ494" s="128"/>
      <c r="BK494" s="128"/>
      <c r="BL494" s="128"/>
      <c r="BM494" s="128"/>
      <c r="BN494" s="128"/>
      <c r="BO494" s="128"/>
      <c r="BP494" s="128"/>
      <c r="BQ494" s="128"/>
      <c r="BR494" s="128"/>
      <c r="BS494" s="128"/>
      <c r="BT494" s="128"/>
      <c r="BU494" s="128"/>
      <c r="BV494" s="128"/>
      <c r="BW494" s="128"/>
      <c r="BX494" s="128"/>
      <c r="BY494" s="128"/>
      <c r="BZ494" s="128"/>
      <c r="CA494" s="128"/>
      <c r="CB494" s="128"/>
      <c r="CC494" s="128"/>
      <c r="CD494" s="128"/>
      <c r="CE494" s="128"/>
      <c r="CF494" s="128"/>
      <c r="CG494" s="128"/>
      <c r="CH494" s="128"/>
      <c r="CI494" s="128"/>
      <c r="CJ494" s="128"/>
      <c r="CK494" s="128"/>
      <c r="CL494" s="128"/>
      <c r="CM494" s="128"/>
    </row>
    <row r="495" spans="1:91" x14ac:dyDescent="0.2">
      <c r="A495" s="1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  <c r="AS495" s="128"/>
      <c r="AT495" s="128"/>
      <c r="AU495" s="128"/>
      <c r="AV495" s="128"/>
      <c r="AW495" s="128"/>
      <c r="AX495" s="128"/>
      <c r="AY495" s="128"/>
      <c r="AZ495" s="128"/>
      <c r="BA495" s="128"/>
      <c r="BB495" s="128"/>
      <c r="BC495" s="128"/>
      <c r="BD495" s="128"/>
      <c r="BE495" s="128"/>
      <c r="BF495" s="128"/>
      <c r="BG495" s="128"/>
      <c r="BH495" s="128"/>
      <c r="BI495" s="128"/>
      <c r="BJ495" s="128"/>
      <c r="BK495" s="128"/>
      <c r="BL495" s="128"/>
      <c r="BM495" s="128"/>
      <c r="BN495" s="128"/>
      <c r="BO495" s="128"/>
      <c r="BP495" s="128"/>
      <c r="BQ495" s="128"/>
      <c r="BR495" s="128"/>
      <c r="BS495" s="128"/>
      <c r="BT495" s="128"/>
      <c r="BU495" s="128"/>
      <c r="BV495" s="128"/>
      <c r="BW495" s="128"/>
      <c r="BX495" s="128"/>
      <c r="BY495" s="128"/>
      <c r="BZ495" s="128"/>
      <c r="CA495" s="128"/>
      <c r="CB495" s="128"/>
      <c r="CC495" s="128"/>
      <c r="CD495" s="128"/>
      <c r="CE495" s="128"/>
      <c r="CF495" s="128"/>
      <c r="CG495" s="128"/>
      <c r="CH495" s="128"/>
      <c r="CI495" s="128"/>
      <c r="CJ495" s="128"/>
      <c r="CK495" s="128"/>
      <c r="CL495" s="128"/>
      <c r="CM495" s="128"/>
    </row>
    <row r="496" spans="1:91" x14ac:dyDescent="0.2">
      <c r="A496" s="1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AD496" s="128"/>
      <c r="AE496" s="128"/>
      <c r="AF496" s="128"/>
      <c r="AG496" s="12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8"/>
      <c r="AW496" s="128"/>
      <c r="AX496" s="128"/>
      <c r="AY496" s="128"/>
      <c r="AZ496" s="128"/>
      <c r="BA496" s="128"/>
      <c r="BB496" s="128"/>
      <c r="BC496" s="128"/>
      <c r="BD496" s="128"/>
      <c r="BE496" s="128"/>
      <c r="BF496" s="128"/>
      <c r="BG496" s="128"/>
      <c r="BH496" s="128"/>
      <c r="BI496" s="128"/>
      <c r="BJ496" s="128"/>
      <c r="BK496" s="128"/>
      <c r="BL496" s="128"/>
      <c r="BM496" s="128"/>
      <c r="BN496" s="128"/>
      <c r="BO496" s="128"/>
      <c r="BP496" s="128"/>
      <c r="BQ496" s="128"/>
      <c r="BR496" s="128"/>
      <c r="BS496" s="128"/>
      <c r="BT496" s="128"/>
      <c r="BU496" s="128"/>
      <c r="BV496" s="128"/>
      <c r="BW496" s="128"/>
      <c r="BX496" s="128"/>
      <c r="BY496" s="128"/>
      <c r="BZ496" s="128"/>
      <c r="CA496" s="128"/>
      <c r="CB496" s="128"/>
      <c r="CC496" s="128"/>
      <c r="CD496" s="128"/>
      <c r="CE496" s="128"/>
      <c r="CF496" s="128"/>
      <c r="CG496" s="128"/>
      <c r="CH496" s="128"/>
      <c r="CI496" s="128"/>
      <c r="CJ496" s="128"/>
      <c r="CK496" s="128"/>
      <c r="CL496" s="128"/>
      <c r="CM496" s="128"/>
    </row>
    <row r="497" spans="1:91" x14ac:dyDescent="0.2">
      <c r="A497" s="1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AD497" s="128"/>
      <c r="AE497" s="128"/>
      <c r="AF497" s="128"/>
      <c r="AG497" s="12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  <c r="AS497" s="128"/>
      <c r="AT497" s="128"/>
      <c r="AU497" s="128"/>
      <c r="AV497" s="128"/>
      <c r="AW497" s="128"/>
      <c r="AX497" s="128"/>
      <c r="AY497" s="128"/>
      <c r="AZ497" s="128"/>
      <c r="BA497" s="128"/>
      <c r="BB497" s="128"/>
      <c r="BC497" s="128"/>
      <c r="BD497" s="128"/>
      <c r="BE497" s="128"/>
      <c r="BF497" s="128"/>
      <c r="BG497" s="128"/>
      <c r="BH497" s="128"/>
      <c r="BI497" s="128"/>
      <c r="BJ497" s="128"/>
      <c r="BK497" s="128"/>
      <c r="BL497" s="128"/>
      <c r="BM497" s="128"/>
      <c r="BN497" s="128"/>
      <c r="BO497" s="128"/>
      <c r="BP497" s="128"/>
      <c r="BQ497" s="128"/>
      <c r="BR497" s="128"/>
      <c r="BS497" s="128"/>
      <c r="BT497" s="128"/>
      <c r="BU497" s="128"/>
      <c r="BV497" s="128"/>
      <c r="BW497" s="128"/>
      <c r="BX497" s="128"/>
      <c r="BY497" s="128"/>
      <c r="BZ497" s="128"/>
      <c r="CA497" s="128"/>
      <c r="CB497" s="128"/>
      <c r="CC497" s="128"/>
      <c r="CD497" s="128"/>
      <c r="CE497" s="128"/>
      <c r="CF497" s="128"/>
      <c r="CG497" s="128"/>
      <c r="CH497" s="128"/>
      <c r="CI497" s="128"/>
      <c r="CJ497" s="128"/>
      <c r="CK497" s="128"/>
      <c r="CL497" s="128"/>
      <c r="CM497" s="128"/>
    </row>
    <row r="498" spans="1:91" x14ac:dyDescent="0.2">
      <c r="A498" s="1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AD498" s="128"/>
      <c r="AE498" s="128"/>
      <c r="AF498" s="128"/>
      <c r="AG498" s="12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28"/>
      <c r="AR498" s="128"/>
      <c r="AS498" s="128"/>
      <c r="AT498" s="128"/>
      <c r="AU498" s="128"/>
      <c r="AV498" s="128"/>
      <c r="AW498" s="128"/>
      <c r="AX498" s="128"/>
      <c r="AY498" s="128"/>
      <c r="AZ498" s="128"/>
      <c r="BA498" s="128"/>
      <c r="BB498" s="128"/>
      <c r="BC498" s="128"/>
      <c r="BD498" s="128"/>
      <c r="BE498" s="128"/>
      <c r="BF498" s="128"/>
      <c r="BG498" s="128"/>
      <c r="BH498" s="128"/>
      <c r="BI498" s="128"/>
      <c r="BJ498" s="128"/>
      <c r="BK498" s="128"/>
      <c r="BL498" s="128"/>
      <c r="BM498" s="128"/>
      <c r="BN498" s="128"/>
      <c r="BO498" s="128"/>
      <c r="BP498" s="128"/>
      <c r="BQ498" s="128"/>
      <c r="BR498" s="128"/>
      <c r="BS498" s="128"/>
      <c r="BT498" s="128"/>
      <c r="BU498" s="128"/>
      <c r="BV498" s="128"/>
      <c r="BW498" s="128"/>
      <c r="BX498" s="128"/>
      <c r="BY498" s="128"/>
      <c r="BZ498" s="128"/>
      <c r="CA498" s="128"/>
      <c r="CB498" s="128"/>
      <c r="CC498" s="128"/>
      <c r="CD498" s="128"/>
      <c r="CE498" s="128"/>
      <c r="CF498" s="128"/>
      <c r="CG498" s="128"/>
      <c r="CH498" s="128"/>
      <c r="CI498" s="128"/>
      <c r="CJ498" s="128"/>
      <c r="CK498" s="128"/>
      <c r="CL498" s="128"/>
      <c r="CM498" s="128"/>
    </row>
    <row r="499" spans="1:91" x14ac:dyDescent="0.2">
      <c r="A499" s="1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AD499" s="128"/>
      <c r="AE499" s="128"/>
      <c r="AF499" s="128"/>
      <c r="AG499" s="128"/>
      <c r="AH499" s="128"/>
      <c r="AI499" s="128"/>
      <c r="AJ499" s="128"/>
      <c r="AK499" s="128"/>
      <c r="AL499" s="128"/>
      <c r="AM499" s="128"/>
      <c r="AN499" s="128"/>
      <c r="AO499" s="128"/>
      <c r="AP499" s="128"/>
      <c r="AQ499" s="128"/>
      <c r="AR499" s="128"/>
      <c r="AS499" s="128"/>
      <c r="AT499" s="128"/>
      <c r="AU499" s="128"/>
      <c r="AV499" s="128"/>
      <c r="AW499" s="128"/>
      <c r="AX499" s="128"/>
      <c r="AY499" s="128"/>
      <c r="AZ499" s="128"/>
      <c r="BA499" s="128"/>
      <c r="BB499" s="128"/>
      <c r="BC499" s="128"/>
      <c r="BD499" s="128"/>
      <c r="BE499" s="128"/>
      <c r="BF499" s="128"/>
      <c r="BG499" s="128"/>
      <c r="BH499" s="128"/>
      <c r="BI499" s="128"/>
      <c r="BJ499" s="128"/>
      <c r="BK499" s="128"/>
      <c r="BL499" s="128"/>
      <c r="BM499" s="128"/>
      <c r="BN499" s="128"/>
      <c r="BO499" s="128"/>
      <c r="BP499" s="128"/>
      <c r="BQ499" s="128"/>
      <c r="BR499" s="128"/>
      <c r="BS499" s="128"/>
      <c r="BT499" s="128"/>
      <c r="BU499" s="128"/>
      <c r="BV499" s="128"/>
      <c r="BW499" s="128"/>
      <c r="BX499" s="128"/>
      <c r="BY499" s="128"/>
      <c r="BZ499" s="128"/>
      <c r="CA499" s="128"/>
      <c r="CB499" s="128"/>
      <c r="CC499" s="128"/>
      <c r="CD499" s="128"/>
      <c r="CE499" s="128"/>
      <c r="CF499" s="128"/>
      <c r="CG499" s="128"/>
      <c r="CH499" s="128"/>
      <c r="CI499" s="128"/>
      <c r="CJ499" s="128"/>
      <c r="CK499" s="128"/>
      <c r="CL499" s="128"/>
      <c r="CM499" s="128"/>
    </row>
    <row r="500" spans="1:91" x14ac:dyDescent="0.2">
      <c r="A500" s="1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AD500" s="128"/>
      <c r="AE500" s="128"/>
      <c r="AF500" s="128"/>
      <c r="AG500" s="128"/>
      <c r="AH500" s="128"/>
      <c r="AI500" s="128"/>
      <c r="AJ500" s="128"/>
      <c r="AK500" s="128"/>
      <c r="AL500" s="128"/>
      <c r="AM500" s="128"/>
      <c r="AN500" s="128"/>
      <c r="AO500" s="128"/>
      <c r="AP500" s="128"/>
      <c r="AQ500" s="128"/>
      <c r="AR500" s="128"/>
      <c r="AS500" s="128"/>
      <c r="AT500" s="128"/>
      <c r="AU500" s="128"/>
      <c r="AV500" s="128"/>
      <c r="AW500" s="128"/>
      <c r="AX500" s="128"/>
      <c r="AY500" s="128"/>
      <c r="AZ500" s="128"/>
      <c r="BA500" s="128"/>
      <c r="BB500" s="128"/>
      <c r="BC500" s="128"/>
      <c r="BD500" s="128"/>
      <c r="BE500" s="128"/>
      <c r="BF500" s="128"/>
      <c r="BG500" s="128"/>
      <c r="BH500" s="128"/>
      <c r="BI500" s="128"/>
      <c r="BJ500" s="128"/>
      <c r="BK500" s="128"/>
      <c r="BL500" s="128"/>
      <c r="BM500" s="128"/>
      <c r="BN500" s="128"/>
      <c r="BO500" s="128"/>
      <c r="BP500" s="128"/>
      <c r="BQ500" s="128"/>
      <c r="BR500" s="128"/>
      <c r="BS500" s="128"/>
      <c r="BT500" s="128"/>
      <c r="BU500" s="128"/>
      <c r="BV500" s="128"/>
      <c r="BW500" s="128"/>
      <c r="BX500" s="128"/>
      <c r="BY500" s="128"/>
      <c r="BZ500" s="128"/>
      <c r="CA500" s="128"/>
      <c r="CB500" s="128"/>
      <c r="CC500" s="128"/>
      <c r="CD500" s="128"/>
      <c r="CE500" s="128"/>
      <c r="CF500" s="128"/>
      <c r="CG500" s="128"/>
      <c r="CH500" s="128"/>
      <c r="CI500" s="128"/>
      <c r="CJ500" s="128"/>
      <c r="CK500" s="128"/>
      <c r="CL500" s="128"/>
      <c r="CM500" s="128"/>
    </row>
    <row r="501" spans="1:91" x14ac:dyDescent="0.2">
      <c r="A501" s="1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AD501" s="128"/>
      <c r="AE501" s="128"/>
      <c r="AF501" s="128"/>
      <c r="AG501" s="12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28"/>
      <c r="AR501" s="128"/>
      <c r="AS501" s="128"/>
      <c r="AT501" s="128"/>
      <c r="AU501" s="128"/>
      <c r="AV501" s="128"/>
      <c r="AW501" s="128"/>
      <c r="AX501" s="128"/>
      <c r="AY501" s="128"/>
      <c r="AZ501" s="128"/>
      <c r="BA501" s="128"/>
      <c r="BB501" s="128"/>
      <c r="BC501" s="128"/>
      <c r="BD501" s="128"/>
      <c r="BE501" s="128"/>
      <c r="BF501" s="128"/>
      <c r="BG501" s="128"/>
      <c r="BH501" s="128"/>
      <c r="BI501" s="128"/>
      <c r="BJ501" s="128"/>
      <c r="BK501" s="128"/>
      <c r="BL501" s="128"/>
      <c r="BM501" s="128"/>
      <c r="BN501" s="128"/>
      <c r="BO501" s="128"/>
      <c r="BP501" s="128"/>
      <c r="BQ501" s="128"/>
      <c r="BR501" s="128"/>
      <c r="BS501" s="128"/>
      <c r="BT501" s="128"/>
      <c r="BU501" s="128"/>
      <c r="BV501" s="128"/>
      <c r="BW501" s="128"/>
      <c r="BX501" s="128"/>
      <c r="BY501" s="128"/>
      <c r="BZ501" s="128"/>
      <c r="CA501" s="128"/>
      <c r="CB501" s="128"/>
      <c r="CC501" s="128"/>
      <c r="CD501" s="128"/>
      <c r="CE501" s="128"/>
      <c r="CF501" s="128"/>
      <c r="CG501" s="128"/>
      <c r="CH501" s="128"/>
      <c r="CI501" s="128"/>
      <c r="CJ501" s="128"/>
      <c r="CK501" s="128"/>
      <c r="CL501" s="128"/>
      <c r="CM501" s="128"/>
    </row>
    <row r="502" spans="1:91" x14ac:dyDescent="0.2">
      <c r="A502" s="1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  <c r="AS502" s="128"/>
      <c r="AT502" s="128"/>
      <c r="AU502" s="128"/>
      <c r="AV502" s="128"/>
      <c r="AW502" s="128"/>
      <c r="AX502" s="128"/>
      <c r="AY502" s="128"/>
      <c r="AZ502" s="128"/>
      <c r="BA502" s="128"/>
      <c r="BB502" s="128"/>
      <c r="BC502" s="128"/>
      <c r="BD502" s="128"/>
      <c r="BE502" s="128"/>
      <c r="BF502" s="128"/>
      <c r="BG502" s="128"/>
      <c r="BH502" s="128"/>
      <c r="BI502" s="128"/>
      <c r="BJ502" s="128"/>
      <c r="BK502" s="128"/>
      <c r="BL502" s="128"/>
      <c r="BM502" s="128"/>
      <c r="BN502" s="128"/>
      <c r="BO502" s="128"/>
      <c r="BP502" s="128"/>
      <c r="BQ502" s="128"/>
      <c r="BR502" s="128"/>
      <c r="BS502" s="128"/>
      <c r="BT502" s="128"/>
      <c r="BU502" s="128"/>
      <c r="BV502" s="128"/>
      <c r="BW502" s="128"/>
      <c r="BX502" s="128"/>
      <c r="BY502" s="128"/>
      <c r="BZ502" s="128"/>
      <c r="CA502" s="128"/>
      <c r="CB502" s="128"/>
      <c r="CC502" s="128"/>
      <c r="CD502" s="128"/>
      <c r="CE502" s="128"/>
      <c r="CF502" s="128"/>
      <c r="CG502" s="128"/>
      <c r="CH502" s="128"/>
      <c r="CI502" s="128"/>
      <c r="CJ502" s="128"/>
      <c r="CK502" s="128"/>
      <c r="CL502" s="128"/>
      <c r="CM502" s="128"/>
    </row>
    <row r="503" spans="1:91" x14ac:dyDescent="0.2">
      <c r="A503" s="1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AD503" s="128"/>
      <c r="AE503" s="128"/>
      <c r="AF503" s="128"/>
      <c r="AG503" s="12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28"/>
      <c r="AR503" s="128"/>
      <c r="AS503" s="128"/>
      <c r="AT503" s="128"/>
      <c r="AU503" s="128"/>
      <c r="AV503" s="128"/>
      <c r="AW503" s="128"/>
      <c r="AX503" s="128"/>
      <c r="AY503" s="128"/>
      <c r="AZ503" s="128"/>
      <c r="BA503" s="128"/>
      <c r="BB503" s="128"/>
      <c r="BC503" s="128"/>
      <c r="BD503" s="128"/>
      <c r="BE503" s="128"/>
      <c r="BF503" s="128"/>
      <c r="BG503" s="128"/>
      <c r="BH503" s="128"/>
      <c r="BI503" s="128"/>
      <c r="BJ503" s="128"/>
      <c r="BK503" s="128"/>
      <c r="BL503" s="128"/>
      <c r="BM503" s="128"/>
      <c r="BN503" s="128"/>
      <c r="BO503" s="128"/>
      <c r="BP503" s="128"/>
      <c r="BQ503" s="128"/>
      <c r="BR503" s="128"/>
      <c r="BS503" s="128"/>
      <c r="BT503" s="128"/>
      <c r="BU503" s="128"/>
      <c r="BV503" s="128"/>
      <c r="BW503" s="128"/>
      <c r="BX503" s="128"/>
      <c r="BY503" s="128"/>
      <c r="BZ503" s="128"/>
      <c r="CA503" s="128"/>
      <c r="CB503" s="128"/>
      <c r="CC503" s="128"/>
      <c r="CD503" s="128"/>
      <c r="CE503" s="128"/>
      <c r="CF503" s="128"/>
      <c r="CG503" s="128"/>
      <c r="CH503" s="128"/>
      <c r="CI503" s="128"/>
      <c r="CJ503" s="128"/>
      <c r="CK503" s="128"/>
      <c r="CL503" s="128"/>
      <c r="CM503" s="128"/>
    </row>
    <row r="504" spans="1:91" x14ac:dyDescent="0.2">
      <c r="A504" s="1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AD504" s="128"/>
      <c r="AE504" s="128"/>
      <c r="AF504" s="128"/>
      <c r="AG504" s="12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28"/>
      <c r="AR504" s="128"/>
      <c r="AS504" s="128"/>
      <c r="AT504" s="128"/>
      <c r="AU504" s="128"/>
      <c r="AV504" s="128"/>
      <c r="AW504" s="128"/>
      <c r="AX504" s="128"/>
      <c r="AY504" s="128"/>
      <c r="AZ504" s="128"/>
      <c r="BA504" s="128"/>
      <c r="BB504" s="128"/>
      <c r="BC504" s="128"/>
      <c r="BD504" s="128"/>
      <c r="BE504" s="128"/>
      <c r="BF504" s="128"/>
      <c r="BG504" s="128"/>
      <c r="BH504" s="128"/>
      <c r="BI504" s="128"/>
      <c r="BJ504" s="128"/>
      <c r="BK504" s="128"/>
      <c r="BL504" s="128"/>
      <c r="BM504" s="128"/>
      <c r="BN504" s="128"/>
      <c r="BO504" s="128"/>
      <c r="BP504" s="128"/>
      <c r="BQ504" s="128"/>
      <c r="BR504" s="128"/>
      <c r="BS504" s="128"/>
      <c r="BT504" s="128"/>
      <c r="BU504" s="128"/>
      <c r="BV504" s="128"/>
      <c r="BW504" s="128"/>
      <c r="BX504" s="128"/>
      <c r="BY504" s="128"/>
      <c r="BZ504" s="128"/>
      <c r="CA504" s="128"/>
      <c r="CB504" s="128"/>
      <c r="CC504" s="128"/>
      <c r="CD504" s="128"/>
      <c r="CE504" s="128"/>
      <c r="CF504" s="128"/>
      <c r="CG504" s="128"/>
      <c r="CH504" s="128"/>
      <c r="CI504" s="128"/>
      <c r="CJ504" s="128"/>
      <c r="CK504" s="128"/>
      <c r="CL504" s="128"/>
      <c r="CM504" s="128"/>
    </row>
    <row r="505" spans="1:91" x14ac:dyDescent="0.2">
      <c r="A505" s="1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28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8"/>
      <c r="CA505" s="128"/>
      <c r="CB505" s="128"/>
      <c r="CC505" s="128"/>
      <c r="CD505" s="128"/>
      <c r="CE505" s="128"/>
      <c r="CF505" s="128"/>
      <c r="CG505" s="128"/>
      <c r="CH505" s="128"/>
      <c r="CI505" s="128"/>
      <c r="CJ505" s="128"/>
      <c r="CK505" s="128"/>
      <c r="CL505" s="128"/>
      <c r="CM505" s="128"/>
    </row>
    <row r="506" spans="1:91" x14ac:dyDescent="0.2">
      <c r="A506" s="1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  <c r="AS506" s="128"/>
      <c r="AT506" s="128"/>
      <c r="AU506" s="128"/>
      <c r="AV506" s="128"/>
      <c r="AW506" s="128"/>
      <c r="AX506" s="128"/>
      <c r="AY506" s="128"/>
      <c r="AZ506" s="128"/>
      <c r="BA506" s="128"/>
      <c r="BB506" s="128"/>
      <c r="BC506" s="128"/>
      <c r="BD506" s="128"/>
      <c r="BE506" s="128"/>
      <c r="BF506" s="128"/>
      <c r="BG506" s="128"/>
      <c r="BH506" s="128"/>
      <c r="BI506" s="128"/>
      <c r="BJ506" s="128"/>
      <c r="BK506" s="128"/>
      <c r="BL506" s="128"/>
      <c r="BM506" s="128"/>
      <c r="BN506" s="128"/>
      <c r="BO506" s="128"/>
      <c r="BP506" s="128"/>
      <c r="BQ506" s="128"/>
      <c r="BR506" s="128"/>
      <c r="BS506" s="128"/>
      <c r="BT506" s="128"/>
      <c r="BU506" s="128"/>
      <c r="BV506" s="128"/>
      <c r="BW506" s="128"/>
      <c r="BX506" s="128"/>
      <c r="BY506" s="128"/>
      <c r="BZ506" s="128"/>
      <c r="CA506" s="128"/>
      <c r="CB506" s="128"/>
      <c r="CC506" s="128"/>
      <c r="CD506" s="128"/>
      <c r="CE506" s="128"/>
      <c r="CF506" s="128"/>
      <c r="CG506" s="128"/>
      <c r="CH506" s="128"/>
      <c r="CI506" s="128"/>
      <c r="CJ506" s="128"/>
      <c r="CK506" s="128"/>
      <c r="CL506" s="128"/>
      <c r="CM506" s="128"/>
    </row>
    <row r="507" spans="1:91" x14ac:dyDescent="0.2">
      <c r="A507" s="1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AD507" s="128"/>
      <c r="AE507" s="128"/>
      <c r="AF507" s="128"/>
      <c r="AG507" s="12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28"/>
      <c r="AR507" s="128"/>
      <c r="AS507" s="128"/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8"/>
      <c r="BH507" s="128"/>
      <c r="BI507" s="128"/>
      <c r="BJ507" s="128"/>
      <c r="BK507" s="128"/>
      <c r="BL507" s="128"/>
      <c r="BM507" s="128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8"/>
      <c r="BX507" s="128"/>
      <c r="BY507" s="128"/>
      <c r="BZ507" s="128"/>
      <c r="CA507" s="128"/>
      <c r="CB507" s="128"/>
      <c r="CC507" s="128"/>
      <c r="CD507" s="128"/>
      <c r="CE507" s="128"/>
      <c r="CF507" s="128"/>
      <c r="CG507" s="128"/>
      <c r="CH507" s="128"/>
      <c r="CI507" s="128"/>
      <c r="CJ507" s="128"/>
      <c r="CK507" s="128"/>
      <c r="CL507" s="128"/>
      <c r="CM507" s="128"/>
    </row>
    <row r="508" spans="1:91" x14ac:dyDescent="0.2">
      <c r="A508" s="1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  <c r="AS508" s="128"/>
      <c r="AT508" s="128"/>
      <c r="AU508" s="128"/>
      <c r="AV508" s="128"/>
      <c r="AW508" s="128"/>
      <c r="AX508" s="128"/>
      <c r="AY508" s="128"/>
      <c r="AZ508" s="128"/>
      <c r="BA508" s="128"/>
      <c r="BB508" s="128"/>
      <c r="BC508" s="128"/>
      <c r="BD508" s="128"/>
      <c r="BE508" s="128"/>
      <c r="BF508" s="128"/>
      <c r="BG508" s="128"/>
      <c r="BH508" s="128"/>
      <c r="BI508" s="128"/>
      <c r="BJ508" s="128"/>
      <c r="BK508" s="128"/>
      <c r="BL508" s="128"/>
      <c r="BM508" s="128"/>
      <c r="BN508" s="128"/>
      <c r="BO508" s="128"/>
      <c r="BP508" s="128"/>
      <c r="BQ508" s="128"/>
      <c r="BR508" s="128"/>
      <c r="BS508" s="128"/>
      <c r="BT508" s="128"/>
      <c r="BU508" s="128"/>
      <c r="BV508" s="128"/>
      <c r="BW508" s="128"/>
      <c r="BX508" s="128"/>
      <c r="BY508" s="128"/>
      <c r="BZ508" s="128"/>
      <c r="CA508" s="128"/>
      <c r="CB508" s="128"/>
      <c r="CC508" s="128"/>
      <c r="CD508" s="128"/>
      <c r="CE508" s="128"/>
      <c r="CF508" s="128"/>
      <c r="CG508" s="128"/>
      <c r="CH508" s="128"/>
      <c r="CI508" s="128"/>
      <c r="CJ508" s="128"/>
      <c r="CK508" s="128"/>
      <c r="CL508" s="128"/>
      <c r="CM508" s="128"/>
    </row>
    <row r="509" spans="1:91" x14ac:dyDescent="0.2">
      <c r="A509" s="1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AD509" s="128"/>
      <c r="AE509" s="128"/>
      <c r="AF509" s="128"/>
      <c r="AG509" s="12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28"/>
      <c r="AR509" s="128"/>
      <c r="AS509" s="128"/>
      <c r="AT509" s="128"/>
      <c r="AU509" s="128"/>
      <c r="AV509" s="128"/>
      <c r="AW509" s="128"/>
      <c r="AX509" s="128"/>
      <c r="AY509" s="128"/>
      <c r="AZ509" s="128"/>
      <c r="BA509" s="128"/>
      <c r="BB509" s="128"/>
      <c r="BC509" s="128"/>
      <c r="BD509" s="128"/>
      <c r="BE509" s="128"/>
      <c r="BF509" s="128"/>
      <c r="BG509" s="128"/>
      <c r="BH509" s="128"/>
      <c r="BI509" s="128"/>
      <c r="BJ509" s="128"/>
      <c r="BK509" s="128"/>
      <c r="BL509" s="128"/>
      <c r="BM509" s="128"/>
      <c r="BN509" s="128"/>
      <c r="BO509" s="128"/>
      <c r="BP509" s="128"/>
      <c r="BQ509" s="128"/>
      <c r="BR509" s="128"/>
      <c r="BS509" s="128"/>
      <c r="BT509" s="128"/>
      <c r="BU509" s="128"/>
      <c r="BV509" s="128"/>
      <c r="BW509" s="128"/>
      <c r="BX509" s="128"/>
      <c r="BY509" s="128"/>
      <c r="BZ509" s="128"/>
      <c r="CA509" s="128"/>
      <c r="CB509" s="128"/>
      <c r="CC509" s="128"/>
      <c r="CD509" s="128"/>
      <c r="CE509" s="128"/>
      <c r="CF509" s="128"/>
      <c r="CG509" s="128"/>
      <c r="CH509" s="128"/>
      <c r="CI509" s="128"/>
      <c r="CJ509" s="128"/>
      <c r="CK509" s="128"/>
      <c r="CL509" s="128"/>
      <c r="CM509" s="128"/>
    </row>
    <row r="510" spans="1:91" x14ac:dyDescent="0.2">
      <c r="A510" s="1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28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8"/>
      <c r="CG510" s="128"/>
      <c r="CH510" s="128"/>
      <c r="CI510" s="128"/>
      <c r="CJ510" s="128"/>
      <c r="CK510" s="128"/>
      <c r="CL510" s="128"/>
      <c r="CM510" s="128"/>
    </row>
    <row r="511" spans="1:91" x14ac:dyDescent="0.2">
      <c r="A511" s="1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AD511" s="128"/>
      <c r="AE511" s="128"/>
      <c r="AF511" s="128"/>
      <c r="AG511" s="12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28"/>
      <c r="AR511" s="128"/>
      <c r="AS511" s="128"/>
      <c r="AT511" s="128"/>
      <c r="AU511" s="128"/>
      <c r="AV511" s="128"/>
      <c r="AW511" s="128"/>
      <c r="AX511" s="128"/>
      <c r="AY511" s="128"/>
      <c r="AZ511" s="128"/>
      <c r="BA511" s="128"/>
      <c r="BB511" s="12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28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28"/>
      <c r="CC511" s="128"/>
      <c r="CD511" s="128"/>
      <c r="CE511" s="128"/>
      <c r="CF511" s="128"/>
      <c r="CG511" s="128"/>
      <c r="CH511" s="128"/>
      <c r="CI511" s="128"/>
      <c r="CJ511" s="128"/>
      <c r="CK511" s="128"/>
      <c r="CL511" s="128"/>
      <c r="CM511" s="128"/>
    </row>
    <row r="512" spans="1:91" x14ac:dyDescent="0.2">
      <c r="A512" s="1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</row>
    <row r="513" spans="1:17" x14ac:dyDescent="0.2">
      <c r="A513" s="1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</row>
    <row r="514" spans="1:17" x14ac:dyDescent="0.2">
      <c r="A514" s="1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</row>
    <row r="515" spans="1:17" x14ac:dyDescent="0.2">
      <c r="A515" s="1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</row>
    <row r="516" spans="1:17" x14ac:dyDescent="0.2">
      <c r="A516" s="1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</row>
    <row r="517" spans="1:17" x14ac:dyDescent="0.2">
      <c r="A517" s="1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</row>
    <row r="518" spans="1:17" x14ac:dyDescent="0.2">
      <c r="A518" s="1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</row>
    <row r="519" spans="1:17" x14ac:dyDescent="0.2">
      <c r="A519" s="1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</row>
    <row r="520" spans="1:17" x14ac:dyDescent="0.2">
      <c r="A520" s="1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</row>
    <row r="521" spans="1:17" x14ac:dyDescent="0.2">
      <c r="A521" s="1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</row>
    <row r="522" spans="1:17" x14ac:dyDescent="0.2">
      <c r="A522" s="1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</row>
    <row r="523" spans="1:17" x14ac:dyDescent="0.2">
      <c r="A523" s="1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</row>
    <row r="524" spans="1:17" x14ac:dyDescent="0.2">
      <c r="A524" s="1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</row>
    <row r="525" spans="1:17" x14ac:dyDescent="0.2">
      <c r="A525" s="1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</row>
    <row r="526" spans="1:17" x14ac:dyDescent="0.2">
      <c r="A526" s="1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</row>
    <row r="527" spans="1:17" x14ac:dyDescent="0.2">
      <c r="A527" s="1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</row>
    <row r="528" spans="1:17" x14ac:dyDescent="0.2">
      <c r="A528" s="1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</row>
    <row r="529" spans="1:17" x14ac:dyDescent="0.2">
      <c r="A529" s="1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</row>
    <row r="530" spans="1:17" x14ac:dyDescent="0.2">
      <c r="A530" s="1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</row>
    <row r="531" spans="1:17" x14ac:dyDescent="0.2">
      <c r="A531" s="1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</row>
    <row r="532" spans="1:17" x14ac:dyDescent="0.2">
      <c r="A532" s="1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</row>
    <row r="533" spans="1:17" x14ac:dyDescent="0.2">
      <c r="A533" s="1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</row>
    <row r="534" spans="1:17" x14ac:dyDescent="0.2">
      <c r="A534" s="1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</row>
    <row r="535" spans="1:17" x14ac:dyDescent="0.2">
      <c r="A535" s="1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</row>
    <row r="536" spans="1:17" x14ac:dyDescent="0.2">
      <c r="A536" s="1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</row>
    <row r="537" spans="1:17" x14ac:dyDescent="0.2">
      <c r="A537" s="1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</row>
    <row r="538" spans="1:17" x14ac:dyDescent="0.2">
      <c r="A538" s="1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</row>
    <row r="539" spans="1:17" x14ac:dyDescent="0.2">
      <c r="A539" s="1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</row>
    <row r="540" spans="1:17" x14ac:dyDescent="0.2">
      <c r="A540" s="1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</row>
    <row r="541" spans="1:17" x14ac:dyDescent="0.2">
      <c r="A541" s="1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</row>
    <row r="542" spans="1:17" x14ac:dyDescent="0.2">
      <c r="A542" s="1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</row>
    <row r="543" spans="1:17" x14ac:dyDescent="0.2">
      <c r="A543" s="1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</row>
    <row r="544" spans="1:17" x14ac:dyDescent="0.2">
      <c r="A544" s="1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</row>
    <row r="545" spans="1:17" x14ac:dyDescent="0.2">
      <c r="A545" s="1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</row>
    <row r="546" spans="1:17" x14ac:dyDescent="0.2">
      <c r="A546" s="1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</row>
    <row r="547" spans="1:17" x14ac:dyDescent="0.2">
      <c r="A547" s="1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</row>
    <row r="548" spans="1:17" x14ac:dyDescent="0.2">
      <c r="A548" s="1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</row>
    <row r="549" spans="1:17" x14ac:dyDescent="0.2">
      <c r="A549" s="1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</row>
    <row r="550" spans="1:17" x14ac:dyDescent="0.2">
      <c r="A550" s="1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</row>
    <row r="551" spans="1:17" x14ac:dyDescent="0.2">
      <c r="A551" s="1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</row>
    <row r="552" spans="1:17" x14ac:dyDescent="0.2">
      <c r="A552" s="1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</row>
    <row r="553" spans="1:17" x14ac:dyDescent="0.2">
      <c r="A553" s="1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</row>
    <row r="554" spans="1:17" x14ac:dyDescent="0.2">
      <c r="A554" s="1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</row>
    <row r="555" spans="1:17" x14ac:dyDescent="0.2">
      <c r="A555" s="1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</row>
    <row r="556" spans="1:17" x14ac:dyDescent="0.2">
      <c r="A556" s="1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</row>
    <row r="557" spans="1:17" x14ac:dyDescent="0.2">
      <c r="A557" s="1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</row>
    <row r="558" spans="1:17" x14ac:dyDescent="0.2">
      <c r="A558" s="1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</row>
    <row r="559" spans="1:17" x14ac:dyDescent="0.2">
      <c r="A559" s="1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</row>
    <row r="560" spans="1:17" x14ac:dyDescent="0.2">
      <c r="A560" s="1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</row>
    <row r="561" spans="1:17" x14ac:dyDescent="0.2">
      <c r="A561" s="1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</row>
    <row r="562" spans="1:17" x14ac:dyDescent="0.2">
      <c r="A562" s="1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</row>
    <row r="563" spans="1:17" x14ac:dyDescent="0.2">
      <c r="A563" s="1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</row>
    <row r="564" spans="1:17" x14ac:dyDescent="0.2">
      <c r="A564" s="1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</row>
    <row r="565" spans="1:17" x14ac:dyDescent="0.2">
      <c r="A565" s="1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</row>
    <row r="566" spans="1:17" x14ac:dyDescent="0.2">
      <c r="A566" s="1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</row>
    <row r="567" spans="1:17" x14ac:dyDescent="0.2">
      <c r="A567" s="1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</row>
    <row r="568" spans="1:17" x14ac:dyDescent="0.2">
      <c r="A568" s="1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</row>
    <row r="569" spans="1:17" x14ac:dyDescent="0.2">
      <c r="A569" s="1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</row>
    <row r="570" spans="1:17" x14ac:dyDescent="0.2">
      <c r="A570" s="1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</row>
    <row r="571" spans="1:17" x14ac:dyDescent="0.2">
      <c r="A571" s="1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</row>
    <row r="572" spans="1:17" x14ac:dyDescent="0.2">
      <c r="A572" s="1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</row>
    <row r="573" spans="1:17" x14ac:dyDescent="0.2">
      <c r="A573" s="1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</row>
    <row r="574" spans="1:17" x14ac:dyDescent="0.2">
      <c r="A574" s="1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</row>
    <row r="575" spans="1:17" x14ac:dyDescent="0.2">
      <c r="A575" s="1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</row>
    <row r="576" spans="1:17" x14ac:dyDescent="0.2">
      <c r="A576" s="1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</row>
    <row r="577" spans="1:17" x14ac:dyDescent="0.2">
      <c r="A577" s="1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</row>
    <row r="578" spans="1:17" x14ac:dyDescent="0.2">
      <c r="A578" s="1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</row>
    <row r="579" spans="1:17" x14ac:dyDescent="0.2">
      <c r="A579" s="1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</row>
    <row r="580" spans="1:17" x14ac:dyDescent="0.2">
      <c r="A580" s="1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</row>
    <row r="581" spans="1:17" x14ac:dyDescent="0.2">
      <c r="A581" s="1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</row>
    <row r="582" spans="1:17" x14ac:dyDescent="0.2">
      <c r="A582" s="1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</row>
    <row r="583" spans="1:17" x14ac:dyDescent="0.2">
      <c r="A583" s="1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</row>
    <row r="584" spans="1:17" x14ac:dyDescent="0.2">
      <c r="A584" s="1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</row>
    <row r="585" spans="1:17" x14ac:dyDescent="0.2">
      <c r="A585" s="1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</row>
    <row r="586" spans="1:17" x14ac:dyDescent="0.2">
      <c r="A586" s="1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</row>
    <row r="587" spans="1:17" x14ac:dyDescent="0.2">
      <c r="A587" s="1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</row>
    <row r="588" spans="1:17" x14ac:dyDescent="0.2">
      <c r="A588" s="1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</row>
    <row r="589" spans="1:17" x14ac:dyDescent="0.2">
      <c r="A589" s="1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</row>
    <row r="590" spans="1:17" x14ac:dyDescent="0.2">
      <c r="A590" s="1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</row>
    <row r="591" spans="1:17" x14ac:dyDescent="0.2">
      <c r="A591" s="1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</row>
    <row r="592" spans="1:17" x14ac:dyDescent="0.2">
      <c r="A592" s="1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</row>
    <row r="593" spans="1:17" x14ac:dyDescent="0.2">
      <c r="A593" s="1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</row>
    <row r="594" spans="1:17" x14ac:dyDescent="0.2">
      <c r="A594" s="1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</row>
    <row r="595" spans="1:17" x14ac:dyDescent="0.2">
      <c r="A595" s="1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</row>
    <row r="596" spans="1:17" x14ac:dyDescent="0.2">
      <c r="A596" s="1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</row>
    <row r="597" spans="1:17" x14ac:dyDescent="0.2">
      <c r="A597" s="1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</row>
    <row r="598" spans="1:17" x14ac:dyDescent="0.2">
      <c r="A598" s="1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</row>
    <row r="599" spans="1:17" x14ac:dyDescent="0.2">
      <c r="A599" s="1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</row>
    <row r="600" spans="1:17" x14ac:dyDescent="0.2">
      <c r="A600" s="1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</row>
    <row r="601" spans="1:17" x14ac:dyDescent="0.2">
      <c r="A601" s="1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</row>
    <row r="602" spans="1:17" x14ac:dyDescent="0.2">
      <c r="A602" s="1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</row>
    <row r="603" spans="1:17" x14ac:dyDescent="0.2">
      <c r="A603" s="1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</row>
    <row r="604" spans="1:17" x14ac:dyDescent="0.2">
      <c r="A604" s="1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</row>
    <row r="605" spans="1:17" x14ac:dyDescent="0.2">
      <c r="A605" s="1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</row>
    <row r="606" spans="1:17" x14ac:dyDescent="0.2">
      <c r="A606" s="1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</row>
    <row r="607" spans="1:17" x14ac:dyDescent="0.2">
      <c r="A607" s="1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</row>
    <row r="608" spans="1:17" x14ac:dyDescent="0.2">
      <c r="A608" s="1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</row>
    <row r="609" spans="1:17" x14ac:dyDescent="0.2">
      <c r="A609" s="1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</row>
    <row r="610" spans="1:17" x14ac:dyDescent="0.2">
      <c r="A610" s="1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</row>
    <row r="611" spans="1:17" x14ac:dyDescent="0.2">
      <c r="A611" s="1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</row>
    <row r="612" spans="1:17" x14ac:dyDescent="0.2">
      <c r="A612" s="1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</row>
    <row r="613" spans="1:17" x14ac:dyDescent="0.2">
      <c r="A613" s="1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</row>
    <row r="614" spans="1:17" x14ac:dyDescent="0.2">
      <c r="A614" s="1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</row>
    <row r="615" spans="1:17" x14ac:dyDescent="0.2">
      <c r="A615" s="1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</row>
    <row r="616" spans="1:17" x14ac:dyDescent="0.2">
      <c r="A616" s="1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</row>
    <row r="617" spans="1:17" x14ac:dyDescent="0.2">
      <c r="A617" s="1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</row>
    <row r="618" spans="1:17" x14ac:dyDescent="0.2">
      <c r="A618" s="1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</row>
    <row r="619" spans="1:17" x14ac:dyDescent="0.2">
      <c r="A619" s="1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</row>
    <row r="620" spans="1:17" x14ac:dyDescent="0.2">
      <c r="A620" s="1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</row>
    <row r="621" spans="1:17" x14ac:dyDescent="0.2">
      <c r="A621" s="1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</row>
    <row r="622" spans="1:17" x14ac:dyDescent="0.2">
      <c r="A622" s="1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</row>
    <row r="623" spans="1:17" x14ac:dyDescent="0.2">
      <c r="A623" s="1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</row>
    <row r="624" spans="1:17" x14ac:dyDescent="0.2">
      <c r="A624" s="1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</row>
    <row r="625" spans="1:17" x14ac:dyDescent="0.2">
      <c r="A625" s="1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</row>
    <row r="626" spans="1:17" x14ac:dyDescent="0.2">
      <c r="A626" s="1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</row>
    <row r="627" spans="1:17" x14ac:dyDescent="0.2">
      <c r="A627" s="1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</row>
    <row r="628" spans="1:17" x14ac:dyDescent="0.2">
      <c r="A628" s="1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</row>
    <row r="629" spans="1:17" x14ac:dyDescent="0.2">
      <c r="A629" s="1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</row>
    <row r="630" spans="1:17" x14ac:dyDescent="0.2">
      <c r="A630" s="1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</row>
    <row r="631" spans="1:17" x14ac:dyDescent="0.2">
      <c r="A631" s="1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</row>
    <row r="632" spans="1:17" x14ac:dyDescent="0.2">
      <c r="A632" s="1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</row>
    <row r="633" spans="1:17" x14ac:dyDescent="0.2">
      <c r="A633" s="1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</row>
    <row r="634" spans="1:17" x14ac:dyDescent="0.2">
      <c r="A634" s="1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</row>
    <row r="635" spans="1:17" x14ac:dyDescent="0.2">
      <c r="A635" s="1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</row>
    <row r="636" spans="1:17" x14ac:dyDescent="0.2">
      <c r="A636" s="1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</row>
    <row r="637" spans="1:17" x14ac:dyDescent="0.2">
      <c r="A637" s="1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</row>
    <row r="638" spans="1:17" x14ac:dyDescent="0.2">
      <c r="A638" s="1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</row>
    <row r="639" spans="1:17" x14ac:dyDescent="0.2">
      <c r="A639" s="1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</row>
    <row r="640" spans="1:17" x14ac:dyDescent="0.2">
      <c r="A640" s="1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</row>
    <row r="641" spans="1:17" x14ac:dyDescent="0.2">
      <c r="A641" s="1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</row>
    <row r="642" spans="1:17" x14ac:dyDescent="0.2">
      <c r="A642" s="1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</row>
    <row r="643" spans="1:17" x14ac:dyDescent="0.2">
      <c r="A643" s="1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</row>
    <row r="644" spans="1:17" x14ac:dyDescent="0.2">
      <c r="A644" s="1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</row>
    <row r="645" spans="1:17" x14ac:dyDescent="0.2">
      <c r="A645" s="1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</row>
    <row r="646" spans="1:17" x14ac:dyDescent="0.2">
      <c r="A646" s="1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</row>
    <row r="647" spans="1:17" x14ac:dyDescent="0.2">
      <c r="A647" s="1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</row>
    <row r="648" spans="1:17" x14ac:dyDescent="0.2">
      <c r="A648" s="1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</row>
    <row r="649" spans="1:17" x14ac:dyDescent="0.2">
      <c r="A649" s="1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</row>
    <row r="650" spans="1:17" x14ac:dyDescent="0.2">
      <c r="A650" s="1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</row>
    <row r="651" spans="1:17" x14ac:dyDescent="0.2">
      <c r="A651" s="1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</row>
    <row r="652" spans="1:17" x14ac:dyDescent="0.2">
      <c r="A652" s="1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</row>
    <row r="653" spans="1:17" x14ac:dyDescent="0.2">
      <c r="A653" s="1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</row>
    <row r="654" spans="1:17" x14ac:dyDescent="0.2">
      <c r="A654" s="1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</row>
    <row r="655" spans="1:17" x14ac:dyDescent="0.2">
      <c r="A655" s="1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</row>
    <row r="656" spans="1:17" x14ac:dyDescent="0.2">
      <c r="A656" s="1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</row>
    <row r="657" spans="1:17" x14ac:dyDescent="0.2">
      <c r="A657" s="1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</row>
    <row r="658" spans="1:17" x14ac:dyDescent="0.2">
      <c r="A658" s="1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</row>
    <row r="659" spans="1:17" x14ac:dyDescent="0.2">
      <c r="A659" s="1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</row>
    <row r="660" spans="1:17" x14ac:dyDescent="0.2">
      <c r="A660" s="1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</row>
    <row r="661" spans="1:17" x14ac:dyDescent="0.2">
      <c r="A661" s="1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</row>
    <row r="662" spans="1:17" x14ac:dyDescent="0.2">
      <c r="A662" s="1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</row>
    <row r="663" spans="1:17" x14ac:dyDescent="0.2">
      <c r="A663" s="1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</row>
    <row r="664" spans="1:17" x14ac:dyDescent="0.2">
      <c r="A664" s="1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</row>
    <row r="665" spans="1:17" x14ac:dyDescent="0.2">
      <c r="A665" s="1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</row>
    <row r="666" spans="1:17" x14ac:dyDescent="0.2">
      <c r="A666" s="1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</row>
    <row r="667" spans="1:17" x14ac:dyDescent="0.2">
      <c r="A667" s="1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</row>
    <row r="668" spans="1:17" x14ac:dyDescent="0.2">
      <c r="A668" s="1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</row>
    <row r="669" spans="1:17" x14ac:dyDescent="0.2">
      <c r="A669" s="1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</row>
    <row r="670" spans="1:17" x14ac:dyDescent="0.2">
      <c r="A670" s="1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</row>
    <row r="671" spans="1:17" x14ac:dyDescent="0.2">
      <c r="A671" s="1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</row>
    <row r="672" spans="1:17" x14ac:dyDescent="0.2">
      <c r="A672" s="1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</row>
    <row r="673" spans="1:17" x14ac:dyDescent="0.2">
      <c r="A673" s="1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</row>
    <row r="674" spans="1:17" x14ac:dyDescent="0.2">
      <c r="A674" s="1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</row>
    <row r="675" spans="1:17" x14ac:dyDescent="0.2">
      <c r="A675" s="1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</row>
    <row r="676" spans="1:17" x14ac:dyDescent="0.2">
      <c r="A676" s="1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</row>
    <row r="677" spans="1:17" x14ac:dyDescent="0.2">
      <c r="A677" s="1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</row>
    <row r="678" spans="1:17" x14ac:dyDescent="0.2">
      <c r="A678" s="1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</row>
    <row r="679" spans="1:17" x14ac:dyDescent="0.2">
      <c r="A679" s="1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</row>
    <row r="680" spans="1:17" x14ac:dyDescent="0.2">
      <c r="A680" s="1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</row>
    <row r="681" spans="1:17" x14ac:dyDescent="0.2">
      <c r="A681" s="1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</row>
    <row r="682" spans="1:17" x14ac:dyDescent="0.2">
      <c r="A682" s="1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</row>
    <row r="683" spans="1:17" x14ac:dyDescent="0.2">
      <c r="A683" s="1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</row>
    <row r="684" spans="1:17" x14ac:dyDescent="0.2">
      <c r="A684" s="1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</row>
    <row r="685" spans="1:17" x14ac:dyDescent="0.2">
      <c r="A685" s="1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</row>
    <row r="686" spans="1:17" x14ac:dyDescent="0.2">
      <c r="A686" s="1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</row>
    <row r="687" spans="1:17" x14ac:dyDescent="0.2">
      <c r="A687" s="1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</row>
    <row r="688" spans="1:17" x14ac:dyDescent="0.2">
      <c r="A688" s="1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</row>
    <row r="689" spans="1:17" x14ac:dyDescent="0.2">
      <c r="A689" s="1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</row>
    <row r="690" spans="1:17" x14ac:dyDescent="0.2">
      <c r="A690" s="1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</row>
    <row r="691" spans="1:17" x14ac:dyDescent="0.2">
      <c r="A691" s="1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</row>
    <row r="692" spans="1:17" x14ac:dyDescent="0.2">
      <c r="A692" s="1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</row>
    <row r="693" spans="1:17" x14ac:dyDescent="0.2">
      <c r="A693" s="1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</row>
    <row r="694" spans="1:17" x14ac:dyDescent="0.2">
      <c r="A694" s="1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</row>
    <row r="695" spans="1:17" x14ac:dyDescent="0.2">
      <c r="A695" s="1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</row>
    <row r="696" spans="1:17" x14ac:dyDescent="0.2">
      <c r="A696" s="1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</row>
    <row r="697" spans="1:17" x14ac:dyDescent="0.2">
      <c r="A697" s="1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</row>
    <row r="698" spans="1:17" x14ac:dyDescent="0.2">
      <c r="A698" s="1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</row>
    <row r="699" spans="1:17" x14ac:dyDescent="0.2">
      <c r="A699" s="1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</row>
    <row r="700" spans="1:17" x14ac:dyDescent="0.2">
      <c r="A700" s="1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</row>
    <row r="701" spans="1:17" x14ac:dyDescent="0.2">
      <c r="A701" s="1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</row>
    <row r="702" spans="1:17" x14ac:dyDescent="0.2">
      <c r="A702" s="1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</row>
    <row r="703" spans="1:17" x14ac:dyDescent="0.2">
      <c r="A703" s="1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</row>
    <row r="704" spans="1:17" x14ac:dyDescent="0.2">
      <c r="A704" s="1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</row>
    <row r="705" spans="1:17" x14ac:dyDescent="0.2">
      <c r="A705" s="1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</row>
    <row r="706" spans="1:17" x14ac:dyDescent="0.2">
      <c r="A706" s="1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</row>
    <row r="707" spans="1:17" x14ac:dyDescent="0.2">
      <c r="A707" s="1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</row>
    <row r="708" spans="1:17" x14ac:dyDescent="0.2">
      <c r="A708" s="1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</row>
    <row r="709" spans="1:17" x14ac:dyDescent="0.2">
      <c r="A709" s="1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</row>
    <row r="710" spans="1:17" x14ac:dyDescent="0.2">
      <c r="A710" s="1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</row>
    <row r="711" spans="1:17" x14ac:dyDescent="0.2">
      <c r="A711" s="1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</row>
    <row r="712" spans="1:17" x14ac:dyDescent="0.2">
      <c r="A712" s="1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</row>
    <row r="713" spans="1:17" x14ac:dyDescent="0.2">
      <c r="A713" s="1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</row>
    <row r="714" spans="1:17" x14ac:dyDescent="0.2">
      <c r="A714" s="1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</row>
    <row r="715" spans="1:17" x14ac:dyDescent="0.2">
      <c r="A715" s="1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</row>
    <row r="716" spans="1:17" x14ac:dyDescent="0.2">
      <c r="A716" s="1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</row>
    <row r="717" spans="1:17" x14ac:dyDescent="0.2">
      <c r="A717" s="1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</row>
    <row r="718" spans="1:17" x14ac:dyDescent="0.2">
      <c r="A718" s="1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</row>
    <row r="719" spans="1:17" x14ac:dyDescent="0.2">
      <c r="A719" s="1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</row>
    <row r="720" spans="1:17" x14ac:dyDescent="0.2">
      <c r="A720" s="1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</row>
    <row r="721" spans="1:17" x14ac:dyDescent="0.2">
      <c r="A721" s="1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</row>
    <row r="722" spans="1:17" x14ac:dyDescent="0.2">
      <c r="A722" s="1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</row>
    <row r="723" spans="1:17" x14ac:dyDescent="0.2">
      <c r="A723" s="1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</row>
    <row r="724" spans="1:17" x14ac:dyDescent="0.2">
      <c r="A724" s="1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</row>
    <row r="725" spans="1:17" x14ac:dyDescent="0.2">
      <c r="A725" s="1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</row>
    <row r="726" spans="1:17" x14ac:dyDescent="0.2">
      <c r="A726" s="1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</row>
    <row r="727" spans="1:17" x14ac:dyDescent="0.2">
      <c r="A727" s="1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</row>
    <row r="728" spans="1:17" x14ac:dyDescent="0.2">
      <c r="A728" s="1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</row>
    <row r="729" spans="1:17" x14ac:dyDescent="0.2">
      <c r="A729" s="1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</row>
    <row r="730" spans="1:17" x14ac:dyDescent="0.2">
      <c r="A730" s="1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</row>
    <row r="731" spans="1:17" x14ac:dyDescent="0.2">
      <c r="A731" s="1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</row>
    <row r="732" spans="1:17" x14ac:dyDescent="0.2">
      <c r="A732" s="1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</row>
    <row r="733" spans="1:17" x14ac:dyDescent="0.2">
      <c r="A733" s="1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</row>
    <row r="734" spans="1:17" x14ac:dyDescent="0.2">
      <c r="A734" s="1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</row>
    <row r="735" spans="1:17" x14ac:dyDescent="0.2">
      <c r="A735" s="1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</row>
    <row r="736" spans="1:17" x14ac:dyDescent="0.2">
      <c r="A736" s="1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</row>
    <row r="737" spans="1:17" x14ac:dyDescent="0.2">
      <c r="A737" s="1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</row>
    <row r="738" spans="1:17" x14ac:dyDescent="0.2">
      <c r="A738" s="1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</row>
    <row r="739" spans="1:17" x14ac:dyDescent="0.2">
      <c r="A739" s="1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</row>
    <row r="740" spans="1:17" x14ac:dyDescent="0.2">
      <c r="A740" s="1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</row>
    <row r="741" spans="1:17" x14ac:dyDescent="0.2">
      <c r="A741" s="1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</row>
    <row r="742" spans="1:17" x14ac:dyDescent="0.2">
      <c r="A742" s="1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</row>
    <row r="743" spans="1:17" x14ac:dyDescent="0.2">
      <c r="A743" s="1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</row>
    <row r="744" spans="1:17" x14ac:dyDescent="0.2">
      <c r="A744" s="1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</row>
    <row r="745" spans="1:17" x14ac:dyDescent="0.2">
      <c r="A745" s="1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</row>
    <row r="746" spans="1:17" x14ac:dyDescent="0.2">
      <c r="A746" s="1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</row>
    <row r="747" spans="1:17" x14ac:dyDescent="0.2">
      <c r="A747" s="1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</row>
    <row r="748" spans="1:17" x14ac:dyDescent="0.2">
      <c r="A748" s="1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</row>
    <row r="749" spans="1:17" x14ac:dyDescent="0.2">
      <c r="A749" s="1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</row>
    <row r="750" spans="1:17" x14ac:dyDescent="0.2">
      <c r="A750" s="1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</row>
    <row r="751" spans="1:17" x14ac:dyDescent="0.2">
      <c r="A751" s="1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</row>
    <row r="752" spans="1:17" x14ac:dyDescent="0.2">
      <c r="A752" s="18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</row>
    <row r="753" spans="1:17" x14ac:dyDescent="0.2">
      <c r="A753" s="18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</row>
    <row r="754" spans="1:17" x14ac:dyDescent="0.2">
      <c r="A754" s="18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</row>
    <row r="755" spans="1:17" x14ac:dyDescent="0.2">
      <c r="A755" s="18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</row>
    <row r="756" spans="1:17" x14ac:dyDescent="0.2">
      <c r="A756" s="18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</row>
    <row r="757" spans="1:17" x14ac:dyDescent="0.2">
      <c r="A757" s="18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</row>
    <row r="758" spans="1:17" x14ac:dyDescent="0.2">
      <c r="A758" s="18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</row>
    <row r="759" spans="1:17" x14ac:dyDescent="0.2">
      <c r="A759" s="18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</row>
    <row r="760" spans="1:17" x14ac:dyDescent="0.2">
      <c r="A760" s="18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</row>
    <row r="761" spans="1:17" x14ac:dyDescent="0.2">
      <c r="A761" s="18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</row>
    <row r="762" spans="1:17" x14ac:dyDescent="0.2">
      <c r="A762" s="18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</row>
    <row r="763" spans="1:17" x14ac:dyDescent="0.2">
      <c r="A763" s="18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</row>
    <row r="764" spans="1:17" x14ac:dyDescent="0.2">
      <c r="A764" s="18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</row>
    <row r="765" spans="1:17" x14ac:dyDescent="0.2">
      <c r="A765" s="18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</row>
    <row r="766" spans="1:17" x14ac:dyDescent="0.2">
      <c r="A766" s="18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</row>
    <row r="767" spans="1:17" x14ac:dyDescent="0.2">
      <c r="A767" s="18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</row>
    <row r="768" spans="1:17" x14ac:dyDescent="0.2">
      <c r="A768" s="18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</row>
    <row r="769" spans="1:17" x14ac:dyDescent="0.2">
      <c r="A769" s="18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</row>
    <row r="770" spans="1:17" x14ac:dyDescent="0.2">
      <c r="A770" s="18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</row>
    <row r="771" spans="1:17" x14ac:dyDescent="0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7"/>
    </row>
    <row r="772" spans="1:17" x14ac:dyDescent="0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7"/>
    </row>
    <row r="773" spans="1:17" x14ac:dyDescent="0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7"/>
    </row>
    <row r="774" spans="1:17" x14ac:dyDescent="0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7"/>
    </row>
    <row r="775" spans="1:17" x14ac:dyDescent="0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7"/>
    </row>
    <row r="776" spans="1:17" x14ac:dyDescent="0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7"/>
    </row>
    <row r="777" spans="1:17" x14ac:dyDescent="0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7"/>
    </row>
    <row r="778" spans="1:17" x14ac:dyDescent="0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7"/>
    </row>
    <row r="779" spans="1:17" x14ac:dyDescent="0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7"/>
    </row>
    <row r="780" spans="1:17" x14ac:dyDescent="0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7"/>
    </row>
    <row r="781" spans="1:17" x14ac:dyDescent="0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7"/>
    </row>
    <row r="782" spans="1:17" x14ac:dyDescent="0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7"/>
    </row>
    <row r="783" spans="1:17" x14ac:dyDescent="0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7"/>
    </row>
    <row r="784" spans="1:17" x14ac:dyDescent="0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7"/>
    </row>
    <row r="785" spans="1:17" x14ac:dyDescent="0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7"/>
    </row>
    <row r="786" spans="1:17" x14ac:dyDescent="0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7"/>
    </row>
    <row r="787" spans="1:17" x14ac:dyDescent="0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7"/>
    </row>
    <row r="788" spans="1:17" x14ac:dyDescent="0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7"/>
    </row>
    <row r="789" spans="1:17" x14ac:dyDescent="0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7"/>
    </row>
    <row r="790" spans="1:17" x14ac:dyDescent="0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7"/>
    </row>
    <row r="791" spans="1:17" x14ac:dyDescent="0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7"/>
    </row>
    <row r="792" spans="1:17" x14ac:dyDescent="0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7"/>
    </row>
    <row r="793" spans="1:17" x14ac:dyDescent="0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7"/>
    </row>
    <row r="794" spans="1:17" x14ac:dyDescent="0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7"/>
    </row>
    <row r="795" spans="1:17" x14ac:dyDescent="0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7"/>
    </row>
    <row r="796" spans="1:17" x14ac:dyDescent="0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7"/>
    </row>
    <row r="797" spans="1:17" x14ac:dyDescent="0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7"/>
    </row>
    <row r="798" spans="1:17" x14ac:dyDescent="0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7"/>
    </row>
    <row r="799" spans="1:17" x14ac:dyDescent="0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7"/>
    </row>
    <row r="800" spans="1:17" x14ac:dyDescent="0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7"/>
    </row>
    <row r="801" spans="1:17" x14ac:dyDescent="0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7"/>
    </row>
    <row r="802" spans="1:17" x14ac:dyDescent="0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7"/>
    </row>
    <row r="803" spans="1:17" x14ac:dyDescent="0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7"/>
    </row>
    <row r="804" spans="1:17" x14ac:dyDescent="0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7"/>
    </row>
    <row r="805" spans="1:17" x14ac:dyDescent="0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7"/>
    </row>
    <row r="806" spans="1:17" x14ac:dyDescent="0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7"/>
    </row>
    <row r="807" spans="1:17" x14ac:dyDescent="0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7"/>
    </row>
    <row r="808" spans="1:17" x14ac:dyDescent="0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7"/>
    </row>
    <row r="809" spans="1:17" x14ac:dyDescent="0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7"/>
    </row>
    <row r="810" spans="1:17" x14ac:dyDescent="0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7"/>
    </row>
    <row r="811" spans="1:17" x14ac:dyDescent="0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7"/>
    </row>
    <row r="812" spans="1:17" x14ac:dyDescent="0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7"/>
    </row>
    <row r="813" spans="1:17" x14ac:dyDescent="0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7"/>
    </row>
    <row r="814" spans="1:17" x14ac:dyDescent="0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7"/>
    </row>
    <row r="815" spans="1:17" x14ac:dyDescent="0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7"/>
    </row>
    <row r="816" spans="1:17" x14ac:dyDescent="0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7"/>
    </row>
    <row r="817" spans="1:17" x14ac:dyDescent="0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7"/>
    </row>
    <row r="818" spans="1:17" x14ac:dyDescent="0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7"/>
    </row>
    <row r="819" spans="1:17" x14ac:dyDescent="0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7"/>
    </row>
    <row r="820" spans="1:17" x14ac:dyDescent="0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7"/>
    </row>
    <row r="821" spans="1:17" x14ac:dyDescent="0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7"/>
    </row>
    <row r="822" spans="1:17" x14ac:dyDescent="0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7"/>
    </row>
    <row r="823" spans="1:17" x14ac:dyDescent="0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7"/>
    </row>
    <row r="824" spans="1:17" x14ac:dyDescent="0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7"/>
    </row>
    <row r="825" spans="1:17" x14ac:dyDescent="0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7"/>
    </row>
    <row r="826" spans="1:17" x14ac:dyDescent="0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7"/>
    </row>
    <row r="827" spans="1:17" x14ac:dyDescent="0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7"/>
    </row>
    <row r="828" spans="1:17" x14ac:dyDescent="0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7"/>
    </row>
    <row r="829" spans="1:17" x14ac:dyDescent="0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7"/>
    </row>
    <row r="830" spans="1:17" x14ac:dyDescent="0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7"/>
    </row>
    <row r="831" spans="1:17" x14ac:dyDescent="0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7"/>
    </row>
    <row r="832" spans="1:17" x14ac:dyDescent="0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7"/>
    </row>
    <row r="833" spans="1:17" x14ac:dyDescent="0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7"/>
    </row>
    <row r="834" spans="1:17" x14ac:dyDescent="0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7"/>
    </row>
    <row r="835" spans="1:17" x14ac:dyDescent="0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7"/>
    </row>
    <row r="836" spans="1:17" x14ac:dyDescent="0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7"/>
    </row>
    <row r="837" spans="1:17" x14ac:dyDescent="0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7"/>
    </row>
    <row r="838" spans="1:17" x14ac:dyDescent="0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7"/>
    </row>
    <row r="839" spans="1:17" x14ac:dyDescent="0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7"/>
    </row>
    <row r="840" spans="1:17" x14ac:dyDescent="0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7"/>
    </row>
    <row r="841" spans="1:17" x14ac:dyDescent="0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7"/>
    </row>
    <row r="842" spans="1:17" x14ac:dyDescent="0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7"/>
    </row>
    <row r="843" spans="1:17" x14ac:dyDescent="0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7"/>
    </row>
    <row r="844" spans="1:17" x14ac:dyDescent="0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7"/>
    </row>
    <row r="845" spans="1:17" x14ac:dyDescent="0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7"/>
    </row>
    <row r="846" spans="1:17" x14ac:dyDescent="0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7"/>
    </row>
    <row r="847" spans="1:17" x14ac:dyDescent="0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7"/>
    </row>
    <row r="848" spans="1:17" x14ac:dyDescent="0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7"/>
    </row>
    <row r="849" spans="1:17" x14ac:dyDescent="0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7"/>
    </row>
    <row r="850" spans="1:17" x14ac:dyDescent="0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7"/>
    </row>
    <row r="851" spans="1:17" x14ac:dyDescent="0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7"/>
    </row>
    <row r="852" spans="1:17" x14ac:dyDescent="0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7"/>
    </row>
    <row r="853" spans="1:17" x14ac:dyDescent="0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7"/>
    </row>
    <row r="854" spans="1:17" x14ac:dyDescent="0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7"/>
    </row>
    <row r="855" spans="1:17" x14ac:dyDescent="0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7"/>
    </row>
    <row r="856" spans="1:17" x14ac:dyDescent="0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7"/>
    </row>
    <row r="857" spans="1:17" x14ac:dyDescent="0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7"/>
    </row>
    <row r="858" spans="1:17" x14ac:dyDescent="0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7"/>
    </row>
    <row r="859" spans="1:17" x14ac:dyDescent="0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7"/>
    </row>
    <row r="860" spans="1:17" x14ac:dyDescent="0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7"/>
    </row>
    <row r="861" spans="1:17" x14ac:dyDescent="0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7"/>
    </row>
    <row r="862" spans="1:17" x14ac:dyDescent="0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7"/>
    </row>
    <row r="863" spans="1:17" x14ac:dyDescent="0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7"/>
    </row>
    <row r="864" spans="1:17" x14ac:dyDescent="0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7"/>
    </row>
    <row r="865" spans="1:17" x14ac:dyDescent="0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7"/>
    </row>
    <row r="866" spans="1:17" x14ac:dyDescent="0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7"/>
    </row>
    <row r="867" spans="1:17" x14ac:dyDescent="0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7"/>
    </row>
    <row r="868" spans="1:17" x14ac:dyDescent="0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7"/>
    </row>
    <row r="869" spans="1:17" x14ac:dyDescent="0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7"/>
    </row>
    <row r="870" spans="1:17" x14ac:dyDescent="0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7"/>
    </row>
    <row r="871" spans="1:17" x14ac:dyDescent="0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7"/>
    </row>
    <row r="872" spans="1:17" x14ac:dyDescent="0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7"/>
    </row>
    <row r="873" spans="1:17" x14ac:dyDescent="0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7"/>
    </row>
    <row r="874" spans="1:17" x14ac:dyDescent="0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7"/>
    </row>
    <row r="875" spans="1:17" x14ac:dyDescent="0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7"/>
    </row>
    <row r="876" spans="1:17" x14ac:dyDescent="0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7"/>
    </row>
    <row r="877" spans="1:17" x14ac:dyDescent="0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7"/>
    </row>
    <row r="878" spans="1:17" x14ac:dyDescent="0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7"/>
    </row>
    <row r="879" spans="1:17" x14ac:dyDescent="0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7"/>
    </row>
    <row r="880" spans="1:17" x14ac:dyDescent="0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7"/>
    </row>
    <row r="881" spans="1:17" x14ac:dyDescent="0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7"/>
    </row>
    <row r="882" spans="1:17" x14ac:dyDescent="0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7"/>
    </row>
    <row r="883" spans="1:17" x14ac:dyDescent="0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7"/>
    </row>
    <row r="884" spans="1:17" x14ac:dyDescent="0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7"/>
    </row>
    <row r="885" spans="1:17" x14ac:dyDescent="0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7"/>
    </row>
    <row r="886" spans="1:17" x14ac:dyDescent="0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7"/>
    </row>
    <row r="887" spans="1:17" x14ac:dyDescent="0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7"/>
    </row>
    <row r="888" spans="1:17" x14ac:dyDescent="0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7"/>
    </row>
    <row r="889" spans="1:17" x14ac:dyDescent="0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7"/>
    </row>
    <row r="890" spans="1:17" x14ac:dyDescent="0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7"/>
    </row>
    <row r="891" spans="1:17" x14ac:dyDescent="0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7"/>
    </row>
    <row r="892" spans="1:17" x14ac:dyDescent="0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7"/>
    </row>
    <row r="893" spans="1:17" x14ac:dyDescent="0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7"/>
    </row>
    <row r="894" spans="1:17" x14ac:dyDescent="0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7"/>
    </row>
    <row r="895" spans="1:17" x14ac:dyDescent="0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7"/>
    </row>
    <row r="896" spans="1:17" x14ac:dyDescent="0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7"/>
    </row>
    <row r="897" spans="1:17" x14ac:dyDescent="0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7"/>
    </row>
    <row r="898" spans="1:17" x14ac:dyDescent="0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7"/>
    </row>
    <row r="899" spans="1:17" x14ac:dyDescent="0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7"/>
    </row>
    <row r="900" spans="1:17" x14ac:dyDescent="0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7"/>
    </row>
    <row r="901" spans="1:17" x14ac:dyDescent="0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7"/>
    </row>
    <row r="902" spans="1:17" x14ac:dyDescent="0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7"/>
    </row>
    <row r="903" spans="1:17" x14ac:dyDescent="0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7"/>
    </row>
    <row r="904" spans="1:17" x14ac:dyDescent="0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7"/>
    </row>
    <row r="905" spans="1:17" x14ac:dyDescent="0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7"/>
    </row>
    <row r="906" spans="1:17" x14ac:dyDescent="0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7"/>
    </row>
    <row r="907" spans="1:17" x14ac:dyDescent="0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7"/>
    </row>
    <row r="908" spans="1:17" x14ac:dyDescent="0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7"/>
    </row>
    <row r="909" spans="1:17" x14ac:dyDescent="0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7"/>
    </row>
    <row r="910" spans="1:17" x14ac:dyDescent="0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7"/>
    </row>
    <row r="911" spans="1:17" x14ac:dyDescent="0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7"/>
    </row>
    <row r="912" spans="1:17" x14ac:dyDescent="0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7"/>
    </row>
    <row r="913" spans="1:17" x14ac:dyDescent="0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7"/>
    </row>
    <row r="914" spans="1:17" x14ac:dyDescent="0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7"/>
    </row>
    <row r="915" spans="1:17" x14ac:dyDescent="0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7"/>
    </row>
    <row r="916" spans="1:17" x14ac:dyDescent="0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7"/>
    </row>
    <row r="917" spans="1:17" x14ac:dyDescent="0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7"/>
    </row>
    <row r="918" spans="1:17" x14ac:dyDescent="0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7"/>
    </row>
    <row r="919" spans="1:17" x14ac:dyDescent="0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7"/>
    </row>
    <row r="920" spans="1:17" x14ac:dyDescent="0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7"/>
    </row>
    <row r="921" spans="1:17" x14ac:dyDescent="0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7"/>
    </row>
    <row r="922" spans="1:17" x14ac:dyDescent="0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7"/>
    </row>
    <row r="923" spans="1:17" x14ac:dyDescent="0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7"/>
    </row>
    <row r="924" spans="1:17" x14ac:dyDescent="0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7"/>
    </row>
    <row r="925" spans="1:17" x14ac:dyDescent="0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7"/>
    </row>
    <row r="926" spans="1:17" x14ac:dyDescent="0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7"/>
    </row>
    <row r="927" spans="1:17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7"/>
    </row>
    <row r="928" spans="1:17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7"/>
    </row>
    <row r="929" spans="1:17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7"/>
    </row>
    <row r="930" spans="1:17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7"/>
    </row>
    <row r="931" spans="1:17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7"/>
    </row>
    <row r="932" spans="1:17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7"/>
    </row>
    <row r="933" spans="1:17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7"/>
    </row>
    <row r="934" spans="1:17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7"/>
    </row>
    <row r="935" spans="1:17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7"/>
    </row>
    <row r="936" spans="1:17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7"/>
    </row>
    <row r="937" spans="1:17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7"/>
    </row>
    <row r="938" spans="1:17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7"/>
    </row>
    <row r="939" spans="1:17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7"/>
    </row>
    <row r="940" spans="1:17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7"/>
    </row>
    <row r="941" spans="1:17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7"/>
    </row>
    <row r="942" spans="1:17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7"/>
    </row>
    <row r="943" spans="1:17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7"/>
    </row>
    <row r="944" spans="1:17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7"/>
    </row>
    <row r="945" spans="1:17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7"/>
    </row>
    <row r="946" spans="1:17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7"/>
    </row>
    <row r="947" spans="1:17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7"/>
    </row>
    <row r="948" spans="1:17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7"/>
    </row>
    <row r="949" spans="1:17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7"/>
    </row>
    <row r="950" spans="1:17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7"/>
    </row>
    <row r="951" spans="1:17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7"/>
    </row>
    <row r="952" spans="1:17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7"/>
    </row>
    <row r="953" spans="1:17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7"/>
    </row>
    <row r="954" spans="1:17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7"/>
    </row>
    <row r="955" spans="1:17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7"/>
    </row>
    <row r="956" spans="1:17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7"/>
    </row>
    <row r="957" spans="1:17" x14ac:dyDescent="0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7"/>
    </row>
    <row r="958" spans="1:17" x14ac:dyDescent="0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7"/>
    </row>
    <row r="959" spans="1:17" x14ac:dyDescent="0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7"/>
    </row>
    <row r="960" spans="1:17" x14ac:dyDescent="0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7"/>
    </row>
    <row r="961" spans="1:17" x14ac:dyDescent="0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7"/>
    </row>
    <row r="962" spans="1:17" x14ac:dyDescent="0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7"/>
    </row>
    <row r="963" spans="1:17" x14ac:dyDescent="0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7"/>
    </row>
    <row r="964" spans="1:17" x14ac:dyDescent="0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7"/>
    </row>
    <row r="965" spans="1:17" x14ac:dyDescent="0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7"/>
    </row>
    <row r="966" spans="1:17" x14ac:dyDescent="0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7"/>
    </row>
    <row r="967" spans="1:17" x14ac:dyDescent="0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7"/>
    </row>
    <row r="968" spans="1:17" x14ac:dyDescent="0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7"/>
    </row>
    <row r="969" spans="1:17" x14ac:dyDescent="0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7"/>
    </row>
    <row r="970" spans="1:17" x14ac:dyDescent="0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7"/>
    </row>
    <row r="971" spans="1:17" x14ac:dyDescent="0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7"/>
    </row>
    <row r="972" spans="1:17" x14ac:dyDescent="0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7"/>
    </row>
    <row r="973" spans="1:17" x14ac:dyDescent="0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7"/>
    </row>
    <row r="974" spans="1:17" x14ac:dyDescent="0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7"/>
    </row>
    <row r="975" spans="1:17" x14ac:dyDescent="0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7"/>
    </row>
    <row r="976" spans="1:17" x14ac:dyDescent="0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7"/>
    </row>
    <row r="977" spans="1:17" x14ac:dyDescent="0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7"/>
    </row>
    <row r="978" spans="1:17" x14ac:dyDescent="0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7"/>
    </row>
    <row r="979" spans="1:17" x14ac:dyDescent="0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7"/>
    </row>
    <row r="980" spans="1:17" x14ac:dyDescent="0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7"/>
    </row>
    <row r="981" spans="1:17" x14ac:dyDescent="0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7"/>
    </row>
    <row r="982" spans="1:17" x14ac:dyDescent="0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7"/>
    </row>
    <row r="983" spans="1:17" x14ac:dyDescent="0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7"/>
    </row>
    <row r="984" spans="1:17" x14ac:dyDescent="0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7"/>
    </row>
    <row r="985" spans="1:17" x14ac:dyDescent="0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7"/>
    </row>
    <row r="986" spans="1:17" x14ac:dyDescent="0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7"/>
    </row>
    <row r="987" spans="1:17" x14ac:dyDescent="0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7"/>
    </row>
    <row r="988" spans="1:17" x14ac:dyDescent="0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7"/>
    </row>
    <row r="989" spans="1:17" x14ac:dyDescent="0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7"/>
    </row>
    <row r="990" spans="1:17" x14ac:dyDescent="0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7"/>
    </row>
    <row r="991" spans="1:17" x14ac:dyDescent="0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7"/>
    </row>
    <row r="992" spans="1:17" x14ac:dyDescent="0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7"/>
    </row>
    <row r="993" spans="1:17" x14ac:dyDescent="0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7"/>
    </row>
    <row r="994" spans="1:17" x14ac:dyDescent="0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7"/>
    </row>
    <row r="995" spans="1:17" x14ac:dyDescent="0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7"/>
    </row>
    <row r="996" spans="1:17" x14ac:dyDescent="0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7"/>
    </row>
    <row r="997" spans="1:17" x14ac:dyDescent="0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7"/>
    </row>
    <row r="998" spans="1:17" x14ac:dyDescent="0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7"/>
    </row>
    <row r="999" spans="1:17" x14ac:dyDescent="0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7"/>
    </row>
    <row r="1000" spans="1:17" x14ac:dyDescent="0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7"/>
    </row>
    <row r="1001" spans="1:17" x14ac:dyDescent="0.2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7"/>
    </row>
    <row r="1002" spans="1:17" x14ac:dyDescent="0.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7"/>
    </row>
    <row r="1003" spans="1:17" x14ac:dyDescent="0.2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7"/>
    </row>
    <row r="1004" spans="1:17" x14ac:dyDescent="0.2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7"/>
    </row>
    <row r="1005" spans="1:17" x14ac:dyDescent="0.2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7"/>
    </row>
    <row r="1006" spans="1:17" x14ac:dyDescent="0.2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7"/>
    </row>
    <row r="1007" spans="1:17" x14ac:dyDescent="0.2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7"/>
    </row>
    <row r="1008" spans="1:17" x14ac:dyDescent="0.2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7"/>
    </row>
    <row r="1009" spans="1:17" x14ac:dyDescent="0.2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7"/>
    </row>
    <row r="1010" spans="1:17" x14ac:dyDescent="0.2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7"/>
    </row>
    <row r="1011" spans="1:17" x14ac:dyDescent="0.2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7"/>
    </row>
    <row r="1012" spans="1:17" x14ac:dyDescent="0.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7"/>
    </row>
    <row r="1013" spans="1:17" x14ac:dyDescent="0.2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7"/>
    </row>
    <row r="1014" spans="1:17" x14ac:dyDescent="0.2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7"/>
    </row>
    <row r="1015" spans="1:17" x14ac:dyDescent="0.2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7"/>
    </row>
    <row r="1016" spans="1:17" x14ac:dyDescent="0.2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7"/>
    </row>
    <row r="1017" spans="1:17" x14ac:dyDescent="0.2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7"/>
    </row>
    <row r="1018" spans="1:17" x14ac:dyDescent="0.2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7"/>
    </row>
    <row r="1019" spans="1:17" x14ac:dyDescent="0.2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7"/>
    </row>
    <row r="1020" spans="1:17" x14ac:dyDescent="0.2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7"/>
    </row>
    <row r="1021" spans="1:17" x14ac:dyDescent="0.2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7"/>
    </row>
    <row r="1022" spans="1:17" x14ac:dyDescent="0.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7"/>
    </row>
    <row r="1023" spans="1:17" x14ac:dyDescent="0.2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7"/>
    </row>
    <row r="1024" spans="1:17" x14ac:dyDescent="0.2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7"/>
    </row>
    <row r="1025" spans="1:17" x14ac:dyDescent="0.2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7"/>
    </row>
    <row r="1026" spans="1:17" x14ac:dyDescent="0.2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7"/>
    </row>
    <row r="1027" spans="1:17" x14ac:dyDescent="0.2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7"/>
    </row>
    <row r="1028" spans="1:17" x14ac:dyDescent="0.2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7"/>
    </row>
    <row r="1029" spans="1:17" x14ac:dyDescent="0.2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7"/>
    </row>
    <row r="1030" spans="1:17" x14ac:dyDescent="0.2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7"/>
    </row>
    <row r="1031" spans="1:17" x14ac:dyDescent="0.2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7"/>
    </row>
    <row r="1032" spans="1:17" x14ac:dyDescent="0.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7"/>
    </row>
    <row r="1033" spans="1:17" x14ac:dyDescent="0.2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7"/>
    </row>
    <row r="1034" spans="1:17" x14ac:dyDescent="0.2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7"/>
    </row>
    <row r="1035" spans="1:17" x14ac:dyDescent="0.2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7"/>
    </row>
    <row r="1036" spans="1:17" x14ac:dyDescent="0.2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7"/>
    </row>
    <row r="1037" spans="1:17" x14ac:dyDescent="0.2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7"/>
    </row>
    <row r="1038" spans="1:17" x14ac:dyDescent="0.2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7"/>
    </row>
    <row r="1039" spans="1:17" x14ac:dyDescent="0.2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7"/>
    </row>
    <row r="1040" spans="1:17" x14ac:dyDescent="0.2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7"/>
    </row>
    <row r="1041" spans="1:17" x14ac:dyDescent="0.2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7"/>
    </row>
    <row r="1042" spans="1:17" x14ac:dyDescent="0.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7"/>
    </row>
    <row r="1043" spans="1:17" x14ac:dyDescent="0.2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7"/>
    </row>
    <row r="1044" spans="1:17" x14ac:dyDescent="0.2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7"/>
    </row>
    <row r="1045" spans="1:17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7"/>
    </row>
    <row r="1046" spans="1:17" x14ac:dyDescent="0.2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7"/>
    </row>
    <row r="1047" spans="1:17" x14ac:dyDescent="0.2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7"/>
    </row>
    <row r="1048" spans="1:17" x14ac:dyDescent="0.2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7"/>
    </row>
    <row r="1049" spans="1:17" x14ac:dyDescent="0.2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7"/>
    </row>
    <row r="1050" spans="1:17" x14ac:dyDescent="0.2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7"/>
    </row>
    <row r="1051" spans="1:17" x14ac:dyDescent="0.2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7"/>
    </row>
    <row r="1052" spans="1:17" x14ac:dyDescent="0.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7"/>
    </row>
    <row r="1053" spans="1:17" x14ac:dyDescent="0.2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7"/>
    </row>
    <row r="1054" spans="1:17" x14ac:dyDescent="0.2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7"/>
    </row>
    <row r="1055" spans="1:17" x14ac:dyDescent="0.2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7"/>
    </row>
    <row r="1056" spans="1:17" x14ac:dyDescent="0.2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7"/>
    </row>
    <row r="1057" spans="1:17" x14ac:dyDescent="0.2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7"/>
    </row>
    <row r="1058" spans="1:17" x14ac:dyDescent="0.2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7"/>
    </row>
    <row r="1059" spans="1:17" x14ac:dyDescent="0.2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7"/>
    </row>
    <row r="1060" spans="1:17" x14ac:dyDescent="0.2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7"/>
    </row>
    <row r="1061" spans="1:17" x14ac:dyDescent="0.2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7"/>
    </row>
    <row r="1062" spans="1:17" x14ac:dyDescent="0.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7"/>
    </row>
    <row r="1063" spans="1:17" x14ac:dyDescent="0.2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7"/>
    </row>
    <row r="1064" spans="1:17" x14ac:dyDescent="0.2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7"/>
    </row>
    <row r="1065" spans="1:17" x14ac:dyDescent="0.2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7"/>
    </row>
    <row r="1066" spans="1:17" x14ac:dyDescent="0.2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7"/>
    </row>
    <row r="1067" spans="1:17" x14ac:dyDescent="0.2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7"/>
    </row>
    <row r="1068" spans="1:17" x14ac:dyDescent="0.2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7"/>
    </row>
    <row r="1069" spans="1:17" x14ac:dyDescent="0.2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7"/>
    </row>
    <row r="1070" spans="1:17" x14ac:dyDescent="0.2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7"/>
    </row>
    <row r="1071" spans="1:17" x14ac:dyDescent="0.2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7"/>
    </row>
    <row r="1072" spans="1:17" x14ac:dyDescent="0.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7"/>
    </row>
    <row r="1073" spans="1:17" x14ac:dyDescent="0.2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7"/>
    </row>
    <row r="1074" spans="1:17" x14ac:dyDescent="0.2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7"/>
    </row>
    <row r="1075" spans="1:17" x14ac:dyDescent="0.2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7"/>
    </row>
    <row r="1076" spans="1:17" x14ac:dyDescent="0.2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7"/>
    </row>
    <row r="1077" spans="1:17" x14ac:dyDescent="0.2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7"/>
    </row>
    <row r="1078" spans="1:17" x14ac:dyDescent="0.2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7"/>
    </row>
    <row r="1079" spans="1:17" x14ac:dyDescent="0.2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7"/>
    </row>
    <row r="1080" spans="1:17" x14ac:dyDescent="0.2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7"/>
    </row>
    <row r="1081" spans="1:17" x14ac:dyDescent="0.2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7"/>
    </row>
    <row r="1082" spans="1:17" x14ac:dyDescent="0.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7"/>
    </row>
    <row r="1083" spans="1:17" x14ac:dyDescent="0.2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7"/>
    </row>
    <row r="1084" spans="1:17" x14ac:dyDescent="0.2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7"/>
    </row>
    <row r="1085" spans="1:17" x14ac:dyDescent="0.2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7"/>
    </row>
    <row r="1086" spans="1:17" x14ac:dyDescent="0.2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7"/>
    </row>
    <row r="1087" spans="1:17" x14ac:dyDescent="0.2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7"/>
    </row>
    <row r="1088" spans="1:17" x14ac:dyDescent="0.2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7"/>
    </row>
    <row r="1089" spans="1:17" x14ac:dyDescent="0.2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7"/>
    </row>
    <row r="1090" spans="1:17" x14ac:dyDescent="0.2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7"/>
    </row>
    <row r="1091" spans="1:17" x14ac:dyDescent="0.2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7"/>
    </row>
    <row r="1092" spans="1:17" x14ac:dyDescent="0.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7"/>
    </row>
    <row r="1093" spans="1:17" x14ac:dyDescent="0.2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7"/>
    </row>
    <row r="1094" spans="1:17" x14ac:dyDescent="0.2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7"/>
    </row>
    <row r="1095" spans="1:17" x14ac:dyDescent="0.2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7"/>
    </row>
    <row r="1096" spans="1:17" x14ac:dyDescent="0.2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7"/>
    </row>
    <row r="1097" spans="1:17" x14ac:dyDescent="0.2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7"/>
    </row>
    <row r="1098" spans="1:17" x14ac:dyDescent="0.2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7"/>
    </row>
    <row r="1099" spans="1:17" x14ac:dyDescent="0.2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7"/>
    </row>
    <row r="1100" spans="1:17" x14ac:dyDescent="0.2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7"/>
    </row>
    <row r="1101" spans="1:17" x14ac:dyDescent="0.2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7"/>
    </row>
    <row r="1102" spans="1:17" x14ac:dyDescent="0.2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7"/>
    </row>
    <row r="1103" spans="1:17" x14ac:dyDescent="0.2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7"/>
    </row>
    <row r="1104" spans="1:17" x14ac:dyDescent="0.2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7"/>
    </row>
    <row r="1105" spans="1:17" x14ac:dyDescent="0.2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7"/>
    </row>
    <row r="1106" spans="1:17" x14ac:dyDescent="0.2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7"/>
    </row>
    <row r="1107" spans="1:17" x14ac:dyDescent="0.2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7"/>
    </row>
    <row r="1108" spans="1:17" x14ac:dyDescent="0.2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7"/>
    </row>
    <row r="1109" spans="1:17" x14ac:dyDescent="0.2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7"/>
    </row>
    <row r="1110" spans="1:17" x14ac:dyDescent="0.2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7"/>
    </row>
    <row r="1111" spans="1:17" x14ac:dyDescent="0.2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7"/>
    </row>
    <row r="1112" spans="1:17" x14ac:dyDescent="0.2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7"/>
    </row>
    <row r="1113" spans="1:17" x14ac:dyDescent="0.2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7"/>
    </row>
    <row r="1114" spans="1:17" x14ac:dyDescent="0.2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7"/>
    </row>
    <row r="1115" spans="1:17" x14ac:dyDescent="0.2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7"/>
    </row>
    <row r="1116" spans="1:17" x14ac:dyDescent="0.2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7"/>
    </row>
    <row r="1117" spans="1:17" x14ac:dyDescent="0.2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7"/>
    </row>
    <row r="1118" spans="1:17" x14ac:dyDescent="0.2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7"/>
    </row>
    <row r="1119" spans="1:17" x14ac:dyDescent="0.2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7"/>
    </row>
    <row r="1120" spans="1:17" x14ac:dyDescent="0.2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7"/>
    </row>
    <row r="1121" spans="1:17" x14ac:dyDescent="0.2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7"/>
    </row>
    <row r="1122" spans="1:17" x14ac:dyDescent="0.2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7"/>
    </row>
    <row r="1123" spans="1:17" x14ac:dyDescent="0.2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7"/>
    </row>
    <row r="1124" spans="1:17" x14ac:dyDescent="0.2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7"/>
    </row>
    <row r="1125" spans="1:17" x14ac:dyDescent="0.2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7"/>
    </row>
    <row r="1126" spans="1:17" x14ac:dyDescent="0.2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7"/>
    </row>
    <row r="1127" spans="1:17" x14ac:dyDescent="0.2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7"/>
    </row>
    <row r="1128" spans="1:17" x14ac:dyDescent="0.2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7"/>
    </row>
    <row r="1129" spans="1:17" x14ac:dyDescent="0.2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7"/>
    </row>
    <row r="1130" spans="1:17" x14ac:dyDescent="0.2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7"/>
    </row>
    <row r="1131" spans="1:17" x14ac:dyDescent="0.2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7"/>
    </row>
    <row r="1132" spans="1:17" x14ac:dyDescent="0.2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7"/>
    </row>
    <row r="1133" spans="1:17" x14ac:dyDescent="0.2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7"/>
    </row>
    <row r="1134" spans="1:17" x14ac:dyDescent="0.2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7"/>
    </row>
    <row r="1135" spans="1:17" x14ac:dyDescent="0.2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7"/>
    </row>
    <row r="1136" spans="1:17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7"/>
    </row>
    <row r="1137" spans="1:17" x14ac:dyDescent="0.2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7"/>
    </row>
    <row r="1138" spans="1:17" x14ac:dyDescent="0.2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7"/>
    </row>
    <row r="1139" spans="1:17" x14ac:dyDescent="0.2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7"/>
    </row>
    <row r="1140" spans="1:17" x14ac:dyDescent="0.2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7"/>
    </row>
    <row r="1141" spans="1:17" x14ac:dyDescent="0.2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7"/>
    </row>
    <row r="1142" spans="1:17" x14ac:dyDescent="0.2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7"/>
    </row>
    <row r="1143" spans="1:17" x14ac:dyDescent="0.2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7"/>
    </row>
    <row r="1144" spans="1:17" x14ac:dyDescent="0.2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7"/>
    </row>
    <row r="1145" spans="1:17" x14ac:dyDescent="0.2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7"/>
    </row>
    <row r="1146" spans="1:17" x14ac:dyDescent="0.2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7"/>
    </row>
    <row r="1147" spans="1:17" x14ac:dyDescent="0.2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7"/>
    </row>
    <row r="1148" spans="1:17" x14ac:dyDescent="0.2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7"/>
    </row>
    <row r="1149" spans="1:17" x14ac:dyDescent="0.2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7"/>
    </row>
    <row r="1150" spans="1:17" x14ac:dyDescent="0.2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7"/>
    </row>
    <row r="1151" spans="1:17" x14ac:dyDescent="0.2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7"/>
    </row>
    <row r="1152" spans="1:17" x14ac:dyDescent="0.2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7"/>
    </row>
    <row r="1153" spans="1:17" x14ac:dyDescent="0.2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7"/>
    </row>
    <row r="1154" spans="1:17" x14ac:dyDescent="0.2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7"/>
    </row>
    <row r="1155" spans="1:17" x14ac:dyDescent="0.2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7"/>
    </row>
    <row r="1156" spans="1:17" x14ac:dyDescent="0.2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7"/>
    </row>
    <row r="1157" spans="1:17" x14ac:dyDescent="0.2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7"/>
    </row>
    <row r="1158" spans="1:17" x14ac:dyDescent="0.2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7"/>
    </row>
    <row r="1159" spans="1:17" x14ac:dyDescent="0.2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7"/>
    </row>
    <row r="1160" spans="1:17" x14ac:dyDescent="0.2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7"/>
    </row>
    <row r="1161" spans="1:17" x14ac:dyDescent="0.2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7"/>
    </row>
    <row r="1162" spans="1:17" x14ac:dyDescent="0.2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7"/>
    </row>
    <row r="1163" spans="1:17" x14ac:dyDescent="0.2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7"/>
    </row>
    <row r="1164" spans="1:17" x14ac:dyDescent="0.2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7"/>
    </row>
    <row r="1165" spans="1:17" x14ac:dyDescent="0.2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7"/>
    </row>
    <row r="1166" spans="1:17" x14ac:dyDescent="0.2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7"/>
    </row>
    <row r="1167" spans="1:17" x14ac:dyDescent="0.2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7"/>
    </row>
    <row r="1168" spans="1:17" x14ac:dyDescent="0.2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7"/>
    </row>
    <row r="1169" spans="1:17" x14ac:dyDescent="0.2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7"/>
    </row>
    <row r="1170" spans="1:17" x14ac:dyDescent="0.2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7"/>
    </row>
    <row r="1171" spans="1:17" x14ac:dyDescent="0.2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7"/>
    </row>
    <row r="1172" spans="1:17" x14ac:dyDescent="0.2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7"/>
    </row>
    <row r="1173" spans="1:17" x14ac:dyDescent="0.2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7"/>
    </row>
    <row r="1174" spans="1:17" x14ac:dyDescent="0.2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7"/>
    </row>
    <row r="1175" spans="1:17" x14ac:dyDescent="0.2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7"/>
    </row>
    <row r="1176" spans="1:17" x14ac:dyDescent="0.2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7"/>
    </row>
    <row r="1177" spans="1:17" x14ac:dyDescent="0.2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7"/>
    </row>
    <row r="1178" spans="1:17" x14ac:dyDescent="0.2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7"/>
    </row>
    <row r="1179" spans="1:17" x14ac:dyDescent="0.2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7"/>
    </row>
    <row r="1180" spans="1:17" x14ac:dyDescent="0.2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7"/>
    </row>
    <row r="1181" spans="1:17" x14ac:dyDescent="0.2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7"/>
    </row>
    <row r="1182" spans="1:17" x14ac:dyDescent="0.2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7"/>
    </row>
    <row r="1183" spans="1:17" x14ac:dyDescent="0.2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7"/>
    </row>
    <row r="1184" spans="1:17" x14ac:dyDescent="0.2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7"/>
    </row>
    <row r="1185" spans="1:17" x14ac:dyDescent="0.2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7"/>
    </row>
    <row r="1186" spans="1:17" x14ac:dyDescent="0.2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7"/>
    </row>
    <row r="1187" spans="1:17" x14ac:dyDescent="0.2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7"/>
    </row>
    <row r="1188" spans="1:17" x14ac:dyDescent="0.2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7"/>
    </row>
    <row r="1189" spans="1:17" x14ac:dyDescent="0.2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7"/>
    </row>
    <row r="1190" spans="1:17" x14ac:dyDescent="0.2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7"/>
    </row>
    <row r="1191" spans="1:17" x14ac:dyDescent="0.2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7"/>
    </row>
    <row r="1192" spans="1:17" x14ac:dyDescent="0.2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7"/>
    </row>
    <row r="1193" spans="1:17" x14ac:dyDescent="0.2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7"/>
    </row>
    <row r="1194" spans="1:17" x14ac:dyDescent="0.2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7"/>
    </row>
    <row r="1195" spans="1:17" x14ac:dyDescent="0.2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7"/>
    </row>
    <row r="1196" spans="1:17" x14ac:dyDescent="0.2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7"/>
    </row>
    <row r="1197" spans="1:17" x14ac:dyDescent="0.2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7"/>
    </row>
    <row r="1198" spans="1:17" x14ac:dyDescent="0.2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7"/>
    </row>
    <row r="1199" spans="1:17" x14ac:dyDescent="0.2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7"/>
    </row>
    <row r="1200" spans="1:17" x14ac:dyDescent="0.2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7"/>
    </row>
    <row r="1201" spans="1:17" x14ac:dyDescent="0.2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7"/>
    </row>
    <row r="1202" spans="1:17" x14ac:dyDescent="0.2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7"/>
    </row>
    <row r="1203" spans="1:17" x14ac:dyDescent="0.2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7"/>
    </row>
    <row r="1204" spans="1:17" x14ac:dyDescent="0.2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7"/>
    </row>
    <row r="1205" spans="1:17" x14ac:dyDescent="0.2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7"/>
    </row>
    <row r="1206" spans="1:17" x14ac:dyDescent="0.2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7"/>
    </row>
    <row r="1207" spans="1:17" x14ac:dyDescent="0.2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7"/>
    </row>
    <row r="1208" spans="1:17" x14ac:dyDescent="0.2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7"/>
    </row>
    <row r="1209" spans="1:17" x14ac:dyDescent="0.2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7"/>
    </row>
    <row r="1210" spans="1:17" x14ac:dyDescent="0.2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7"/>
    </row>
    <row r="1211" spans="1:17" x14ac:dyDescent="0.2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7"/>
    </row>
    <row r="1212" spans="1:17" x14ac:dyDescent="0.2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7"/>
    </row>
    <row r="1213" spans="1:17" x14ac:dyDescent="0.2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7"/>
    </row>
    <row r="1214" spans="1:17" x14ac:dyDescent="0.2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7"/>
    </row>
    <row r="1215" spans="1:17" x14ac:dyDescent="0.2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7"/>
    </row>
    <row r="1216" spans="1:17" x14ac:dyDescent="0.2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7"/>
    </row>
    <row r="1217" spans="1:17" x14ac:dyDescent="0.2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7"/>
    </row>
    <row r="1218" spans="1:17" x14ac:dyDescent="0.2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7"/>
    </row>
    <row r="1219" spans="1:17" x14ac:dyDescent="0.2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7"/>
    </row>
    <row r="1220" spans="1:17" x14ac:dyDescent="0.2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7"/>
    </row>
    <row r="1221" spans="1:17" x14ac:dyDescent="0.2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7"/>
    </row>
    <row r="1222" spans="1:17" x14ac:dyDescent="0.2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7"/>
    </row>
    <row r="1223" spans="1:17" x14ac:dyDescent="0.2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7"/>
    </row>
    <row r="1224" spans="1:17" x14ac:dyDescent="0.2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7"/>
    </row>
    <row r="1225" spans="1:17" x14ac:dyDescent="0.2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7"/>
    </row>
    <row r="1226" spans="1:17" x14ac:dyDescent="0.2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7"/>
    </row>
    <row r="1227" spans="1:17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7"/>
    </row>
    <row r="1228" spans="1:17" x14ac:dyDescent="0.2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7"/>
    </row>
    <row r="1229" spans="1:17" x14ac:dyDescent="0.2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7"/>
    </row>
    <row r="1230" spans="1:17" x14ac:dyDescent="0.2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7"/>
    </row>
    <row r="1231" spans="1:17" x14ac:dyDescent="0.2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7"/>
    </row>
    <row r="1232" spans="1:17" x14ac:dyDescent="0.2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7"/>
    </row>
    <row r="1233" spans="1:17" x14ac:dyDescent="0.2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7"/>
    </row>
    <row r="1234" spans="1:17" x14ac:dyDescent="0.2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7"/>
    </row>
    <row r="1235" spans="1:17" x14ac:dyDescent="0.2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7"/>
    </row>
    <row r="1236" spans="1:17" x14ac:dyDescent="0.2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7"/>
    </row>
    <row r="1237" spans="1:17" x14ac:dyDescent="0.2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7"/>
    </row>
    <row r="1238" spans="1:17" x14ac:dyDescent="0.2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7"/>
    </row>
    <row r="1239" spans="1:17" x14ac:dyDescent="0.2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7"/>
    </row>
    <row r="1240" spans="1:17" x14ac:dyDescent="0.2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7"/>
    </row>
    <row r="1241" spans="1:17" x14ac:dyDescent="0.2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7"/>
    </row>
    <row r="1242" spans="1:17" x14ac:dyDescent="0.2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7"/>
    </row>
    <row r="1243" spans="1:17" x14ac:dyDescent="0.2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7"/>
    </row>
    <row r="1244" spans="1:17" x14ac:dyDescent="0.2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7"/>
    </row>
    <row r="1245" spans="1:17" x14ac:dyDescent="0.2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7"/>
    </row>
    <row r="1246" spans="1:17" x14ac:dyDescent="0.2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7"/>
    </row>
    <row r="1247" spans="1:17" x14ac:dyDescent="0.2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7"/>
    </row>
    <row r="1248" spans="1:17" x14ac:dyDescent="0.2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7"/>
    </row>
    <row r="1249" spans="1:17" x14ac:dyDescent="0.2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7"/>
    </row>
    <row r="1250" spans="1:17" x14ac:dyDescent="0.2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7"/>
    </row>
    <row r="1251" spans="1:17" x14ac:dyDescent="0.2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7"/>
    </row>
    <row r="1252" spans="1:17" x14ac:dyDescent="0.2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7"/>
    </row>
    <row r="1253" spans="1:17" x14ac:dyDescent="0.2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7"/>
    </row>
    <row r="1254" spans="1:17" x14ac:dyDescent="0.2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7"/>
    </row>
    <row r="1255" spans="1:17" x14ac:dyDescent="0.2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7"/>
    </row>
    <row r="1256" spans="1:17" x14ac:dyDescent="0.2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7"/>
    </row>
    <row r="1257" spans="1:17" x14ac:dyDescent="0.2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7"/>
    </row>
    <row r="1258" spans="1:17" x14ac:dyDescent="0.2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7"/>
    </row>
    <row r="1259" spans="1:17" x14ac:dyDescent="0.2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7"/>
    </row>
    <row r="1260" spans="1:17" x14ac:dyDescent="0.2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7"/>
    </row>
    <row r="1261" spans="1:17" x14ac:dyDescent="0.2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7"/>
    </row>
    <row r="1262" spans="1:17" x14ac:dyDescent="0.2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7"/>
    </row>
    <row r="1263" spans="1:17" x14ac:dyDescent="0.2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7"/>
    </row>
    <row r="1264" spans="1:17" x14ac:dyDescent="0.2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7"/>
    </row>
    <row r="1265" spans="1:17" x14ac:dyDescent="0.2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7"/>
    </row>
    <row r="1266" spans="1:17" x14ac:dyDescent="0.2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7"/>
    </row>
    <row r="1267" spans="1:17" x14ac:dyDescent="0.2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7"/>
    </row>
    <row r="1268" spans="1:17" x14ac:dyDescent="0.2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7"/>
    </row>
    <row r="1269" spans="1:17" x14ac:dyDescent="0.2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7"/>
    </row>
    <row r="1270" spans="1:17" x14ac:dyDescent="0.2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7"/>
    </row>
    <row r="1271" spans="1:17" x14ac:dyDescent="0.2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7"/>
    </row>
    <row r="1272" spans="1:17" x14ac:dyDescent="0.2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7"/>
    </row>
    <row r="1273" spans="1:17" x14ac:dyDescent="0.2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7"/>
    </row>
    <row r="1274" spans="1:17" x14ac:dyDescent="0.2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7"/>
    </row>
    <row r="1275" spans="1:17" x14ac:dyDescent="0.2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7"/>
    </row>
    <row r="1276" spans="1:17" x14ac:dyDescent="0.2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7"/>
    </row>
    <row r="1277" spans="1:17" x14ac:dyDescent="0.2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7"/>
    </row>
    <row r="1278" spans="1:17" x14ac:dyDescent="0.2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7"/>
    </row>
    <row r="1279" spans="1:17" x14ac:dyDescent="0.2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7"/>
    </row>
    <row r="1280" spans="1:17" x14ac:dyDescent="0.2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7"/>
    </row>
    <row r="1281" spans="1:17" x14ac:dyDescent="0.2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7"/>
    </row>
    <row r="1282" spans="1:17" x14ac:dyDescent="0.2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7"/>
    </row>
    <row r="1283" spans="1:17" x14ac:dyDescent="0.2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7"/>
    </row>
    <row r="1284" spans="1:17" x14ac:dyDescent="0.2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7"/>
    </row>
    <row r="1285" spans="1:17" x14ac:dyDescent="0.2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7"/>
    </row>
    <row r="1286" spans="1:17" x14ac:dyDescent="0.2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7"/>
    </row>
    <row r="1287" spans="1:17" x14ac:dyDescent="0.2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7"/>
    </row>
    <row r="1288" spans="1:17" x14ac:dyDescent="0.2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7"/>
    </row>
    <row r="1289" spans="1:17" x14ac:dyDescent="0.2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7"/>
    </row>
    <row r="1290" spans="1:17" x14ac:dyDescent="0.2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7"/>
    </row>
    <row r="1291" spans="1:17" x14ac:dyDescent="0.2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7"/>
    </row>
    <row r="1292" spans="1:17" x14ac:dyDescent="0.2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7"/>
    </row>
    <row r="1293" spans="1:17" x14ac:dyDescent="0.2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7"/>
    </row>
    <row r="1294" spans="1:17" x14ac:dyDescent="0.2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7"/>
    </row>
    <row r="1295" spans="1:17" x14ac:dyDescent="0.2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7"/>
    </row>
    <row r="1296" spans="1:17" x14ac:dyDescent="0.2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7"/>
    </row>
    <row r="1297" spans="1:17" x14ac:dyDescent="0.2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7"/>
    </row>
    <row r="1298" spans="1:17" x14ac:dyDescent="0.2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7"/>
    </row>
    <row r="1299" spans="1:17" x14ac:dyDescent="0.2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7"/>
    </row>
    <row r="1300" spans="1:17" x14ac:dyDescent="0.2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7"/>
    </row>
    <row r="1301" spans="1:17" x14ac:dyDescent="0.2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7"/>
    </row>
    <row r="1302" spans="1:17" x14ac:dyDescent="0.2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7"/>
    </row>
    <row r="1303" spans="1:17" x14ac:dyDescent="0.2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7"/>
    </row>
    <row r="1304" spans="1:17" x14ac:dyDescent="0.2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7"/>
    </row>
    <row r="1305" spans="1:17" x14ac:dyDescent="0.2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7"/>
    </row>
    <row r="1306" spans="1:17" x14ac:dyDescent="0.2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7"/>
    </row>
    <row r="1307" spans="1:17" x14ac:dyDescent="0.2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7"/>
    </row>
    <row r="1308" spans="1:17" x14ac:dyDescent="0.2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7"/>
    </row>
    <row r="1309" spans="1:17" x14ac:dyDescent="0.2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7"/>
    </row>
    <row r="1310" spans="1:17" x14ac:dyDescent="0.2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7"/>
    </row>
    <row r="1311" spans="1:17" x14ac:dyDescent="0.2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7"/>
    </row>
    <row r="1312" spans="1:17" x14ac:dyDescent="0.2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7"/>
    </row>
    <row r="1313" spans="1:17" x14ac:dyDescent="0.2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7"/>
    </row>
    <row r="1314" spans="1:17" x14ac:dyDescent="0.2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7"/>
    </row>
    <row r="1315" spans="1:17" x14ac:dyDescent="0.2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7"/>
    </row>
    <row r="1316" spans="1:17" x14ac:dyDescent="0.2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7"/>
    </row>
    <row r="1317" spans="1:17" x14ac:dyDescent="0.2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7"/>
    </row>
    <row r="1318" spans="1:17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7"/>
    </row>
    <row r="1319" spans="1:17" x14ac:dyDescent="0.2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7"/>
    </row>
    <row r="1320" spans="1:17" x14ac:dyDescent="0.2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7"/>
    </row>
    <row r="1321" spans="1:17" x14ac:dyDescent="0.2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7"/>
    </row>
    <row r="1322" spans="1:17" x14ac:dyDescent="0.2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7"/>
    </row>
    <row r="1323" spans="1:17" x14ac:dyDescent="0.2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7"/>
    </row>
    <row r="1324" spans="1:17" x14ac:dyDescent="0.2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7"/>
    </row>
    <row r="1325" spans="1:17" x14ac:dyDescent="0.2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7"/>
    </row>
    <row r="1326" spans="1:17" x14ac:dyDescent="0.2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7"/>
    </row>
    <row r="1327" spans="1:17" x14ac:dyDescent="0.2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7"/>
    </row>
    <row r="1328" spans="1:17" x14ac:dyDescent="0.2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7"/>
    </row>
    <row r="1329" spans="1:17" x14ac:dyDescent="0.2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7"/>
    </row>
    <row r="1330" spans="1:17" x14ac:dyDescent="0.2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7"/>
    </row>
    <row r="1331" spans="1:17" x14ac:dyDescent="0.2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7"/>
    </row>
    <row r="1332" spans="1:17" x14ac:dyDescent="0.2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7"/>
    </row>
    <row r="1333" spans="1:17" x14ac:dyDescent="0.2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7"/>
    </row>
    <row r="1334" spans="1:17" x14ac:dyDescent="0.2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7"/>
    </row>
    <row r="1335" spans="1:17" x14ac:dyDescent="0.2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7"/>
    </row>
    <row r="1336" spans="1:17" x14ac:dyDescent="0.2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7"/>
    </row>
    <row r="1337" spans="1:17" x14ac:dyDescent="0.2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7"/>
    </row>
    <row r="1338" spans="1:17" x14ac:dyDescent="0.2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7"/>
    </row>
    <row r="1339" spans="1:17" x14ac:dyDescent="0.2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7"/>
    </row>
    <row r="1340" spans="1:17" x14ac:dyDescent="0.2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7"/>
    </row>
    <row r="1341" spans="1:17" x14ac:dyDescent="0.2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7"/>
    </row>
    <row r="1342" spans="1:17" x14ac:dyDescent="0.2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7"/>
    </row>
    <row r="1343" spans="1:17" x14ac:dyDescent="0.2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7"/>
    </row>
    <row r="1344" spans="1:17" x14ac:dyDescent="0.2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7"/>
    </row>
    <row r="1345" spans="1:17" x14ac:dyDescent="0.2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7"/>
    </row>
    <row r="1346" spans="1:17" x14ac:dyDescent="0.2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7"/>
    </row>
    <row r="1347" spans="1:17" x14ac:dyDescent="0.2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7"/>
    </row>
    <row r="1348" spans="1:17" x14ac:dyDescent="0.2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7"/>
    </row>
    <row r="1349" spans="1:17" x14ac:dyDescent="0.2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7"/>
    </row>
    <row r="1350" spans="1:17" x14ac:dyDescent="0.2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7"/>
    </row>
    <row r="1351" spans="1:17" x14ac:dyDescent="0.2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7"/>
    </row>
    <row r="1352" spans="1:17" x14ac:dyDescent="0.2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7"/>
    </row>
    <row r="1353" spans="1:17" x14ac:dyDescent="0.2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7"/>
    </row>
    <row r="1354" spans="1:17" x14ac:dyDescent="0.2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7"/>
    </row>
    <row r="1355" spans="1:17" x14ac:dyDescent="0.2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7"/>
    </row>
    <row r="1356" spans="1:17" x14ac:dyDescent="0.2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7"/>
    </row>
    <row r="1357" spans="1:17" x14ac:dyDescent="0.2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7"/>
    </row>
    <row r="1358" spans="1:17" x14ac:dyDescent="0.2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7"/>
    </row>
    <row r="1359" spans="1:17" x14ac:dyDescent="0.2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7"/>
    </row>
    <row r="1360" spans="1:17" x14ac:dyDescent="0.2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7"/>
    </row>
    <row r="1361" spans="1:17" x14ac:dyDescent="0.2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7"/>
    </row>
    <row r="1362" spans="1:17" x14ac:dyDescent="0.2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7"/>
    </row>
    <row r="1363" spans="1:17" x14ac:dyDescent="0.2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7"/>
    </row>
    <row r="1364" spans="1:17" x14ac:dyDescent="0.2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7"/>
    </row>
    <row r="1365" spans="1:17" x14ac:dyDescent="0.2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7"/>
    </row>
    <row r="1366" spans="1:17" x14ac:dyDescent="0.2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7"/>
    </row>
    <row r="1367" spans="1:17" x14ac:dyDescent="0.2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7"/>
    </row>
    <row r="1368" spans="1:17" x14ac:dyDescent="0.2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7"/>
    </row>
    <row r="1369" spans="1:17" x14ac:dyDescent="0.2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7"/>
    </row>
    <row r="1370" spans="1:17" x14ac:dyDescent="0.2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7"/>
    </row>
    <row r="1371" spans="1:17" x14ac:dyDescent="0.2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7"/>
    </row>
    <row r="1372" spans="1:17" x14ac:dyDescent="0.2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7"/>
    </row>
    <row r="1373" spans="1:17" x14ac:dyDescent="0.2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7"/>
    </row>
    <row r="1374" spans="1:17" x14ac:dyDescent="0.2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7"/>
    </row>
    <row r="1375" spans="1:17" x14ac:dyDescent="0.2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7"/>
    </row>
    <row r="1376" spans="1:17" x14ac:dyDescent="0.2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7"/>
    </row>
    <row r="1377" spans="1:17" x14ac:dyDescent="0.2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7"/>
    </row>
    <row r="1378" spans="1:17" x14ac:dyDescent="0.2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7"/>
    </row>
    <row r="1379" spans="1:17" x14ac:dyDescent="0.2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7"/>
    </row>
    <row r="1380" spans="1:17" x14ac:dyDescent="0.2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7"/>
    </row>
    <row r="1381" spans="1:17" x14ac:dyDescent="0.2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7"/>
    </row>
    <row r="1382" spans="1:17" x14ac:dyDescent="0.2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7"/>
    </row>
    <row r="1383" spans="1:17" x14ac:dyDescent="0.2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7"/>
    </row>
    <row r="1384" spans="1:17" x14ac:dyDescent="0.2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7"/>
    </row>
    <row r="1385" spans="1:17" x14ac:dyDescent="0.2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7"/>
    </row>
    <row r="1386" spans="1:17" x14ac:dyDescent="0.2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7"/>
    </row>
    <row r="1387" spans="1:17" x14ac:dyDescent="0.2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7"/>
    </row>
    <row r="1388" spans="1:17" x14ac:dyDescent="0.2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7"/>
    </row>
    <row r="1389" spans="1:17" x14ac:dyDescent="0.2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7"/>
    </row>
    <row r="1390" spans="1:17" x14ac:dyDescent="0.2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7"/>
    </row>
    <row r="1391" spans="1:17" x14ac:dyDescent="0.2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7"/>
    </row>
    <row r="1392" spans="1:17" x14ac:dyDescent="0.2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7"/>
    </row>
    <row r="1393" spans="1:17" x14ac:dyDescent="0.2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7"/>
    </row>
    <row r="1394" spans="1:17" x14ac:dyDescent="0.2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7"/>
    </row>
    <row r="1395" spans="1:17" x14ac:dyDescent="0.2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7"/>
    </row>
    <row r="1396" spans="1:17" x14ac:dyDescent="0.2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7"/>
    </row>
    <row r="1397" spans="1:17" x14ac:dyDescent="0.2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7"/>
    </row>
    <row r="1398" spans="1:17" x14ac:dyDescent="0.2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7"/>
    </row>
    <row r="1399" spans="1:17" x14ac:dyDescent="0.2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7"/>
    </row>
    <row r="1400" spans="1:17" x14ac:dyDescent="0.2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7"/>
    </row>
    <row r="1401" spans="1:17" x14ac:dyDescent="0.2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7"/>
    </row>
    <row r="1402" spans="1:17" x14ac:dyDescent="0.2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7"/>
    </row>
    <row r="1403" spans="1:17" x14ac:dyDescent="0.2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7"/>
    </row>
    <row r="1404" spans="1:17" x14ac:dyDescent="0.2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7"/>
    </row>
    <row r="1405" spans="1:17" x14ac:dyDescent="0.2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7"/>
    </row>
    <row r="1406" spans="1:17" x14ac:dyDescent="0.2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7"/>
    </row>
    <row r="1407" spans="1:17" x14ac:dyDescent="0.2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7"/>
    </row>
    <row r="1408" spans="1:17" x14ac:dyDescent="0.2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7"/>
    </row>
    <row r="1409" spans="1:17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7"/>
    </row>
    <row r="1410" spans="1:17" x14ac:dyDescent="0.2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7"/>
    </row>
    <row r="1411" spans="1:17" x14ac:dyDescent="0.2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7"/>
    </row>
    <row r="1412" spans="1:17" x14ac:dyDescent="0.2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7"/>
    </row>
    <row r="1413" spans="1:17" x14ac:dyDescent="0.2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7"/>
    </row>
    <row r="1414" spans="1:17" x14ac:dyDescent="0.2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7"/>
    </row>
    <row r="1415" spans="1:17" x14ac:dyDescent="0.2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7"/>
    </row>
    <row r="1416" spans="1:17" x14ac:dyDescent="0.2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7"/>
    </row>
    <row r="1417" spans="1:17" x14ac:dyDescent="0.2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7"/>
    </row>
    <row r="1418" spans="1:17" x14ac:dyDescent="0.2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7"/>
    </row>
    <row r="1419" spans="1:17" x14ac:dyDescent="0.2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7"/>
    </row>
    <row r="1420" spans="1:17" x14ac:dyDescent="0.2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7"/>
    </row>
    <row r="1421" spans="1:17" x14ac:dyDescent="0.2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7"/>
    </row>
    <row r="1422" spans="1:17" x14ac:dyDescent="0.2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7"/>
    </row>
    <row r="1423" spans="1:17" x14ac:dyDescent="0.2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7"/>
    </row>
    <row r="1424" spans="1:17" x14ac:dyDescent="0.2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7"/>
    </row>
    <row r="1425" spans="1:17" x14ac:dyDescent="0.2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7"/>
    </row>
    <row r="1426" spans="1:17" x14ac:dyDescent="0.2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7"/>
    </row>
    <row r="1427" spans="1:17" x14ac:dyDescent="0.2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7"/>
    </row>
    <row r="1428" spans="1:17" x14ac:dyDescent="0.2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7"/>
    </row>
    <row r="1429" spans="1:17" x14ac:dyDescent="0.2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7"/>
    </row>
    <row r="1430" spans="1:17" x14ac:dyDescent="0.2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7"/>
    </row>
    <row r="1431" spans="1:17" x14ac:dyDescent="0.2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7"/>
    </row>
    <row r="1432" spans="1:17" x14ac:dyDescent="0.2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7"/>
    </row>
    <row r="1433" spans="1:17" x14ac:dyDescent="0.2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7"/>
    </row>
    <row r="1434" spans="1:17" x14ac:dyDescent="0.2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7"/>
    </row>
    <row r="1435" spans="1:17" x14ac:dyDescent="0.2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7"/>
    </row>
    <row r="1436" spans="1:17" x14ac:dyDescent="0.2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7"/>
    </row>
    <row r="1437" spans="1:17" x14ac:dyDescent="0.2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7"/>
    </row>
    <row r="1438" spans="1:17" x14ac:dyDescent="0.2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7"/>
    </row>
    <row r="1439" spans="1:17" x14ac:dyDescent="0.2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7"/>
    </row>
    <row r="1440" spans="1:17" x14ac:dyDescent="0.2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7"/>
    </row>
    <row r="1441" spans="1:17" x14ac:dyDescent="0.2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7"/>
    </row>
    <row r="1442" spans="1:17" x14ac:dyDescent="0.2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7"/>
    </row>
    <row r="1443" spans="1:17" x14ac:dyDescent="0.2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7"/>
    </row>
    <row r="1444" spans="1:17" x14ac:dyDescent="0.2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7"/>
    </row>
    <row r="1445" spans="1:17" x14ac:dyDescent="0.2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7"/>
    </row>
    <row r="1446" spans="1:17" x14ac:dyDescent="0.2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7"/>
    </row>
    <row r="1447" spans="1:17" x14ac:dyDescent="0.2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7"/>
    </row>
    <row r="1448" spans="1:17" x14ac:dyDescent="0.2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7"/>
    </row>
    <row r="1449" spans="1:17" x14ac:dyDescent="0.2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7"/>
    </row>
    <row r="1450" spans="1:17" x14ac:dyDescent="0.2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7"/>
    </row>
    <row r="1451" spans="1:17" x14ac:dyDescent="0.2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7"/>
    </row>
    <row r="1452" spans="1:17" x14ac:dyDescent="0.2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7"/>
    </row>
    <row r="1453" spans="1:17" x14ac:dyDescent="0.2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7"/>
    </row>
    <row r="1454" spans="1:17" x14ac:dyDescent="0.2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7"/>
    </row>
    <row r="1455" spans="1:17" x14ac:dyDescent="0.2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7"/>
    </row>
    <row r="1456" spans="1:17" x14ac:dyDescent="0.2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7"/>
    </row>
    <row r="1457" spans="1:17" x14ac:dyDescent="0.2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7"/>
    </row>
    <row r="1458" spans="1:17" x14ac:dyDescent="0.2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7"/>
    </row>
    <row r="1459" spans="1:17" x14ac:dyDescent="0.2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7"/>
    </row>
    <row r="1460" spans="1:17" x14ac:dyDescent="0.2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7"/>
    </row>
    <row r="1461" spans="1:17" x14ac:dyDescent="0.2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7"/>
    </row>
    <row r="1462" spans="1:17" x14ac:dyDescent="0.2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7"/>
    </row>
    <row r="1463" spans="1:17" x14ac:dyDescent="0.2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7"/>
    </row>
    <row r="1464" spans="1:17" x14ac:dyDescent="0.2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7"/>
    </row>
    <row r="1465" spans="1:17" x14ac:dyDescent="0.2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7"/>
    </row>
    <row r="1466" spans="1:17" x14ac:dyDescent="0.2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7"/>
    </row>
    <row r="1467" spans="1:17" x14ac:dyDescent="0.2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7"/>
    </row>
    <row r="1468" spans="1:17" x14ac:dyDescent="0.2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7"/>
    </row>
    <row r="1469" spans="1:17" x14ac:dyDescent="0.2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7"/>
    </row>
    <row r="1470" spans="1:17" x14ac:dyDescent="0.2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7"/>
    </row>
    <row r="1471" spans="1:17" x14ac:dyDescent="0.2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7"/>
    </row>
    <row r="1472" spans="1:17" x14ac:dyDescent="0.2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7"/>
    </row>
    <row r="1473" spans="1:17" x14ac:dyDescent="0.2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7"/>
    </row>
    <row r="1474" spans="1:17" x14ac:dyDescent="0.2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7"/>
    </row>
    <row r="1475" spans="1:17" x14ac:dyDescent="0.2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7"/>
    </row>
    <row r="1476" spans="1:17" x14ac:dyDescent="0.2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7"/>
    </row>
    <row r="1477" spans="1:17" x14ac:dyDescent="0.2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7"/>
    </row>
    <row r="1478" spans="1:17" x14ac:dyDescent="0.2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7"/>
    </row>
    <row r="1479" spans="1:17" x14ac:dyDescent="0.2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7"/>
    </row>
    <row r="1480" spans="1:17" x14ac:dyDescent="0.2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7"/>
    </row>
    <row r="1481" spans="1:17" x14ac:dyDescent="0.2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7"/>
    </row>
    <row r="1482" spans="1:17" x14ac:dyDescent="0.2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7"/>
    </row>
    <row r="1483" spans="1:17" x14ac:dyDescent="0.2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7"/>
    </row>
    <row r="1484" spans="1:17" x14ac:dyDescent="0.2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7"/>
    </row>
    <row r="1485" spans="1:17" x14ac:dyDescent="0.2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7"/>
    </row>
    <row r="1486" spans="1:17" x14ac:dyDescent="0.2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7"/>
    </row>
    <row r="1487" spans="1:17" x14ac:dyDescent="0.2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7"/>
    </row>
    <row r="1488" spans="1:17" x14ac:dyDescent="0.2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7"/>
    </row>
    <row r="1489" spans="1:17" x14ac:dyDescent="0.2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7"/>
    </row>
    <row r="1490" spans="1:17" x14ac:dyDescent="0.2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7"/>
    </row>
    <row r="1491" spans="1:17" x14ac:dyDescent="0.2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7"/>
    </row>
    <row r="1492" spans="1:17" x14ac:dyDescent="0.2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7"/>
    </row>
    <row r="1493" spans="1:17" x14ac:dyDescent="0.2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7"/>
    </row>
    <row r="1494" spans="1:17" x14ac:dyDescent="0.2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7"/>
    </row>
    <row r="1495" spans="1:17" x14ac:dyDescent="0.2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7"/>
    </row>
    <row r="1496" spans="1:17" x14ac:dyDescent="0.2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7"/>
    </row>
    <row r="1497" spans="1:17" x14ac:dyDescent="0.2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7"/>
    </row>
    <row r="1498" spans="1:17" x14ac:dyDescent="0.2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7"/>
    </row>
    <row r="1499" spans="1:17" x14ac:dyDescent="0.2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7"/>
    </row>
    <row r="1500" spans="1:17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7"/>
    </row>
    <row r="1501" spans="1:17" x14ac:dyDescent="0.2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7"/>
    </row>
    <row r="1502" spans="1:17" x14ac:dyDescent="0.2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7"/>
    </row>
    <row r="1503" spans="1:17" x14ac:dyDescent="0.2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7"/>
    </row>
    <row r="1504" spans="1:17" x14ac:dyDescent="0.2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7"/>
    </row>
    <row r="1505" spans="1:17" x14ac:dyDescent="0.2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7"/>
    </row>
    <row r="1506" spans="1:17" x14ac:dyDescent="0.2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7"/>
    </row>
    <row r="1507" spans="1:17" x14ac:dyDescent="0.2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7"/>
    </row>
    <row r="1508" spans="1:17" x14ac:dyDescent="0.2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7"/>
    </row>
    <row r="1509" spans="1:17" x14ac:dyDescent="0.2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7"/>
    </row>
    <row r="1510" spans="1:17" x14ac:dyDescent="0.2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7"/>
    </row>
    <row r="1511" spans="1:17" x14ac:dyDescent="0.2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7"/>
    </row>
    <row r="1512" spans="1:17" x14ac:dyDescent="0.2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7"/>
    </row>
    <row r="1513" spans="1:17" x14ac:dyDescent="0.2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7"/>
    </row>
    <row r="1514" spans="1:17" x14ac:dyDescent="0.2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7"/>
    </row>
    <row r="1515" spans="1:17" x14ac:dyDescent="0.2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7"/>
    </row>
    <row r="1516" spans="1:17" x14ac:dyDescent="0.2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7"/>
    </row>
    <row r="1517" spans="1:17" x14ac:dyDescent="0.2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7"/>
    </row>
    <row r="1518" spans="1:17" x14ac:dyDescent="0.2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7"/>
    </row>
    <row r="1519" spans="1:17" x14ac:dyDescent="0.2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7"/>
    </row>
    <row r="1520" spans="1:17" x14ac:dyDescent="0.2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7"/>
    </row>
    <row r="1521" spans="1:17" x14ac:dyDescent="0.2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7"/>
    </row>
    <row r="1522" spans="1:17" x14ac:dyDescent="0.2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7"/>
    </row>
    <row r="1523" spans="1:17" x14ac:dyDescent="0.2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7"/>
    </row>
    <row r="1524" spans="1:17" x14ac:dyDescent="0.2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7"/>
    </row>
    <row r="1525" spans="1:17" x14ac:dyDescent="0.2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7"/>
    </row>
    <row r="1526" spans="1:17" x14ac:dyDescent="0.2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7"/>
    </row>
    <row r="1527" spans="1:17" x14ac:dyDescent="0.2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7"/>
    </row>
    <row r="1528" spans="1:17" x14ac:dyDescent="0.2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7"/>
    </row>
    <row r="1529" spans="1:17" x14ac:dyDescent="0.2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7"/>
    </row>
    <row r="1530" spans="1:17" x14ac:dyDescent="0.2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7"/>
    </row>
    <row r="1531" spans="1:17" x14ac:dyDescent="0.2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7"/>
    </row>
    <row r="1532" spans="1:17" x14ac:dyDescent="0.2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7"/>
    </row>
    <row r="1533" spans="1:17" x14ac:dyDescent="0.2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7"/>
    </row>
    <row r="1534" spans="1:17" x14ac:dyDescent="0.2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7"/>
    </row>
    <row r="1535" spans="1:17" x14ac:dyDescent="0.2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7"/>
    </row>
    <row r="1536" spans="1:17" x14ac:dyDescent="0.2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7"/>
    </row>
    <row r="1537" spans="1:17" x14ac:dyDescent="0.2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7"/>
    </row>
    <row r="1538" spans="1:17" x14ac:dyDescent="0.2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7"/>
    </row>
    <row r="1539" spans="1:17" x14ac:dyDescent="0.2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7"/>
    </row>
    <row r="1540" spans="1:17" x14ac:dyDescent="0.2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7"/>
    </row>
    <row r="1541" spans="1:17" x14ac:dyDescent="0.2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7"/>
    </row>
    <row r="1542" spans="1:17" x14ac:dyDescent="0.2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7"/>
    </row>
    <row r="1543" spans="1:17" x14ac:dyDescent="0.2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7"/>
    </row>
    <row r="1544" spans="1:17" x14ac:dyDescent="0.2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7"/>
    </row>
    <row r="1545" spans="1:17" x14ac:dyDescent="0.2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7"/>
    </row>
    <row r="1546" spans="1:17" x14ac:dyDescent="0.2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7"/>
    </row>
    <row r="1547" spans="1:17" x14ac:dyDescent="0.2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7"/>
    </row>
    <row r="1548" spans="1:17" x14ac:dyDescent="0.2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7"/>
    </row>
    <row r="1549" spans="1:17" x14ac:dyDescent="0.2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7"/>
    </row>
    <row r="1550" spans="1:17" x14ac:dyDescent="0.2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7"/>
    </row>
    <row r="1551" spans="1:17" x14ac:dyDescent="0.2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7"/>
    </row>
    <row r="1552" spans="1:17" x14ac:dyDescent="0.2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7"/>
    </row>
    <row r="1553" spans="1:17" x14ac:dyDescent="0.2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7"/>
    </row>
    <row r="1554" spans="1:17" x14ac:dyDescent="0.2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7"/>
    </row>
    <row r="1555" spans="1:17" x14ac:dyDescent="0.2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7"/>
    </row>
    <row r="1556" spans="1:17" x14ac:dyDescent="0.2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7"/>
    </row>
    <row r="1557" spans="1:17" x14ac:dyDescent="0.2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7"/>
    </row>
    <row r="1558" spans="1:17" x14ac:dyDescent="0.2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7"/>
    </row>
    <row r="1559" spans="1:17" x14ac:dyDescent="0.2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7"/>
    </row>
    <row r="1560" spans="1:17" x14ac:dyDescent="0.2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7"/>
    </row>
    <row r="1561" spans="1:17" x14ac:dyDescent="0.2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7"/>
    </row>
    <row r="1562" spans="1:17" x14ac:dyDescent="0.2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7"/>
    </row>
    <row r="1563" spans="1:17" x14ac:dyDescent="0.2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7"/>
    </row>
    <row r="1564" spans="1:17" x14ac:dyDescent="0.2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7"/>
    </row>
    <row r="1565" spans="1:17" x14ac:dyDescent="0.2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7"/>
    </row>
    <row r="1566" spans="1:17" x14ac:dyDescent="0.2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7"/>
    </row>
    <row r="1567" spans="1:17" x14ac:dyDescent="0.2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7"/>
    </row>
    <row r="1568" spans="1:17" x14ac:dyDescent="0.2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7"/>
    </row>
    <row r="1569" spans="1:17" x14ac:dyDescent="0.2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7"/>
    </row>
    <row r="1570" spans="1:17" x14ac:dyDescent="0.2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7"/>
    </row>
    <row r="1571" spans="1:17" x14ac:dyDescent="0.2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7"/>
    </row>
    <row r="1572" spans="1:17" x14ac:dyDescent="0.2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7"/>
    </row>
    <row r="1573" spans="1:17" x14ac:dyDescent="0.2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7"/>
    </row>
    <row r="1574" spans="1:17" x14ac:dyDescent="0.2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7"/>
    </row>
    <row r="1575" spans="1:17" x14ac:dyDescent="0.2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7"/>
    </row>
    <row r="1576" spans="1:17" x14ac:dyDescent="0.2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7"/>
    </row>
    <row r="1577" spans="1:17" x14ac:dyDescent="0.2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7"/>
    </row>
    <row r="1578" spans="1:17" x14ac:dyDescent="0.2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7"/>
    </row>
    <row r="1579" spans="1:17" x14ac:dyDescent="0.2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7"/>
    </row>
    <row r="1580" spans="1:17" x14ac:dyDescent="0.2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7"/>
    </row>
    <row r="1581" spans="1:17" x14ac:dyDescent="0.2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7"/>
    </row>
    <row r="1582" spans="1:17" x14ac:dyDescent="0.2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7"/>
    </row>
    <row r="1583" spans="1:17" x14ac:dyDescent="0.2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7"/>
    </row>
    <row r="1584" spans="1:17" x14ac:dyDescent="0.2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7"/>
    </row>
    <row r="1585" spans="1:17" x14ac:dyDescent="0.2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7"/>
    </row>
    <row r="1586" spans="1:17" x14ac:dyDescent="0.2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7"/>
    </row>
    <row r="1587" spans="1:17" x14ac:dyDescent="0.2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7"/>
    </row>
    <row r="1588" spans="1:17" x14ac:dyDescent="0.2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7"/>
    </row>
    <row r="1589" spans="1:17" x14ac:dyDescent="0.2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7"/>
    </row>
    <row r="1590" spans="1:17" x14ac:dyDescent="0.2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7"/>
    </row>
    <row r="1591" spans="1:17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7"/>
    </row>
    <row r="1592" spans="1:17" x14ac:dyDescent="0.2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7"/>
    </row>
    <row r="1593" spans="1:17" x14ac:dyDescent="0.2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7"/>
    </row>
    <row r="1594" spans="1:17" x14ac:dyDescent="0.2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7"/>
    </row>
    <row r="1595" spans="1:17" x14ac:dyDescent="0.2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7"/>
    </row>
    <row r="1596" spans="1:17" x14ac:dyDescent="0.2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7"/>
    </row>
    <row r="1597" spans="1:17" x14ac:dyDescent="0.2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7"/>
    </row>
    <row r="1598" spans="1:17" x14ac:dyDescent="0.2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7"/>
    </row>
    <row r="1599" spans="1:17" x14ac:dyDescent="0.2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7"/>
    </row>
    <row r="1600" spans="1:17" x14ac:dyDescent="0.2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7"/>
    </row>
    <row r="1601" spans="1:17" x14ac:dyDescent="0.2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7"/>
    </row>
    <row r="1602" spans="1:17" x14ac:dyDescent="0.2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7"/>
    </row>
    <row r="1603" spans="1:17" x14ac:dyDescent="0.2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7"/>
    </row>
    <row r="1604" spans="1:17" x14ac:dyDescent="0.2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7"/>
    </row>
    <row r="1605" spans="1:17" x14ac:dyDescent="0.2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7"/>
    </row>
    <row r="1606" spans="1:17" x14ac:dyDescent="0.2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7"/>
    </row>
    <row r="1607" spans="1:17" x14ac:dyDescent="0.2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7"/>
    </row>
    <row r="1608" spans="1:17" x14ac:dyDescent="0.2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7"/>
    </row>
    <row r="1609" spans="1:17" x14ac:dyDescent="0.2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7"/>
    </row>
    <row r="1610" spans="1:17" x14ac:dyDescent="0.2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7"/>
    </row>
    <row r="1611" spans="1:17" x14ac:dyDescent="0.2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7"/>
    </row>
    <row r="1612" spans="1:17" x14ac:dyDescent="0.2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7"/>
    </row>
    <row r="1613" spans="1:17" x14ac:dyDescent="0.2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7"/>
    </row>
    <row r="1614" spans="1:17" x14ac:dyDescent="0.2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7"/>
    </row>
    <row r="1615" spans="1:17" x14ac:dyDescent="0.2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7"/>
    </row>
    <row r="1616" spans="1:17" x14ac:dyDescent="0.2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7"/>
    </row>
    <row r="1617" spans="1:17" x14ac:dyDescent="0.2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7"/>
    </row>
    <row r="1618" spans="1:17" x14ac:dyDescent="0.2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7"/>
    </row>
    <row r="1619" spans="1:17" x14ac:dyDescent="0.2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7"/>
    </row>
    <row r="1620" spans="1:17" x14ac:dyDescent="0.2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7"/>
    </row>
    <row r="1621" spans="1:17" x14ac:dyDescent="0.2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7"/>
    </row>
    <row r="1622" spans="1:17" x14ac:dyDescent="0.2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7"/>
    </row>
    <row r="1623" spans="1:17" x14ac:dyDescent="0.2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7"/>
    </row>
    <row r="1624" spans="1:17" x14ac:dyDescent="0.2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7"/>
    </row>
    <row r="1625" spans="1:17" x14ac:dyDescent="0.2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7"/>
    </row>
    <row r="1626" spans="1:17" x14ac:dyDescent="0.2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7"/>
    </row>
    <row r="1627" spans="1:17" x14ac:dyDescent="0.2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7"/>
    </row>
    <row r="1628" spans="1:17" x14ac:dyDescent="0.2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7"/>
    </row>
    <row r="1629" spans="1:17" x14ac:dyDescent="0.2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7"/>
    </row>
    <row r="1630" spans="1:17" x14ac:dyDescent="0.2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7"/>
    </row>
    <row r="1631" spans="1:17" x14ac:dyDescent="0.2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7"/>
    </row>
    <row r="1632" spans="1:17" x14ac:dyDescent="0.2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7"/>
    </row>
    <row r="1633" spans="1:17" x14ac:dyDescent="0.2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7"/>
    </row>
    <row r="1634" spans="1:17" x14ac:dyDescent="0.2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7"/>
    </row>
    <row r="1635" spans="1:17" x14ac:dyDescent="0.2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7"/>
    </row>
    <row r="1636" spans="1:17" x14ac:dyDescent="0.2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7"/>
    </row>
    <row r="1637" spans="1:17" x14ac:dyDescent="0.2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7"/>
    </row>
    <row r="1638" spans="1:17" x14ac:dyDescent="0.2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7"/>
    </row>
    <row r="1639" spans="1:17" x14ac:dyDescent="0.2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7"/>
    </row>
    <row r="1640" spans="1:17" x14ac:dyDescent="0.2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7"/>
    </row>
    <row r="1641" spans="1:17" x14ac:dyDescent="0.2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7"/>
    </row>
    <row r="1642" spans="1:17" x14ac:dyDescent="0.2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7"/>
    </row>
    <row r="1643" spans="1:17" x14ac:dyDescent="0.2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7"/>
    </row>
    <row r="1644" spans="1:17" x14ac:dyDescent="0.2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7"/>
    </row>
    <row r="1645" spans="1:17" x14ac:dyDescent="0.2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7"/>
    </row>
    <row r="1646" spans="1:17" x14ac:dyDescent="0.2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7"/>
    </row>
    <row r="1647" spans="1:17" x14ac:dyDescent="0.2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7"/>
    </row>
    <row r="1648" spans="1:17" x14ac:dyDescent="0.2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7"/>
    </row>
    <row r="1649" spans="1:17" x14ac:dyDescent="0.2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7"/>
    </row>
    <row r="1650" spans="1:17" x14ac:dyDescent="0.2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7"/>
    </row>
    <row r="1651" spans="1:17" x14ac:dyDescent="0.2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7"/>
    </row>
    <row r="1652" spans="1:17" x14ac:dyDescent="0.2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7"/>
    </row>
    <row r="1653" spans="1:17" x14ac:dyDescent="0.2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7"/>
    </row>
    <row r="1654" spans="1:17" x14ac:dyDescent="0.2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7"/>
    </row>
    <row r="1655" spans="1:17" x14ac:dyDescent="0.2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7"/>
    </row>
    <row r="1656" spans="1:17" x14ac:dyDescent="0.2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7"/>
    </row>
    <row r="1657" spans="1:17" x14ac:dyDescent="0.2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7"/>
    </row>
    <row r="1658" spans="1:17" x14ac:dyDescent="0.2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7"/>
    </row>
    <row r="1659" spans="1:17" x14ac:dyDescent="0.2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7"/>
    </row>
    <row r="1660" spans="1:17" x14ac:dyDescent="0.2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7"/>
    </row>
    <row r="1661" spans="1:17" x14ac:dyDescent="0.2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7"/>
    </row>
    <row r="1662" spans="1:17" x14ac:dyDescent="0.2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7"/>
    </row>
    <row r="1663" spans="1:17" x14ac:dyDescent="0.2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7"/>
    </row>
    <row r="1664" spans="1:17" x14ac:dyDescent="0.2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7"/>
    </row>
    <row r="1665" spans="1:17" x14ac:dyDescent="0.2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7"/>
    </row>
    <row r="1666" spans="1:17" x14ac:dyDescent="0.2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7"/>
    </row>
    <row r="1667" spans="1:17" x14ac:dyDescent="0.2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7"/>
    </row>
    <row r="1668" spans="1:17" x14ac:dyDescent="0.2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7"/>
    </row>
    <row r="1669" spans="1:17" x14ac:dyDescent="0.2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7"/>
    </row>
    <row r="1670" spans="1:17" x14ac:dyDescent="0.2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7"/>
    </row>
    <row r="1671" spans="1:17" x14ac:dyDescent="0.2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7"/>
    </row>
    <row r="1672" spans="1:17" x14ac:dyDescent="0.2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7"/>
    </row>
    <row r="1673" spans="1:17" x14ac:dyDescent="0.2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7"/>
    </row>
    <row r="1674" spans="1:17" x14ac:dyDescent="0.2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7"/>
    </row>
    <row r="1675" spans="1:17" x14ac:dyDescent="0.2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7"/>
    </row>
    <row r="1676" spans="1:17" x14ac:dyDescent="0.2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7"/>
    </row>
    <row r="1677" spans="1:17" x14ac:dyDescent="0.2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7"/>
    </row>
    <row r="1678" spans="1:17" x14ac:dyDescent="0.2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7"/>
    </row>
    <row r="1679" spans="1:17" x14ac:dyDescent="0.2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7"/>
    </row>
    <row r="1680" spans="1:17" x14ac:dyDescent="0.2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7"/>
    </row>
    <row r="1681" spans="1:17" x14ac:dyDescent="0.2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7"/>
    </row>
    <row r="1682" spans="1:17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7"/>
    </row>
    <row r="1683" spans="1:17" x14ac:dyDescent="0.2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7"/>
    </row>
    <row r="1684" spans="1:17" x14ac:dyDescent="0.2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7"/>
    </row>
    <row r="1685" spans="1:17" x14ac:dyDescent="0.2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7"/>
    </row>
    <row r="1686" spans="1:17" x14ac:dyDescent="0.2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7"/>
    </row>
    <row r="1687" spans="1:17" x14ac:dyDescent="0.2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7"/>
    </row>
    <row r="1688" spans="1:17" x14ac:dyDescent="0.2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7"/>
    </row>
    <row r="1689" spans="1:17" x14ac:dyDescent="0.2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7"/>
    </row>
    <row r="1690" spans="1:17" x14ac:dyDescent="0.2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7"/>
    </row>
    <row r="1691" spans="1:17" x14ac:dyDescent="0.2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7"/>
    </row>
    <row r="1692" spans="1:17" x14ac:dyDescent="0.2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7"/>
    </row>
    <row r="1693" spans="1:17" x14ac:dyDescent="0.2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7"/>
    </row>
    <row r="1694" spans="1:17" x14ac:dyDescent="0.2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7"/>
    </row>
    <row r="1695" spans="1:17" x14ac:dyDescent="0.2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7"/>
    </row>
    <row r="1696" spans="1:17" x14ac:dyDescent="0.2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7"/>
    </row>
    <row r="1697" spans="1:17" x14ac:dyDescent="0.2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7"/>
    </row>
    <row r="1698" spans="1:17" x14ac:dyDescent="0.2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7"/>
    </row>
    <row r="1699" spans="1:17" x14ac:dyDescent="0.2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7"/>
    </row>
    <row r="1700" spans="1:17" x14ac:dyDescent="0.2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7"/>
    </row>
    <row r="1701" spans="1:17" x14ac:dyDescent="0.2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7"/>
    </row>
    <row r="1702" spans="1:17" x14ac:dyDescent="0.2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7"/>
    </row>
    <row r="1703" spans="1:17" x14ac:dyDescent="0.2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7"/>
    </row>
    <row r="1704" spans="1:17" x14ac:dyDescent="0.2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7"/>
    </row>
    <row r="1705" spans="1:17" x14ac:dyDescent="0.2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7"/>
    </row>
    <row r="1706" spans="1:17" x14ac:dyDescent="0.2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7"/>
    </row>
    <row r="1707" spans="1:17" x14ac:dyDescent="0.2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7"/>
    </row>
    <row r="1708" spans="1:17" x14ac:dyDescent="0.2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7"/>
    </row>
    <row r="1709" spans="1:17" x14ac:dyDescent="0.2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7"/>
    </row>
    <row r="1710" spans="1:17" x14ac:dyDescent="0.2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7"/>
    </row>
    <row r="1711" spans="1:17" x14ac:dyDescent="0.2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7"/>
    </row>
    <row r="1712" spans="1:17" x14ac:dyDescent="0.2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7"/>
    </row>
    <row r="1713" spans="1:17" x14ac:dyDescent="0.2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7"/>
    </row>
    <row r="1714" spans="1:17" x14ac:dyDescent="0.2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7"/>
    </row>
    <row r="1715" spans="1:17" x14ac:dyDescent="0.2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7"/>
    </row>
    <row r="1716" spans="1:17" x14ac:dyDescent="0.2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7"/>
    </row>
    <row r="1717" spans="1:17" x14ac:dyDescent="0.2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7"/>
    </row>
    <row r="1718" spans="1:17" x14ac:dyDescent="0.2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7"/>
    </row>
    <row r="1719" spans="1:17" x14ac:dyDescent="0.2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7"/>
    </row>
    <row r="1720" spans="1:17" x14ac:dyDescent="0.2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7"/>
    </row>
    <row r="1721" spans="1:17" x14ac:dyDescent="0.2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7"/>
    </row>
    <row r="1722" spans="1:17" x14ac:dyDescent="0.2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7"/>
    </row>
    <row r="1723" spans="1:17" x14ac:dyDescent="0.2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7"/>
    </row>
    <row r="1724" spans="1:17" x14ac:dyDescent="0.2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7"/>
    </row>
    <row r="1725" spans="1:17" x14ac:dyDescent="0.2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7"/>
    </row>
    <row r="1726" spans="1:17" x14ac:dyDescent="0.2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7"/>
    </row>
    <row r="1727" spans="1:17" x14ac:dyDescent="0.2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7"/>
    </row>
    <row r="1728" spans="1:17" x14ac:dyDescent="0.2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7"/>
    </row>
    <row r="1729" spans="1:17" x14ac:dyDescent="0.2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7"/>
    </row>
    <row r="1730" spans="1:17" x14ac:dyDescent="0.2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7"/>
    </row>
    <row r="1731" spans="1:17" x14ac:dyDescent="0.2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7"/>
    </row>
    <row r="1732" spans="1:17" x14ac:dyDescent="0.2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7"/>
    </row>
    <row r="1733" spans="1:17" x14ac:dyDescent="0.2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7"/>
    </row>
    <row r="1734" spans="1:17" x14ac:dyDescent="0.2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7"/>
    </row>
    <row r="1735" spans="1:17" x14ac:dyDescent="0.2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7"/>
    </row>
    <row r="1736" spans="1:17" x14ac:dyDescent="0.2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7"/>
    </row>
    <row r="1737" spans="1:17" x14ac:dyDescent="0.2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7"/>
    </row>
    <row r="1738" spans="1:17" x14ac:dyDescent="0.2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7"/>
    </row>
    <row r="1739" spans="1:17" x14ac:dyDescent="0.2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7"/>
    </row>
    <row r="1740" spans="1:17" x14ac:dyDescent="0.2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7"/>
    </row>
    <row r="1741" spans="1:17" x14ac:dyDescent="0.2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7"/>
    </row>
    <row r="1742" spans="1:17" x14ac:dyDescent="0.2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7"/>
    </row>
    <row r="1743" spans="1:17" x14ac:dyDescent="0.2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7"/>
    </row>
    <row r="1744" spans="1:17" x14ac:dyDescent="0.2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7"/>
    </row>
    <row r="1745" spans="1:17" x14ac:dyDescent="0.2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7"/>
    </row>
    <row r="1746" spans="1:17" x14ac:dyDescent="0.2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7"/>
    </row>
    <row r="1747" spans="1:17" x14ac:dyDescent="0.2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7"/>
    </row>
    <row r="1748" spans="1:17" x14ac:dyDescent="0.2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7"/>
    </row>
    <row r="1749" spans="1:17" x14ac:dyDescent="0.2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7"/>
    </row>
    <row r="1750" spans="1:17" x14ac:dyDescent="0.2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7"/>
    </row>
    <row r="1751" spans="1:17" x14ac:dyDescent="0.2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7"/>
    </row>
    <row r="1752" spans="1:17" x14ac:dyDescent="0.2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7"/>
    </row>
    <row r="1753" spans="1:17" x14ac:dyDescent="0.2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7"/>
    </row>
    <row r="1754" spans="1:17" x14ac:dyDescent="0.2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7"/>
    </row>
    <row r="1755" spans="1:17" x14ac:dyDescent="0.2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7"/>
    </row>
    <row r="1756" spans="1:17" x14ac:dyDescent="0.2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7"/>
    </row>
    <row r="1757" spans="1:17" x14ac:dyDescent="0.2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7"/>
    </row>
    <row r="1758" spans="1:17" x14ac:dyDescent="0.2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7"/>
    </row>
    <row r="1759" spans="1:17" x14ac:dyDescent="0.2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7"/>
    </row>
    <row r="1760" spans="1:17" x14ac:dyDescent="0.2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7"/>
    </row>
    <row r="1761" spans="1:17" x14ac:dyDescent="0.2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7"/>
    </row>
    <row r="1762" spans="1:17" x14ac:dyDescent="0.2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7"/>
    </row>
    <row r="1763" spans="1:17" x14ac:dyDescent="0.2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7"/>
    </row>
    <row r="1764" spans="1:17" x14ac:dyDescent="0.2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7"/>
    </row>
    <row r="1765" spans="1:17" x14ac:dyDescent="0.2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7"/>
    </row>
    <row r="1766" spans="1:17" x14ac:dyDescent="0.2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7"/>
    </row>
    <row r="1767" spans="1:17" x14ac:dyDescent="0.2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7"/>
    </row>
    <row r="1768" spans="1:17" x14ac:dyDescent="0.2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7"/>
    </row>
    <row r="1769" spans="1:17" x14ac:dyDescent="0.2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7"/>
    </row>
    <row r="1770" spans="1:17" x14ac:dyDescent="0.2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7"/>
    </row>
    <row r="1771" spans="1:17" x14ac:dyDescent="0.2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7"/>
    </row>
    <row r="1772" spans="1:17" x14ac:dyDescent="0.2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7"/>
    </row>
    <row r="1773" spans="1:17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7"/>
    </row>
    <row r="1774" spans="1:17" x14ac:dyDescent="0.2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7"/>
    </row>
    <row r="1775" spans="1:17" x14ac:dyDescent="0.2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7"/>
    </row>
    <row r="1776" spans="1:17" x14ac:dyDescent="0.2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7"/>
    </row>
    <row r="1777" spans="1:17" x14ac:dyDescent="0.2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7"/>
    </row>
    <row r="1778" spans="1:17" x14ac:dyDescent="0.2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7"/>
    </row>
    <row r="1779" spans="1:17" x14ac:dyDescent="0.2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7"/>
    </row>
    <row r="1780" spans="1:17" x14ac:dyDescent="0.2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7"/>
    </row>
    <row r="1781" spans="1:17" x14ac:dyDescent="0.2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7"/>
    </row>
    <row r="1782" spans="1:17" x14ac:dyDescent="0.2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7"/>
    </row>
    <row r="1783" spans="1:17" x14ac:dyDescent="0.2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7"/>
    </row>
    <row r="1784" spans="1:17" x14ac:dyDescent="0.2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7"/>
    </row>
    <row r="1785" spans="1:17" x14ac:dyDescent="0.2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7"/>
    </row>
    <row r="1786" spans="1:17" x14ac:dyDescent="0.2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7"/>
    </row>
    <row r="1787" spans="1:17" x14ac:dyDescent="0.2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7"/>
    </row>
    <row r="1788" spans="1:17" x14ac:dyDescent="0.2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7"/>
    </row>
    <row r="1789" spans="1:17" x14ac:dyDescent="0.2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7"/>
    </row>
    <row r="1790" spans="1:17" x14ac:dyDescent="0.2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7"/>
    </row>
    <row r="1791" spans="1:17" x14ac:dyDescent="0.2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7"/>
    </row>
    <row r="1792" spans="1:17" x14ac:dyDescent="0.2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7"/>
    </row>
    <row r="1793" spans="1:17" x14ac:dyDescent="0.2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7"/>
    </row>
    <row r="1794" spans="1:17" x14ac:dyDescent="0.2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7"/>
    </row>
    <row r="1795" spans="1:17" x14ac:dyDescent="0.2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7"/>
    </row>
    <row r="1796" spans="1:17" x14ac:dyDescent="0.2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7"/>
    </row>
    <row r="1797" spans="1:17" x14ac:dyDescent="0.2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7"/>
    </row>
    <row r="1798" spans="1:17" x14ac:dyDescent="0.2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7"/>
    </row>
    <row r="1799" spans="1:17" x14ac:dyDescent="0.2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7"/>
    </row>
    <row r="1800" spans="1:17" x14ac:dyDescent="0.2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7"/>
    </row>
    <row r="1801" spans="1:17" x14ac:dyDescent="0.2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7"/>
    </row>
    <row r="1802" spans="1:17" x14ac:dyDescent="0.2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7"/>
    </row>
    <row r="1803" spans="1:17" x14ac:dyDescent="0.2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7"/>
    </row>
    <row r="1804" spans="1:17" x14ac:dyDescent="0.2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7"/>
    </row>
    <row r="1805" spans="1:17" x14ac:dyDescent="0.2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7"/>
    </row>
    <row r="1806" spans="1:17" x14ac:dyDescent="0.2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7"/>
    </row>
    <row r="1807" spans="1:17" x14ac:dyDescent="0.2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7"/>
    </row>
    <row r="1808" spans="1:17" x14ac:dyDescent="0.2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7"/>
    </row>
    <row r="1809" spans="1:17" x14ac:dyDescent="0.2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7"/>
    </row>
    <row r="1810" spans="1:17" x14ac:dyDescent="0.2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7"/>
    </row>
    <row r="1811" spans="1:17" x14ac:dyDescent="0.2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7"/>
    </row>
    <row r="1812" spans="1:17" x14ac:dyDescent="0.2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7"/>
    </row>
    <row r="1813" spans="1:17" x14ac:dyDescent="0.2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7"/>
    </row>
    <row r="1814" spans="1:17" x14ac:dyDescent="0.2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7"/>
    </row>
    <row r="1815" spans="1:17" x14ac:dyDescent="0.2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7"/>
    </row>
    <row r="1816" spans="1:17" x14ac:dyDescent="0.2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7"/>
    </row>
    <row r="1817" spans="1:17" x14ac:dyDescent="0.2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7"/>
    </row>
    <row r="1818" spans="1:17" x14ac:dyDescent="0.2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7"/>
    </row>
    <row r="1819" spans="1:17" x14ac:dyDescent="0.2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7"/>
    </row>
    <row r="1820" spans="1:17" x14ac:dyDescent="0.2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7"/>
    </row>
    <row r="1821" spans="1:17" x14ac:dyDescent="0.2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7"/>
    </row>
    <row r="1822" spans="1:17" x14ac:dyDescent="0.2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7"/>
    </row>
    <row r="1823" spans="1:17" x14ac:dyDescent="0.2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7"/>
    </row>
    <row r="1824" spans="1:17" x14ac:dyDescent="0.2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7"/>
    </row>
    <row r="1825" spans="1:17" x14ac:dyDescent="0.2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7"/>
    </row>
    <row r="1826" spans="1:17" x14ac:dyDescent="0.2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7"/>
    </row>
    <row r="1827" spans="1:17" x14ac:dyDescent="0.2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7"/>
    </row>
    <row r="1828" spans="1:17" x14ac:dyDescent="0.2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7"/>
    </row>
    <row r="1829" spans="1:17" x14ac:dyDescent="0.2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7"/>
    </row>
    <row r="1830" spans="1:17" x14ac:dyDescent="0.2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7"/>
    </row>
    <row r="1831" spans="1:17" x14ac:dyDescent="0.2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7"/>
    </row>
    <row r="1832" spans="1:17" x14ac:dyDescent="0.2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7"/>
    </row>
    <row r="1833" spans="1:17" x14ac:dyDescent="0.2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7"/>
    </row>
    <row r="1834" spans="1:17" x14ac:dyDescent="0.2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7"/>
    </row>
    <row r="1835" spans="1:17" x14ac:dyDescent="0.2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7"/>
    </row>
    <row r="1836" spans="1:17" x14ac:dyDescent="0.2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7"/>
    </row>
    <row r="1837" spans="1:17" x14ac:dyDescent="0.2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7"/>
    </row>
    <row r="1838" spans="1:17" x14ac:dyDescent="0.2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7"/>
    </row>
    <row r="1839" spans="1:17" x14ac:dyDescent="0.2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7"/>
    </row>
    <row r="1840" spans="1:17" x14ac:dyDescent="0.2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7"/>
    </row>
    <row r="1841" spans="1:17" x14ac:dyDescent="0.2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7"/>
    </row>
    <row r="1842" spans="1:17" x14ac:dyDescent="0.2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7"/>
    </row>
    <row r="1843" spans="1:17" x14ac:dyDescent="0.2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7"/>
    </row>
    <row r="1844" spans="1:17" x14ac:dyDescent="0.2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7"/>
    </row>
    <row r="1845" spans="1:17" x14ac:dyDescent="0.2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7"/>
    </row>
    <row r="1846" spans="1:17" x14ac:dyDescent="0.2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7"/>
    </row>
    <row r="1847" spans="1:17" x14ac:dyDescent="0.2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7"/>
    </row>
    <row r="1848" spans="1:17" x14ac:dyDescent="0.2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7"/>
    </row>
    <row r="1849" spans="1:17" x14ac:dyDescent="0.2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7"/>
    </row>
    <row r="1850" spans="1:17" x14ac:dyDescent="0.2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7"/>
    </row>
    <row r="1851" spans="1:17" x14ac:dyDescent="0.2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7"/>
    </row>
    <row r="1852" spans="1:17" x14ac:dyDescent="0.2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7"/>
    </row>
    <row r="1853" spans="1:17" x14ac:dyDescent="0.2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7"/>
    </row>
    <row r="1854" spans="1:17" x14ac:dyDescent="0.2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7"/>
    </row>
    <row r="1855" spans="1:17" x14ac:dyDescent="0.2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7"/>
    </row>
    <row r="1856" spans="1:17" x14ac:dyDescent="0.2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7"/>
    </row>
    <row r="1857" spans="1:17" x14ac:dyDescent="0.2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7"/>
    </row>
    <row r="1858" spans="1:17" x14ac:dyDescent="0.2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7"/>
    </row>
    <row r="1859" spans="1:17" x14ac:dyDescent="0.2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7"/>
    </row>
    <row r="1860" spans="1:17" x14ac:dyDescent="0.2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7"/>
    </row>
    <row r="1861" spans="1:17" x14ac:dyDescent="0.2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7"/>
    </row>
    <row r="1862" spans="1:17" x14ac:dyDescent="0.2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7"/>
    </row>
    <row r="1863" spans="1:17" x14ac:dyDescent="0.2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7"/>
    </row>
    <row r="1864" spans="1:17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7"/>
    </row>
    <row r="1865" spans="1:17" x14ac:dyDescent="0.2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7"/>
    </row>
    <row r="1866" spans="1:17" x14ac:dyDescent="0.2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7"/>
    </row>
    <row r="1867" spans="1:17" x14ac:dyDescent="0.2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7"/>
    </row>
    <row r="1868" spans="1:17" x14ac:dyDescent="0.2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7"/>
    </row>
    <row r="1869" spans="1:17" x14ac:dyDescent="0.2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7"/>
    </row>
    <row r="1870" spans="1:17" x14ac:dyDescent="0.2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7"/>
    </row>
    <row r="1871" spans="1:17" x14ac:dyDescent="0.2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7"/>
    </row>
    <row r="1872" spans="1:17" x14ac:dyDescent="0.2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7"/>
    </row>
    <row r="1873" spans="1:17" x14ac:dyDescent="0.2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7"/>
    </row>
    <row r="1874" spans="1:17" x14ac:dyDescent="0.2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7"/>
    </row>
    <row r="1875" spans="1:17" x14ac:dyDescent="0.2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7"/>
    </row>
    <row r="1876" spans="1:17" x14ac:dyDescent="0.2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7"/>
    </row>
    <row r="1877" spans="1:17" x14ac:dyDescent="0.2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7"/>
    </row>
    <row r="1878" spans="1:17" x14ac:dyDescent="0.2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7"/>
    </row>
    <row r="1879" spans="1:17" x14ac:dyDescent="0.2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7"/>
    </row>
    <row r="1880" spans="1:17" x14ac:dyDescent="0.2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7"/>
    </row>
    <row r="1881" spans="1:17" x14ac:dyDescent="0.2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7"/>
    </row>
    <row r="1882" spans="1:17" x14ac:dyDescent="0.2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7"/>
    </row>
    <row r="1883" spans="1:17" x14ac:dyDescent="0.2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7"/>
    </row>
    <row r="1884" spans="1:17" x14ac:dyDescent="0.2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7"/>
    </row>
    <row r="1885" spans="1:17" x14ac:dyDescent="0.2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7"/>
    </row>
    <row r="1886" spans="1:17" x14ac:dyDescent="0.2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7"/>
    </row>
    <row r="1887" spans="1:17" x14ac:dyDescent="0.2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7"/>
    </row>
    <row r="1888" spans="1:17" x14ac:dyDescent="0.2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7"/>
    </row>
    <row r="1889" spans="1:17" x14ac:dyDescent="0.2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7"/>
    </row>
    <row r="1890" spans="1:17" x14ac:dyDescent="0.2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7"/>
    </row>
    <row r="1891" spans="1:17" x14ac:dyDescent="0.2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7"/>
    </row>
    <row r="1892" spans="1:17" x14ac:dyDescent="0.2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7"/>
    </row>
    <row r="1893" spans="1:17" x14ac:dyDescent="0.2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7"/>
    </row>
    <row r="1894" spans="1:17" x14ac:dyDescent="0.2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7"/>
    </row>
    <row r="1895" spans="1:17" x14ac:dyDescent="0.2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7"/>
    </row>
    <row r="1896" spans="1:17" x14ac:dyDescent="0.2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7"/>
    </row>
    <row r="1897" spans="1:17" x14ac:dyDescent="0.2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7"/>
    </row>
    <row r="1898" spans="1:17" x14ac:dyDescent="0.2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7"/>
    </row>
    <row r="1899" spans="1:17" x14ac:dyDescent="0.2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7"/>
    </row>
    <row r="1900" spans="1:17" x14ac:dyDescent="0.2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7"/>
    </row>
    <row r="1901" spans="1:17" x14ac:dyDescent="0.2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7"/>
    </row>
    <row r="1902" spans="1:17" x14ac:dyDescent="0.2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7"/>
    </row>
    <row r="1903" spans="1:17" x14ac:dyDescent="0.2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7"/>
    </row>
    <row r="1904" spans="1:17" x14ac:dyDescent="0.2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7"/>
    </row>
    <row r="1905" spans="1:17" x14ac:dyDescent="0.2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7"/>
    </row>
    <row r="1906" spans="1:17" x14ac:dyDescent="0.2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7"/>
    </row>
    <row r="1907" spans="1:17" x14ac:dyDescent="0.2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7"/>
    </row>
    <row r="1908" spans="1:17" x14ac:dyDescent="0.2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7"/>
    </row>
    <row r="1909" spans="1:17" x14ac:dyDescent="0.2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7"/>
    </row>
    <row r="1910" spans="1:17" x14ac:dyDescent="0.2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7"/>
    </row>
    <row r="1911" spans="1:17" x14ac:dyDescent="0.2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7"/>
    </row>
    <row r="1912" spans="1:17" x14ac:dyDescent="0.2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7"/>
    </row>
    <row r="1913" spans="1:17" x14ac:dyDescent="0.2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7"/>
    </row>
    <row r="1914" spans="1:17" x14ac:dyDescent="0.2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7"/>
    </row>
    <row r="1915" spans="1:17" x14ac:dyDescent="0.2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7"/>
    </row>
    <row r="1916" spans="1:17" x14ac:dyDescent="0.2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7"/>
    </row>
    <row r="1917" spans="1:17" x14ac:dyDescent="0.2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7"/>
    </row>
    <row r="1918" spans="1:17" x14ac:dyDescent="0.2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7"/>
    </row>
    <row r="1919" spans="1:17" x14ac:dyDescent="0.2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7"/>
    </row>
    <row r="1920" spans="1:17" x14ac:dyDescent="0.2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7"/>
    </row>
    <row r="1921" spans="1:17" x14ac:dyDescent="0.2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7"/>
    </row>
    <row r="1922" spans="1:17" x14ac:dyDescent="0.2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7"/>
    </row>
    <row r="1923" spans="1:17" x14ac:dyDescent="0.2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7"/>
    </row>
    <row r="1924" spans="1:17" x14ac:dyDescent="0.2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7"/>
    </row>
    <row r="1925" spans="1:17" x14ac:dyDescent="0.2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7"/>
    </row>
    <row r="1926" spans="1:17" x14ac:dyDescent="0.2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7"/>
    </row>
    <row r="1927" spans="1:17" x14ac:dyDescent="0.2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7"/>
    </row>
    <row r="1928" spans="1:17" x14ac:dyDescent="0.2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7"/>
    </row>
    <row r="1929" spans="1:17" x14ac:dyDescent="0.2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7"/>
    </row>
    <row r="1930" spans="1:17" x14ac:dyDescent="0.2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7"/>
    </row>
    <row r="1931" spans="1:17" x14ac:dyDescent="0.2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7"/>
    </row>
    <row r="1932" spans="1:17" x14ac:dyDescent="0.2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7"/>
    </row>
    <row r="1933" spans="1:17" x14ac:dyDescent="0.2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7"/>
    </row>
    <row r="1934" spans="1:17" x14ac:dyDescent="0.2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7"/>
    </row>
    <row r="1935" spans="1:17" x14ac:dyDescent="0.2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7"/>
    </row>
    <row r="1936" spans="1:17" x14ac:dyDescent="0.2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7"/>
    </row>
    <row r="1937" spans="1:17" x14ac:dyDescent="0.2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7"/>
    </row>
    <row r="1938" spans="1:17" x14ac:dyDescent="0.2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7"/>
    </row>
    <row r="1939" spans="1:17" x14ac:dyDescent="0.2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7"/>
    </row>
    <row r="1940" spans="1:17" x14ac:dyDescent="0.2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7"/>
    </row>
    <row r="1941" spans="1:17" x14ac:dyDescent="0.2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7"/>
    </row>
    <row r="1942" spans="1:17" x14ac:dyDescent="0.2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7"/>
    </row>
    <row r="1943" spans="1:17" x14ac:dyDescent="0.2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7"/>
    </row>
    <row r="1944" spans="1:17" x14ac:dyDescent="0.2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7"/>
    </row>
    <row r="1945" spans="1:17" x14ac:dyDescent="0.2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7"/>
    </row>
    <row r="1946" spans="1:17" x14ac:dyDescent="0.2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7"/>
    </row>
    <row r="1947" spans="1:17" x14ac:dyDescent="0.2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7"/>
    </row>
    <row r="1948" spans="1:17" x14ac:dyDescent="0.2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7"/>
    </row>
    <row r="1949" spans="1:17" x14ac:dyDescent="0.2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7"/>
    </row>
    <row r="1950" spans="1:17" x14ac:dyDescent="0.2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7"/>
    </row>
    <row r="1951" spans="1:17" x14ac:dyDescent="0.2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7"/>
    </row>
    <row r="1952" spans="1:17" x14ac:dyDescent="0.2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7"/>
    </row>
    <row r="1953" spans="1:17" x14ac:dyDescent="0.2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7"/>
    </row>
    <row r="1954" spans="1:17" x14ac:dyDescent="0.2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7"/>
    </row>
    <row r="1955" spans="1:17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7"/>
    </row>
    <row r="1956" spans="1:17" x14ac:dyDescent="0.2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7"/>
    </row>
    <row r="1957" spans="1:17" x14ac:dyDescent="0.2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7"/>
    </row>
    <row r="1958" spans="1:17" x14ac:dyDescent="0.2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7"/>
    </row>
    <row r="1959" spans="1:17" x14ac:dyDescent="0.2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7"/>
    </row>
    <row r="1960" spans="1:17" x14ac:dyDescent="0.2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7"/>
    </row>
    <row r="1961" spans="1:17" x14ac:dyDescent="0.2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7"/>
    </row>
    <row r="1962" spans="1:17" x14ac:dyDescent="0.2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7"/>
    </row>
    <row r="1963" spans="1:17" x14ac:dyDescent="0.2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7"/>
    </row>
    <row r="1964" spans="1:17" x14ac:dyDescent="0.2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7"/>
    </row>
    <row r="1965" spans="1:17" x14ac:dyDescent="0.2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7"/>
    </row>
    <row r="1966" spans="1:17" x14ac:dyDescent="0.2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7"/>
    </row>
    <row r="1967" spans="1:17" x14ac:dyDescent="0.2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7"/>
    </row>
    <row r="1968" spans="1:17" x14ac:dyDescent="0.2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7"/>
    </row>
    <row r="1969" spans="1:17" x14ac:dyDescent="0.2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7"/>
    </row>
    <row r="1970" spans="1:17" x14ac:dyDescent="0.2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7"/>
    </row>
    <row r="1971" spans="1:17" x14ac:dyDescent="0.2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7"/>
    </row>
    <row r="1972" spans="1:17" x14ac:dyDescent="0.2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7"/>
    </row>
    <row r="1973" spans="1:17" x14ac:dyDescent="0.2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7"/>
    </row>
    <row r="1974" spans="1:17" x14ac:dyDescent="0.2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7"/>
    </row>
    <row r="1975" spans="1:17" x14ac:dyDescent="0.2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7"/>
    </row>
    <row r="1976" spans="1:17" x14ac:dyDescent="0.2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7"/>
    </row>
    <row r="1977" spans="1:17" x14ac:dyDescent="0.2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7"/>
    </row>
    <row r="1978" spans="1:17" x14ac:dyDescent="0.2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7"/>
    </row>
    <row r="1979" spans="1:17" x14ac:dyDescent="0.2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7"/>
    </row>
    <row r="1980" spans="1:17" x14ac:dyDescent="0.2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7"/>
    </row>
    <row r="1981" spans="1:17" x14ac:dyDescent="0.2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7"/>
    </row>
    <row r="1982" spans="1:17" x14ac:dyDescent="0.2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7"/>
    </row>
    <row r="1983" spans="1:17" x14ac:dyDescent="0.2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7"/>
    </row>
    <row r="1984" spans="1:17" x14ac:dyDescent="0.2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7"/>
    </row>
    <row r="1985" spans="1:17" x14ac:dyDescent="0.2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7"/>
    </row>
    <row r="1986" spans="1:17" x14ac:dyDescent="0.2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7"/>
    </row>
    <row r="1987" spans="1:17" x14ac:dyDescent="0.2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7"/>
    </row>
    <row r="1988" spans="1:17" x14ac:dyDescent="0.2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7"/>
    </row>
    <row r="1989" spans="1:17" x14ac:dyDescent="0.2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7"/>
    </row>
    <row r="1990" spans="1:17" x14ac:dyDescent="0.2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7"/>
    </row>
    <row r="1991" spans="1:17" x14ac:dyDescent="0.2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7"/>
    </row>
    <row r="1992" spans="1:17" x14ac:dyDescent="0.2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7"/>
    </row>
    <row r="1993" spans="1:17" x14ac:dyDescent="0.2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7"/>
    </row>
    <row r="1994" spans="1:17" x14ac:dyDescent="0.2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7"/>
    </row>
    <row r="1995" spans="1:17" x14ac:dyDescent="0.2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7"/>
    </row>
    <row r="1996" spans="1:17" x14ac:dyDescent="0.2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7"/>
    </row>
    <row r="1997" spans="1:17" x14ac:dyDescent="0.2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7"/>
    </row>
    <row r="1998" spans="1:17" x14ac:dyDescent="0.2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7"/>
    </row>
    <row r="1999" spans="1:17" x14ac:dyDescent="0.2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7"/>
    </row>
    <row r="2000" spans="1:17" x14ac:dyDescent="0.2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7"/>
    </row>
    <row r="2001" spans="1:17" x14ac:dyDescent="0.2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7"/>
    </row>
    <row r="2002" spans="1:17" x14ac:dyDescent="0.2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7"/>
    </row>
    <row r="2003" spans="1:17" x14ac:dyDescent="0.2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7"/>
    </row>
    <row r="2004" spans="1:17" x14ac:dyDescent="0.2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7"/>
    </row>
    <row r="2005" spans="1:17" x14ac:dyDescent="0.2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7"/>
    </row>
    <row r="2006" spans="1:17" x14ac:dyDescent="0.2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7"/>
    </row>
    <row r="2007" spans="1:17" x14ac:dyDescent="0.2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7"/>
    </row>
    <row r="2008" spans="1:17" x14ac:dyDescent="0.2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7"/>
    </row>
    <row r="2009" spans="1:17" x14ac:dyDescent="0.2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7"/>
    </row>
    <row r="2010" spans="1:17" x14ac:dyDescent="0.2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7"/>
    </row>
    <row r="2011" spans="1:17" x14ac:dyDescent="0.2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7"/>
    </row>
    <row r="2012" spans="1:17" x14ac:dyDescent="0.2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7"/>
    </row>
    <row r="2013" spans="1:17" x14ac:dyDescent="0.2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7"/>
    </row>
    <row r="2014" spans="1:17" x14ac:dyDescent="0.2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7"/>
    </row>
    <row r="2015" spans="1:17" x14ac:dyDescent="0.2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7"/>
    </row>
    <row r="2016" spans="1:17" x14ac:dyDescent="0.2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7"/>
    </row>
    <row r="2017" spans="1:17" x14ac:dyDescent="0.2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7"/>
    </row>
    <row r="2018" spans="1:17" x14ac:dyDescent="0.2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7"/>
    </row>
    <row r="2019" spans="1:17" x14ac:dyDescent="0.2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7"/>
    </row>
    <row r="2020" spans="1:17" x14ac:dyDescent="0.2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7"/>
    </row>
    <row r="2021" spans="1:17" x14ac:dyDescent="0.2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7"/>
    </row>
    <row r="2022" spans="1:17" x14ac:dyDescent="0.2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7"/>
    </row>
    <row r="2023" spans="1:17" x14ac:dyDescent="0.2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7"/>
    </row>
    <row r="2024" spans="1:17" x14ac:dyDescent="0.2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7"/>
    </row>
    <row r="2025" spans="1:17" x14ac:dyDescent="0.2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7"/>
    </row>
    <row r="2026" spans="1:17" x14ac:dyDescent="0.2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7"/>
    </row>
    <row r="2027" spans="1:17" x14ac:dyDescent="0.2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7"/>
    </row>
    <row r="2028" spans="1:17" x14ac:dyDescent="0.2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7"/>
    </row>
    <row r="2029" spans="1:17" x14ac:dyDescent="0.2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7"/>
    </row>
    <row r="2030" spans="1:17" x14ac:dyDescent="0.2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7"/>
    </row>
    <row r="2031" spans="1:17" x14ac:dyDescent="0.2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7"/>
    </row>
    <row r="2032" spans="1:17" x14ac:dyDescent="0.2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7"/>
    </row>
    <row r="2033" spans="1:17" x14ac:dyDescent="0.2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7"/>
    </row>
    <row r="2034" spans="1:17" x14ac:dyDescent="0.2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7"/>
    </row>
    <row r="2035" spans="1:17" x14ac:dyDescent="0.2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7"/>
    </row>
    <row r="2036" spans="1:17" x14ac:dyDescent="0.2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7"/>
    </row>
    <row r="2037" spans="1:17" x14ac:dyDescent="0.2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7"/>
    </row>
    <row r="2038" spans="1:17" x14ac:dyDescent="0.2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7"/>
    </row>
    <row r="2039" spans="1:17" x14ac:dyDescent="0.2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7"/>
    </row>
    <row r="2040" spans="1:17" x14ac:dyDescent="0.2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7"/>
    </row>
    <row r="2041" spans="1:17" x14ac:dyDescent="0.2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7"/>
    </row>
    <row r="2042" spans="1:17" x14ac:dyDescent="0.2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7"/>
    </row>
    <row r="2043" spans="1:17" x14ac:dyDescent="0.2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7"/>
    </row>
    <row r="2044" spans="1:17" x14ac:dyDescent="0.2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7"/>
    </row>
    <row r="2045" spans="1:17" x14ac:dyDescent="0.2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7"/>
    </row>
    <row r="2046" spans="1:17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7"/>
    </row>
    <row r="2047" spans="1:17" x14ac:dyDescent="0.2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7"/>
    </row>
    <row r="2048" spans="1:17" x14ac:dyDescent="0.2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7"/>
    </row>
    <row r="2049" spans="1:17" x14ac:dyDescent="0.2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7"/>
    </row>
    <row r="2050" spans="1:17" x14ac:dyDescent="0.2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7"/>
    </row>
    <row r="2051" spans="1:17" x14ac:dyDescent="0.2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7"/>
    </row>
    <row r="2052" spans="1:17" x14ac:dyDescent="0.2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7"/>
    </row>
    <row r="2053" spans="1:17" x14ac:dyDescent="0.2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7"/>
    </row>
    <row r="2054" spans="1:17" x14ac:dyDescent="0.2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7"/>
    </row>
    <row r="2055" spans="1:17" x14ac:dyDescent="0.2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7"/>
    </row>
    <row r="2056" spans="1:17" x14ac:dyDescent="0.2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7"/>
    </row>
    <row r="2057" spans="1:17" x14ac:dyDescent="0.2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7"/>
    </row>
    <row r="2058" spans="1:17" x14ac:dyDescent="0.2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7"/>
    </row>
    <row r="2059" spans="1:17" x14ac:dyDescent="0.2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7"/>
    </row>
    <row r="2060" spans="1:17" x14ac:dyDescent="0.2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7"/>
    </row>
    <row r="2061" spans="1:17" x14ac:dyDescent="0.2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7"/>
    </row>
    <row r="2062" spans="1:17" x14ac:dyDescent="0.2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7"/>
    </row>
    <row r="2063" spans="1:17" x14ac:dyDescent="0.2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7"/>
    </row>
    <row r="2064" spans="1:17" x14ac:dyDescent="0.2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7"/>
    </row>
    <row r="2065" spans="1:17" x14ac:dyDescent="0.2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7"/>
    </row>
    <row r="2066" spans="1:17" x14ac:dyDescent="0.2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7"/>
    </row>
    <row r="2067" spans="1:17" x14ac:dyDescent="0.2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7"/>
    </row>
    <row r="2068" spans="1:17" x14ac:dyDescent="0.2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7"/>
    </row>
    <row r="2069" spans="1:17" x14ac:dyDescent="0.2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7"/>
    </row>
    <row r="2070" spans="1:17" x14ac:dyDescent="0.2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7"/>
    </row>
    <row r="2071" spans="1:17" x14ac:dyDescent="0.2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7"/>
    </row>
    <row r="2072" spans="1:17" x14ac:dyDescent="0.2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7"/>
    </row>
    <row r="2073" spans="1:17" x14ac:dyDescent="0.2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7"/>
    </row>
    <row r="2074" spans="1:17" x14ac:dyDescent="0.2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7"/>
    </row>
    <row r="2075" spans="1:17" x14ac:dyDescent="0.2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7"/>
    </row>
    <row r="2076" spans="1:17" x14ac:dyDescent="0.2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7"/>
    </row>
    <row r="2077" spans="1:17" x14ac:dyDescent="0.2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7"/>
    </row>
    <row r="2078" spans="1:17" x14ac:dyDescent="0.2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7"/>
    </row>
    <row r="2079" spans="1:17" x14ac:dyDescent="0.2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7"/>
    </row>
    <row r="2080" spans="1:17" x14ac:dyDescent="0.2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7"/>
    </row>
    <row r="2081" spans="1:17" x14ac:dyDescent="0.2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7"/>
    </row>
    <row r="2082" spans="1:17" x14ac:dyDescent="0.2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7"/>
    </row>
    <row r="2083" spans="1:17" x14ac:dyDescent="0.2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7"/>
    </row>
    <row r="2084" spans="1:17" x14ac:dyDescent="0.2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7"/>
    </row>
    <row r="2085" spans="1:17" x14ac:dyDescent="0.2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7"/>
    </row>
    <row r="2086" spans="1:17" x14ac:dyDescent="0.2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7"/>
    </row>
    <row r="2087" spans="1:17" x14ac:dyDescent="0.2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7"/>
    </row>
    <row r="2088" spans="1:17" x14ac:dyDescent="0.2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7"/>
    </row>
    <row r="2089" spans="1:17" x14ac:dyDescent="0.2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7"/>
    </row>
    <row r="2090" spans="1:17" x14ac:dyDescent="0.2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7"/>
    </row>
    <row r="2091" spans="1:17" x14ac:dyDescent="0.2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7"/>
    </row>
    <row r="2092" spans="1:17" x14ac:dyDescent="0.2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7"/>
    </row>
    <row r="2093" spans="1:17" x14ac:dyDescent="0.2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7"/>
    </row>
    <row r="2094" spans="1:17" x14ac:dyDescent="0.2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7"/>
    </row>
    <row r="2095" spans="1:17" x14ac:dyDescent="0.2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7"/>
    </row>
    <row r="2096" spans="1:17" x14ac:dyDescent="0.2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7"/>
    </row>
    <row r="2097" spans="1:17" x14ac:dyDescent="0.2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7"/>
    </row>
    <row r="2098" spans="1:17" x14ac:dyDescent="0.2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7"/>
    </row>
    <row r="2099" spans="1:17" x14ac:dyDescent="0.2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7"/>
    </row>
    <row r="2100" spans="1:17" x14ac:dyDescent="0.2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7"/>
    </row>
    <row r="2101" spans="1:17" x14ac:dyDescent="0.2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7"/>
    </row>
    <row r="2102" spans="1:17" x14ac:dyDescent="0.2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7"/>
    </row>
    <row r="2103" spans="1:17" x14ac:dyDescent="0.2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7"/>
    </row>
    <row r="2104" spans="1:17" x14ac:dyDescent="0.2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7"/>
    </row>
    <row r="2105" spans="1:17" x14ac:dyDescent="0.2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7"/>
    </row>
    <row r="2106" spans="1:17" x14ac:dyDescent="0.2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7"/>
    </row>
    <row r="2107" spans="1:17" x14ac:dyDescent="0.2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7"/>
    </row>
    <row r="2108" spans="1:17" x14ac:dyDescent="0.2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7"/>
    </row>
    <row r="2109" spans="1:17" x14ac:dyDescent="0.2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7"/>
    </row>
    <row r="2110" spans="1:17" x14ac:dyDescent="0.2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7"/>
    </row>
    <row r="2111" spans="1:17" x14ac:dyDescent="0.2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7"/>
    </row>
    <row r="2112" spans="1:17" x14ac:dyDescent="0.2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7"/>
    </row>
    <row r="2113" spans="1:17" x14ac:dyDescent="0.2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7"/>
    </row>
    <row r="2114" spans="1:17" x14ac:dyDescent="0.2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7"/>
    </row>
    <row r="2115" spans="1:17" x14ac:dyDescent="0.2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7"/>
    </row>
    <row r="2116" spans="1:17" x14ac:dyDescent="0.2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7"/>
    </row>
    <row r="2117" spans="1:17" x14ac:dyDescent="0.2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7"/>
    </row>
    <row r="2118" spans="1:17" x14ac:dyDescent="0.2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7"/>
    </row>
    <row r="2119" spans="1:17" x14ac:dyDescent="0.2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7"/>
    </row>
    <row r="2120" spans="1:17" x14ac:dyDescent="0.2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7"/>
    </row>
    <row r="2121" spans="1:17" x14ac:dyDescent="0.2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7"/>
    </row>
    <row r="2122" spans="1:17" x14ac:dyDescent="0.2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7"/>
    </row>
    <row r="2123" spans="1:17" x14ac:dyDescent="0.2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7"/>
    </row>
    <row r="2124" spans="1:17" x14ac:dyDescent="0.2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7"/>
    </row>
    <row r="2125" spans="1:17" x14ac:dyDescent="0.2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7"/>
    </row>
    <row r="2126" spans="1:17" x14ac:dyDescent="0.2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7"/>
    </row>
    <row r="2127" spans="1:17" x14ac:dyDescent="0.2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7"/>
    </row>
    <row r="2128" spans="1:17" x14ac:dyDescent="0.2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7"/>
    </row>
    <row r="2129" spans="1:17" x14ac:dyDescent="0.2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7"/>
    </row>
    <row r="2130" spans="1:17" x14ac:dyDescent="0.2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7"/>
    </row>
    <row r="2131" spans="1:17" x14ac:dyDescent="0.2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7"/>
    </row>
    <row r="2132" spans="1:17" x14ac:dyDescent="0.2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7"/>
    </row>
    <row r="2133" spans="1:17" x14ac:dyDescent="0.2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7"/>
    </row>
    <row r="2134" spans="1:17" x14ac:dyDescent="0.2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7"/>
    </row>
    <row r="2135" spans="1:17" x14ac:dyDescent="0.2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7"/>
    </row>
    <row r="2136" spans="1:17" x14ac:dyDescent="0.2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7"/>
    </row>
    <row r="2137" spans="1:17" x14ac:dyDescent="0.2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7"/>
    </row>
    <row r="2138" spans="1:17" x14ac:dyDescent="0.2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7"/>
    </row>
    <row r="2139" spans="1:17" x14ac:dyDescent="0.2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7"/>
    </row>
    <row r="2140" spans="1:17" x14ac:dyDescent="0.2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7"/>
    </row>
    <row r="2141" spans="1:17" x14ac:dyDescent="0.2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7"/>
    </row>
    <row r="2142" spans="1:17" x14ac:dyDescent="0.2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7"/>
    </row>
    <row r="2143" spans="1:17" x14ac:dyDescent="0.2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7"/>
    </row>
    <row r="2144" spans="1:17" x14ac:dyDescent="0.2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7"/>
    </row>
    <row r="2145" spans="1:17" x14ac:dyDescent="0.2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7"/>
    </row>
    <row r="2146" spans="1:17" x14ac:dyDescent="0.2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7"/>
    </row>
    <row r="2147" spans="1:17" x14ac:dyDescent="0.2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7"/>
    </row>
    <row r="2148" spans="1:17" x14ac:dyDescent="0.2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7"/>
    </row>
    <row r="2149" spans="1:17" x14ac:dyDescent="0.2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7"/>
    </row>
    <row r="2150" spans="1:17" x14ac:dyDescent="0.2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7"/>
    </row>
    <row r="2151" spans="1:17" x14ac:dyDescent="0.2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7"/>
    </row>
    <row r="2152" spans="1:17" x14ac:dyDescent="0.2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7"/>
    </row>
    <row r="2153" spans="1:17" x14ac:dyDescent="0.2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7"/>
    </row>
    <row r="2154" spans="1:17" x14ac:dyDescent="0.2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7"/>
    </row>
    <row r="2155" spans="1:17" x14ac:dyDescent="0.2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7"/>
    </row>
    <row r="2156" spans="1:17" x14ac:dyDescent="0.2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7"/>
    </row>
    <row r="2157" spans="1:17" x14ac:dyDescent="0.2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7"/>
    </row>
    <row r="2158" spans="1:17" x14ac:dyDescent="0.2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7"/>
    </row>
    <row r="2159" spans="1:17" x14ac:dyDescent="0.2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7"/>
    </row>
    <row r="2160" spans="1:17" x14ac:dyDescent="0.2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7"/>
    </row>
    <row r="2161" spans="1:17" x14ac:dyDescent="0.2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7"/>
    </row>
    <row r="2162" spans="1:17" x14ac:dyDescent="0.2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7"/>
    </row>
    <row r="2163" spans="1:17" x14ac:dyDescent="0.2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7"/>
    </row>
    <row r="2164" spans="1:17" x14ac:dyDescent="0.2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7"/>
    </row>
    <row r="2165" spans="1:17" x14ac:dyDescent="0.2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7"/>
    </row>
    <row r="2166" spans="1:17" x14ac:dyDescent="0.2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7"/>
    </row>
    <row r="2167" spans="1:17" x14ac:dyDescent="0.2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7"/>
    </row>
    <row r="2168" spans="1:17" x14ac:dyDescent="0.2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7"/>
    </row>
    <row r="2169" spans="1:17" x14ac:dyDescent="0.2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7"/>
    </row>
    <row r="2170" spans="1:17" x14ac:dyDescent="0.2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7"/>
    </row>
    <row r="2171" spans="1:17" x14ac:dyDescent="0.2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7"/>
    </row>
    <row r="2172" spans="1:17" x14ac:dyDescent="0.2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7"/>
    </row>
    <row r="2173" spans="1:17" x14ac:dyDescent="0.2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7"/>
    </row>
    <row r="2174" spans="1:17" x14ac:dyDescent="0.2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7"/>
    </row>
    <row r="2175" spans="1:17" x14ac:dyDescent="0.2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7"/>
    </row>
    <row r="2176" spans="1:17" x14ac:dyDescent="0.2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7"/>
    </row>
    <row r="2177" spans="1:17" x14ac:dyDescent="0.2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7"/>
    </row>
    <row r="2178" spans="1:17" x14ac:dyDescent="0.2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7"/>
    </row>
    <row r="2179" spans="1:17" x14ac:dyDescent="0.2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7"/>
    </row>
    <row r="2180" spans="1:17" x14ac:dyDescent="0.2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7"/>
    </row>
    <row r="2181" spans="1:17" x14ac:dyDescent="0.2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7"/>
    </row>
    <row r="2182" spans="1:17" x14ac:dyDescent="0.2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7"/>
    </row>
    <row r="2183" spans="1:17" x14ac:dyDescent="0.2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7"/>
    </row>
    <row r="2184" spans="1:17" x14ac:dyDescent="0.2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7"/>
    </row>
    <row r="2185" spans="1:17" x14ac:dyDescent="0.2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7"/>
    </row>
    <row r="2186" spans="1:17" x14ac:dyDescent="0.2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7"/>
    </row>
    <row r="2187" spans="1:17" x14ac:dyDescent="0.2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7"/>
    </row>
    <row r="2188" spans="1:17" x14ac:dyDescent="0.2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7"/>
    </row>
    <row r="2189" spans="1:17" x14ac:dyDescent="0.2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7"/>
    </row>
    <row r="2190" spans="1:17" x14ac:dyDescent="0.2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7"/>
    </row>
    <row r="2191" spans="1:17" x14ac:dyDescent="0.2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7"/>
    </row>
    <row r="2192" spans="1:17" x14ac:dyDescent="0.2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7"/>
    </row>
    <row r="2193" spans="1:17" x14ac:dyDescent="0.2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7"/>
    </row>
    <row r="2194" spans="1:17" x14ac:dyDescent="0.2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7"/>
    </row>
    <row r="2195" spans="1:17" x14ac:dyDescent="0.2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7"/>
    </row>
    <row r="2196" spans="1:17" x14ac:dyDescent="0.2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7"/>
    </row>
    <row r="2197" spans="1:17" x14ac:dyDescent="0.2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7"/>
    </row>
    <row r="2198" spans="1:17" x14ac:dyDescent="0.2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7"/>
    </row>
    <row r="2199" spans="1:17" x14ac:dyDescent="0.2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7"/>
    </row>
    <row r="2200" spans="1:17" x14ac:dyDescent="0.2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7"/>
    </row>
    <row r="2201" spans="1:17" x14ac:dyDescent="0.2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7"/>
    </row>
    <row r="2202" spans="1:17" x14ac:dyDescent="0.2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7"/>
    </row>
    <row r="2203" spans="1:17" x14ac:dyDescent="0.2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7"/>
    </row>
    <row r="2204" spans="1:17" x14ac:dyDescent="0.2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7"/>
    </row>
    <row r="2205" spans="1:17" x14ac:dyDescent="0.2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7"/>
    </row>
    <row r="2206" spans="1:17" x14ac:dyDescent="0.2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7"/>
    </row>
    <row r="2207" spans="1:17" x14ac:dyDescent="0.2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7"/>
    </row>
    <row r="2208" spans="1:17" x14ac:dyDescent="0.2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7"/>
    </row>
    <row r="2209" spans="1:17" x14ac:dyDescent="0.2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7"/>
    </row>
    <row r="2210" spans="1:17" x14ac:dyDescent="0.2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7"/>
    </row>
    <row r="2211" spans="1:17" x14ac:dyDescent="0.2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7"/>
    </row>
    <row r="2212" spans="1:17" x14ac:dyDescent="0.2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7"/>
    </row>
    <row r="2213" spans="1:17" x14ac:dyDescent="0.2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7"/>
    </row>
    <row r="2214" spans="1:17" x14ac:dyDescent="0.2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7"/>
    </row>
    <row r="2215" spans="1:17" x14ac:dyDescent="0.2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7"/>
    </row>
    <row r="2216" spans="1:17" x14ac:dyDescent="0.2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7"/>
    </row>
    <row r="2217" spans="1:17" x14ac:dyDescent="0.2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7"/>
    </row>
    <row r="2218" spans="1:17" x14ac:dyDescent="0.2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7"/>
    </row>
    <row r="2219" spans="1:17" x14ac:dyDescent="0.2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7"/>
    </row>
    <row r="2220" spans="1:17" x14ac:dyDescent="0.2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7"/>
    </row>
    <row r="2221" spans="1:17" x14ac:dyDescent="0.2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7"/>
    </row>
    <row r="2222" spans="1:17" x14ac:dyDescent="0.2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7"/>
    </row>
    <row r="2223" spans="1:17" x14ac:dyDescent="0.2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7"/>
    </row>
    <row r="2224" spans="1:17" x14ac:dyDescent="0.2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7"/>
    </row>
    <row r="2225" spans="1:17" x14ac:dyDescent="0.2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7"/>
    </row>
    <row r="2226" spans="1:17" x14ac:dyDescent="0.2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7"/>
    </row>
    <row r="2227" spans="1:17" x14ac:dyDescent="0.2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7"/>
    </row>
    <row r="2228" spans="1:17" x14ac:dyDescent="0.2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7"/>
    </row>
    <row r="2229" spans="1:17" x14ac:dyDescent="0.2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7"/>
    </row>
    <row r="2230" spans="1:17" x14ac:dyDescent="0.2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7"/>
    </row>
    <row r="2231" spans="1:17" x14ac:dyDescent="0.2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7"/>
    </row>
    <row r="2232" spans="1:17" x14ac:dyDescent="0.2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7"/>
    </row>
    <row r="2233" spans="1:17" x14ac:dyDescent="0.2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7"/>
    </row>
    <row r="2234" spans="1:17" x14ac:dyDescent="0.2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7"/>
    </row>
    <row r="2235" spans="1:17" x14ac:dyDescent="0.2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7"/>
    </row>
    <row r="2236" spans="1:17" x14ac:dyDescent="0.2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7"/>
    </row>
    <row r="2237" spans="1:17" x14ac:dyDescent="0.2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7"/>
    </row>
    <row r="2238" spans="1:17" x14ac:dyDescent="0.2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7"/>
    </row>
    <row r="2239" spans="1:17" x14ac:dyDescent="0.2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7"/>
    </row>
    <row r="2240" spans="1:17" x14ac:dyDescent="0.2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7"/>
    </row>
    <row r="2241" spans="1:17" x14ac:dyDescent="0.2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7"/>
    </row>
    <row r="2242" spans="1:17" x14ac:dyDescent="0.2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7"/>
    </row>
    <row r="2243" spans="1:17" x14ac:dyDescent="0.2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7"/>
    </row>
    <row r="2244" spans="1:17" x14ac:dyDescent="0.2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7"/>
    </row>
    <row r="2245" spans="1:17" x14ac:dyDescent="0.2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7"/>
    </row>
    <row r="2246" spans="1:17" x14ac:dyDescent="0.2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7"/>
    </row>
    <row r="2247" spans="1:17" x14ac:dyDescent="0.2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7"/>
    </row>
    <row r="2248" spans="1:17" x14ac:dyDescent="0.2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7"/>
    </row>
    <row r="2249" spans="1:17" x14ac:dyDescent="0.2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7"/>
    </row>
    <row r="2250" spans="1:17" x14ac:dyDescent="0.2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7"/>
    </row>
    <row r="2251" spans="1:17" x14ac:dyDescent="0.2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7"/>
    </row>
    <row r="2252" spans="1:17" x14ac:dyDescent="0.2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7"/>
    </row>
    <row r="2253" spans="1:17" x14ac:dyDescent="0.2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7"/>
    </row>
    <row r="2254" spans="1:17" x14ac:dyDescent="0.2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7"/>
    </row>
    <row r="2255" spans="1:17" x14ac:dyDescent="0.2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7"/>
    </row>
    <row r="2256" spans="1:17" x14ac:dyDescent="0.2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7"/>
    </row>
    <row r="2257" spans="1:17" x14ac:dyDescent="0.2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7"/>
    </row>
    <row r="2258" spans="1:17" x14ac:dyDescent="0.2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7"/>
    </row>
    <row r="2259" spans="1:17" x14ac:dyDescent="0.2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7"/>
    </row>
    <row r="2260" spans="1:17" x14ac:dyDescent="0.2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7"/>
    </row>
    <row r="2261" spans="1:17" x14ac:dyDescent="0.2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7"/>
    </row>
    <row r="2262" spans="1:17" x14ac:dyDescent="0.2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7"/>
    </row>
    <row r="2263" spans="1:17" x14ac:dyDescent="0.2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7"/>
    </row>
    <row r="2264" spans="1:17" x14ac:dyDescent="0.2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7"/>
    </row>
    <row r="2265" spans="1:17" x14ac:dyDescent="0.2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7"/>
    </row>
    <row r="2266" spans="1:17" x14ac:dyDescent="0.2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7"/>
    </row>
    <row r="2267" spans="1:17" x14ac:dyDescent="0.2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7"/>
    </row>
    <row r="2268" spans="1:17" x14ac:dyDescent="0.2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7"/>
    </row>
    <row r="2269" spans="1:17" x14ac:dyDescent="0.2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7"/>
    </row>
    <row r="2270" spans="1:17" x14ac:dyDescent="0.2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7"/>
    </row>
    <row r="2271" spans="1:17" x14ac:dyDescent="0.2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7"/>
    </row>
    <row r="2272" spans="1:17" x14ac:dyDescent="0.2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7"/>
    </row>
    <row r="2273" spans="1:17" x14ac:dyDescent="0.2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7"/>
    </row>
    <row r="2274" spans="1:17" x14ac:dyDescent="0.2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7"/>
    </row>
    <row r="2275" spans="1:17" x14ac:dyDescent="0.2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7"/>
    </row>
    <row r="2276" spans="1:17" x14ac:dyDescent="0.2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7"/>
    </row>
    <row r="2277" spans="1:17" x14ac:dyDescent="0.2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7"/>
    </row>
    <row r="2278" spans="1:17" x14ac:dyDescent="0.2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7"/>
    </row>
    <row r="2279" spans="1:17" x14ac:dyDescent="0.2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7"/>
    </row>
    <row r="2280" spans="1:17" x14ac:dyDescent="0.2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7"/>
    </row>
    <row r="2281" spans="1:17" x14ac:dyDescent="0.2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7"/>
    </row>
    <row r="2282" spans="1:17" x14ac:dyDescent="0.2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7"/>
    </row>
    <row r="2283" spans="1:17" x14ac:dyDescent="0.2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7"/>
    </row>
    <row r="2284" spans="1:17" x14ac:dyDescent="0.2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7"/>
    </row>
    <row r="2285" spans="1:17" x14ac:dyDescent="0.2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7"/>
    </row>
    <row r="2286" spans="1:17" x14ac:dyDescent="0.2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7"/>
    </row>
    <row r="2287" spans="1:17" x14ac:dyDescent="0.2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7"/>
    </row>
    <row r="2288" spans="1:17" x14ac:dyDescent="0.2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7"/>
    </row>
    <row r="2289" spans="1:17" x14ac:dyDescent="0.2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7"/>
    </row>
    <row r="2290" spans="1:17" x14ac:dyDescent="0.2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7"/>
    </row>
    <row r="2291" spans="1:17" x14ac:dyDescent="0.2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7"/>
    </row>
    <row r="2292" spans="1:17" x14ac:dyDescent="0.2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7"/>
    </row>
    <row r="2293" spans="1:17" x14ac:dyDescent="0.2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7"/>
    </row>
    <row r="2294" spans="1:17" x14ac:dyDescent="0.2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7"/>
    </row>
    <row r="2295" spans="1:17" x14ac:dyDescent="0.2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7"/>
    </row>
    <row r="2296" spans="1:17" x14ac:dyDescent="0.2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7"/>
    </row>
    <row r="2297" spans="1:17" x14ac:dyDescent="0.2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7"/>
    </row>
    <row r="2298" spans="1:17" x14ac:dyDescent="0.2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7"/>
    </row>
    <row r="2299" spans="1:17" x14ac:dyDescent="0.2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7"/>
    </row>
    <row r="2300" spans="1:17" x14ac:dyDescent="0.2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7"/>
    </row>
    <row r="2301" spans="1:17" x14ac:dyDescent="0.2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7"/>
    </row>
    <row r="2302" spans="1:17" x14ac:dyDescent="0.2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7"/>
    </row>
    <row r="2303" spans="1:17" x14ac:dyDescent="0.2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7"/>
    </row>
    <row r="2304" spans="1:17" x14ac:dyDescent="0.2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7"/>
    </row>
    <row r="2305" spans="1:17" x14ac:dyDescent="0.2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7"/>
    </row>
    <row r="2306" spans="1:17" x14ac:dyDescent="0.2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7"/>
    </row>
    <row r="2307" spans="1:17" x14ac:dyDescent="0.2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7"/>
    </row>
    <row r="2308" spans="1:17" x14ac:dyDescent="0.2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7"/>
    </row>
    <row r="2309" spans="1:17" x14ac:dyDescent="0.2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7"/>
    </row>
    <row r="2310" spans="1:17" x14ac:dyDescent="0.2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7"/>
    </row>
    <row r="2311" spans="1:17" x14ac:dyDescent="0.2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7"/>
    </row>
    <row r="2312" spans="1:17" x14ac:dyDescent="0.2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7"/>
    </row>
    <row r="2313" spans="1:17" x14ac:dyDescent="0.2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7"/>
    </row>
    <row r="2314" spans="1:17" x14ac:dyDescent="0.2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7"/>
    </row>
    <row r="2315" spans="1:17" x14ac:dyDescent="0.2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7"/>
    </row>
    <row r="2316" spans="1:17" x14ac:dyDescent="0.2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7"/>
    </row>
    <row r="2317" spans="1:17" x14ac:dyDescent="0.2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7"/>
    </row>
    <row r="2318" spans="1:17" x14ac:dyDescent="0.2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7"/>
    </row>
    <row r="2319" spans="1:17" x14ac:dyDescent="0.2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7"/>
    </row>
    <row r="2320" spans="1:17" x14ac:dyDescent="0.2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7"/>
    </row>
    <row r="2321" spans="1:17" x14ac:dyDescent="0.2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7"/>
    </row>
    <row r="2322" spans="1:17" x14ac:dyDescent="0.2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7"/>
    </row>
    <row r="2323" spans="1:17" x14ac:dyDescent="0.2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7"/>
    </row>
    <row r="2324" spans="1:17" x14ac:dyDescent="0.2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7"/>
    </row>
    <row r="2325" spans="1:17" x14ac:dyDescent="0.2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7"/>
    </row>
    <row r="2326" spans="1:17" x14ac:dyDescent="0.2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7"/>
    </row>
    <row r="2327" spans="1:17" x14ac:dyDescent="0.2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7"/>
    </row>
    <row r="2328" spans="1:17" x14ac:dyDescent="0.2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7"/>
    </row>
    <row r="2329" spans="1:17" x14ac:dyDescent="0.2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7"/>
    </row>
    <row r="2330" spans="1:17" x14ac:dyDescent="0.2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7"/>
    </row>
    <row r="2331" spans="1:17" x14ac:dyDescent="0.2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7"/>
    </row>
    <row r="2332" spans="1:17" x14ac:dyDescent="0.2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7"/>
    </row>
    <row r="2333" spans="1:17" x14ac:dyDescent="0.2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7"/>
    </row>
    <row r="2334" spans="1:17" x14ac:dyDescent="0.2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7"/>
    </row>
    <row r="2335" spans="1:17" x14ac:dyDescent="0.2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7"/>
    </row>
    <row r="2336" spans="1:17" x14ac:dyDescent="0.2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7"/>
    </row>
    <row r="2337" spans="1:17" x14ac:dyDescent="0.2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7"/>
    </row>
    <row r="2338" spans="1:17" x14ac:dyDescent="0.2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7"/>
    </row>
    <row r="2339" spans="1:17" x14ac:dyDescent="0.2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7"/>
    </row>
    <row r="2340" spans="1:17" x14ac:dyDescent="0.2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7"/>
    </row>
    <row r="2341" spans="1:17" x14ac:dyDescent="0.2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7"/>
    </row>
    <row r="2342" spans="1:17" x14ac:dyDescent="0.2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7"/>
    </row>
    <row r="2343" spans="1:17" x14ac:dyDescent="0.2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7"/>
    </row>
    <row r="2344" spans="1:17" x14ac:dyDescent="0.2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7"/>
    </row>
    <row r="2345" spans="1:17" x14ac:dyDescent="0.2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7"/>
    </row>
    <row r="2346" spans="1:17" x14ac:dyDescent="0.2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7"/>
    </row>
    <row r="2347" spans="1:17" x14ac:dyDescent="0.2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7"/>
    </row>
    <row r="2348" spans="1:17" x14ac:dyDescent="0.2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7"/>
    </row>
    <row r="2349" spans="1:17" x14ac:dyDescent="0.2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7"/>
    </row>
    <row r="2350" spans="1:17" x14ac:dyDescent="0.2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7"/>
    </row>
    <row r="2351" spans="1:17" x14ac:dyDescent="0.2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7"/>
    </row>
    <row r="2352" spans="1:17" x14ac:dyDescent="0.2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7"/>
    </row>
    <row r="2353" spans="1:17" x14ac:dyDescent="0.2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7"/>
    </row>
    <row r="2354" spans="1:17" x14ac:dyDescent="0.2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7"/>
    </row>
    <row r="2355" spans="1:17" x14ac:dyDescent="0.2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7"/>
    </row>
    <row r="2356" spans="1:17" x14ac:dyDescent="0.2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7"/>
    </row>
    <row r="2357" spans="1:17" x14ac:dyDescent="0.2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7"/>
    </row>
    <row r="2358" spans="1:17" x14ac:dyDescent="0.2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7"/>
    </row>
    <row r="2359" spans="1:17" x14ac:dyDescent="0.2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7"/>
    </row>
    <row r="2360" spans="1:17" x14ac:dyDescent="0.2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7"/>
    </row>
    <row r="2361" spans="1:17" x14ac:dyDescent="0.2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7"/>
    </row>
    <row r="2362" spans="1:17" x14ac:dyDescent="0.2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7"/>
    </row>
    <row r="2363" spans="1:17" x14ac:dyDescent="0.2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7"/>
    </row>
    <row r="2364" spans="1:17" x14ac:dyDescent="0.2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7"/>
    </row>
    <row r="2365" spans="1:17" x14ac:dyDescent="0.2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7"/>
    </row>
    <row r="2366" spans="1:17" x14ac:dyDescent="0.2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7"/>
    </row>
    <row r="2367" spans="1:17" x14ac:dyDescent="0.2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7"/>
    </row>
    <row r="2368" spans="1:17" x14ac:dyDescent="0.2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7"/>
    </row>
    <row r="2369" spans="1:17" x14ac:dyDescent="0.2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7"/>
    </row>
    <row r="2370" spans="1:17" x14ac:dyDescent="0.2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7"/>
    </row>
    <row r="2371" spans="1:17" x14ac:dyDescent="0.2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7"/>
    </row>
    <row r="2372" spans="1:17" x14ac:dyDescent="0.2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7"/>
    </row>
    <row r="2373" spans="1:17" x14ac:dyDescent="0.2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7"/>
    </row>
    <row r="2374" spans="1:17" x14ac:dyDescent="0.2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7"/>
    </row>
    <row r="2375" spans="1:17" x14ac:dyDescent="0.2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7"/>
    </row>
    <row r="2376" spans="1:17" x14ac:dyDescent="0.2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7"/>
    </row>
    <row r="2377" spans="1:17" x14ac:dyDescent="0.2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7"/>
    </row>
    <row r="2378" spans="1:17" x14ac:dyDescent="0.2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7"/>
    </row>
    <row r="2379" spans="1:17" x14ac:dyDescent="0.2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7"/>
    </row>
    <row r="2380" spans="1:17" x14ac:dyDescent="0.2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7"/>
    </row>
    <row r="2381" spans="1:17" x14ac:dyDescent="0.2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7"/>
    </row>
    <row r="2382" spans="1:17" x14ac:dyDescent="0.2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7"/>
    </row>
    <row r="2383" spans="1:17" x14ac:dyDescent="0.2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7"/>
    </row>
    <row r="2384" spans="1:17" x14ac:dyDescent="0.2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7"/>
    </row>
    <row r="2385" spans="1:17" x14ac:dyDescent="0.2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7"/>
    </row>
    <row r="2386" spans="1:17" x14ac:dyDescent="0.2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7"/>
    </row>
    <row r="2387" spans="1:17" x14ac:dyDescent="0.2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7"/>
    </row>
    <row r="2388" spans="1:17" x14ac:dyDescent="0.2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7"/>
    </row>
    <row r="2389" spans="1:17" x14ac:dyDescent="0.2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7"/>
    </row>
    <row r="2390" spans="1:17" x14ac:dyDescent="0.2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7"/>
    </row>
    <row r="2391" spans="1:17" x14ac:dyDescent="0.2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7"/>
    </row>
    <row r="2392" spans="1:17" x14ac:dyDescent="0.2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7"/>
    </row>
    <row r="2393" spans="1:17" x14ac:dyDescent="0.2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7"/>
    </row>
    <row r="2394" spans="1:17" x14ac:dyDescent="0.2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7"/>
    </row>
    <row r="2395" spans="1:17" x14ac:dyDescent="0.2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7"/>
    </row>
    <row r="2396" spans="1:17" x14ac:dyDescent="0.2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7"/>
    </row>
    <row r="2397" spans="1:17" x14ac:dyDescent="0.2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7"/>
    </row>
    <row r="2398" spans="1:17" x14ac:dyDescent="0.2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7"/>
    </row>
    <row r="2399" spans="1:17" x14ac:dyDescent="0.2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7"/>
    </row>
    <row r="2400" spans="1:17" x14ac:dyDescent="0.2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7"/>
    </row>
    <row r="2401" spans="1:17" x14ac:dyDescent="0.2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7"/>
    </row>
    <row r="2402" spans="1:17" x14ac:dyDescent="0.2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7"/>
    </row>
    <row r="2403" spans="1:17" x14ac:dyDescent="0.2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7"/>
    </row>
    <row r="2404" spans="1:17" x14ac:dyDescent="0.2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7"/>
    </row>
    <row r="2405" spans="1:17" x14ac:dyDescent="0.2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7"/>
    </row>
    <row r="2406" spans="1:17" x14ac:dyDescent="0.2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7"/>
    </row>
    <row r="2407" spans="1:17" x14ac:dyDescent="0.2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7"/>
    </row>
    <row r="2408" spans="1:17" x14ac:dyDescent="0.2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7"/>
    </row>
    <row r="2409" spans="1:17" x14ac:dyDescent="0.2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7"/>
    </row>
    <row r="2410" spans="1:17" x14ac:dyDescent="0.2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7"/>
    </row>
    <row r="2411" spans="1:17" x14ac:dyDescent="0.2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7"/>
    </row>
    <row r="2412" spans="1:17" x14ac:dyDescent="0.2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7"/>
    </row>
    <row r="2413" spans="1:17" x14ac:dyDescent="0.2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7"/>
    </row>
    <row r="2414" spans="1:17" x14ac:dyDescent="0.2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7"/>
    </row>
    <row r="2415" spans="1:17" x14ac:dyDescent="0.2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7"/>
    </row>
    <row r="2416" spans="1:17" x14ac:dyDescent="0.2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7"/>
    </row>
    <row r="2417" spans="1:17" x14ac:dyDescent="0.2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7"/>
    </row>
    <row r="2418" spans="1:17" x14ac:dyDescent="0.2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7"/>
    </row>
    <row r="2419" spans="1:17" x14ac:dyDescent="0.2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7"/>
    </row>
    <row r="2420" spans="1:17" x14ac:dyDescent="0.2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7"/>
    </row>
    <row r="2421" spans="1:17" x14ac:dyDescent="0.2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7"/>
    </row>
    <row r="2422" spans="1:17" x14ac:dyDescent="0.2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7"/>
    </row>
    <row r="2423" spans="1:17" x14ac:dyDescent="0.2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7"/>
    </row>
    <row r="2424" spans="1:17" x14ac:dyDescent="0.2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7"/>
    </row>
    <row r="2425" spans="1:17" x14ac:dyDescent="0.2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7"/>
    </row>
    <row r="2426" spans="1:17" x14ac:dyDescent="0.2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7"/>
    </row>
    <row r="2427" spans="1:17" x14ac:dyDescent="0.2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7"/>
    </row>
    <row r="2428" spans="1:17" x14ac:dyDescent="0.2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7"/>
    </row>
    <row r="2429" spans="1:17" x14ac:dyDescent="0.2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7"/>
    </row>
    <row r="2430" spans="1:17" x14ac:dyDescent="0.2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7"/>
    </row>
    <row r="2431" spans="1:17" x14ac:dyDescent="0.2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7"/>
    </row>
    <row r="2432" spans="1:17" x14ac:dyDescent="0.2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7"/>
    </row>
    <row r="2433" spans="1:17" x14ac:dyDescent="0.2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7"/>
    </row>
    <row r="2434" spans="1:17" x14ac:dyDescent="0.2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7"/>
    </row>
    <row r="2435" spans="1:17" x14ac:dyDescent="0.2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7"/>
    </row>
    <row r="2436" spans="1:17" x14ac:dyDescent="0.2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7"/>
    </row>
    <row r="2437" spans="1:17" x14ac:dyDescent="0.2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7"/>
    </row>
    <row r="2438" spans="1:17" x14ac:dyDescent="0.2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7"/>
    </row>
    <row r="2439" spans="1:17" x14ac:dyDescent="0.2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7"/>
    </row>
    <row r="2440" spans="1:17" x14ac:dyDescent="0.2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7"/>
    </row>
    <row r="2441" spans="1:17" x14ac:dyDescent="0.2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7"/>
    </row>
    <row r="2442" spans="1:17" x14ac:dyDescent="0.2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7"/>
    </row>
    <row r="2443" spans="1:17" x14ac:dyDescent="0.2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7"/>
    </row>
    <row r="2444" spans="1:17" x14ac:dyDescent="0.2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7"/>
    </row>
    <row r="2445" spans="1:17" x14ac:dyDescent="0.2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7"/>
    </row>
    <row r="2446" spans="1:17" x14ac:dyDescent="0.2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7"/>
    </row>
    <row r="2447" spans="1:17" x14ac:dyDescent="0.2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7"/>
    </row>
    <row r="2448" spans="1:17" x14ac:dyDescent="0.2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7"/>
    </row>
    <row r="2449" spans="1:17" x14ac:dyDescent="0.2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7"/>
    </row>
    <row r="2450" spans="1:17" x14ac:dyDescent="0.2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7"/>
    </row>
    <row r="2451" spans="1:17" x14ac:dyDescent="0.2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7"/>
    </row>
    <row r="2452" spans="1:17" x14ac:dyDescent="0.2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7"/>
    </row>
    <row r="2453" spans="1:17" x14ac:dyDescent="0.2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7"/>
    </row>
    <row r="2454" spans="1:17" x14ac:dyDescent="0.2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7"/>
    </row>
    <row r="2455" spans="1:17" x14ac:dyDescent="0.2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7"/>
    </row>
    <row r="2456" spans="1:17" x14ac:dyDescent="0.2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7"/>
    </row>
    <row r="2457" spans="1:17" x14ac:dyDescent="0.2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7"/>
    </row>
    <row r="2458" spans="1:17" x14ac:dyDescent="0.2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7"/>
    </row>
    <row r="2459" spans="1:17" x14ac:dyDescent="0.2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7"/>
    </row>
    <row r="2460" spans="1:17" x14ac:dyDescent="0.2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7"/>
    </row>
    <row r="2461" spans="1:17" x14ac:dyDescent="0.2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7"/>
    </row>
    <row r="2462" spans="1:17" x14ac:dyDescent="0.2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7"/>
    </row>
    <row r="2463" spans="1:17" x14ac:dyDescent="0.2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7"/>
    </row>
    <row r="2464" spans="1:17" x14ac:dyDescent="0.2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7"/>
    </row>
    <row r="2465" spans="1:17" x14ac:dyDescent="0.2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7"/>
    </row>
    <row r="2466" spans="1:17" x14ac:dyDescent="0.2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7"/>
    </row>
    <row r="2467" spans="1:17" x14ac:dyDescent="0.2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7"/>
    </row>
    <row r="2468" spans="1:17" x14ac:dyDescent="0.2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7"/>
    </row>
    <row r="2469" spans="1:17" x14ac:dyDescent="0.2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7"/>
    </row>
    <row r="2470" spans="1:17" x14ac:dyDescent="0.2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7"/>
    </row>
    <row r="2471" spans="1:17" x14ac:dyDescent="0.2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7"/>
    </row>
    <row r="2472" spans="1:17" x14ac:dyDescent="0.2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7"/>
    </row>
    <row r="2473" spans="1:17" x14ac:dyDescent="0.2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7"/>
    </row>
    <row r="2474" spans="1:17" x14ac:dyDescent="0.2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7"/>
    </row>
    <row r="2475" spans="1:17" x14ac:dyDescent="0.2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7"/>
    </row>
    <row r="2476" spans="1:17" x14ac:dyDescent="0.2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7"/>
    </row>
    <row r="2477" spans="1:17" x14ac:dyDescent="0.2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7"/>
    </row>
    <row r="2478" spans="1:17" x14ac:dyDescent="0.2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7"/>
    </row>
    <row r="2479" spans="1:17" x14ac:dyDescent="0.2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7"/>
    </row>
    <row r="2480" spans="1:17" x14ac:dyDescent="0.2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7"/>
    </row>
    <row r="2481" spans="1:17" x14ac:dyDescent="0.2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7"/>
    </row>
    <row r="2482" spans="1:17" x14ac:dyDescent="0.2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7"/>
    </row>
    <row r="2483" spans="1:17" x14ac:dyDescent="0.2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7"/>
    </row>
    <row r="2484" spans="1:17" x14ac:dyDescent="0.2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7"/>
    </row>
    <row r="2485" spans="1:17" x14ac:dyDescent="0.2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7"/>
    </row>
    <row r="2486" spans="1:17" x14ac:dyDescent="0.2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7"/>
    </row>
    <row r="2487" spans="1:17" x14ac:dyDescent="0.2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7"/>
    </row>
    <row r="2488" spans="1:17" x14ac:dyDescent="0.2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7"/>
    </row>
    <row r="2489" spans="1:17" x14ac:dyDescent="0.2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7"/>
    </row>
    <row r="2490" spans="1:17" x14ac:dyDescent="0.2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7"/>
    </row>
    <row r="2491" spans="1:17" x14ac:dyDescent="0.2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7"/>
    </row>
    <row r="2492" spans="1:17" x14ac:dyDescent="0.2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7"/>
    </row>
    <row r="2493" spans="1:17" x14ac:dyDescent="0.2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7"/>
    </row>
    <row r="2494" spans="1:17" x14ac:dyDescent="0.2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7"/>
    </row>
    <row r="2495" spans="1:17" x14ac:dyDescent="0.2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7"/>
    </row>
    <row r="2496" spans="1:17" x14ac:dyDescent="0.2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7"/>
    </row>
    <row r="2497" spans="1:17" x14ac:dyDescent="0.2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7"/>
    </row>
    <row r="2498" spans="1:17" x14ac:dyDescent="0.2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7"/>
    </row>
    <row r="2499" spans="1:17" x14ac:dyDescent="0.2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7"/>
    </row>
    <row r="2500" spans="1:17" x14ac:dyDescent="0.2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7"/>
    </row>
    <row r="2501" spans="1:17" x14ac:dyDescent="0.2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7"/>
    </row>
    <row r="2502" spans="1:17" x14ac:dyDescent="0.2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7"/>
    </row>
    <row r="2503" spans="1:17" x14ac:dyDescent="0.2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7"/>
    </row>
    <row r="2504" spans="1:17" x14ac:dyDescent="0.2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7"/>
    </row>
    <row r="2505" spans="1:17" x14ac:dyDescent="0.2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7"/>
    </row>
    <row r="2506" spans="1:17" x14ac:dyDescent="0.2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7"/>
    </row>
    <row r="2507" spans="1:17" x14ac:dyDescent="0.2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7"/>
    </row>
    <row r="2508" spans="1:17" x14ac:dyDescent="0.2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7"/>
    </row>
    <row r="2509" spans="1:17" x14ac:dyDescent="0.2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7"/>
    </row>
    <row r="2510" spans="1:17" x14ac:dyDescent="0.2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7"/>
    </row>
    <row r="2511" spans="1:17" x14ac:dyDescent="0.2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7"/>
    </row>
    <row r="2512" spans="1:17" x14ac:dyDescent="0.2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7"/>
    </row>
    <row r="2513" spans="1:17" x14ac:dyDescent="0.2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7"/>
    </row>
    <row r="2514" spans="1:17" x14ac:dyDescent="0.2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7"/>
    </row>
    <row r="2515" spans="1:17" x14ac:dyDescent="0.2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7"/>
    </row>
    <row r="2516" spans="1:17" x14ac:dyDescent="0.2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7"/>
    </row>
    <row r="2517" spans="1:17" x14ac:dyDescent="0.2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7"/>
    </row>
    <row r="2518" spans="1:17" x14ac:dyDescent="0.2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7"/>
    </row>
    <row r="2519" spans="1:17" x14ac:dyDescent="0.2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7"/>
    </row>
    <row r="2520" spans="1:17" x14ac:dyDescent="0.2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7"/>
    </row>
    <row r="2521" spans="1:17" x14ac:dyDescent="0.2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7"/>
    </row>
    <row r="2522" spans="1:17" x14ac:dyDescent="0.2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7"/>
    </row>
    <row r="2523" spans="1:17" x14ac:dyDescent="0.2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7"/>
    </row>
    <row r="2524" spans="1:17" x14ac:dyDescent="0.2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7"/>
    </row>
    <row r="2525" spans="1:17" x14ac:dyDescent="0.2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7"/>
    </row>
    <row r="2526" spans="1:17" x14ac:dyDescent="0.2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7"/>
    </row>
    <row r="2527" spans="1:17" x14ac:dyDescent="0.2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7"/>
    </row>
    <row r="2528" spans="1:17" x14ac:dyDescent="0.2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7"/>
    </row>
    <row r="2529" spans="1:17" x14ac:dyDescent="0.2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7"/>
    </row>
    <row r="2530" spans="1:17" x14ac:dyDescent="0.2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7"/>
    </row>
    <row r="2531" spans="1:17" x14ac:dyDescent="0.2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7"/>
    </row>
    <row r="2532" spans="1:17" x14ac:dyDescent="0.2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7"/>
    </row>
    <row r="2533" spans="1:17" x14ac:dyDescent="0.2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7"/>
    </row>
    <row r="2534" spans="1:17" x14ac:dyDescent="0.2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7"/>
    </row>
    <row r="2535" spans="1:17" x14ac:dyDescent="0.2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7"/>
    </row>
    <row r="2536" spans="1:17" x14ac:dyDescent="0.2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7"/>
    </row>
    <row r="2537" spans="1:17" x14ac:dyDescent="0.2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7"/>
    </row>
    <row r="2538" spans="1:17" x14ac:dyDescent="0.2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7"/>
    </row>
    <row r="2539" spans="1:17" x14ac:dyDescent="0.2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7"/>
    </row>
    <row r="2540" spans="1:17" x14ac:dyDescent="0.2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7"/>
    </row>
    <row r="2541" spans="1:17" x14ac:dyDescent="0.2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7"/>
    </row>
    <row r="2542" spans="1:17" x14ac:dyDescent="0.2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7"/>
    </row>
    <row r="2543" spans="1:17" x14ac:dyDescent="0.2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7"/>
    </row>
    <row r="2544" spans="1:17" x14ac:dyDescent="0.2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7"/>
    </row>
    <row r="2545" spans="1:17" x14ac:dyDescent="0.2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7"/>
    </row>
    <row r="2546" spans="1:17" x14ac:dyDescent="0.2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7"/>
    </row>
    <row r="2547" spans="1:17" x14ac:dyDescent="0.2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7"/>
    </row>
    <row r="2548" spans="1:17" x14ac:dyDescent="0.2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7"/>
    </row>
    <row r="2549" spans="1:17" x14ac:dyDescent="0.2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7"/>
    </row>
    <row r="2550" spans="1:17" x14ac:dyDescent="0.2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7"/>
    </row>
    <row r="2551" spans="1:17" x14ac:dyDescent="0.2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7"/>
    </row>
    <row r="2552" spans="1:17" x14ac:dyDescent="0.2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7"/>
    </row>
    <row r="2553" spans="1:17" x14ac:dyDescent="0.2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7"/>
    </row>
    <row r="2554" spans="1:17" x14ac:dyDescent="0.2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7"/>
    </row>
    <row r="2555" spans="1:17" x14ac:dyDescent="0.2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7"/>
    </row>
    <row r="2556" spans="1:17" x14ac:dyDescent="0.2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7"/>
    </row>
    <row r="2557" spans="1:17" x14ac:dyDescent="0.2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7"/>
    </row>
    <row r="2558" spans="1:17" x14ac:dyDescent="0.2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7"/>
    </row>
    <row r="2559" spans="1:17" x14ac:dyDescent="0.2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7"/>
    </row>
    <row r="2560" spans="1:17" x14ac:dyDescent="0.2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7"/>
    </row>
    <row r="2561" spans="1:17" x14ac:dyDescent="0.2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7"/>
    </row>
    <row r="2562" spans="1:17" x14ac:dyDescent="0.2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7"/>
    </row>
    <row r="2563" spans="1:17" x14ac:dyDescent="0.2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7"/>
    </row>
    <row r="2564" spans="1:17" x14ac:dyDescent="0.2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7"/>
    </row>
    <row r="2565" spans="1:17" x14ac:dyDescent="0.2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7"/>
    </row>
    <row r="2566" spans="1:17" x14ac:dyDescent="0.2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7"/>
    </row>
    <row r="2567" spans="1:17" x14ac:dyDescent="0.2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7"/>
    </row>
    <row r="2568" spans="1:17" x14ac:dyDescent="0.2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7"/>
    </row>
    <row r="2569" spans="1:17" x14ac:dyDescent="0.2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7"/>
    </row>
    <row r="2570" spans="1:17" x14ac:dyDescent="0.2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7"/>
    </row>
    <row r="2571" spans="1:17" x14ac:dyDescent="0.2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7"/>
    </row>
    <row r="2572" spans="1:17" x14ac:dyDescent="0.2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7"/>
    </row>
    <row r="2573" spans="1:17" x14ac:dyDescent="0.2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7"/>
    </row>
    <row r="2574" spans="1:17" x14ac:dyDescent="0.2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7"/>
    </row>
    <row r="2575" spans="1:17" x14ac:dyDescent="0.2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7"/>
    </row>
    <row r="2576" spans="1:17" x14ac:dyDescent="0.2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7"/>
    </row>
    <row r="2577" spans="1:17" x14ac:dyDescent="0.2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7"/>
    </row>
    <row r="2578" spans="1:17" x14ac:dyDescent="0.2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7"/>
    </row>
    <row r="2579" spans="1:17" x14ac:dyDescent="0.2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7"/>
    </row>
    <row r="2580" spans="1:17" x14ac:dyDescent="0.2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7"/>
    </row>
    <row r="2581" spans="1:17" x14ac:dyDescent="0.2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7"/>
    </row>
    <row r="2582" spans="1:17" x14ac:dyDescent="0.2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7"/>
    </row>
    <row r="2583" spans="1:17" x14ac:dyDescent="0.2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7"/>
    </row>
    <row r="2584" spans="1:17" x14ac:dyDescent="0.2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7"/>
    </row>
    <row r="2585" spans="1:17" x14ac:dyDescent="0.2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7"/>
    </row>
    <row r="2586" spans="1:17" x14ac:dyDescent="0.2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7"/>
    </row>
    <row r="2587" spans="1:17" x14ac:dyDescent="0.2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7"/>
    </row>
    <row r="2588" spans="1:17" x14ac:dyDescent="0.2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7"/>
    </row>
    <row r="2589" spans="1:17" x14ac:dyDescent="0.2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7"/>
    </row>
    <row r="2590" spans="1:17" x14ac:dyDescent="0.2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7"/>
    </row>
    <row r="2591" spans="1:17" x14ac:dyDescent="0.2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7"/>
    </row>
    <row r="2592" spans="1:17" x14ac:dyDescent="0.2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7"/>
    </row>
    <row r="2593" spans="1:17" x14ac:dyDescent="0.2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7"/>
    </row>
    <row r="2594" spans="1:17" x14ac:dyDescent="0.2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7"/>
    </row>
    <row r="2595" spans="1:17" x14ac:dyDescent="0.2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7"/>
    </row>
    <row r="2596" spans="1:17" x14ac:dyDescent="0.2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7"/>
    </row>
    <row r="2597" spans="1:17" x14ac:dyDescent="0.2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7"/>
    </row>
    <row r="2598" spans="1:17" x14ac:dyDescent="0.2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7"/>
    </row>
    <row r="2599" spans="1:17" x14ac:dyDescent="0.2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7"/>
    </row>
    <row r="2600" spans="1:17" x14ac:dyDescent="0.2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7"/>
    </row>
    <row r="2601" spans="1:17" x14ac:dyDescent="0.2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7"/>
    </row>
    <row r="2602" spans="1:17" x14ac:dyDescent="0.2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7"/>
    </row>
    <row r="2603" spans="1:17" x14ac:dyDescent="0.2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7"/>
    </row>
    <row r="2604" spans="1:17" x14ac:dyDescent="0.2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7"/>
    </row>
    <row r="2605" spans="1:17" x14ac:dyDescent="0.2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7"/>
    </row>
    <row r="2606" spans="1:17" x14ac:dyDescent="0.2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7"/>
    </row>
    <row r="2607" spans="1:17" x14ac:dyDescent="0.2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7"/>
    </row>
    <row r="2608" spans="1:17" x14ac:dyDescent="0.2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7"/>
    </row>
    <row r="2609" spans="1:17" x14ac:dyDescent="0.2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7"/>
    </row>
    <row r="2610" spans="1:17" x14ac:dyDescent="0.2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7"/>
    </row>
    <row r="2611" spans="1:17" x14ac:dyDescent="0.2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7"/>
    </row>
    <row r="2612" spans="1:17" x14ac:dyDescent="0.2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7"/>
    </row>
    <row r="2613" spans="1:17" x14ac:dyDescent="0.2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7"/>
    </row>
    <row r="2614" spans="1:17" x14ac:dyDescent="0.2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7"/>
    </row>
    <row r="2615" spans="1:17" x14ac:dyDescent="0.2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7"/>
    </row>
    <row r="2616" spans="1:17" x14ac:dyDescent="0.2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7"/>
    </row>
    <row r="2617" spans="1:17" x14ac:dyDescent="0.2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7"/>
    </row>
    <row r="2618" spans="1:17" x14ac:dyDescent="0.2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7"/>
    </row>
    <row r="2619" spans="1:17" x14ac:dyDescent="0.2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7"/>
    </row>
    <row r="2620" spans="1:17" x14ac:dyDescent="0.2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7"/>
    </row>
    <row r="2621" spans="1:17" x14ac:dyDescent="0.2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7"/>
    </row>
    <row r="2622" spans="1:17" x14ac:dyDescent="0.2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7"/>
    </row>
    <row r="2623" spans="1:17" x14ac:dyDescent="0.2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7"/>
    </row>
    <row r="2624" spans="1:17" x14ac:dyDescent="0.2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7"/>
    </row>
    <row r="2625" spans="1:17" x14ac:dyDescent="0.2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7"/>
    </row>
    <row r="2626" spans="1:17" x14ac:dyDescent="0.2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7"/>
    </row>
    <row r="2627" spans="1:17" x14ac:dyDescent="0.2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7"/>
    </row>
    <row r="2628" spans="1:17" x14ac:dyDescent="0.2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7"/>
    </row>
    <row r="2629" spans="1:17" x14ac:dyDescent="0.2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7"/>
    </row>
    <row r="2630" spans="1:17" x14ac:dyDescent="0.2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7"/>
    </row>
    <row r="2631" spans="1:17" x14ac:dyDescent="0.2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7"/>
    </row>
    <row r="2632" spans="1:17" x14ac:dyDescent="0.2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7"/>
    </row>
    <row r="2633" spans="1:17" x14ac:dyDescent="0.2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7"/>
    </row>
    <row r="2634" spans="1:17" x14ac:dyDescent="0.2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7"/>
    </row>
    <row r="2635" spans="1:17" x14ac:dyDescent="0.2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7"/>
    </row>
    <row r="2636" spans="1:17" x14ac:dyDescent="0.2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7"/>
    </row>
    <row r="2637" spans="1:17" x14ac:dyDescent="0.2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7"/>
    </row>
    <row r="2638" spans="1:17" x14ac:dyDescent="0.2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7"/>
    </row>
    <row r="2639" spans="1:17" x14ac:dyDescent="0.2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7"/>
    </row>
    <row r="2640" spans="1:17" x14ac:dyDescent="0.2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7"/>
    </row>
    <row r="2641" spans="1:17" x14ac:dyDescent="0.2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7"/>
    </row>
    <row r="2642" spans="1:17" x14ac:dyDescent="0.2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7"/>
    </row>
    <row r="2643" spans="1:17" x14ac:dyDescent="0.2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7"/>
    </row>
    <row r="2644" spans="1:17" x14ac:dyDescent="0.2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7"/>
    </row>
    <row r="2645" spans="1:17" x14ac:dyDescent="0.2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7"/>
    </row>
    <row r="2646" spans="1:17" x14ac:dyDescent="0.2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7"/>
    </row>
    <row r="2647" spans="1:17" x14ac:dyDescent="0.2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7"/>
    </row>
    <row r="2648" spans="1:17" x14ac:dyDescent="0.2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7"/>
    </row>
    <row r="2649" spans="1:17" x14ac:dyDescent="0.2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7"/>
    </row>
    <row r="2650" spans="1:17" x14ac:dyDescent="0.2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7"/>
    </row>
    <row r="2651" spans="1:17" x14ac:dyDescent="0.2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7"/>
    </row>
    <row r="2652" spans="1:17" x14ac:dyDescent="0.2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7"/>
    </row>
    <row r="2653" spans="1:17" x14ac:dyDescent="0.2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7"/>
    </row>
    <row r="2654" spans="1:17" x14ac:dyDescent="0.2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7"/>
    </row>
    <row r="2655" spans="1:17" x14ac:dyDescent="0.2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7"/>
    </row>
    <row r="2656" spans="1:17" x14ac:dyDescent="0.2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7"/>
    </row>
    <row r="2657" spans="1:17" x14ac:dyDescent="0.2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7"/>
    </row>
    <row r="2658" spans="1:17" x14ac:dyDescent="0.2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7"/>
    </row>
    <row r="2659" spans="1:17" x14ac:dyDescent="0.2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7"/>
    </row>
    <row r="2660" spans="1:17" x14ac:dyDescent="0.2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7"/>
    </row>
    <row r="2661" spans="1:17" x14ac:dyDescent="0.2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7"/>
    </row>
    <row r="2662" spans="1:17" x14ac:dyDescent="0.2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7"/>
    </row>
    <row r="2663" spans="1:17" x14ac:dyDescent="0.2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7"/>
    </row>
    <row r="2664" spans="1:17" x14ac:dyDescent="0.2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7"/>
    </row>
    <row r="2665" spans="1:17" x14ac:dyDescent="0.2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7"/>
    </row>
    <row r="2666" spans="1:17" x14ac:dyDescent="0.2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7"/>
    </row>
    <row r="2667" spans="1:17" x14ac:dyDescent="0.2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7"/>
    </row>
    <row r="2668" spans="1:17" x14ac:dyDescent="0.2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7"/>
    </row>
    <row r="2669" spans="1:17" x14ac:dyDescent="0.2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7"/>
    </row>
    <row r="2670" spans="1:17" x14ac:dyDescent="0.2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7"/>
    </row>
    <row r="2671" spans="1:17" x14ac:dyDescent="0.2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7"/>
    </row>
    <row r="2672" spans="1:17" x14ac:dyDescent="0.2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7"/>
    </row>
    <row r="2673" spans="1:17" x14ac:dyDescent="0.2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7"/>
    </row>
    <row r="2674" spans="1:17" x14ac:dyDescent="0.2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7"/>
    </row>
    <row r="2675" spans="1:17" x14ac:dyDescent="0.2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7"/>
    </row>
    <row r="2676" spans="1:17" x14ac:dyDescent="0.2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7"/>
    </row>
    <row r="2677" spans="1:17" x14ac:dyDescent="0.2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7"/>
    </row>
    <row r="2678" spans="1:17" x14ac:dyDescent="0.2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7"/>
    </row>
    <row r="2679" spans="1:17" x14ac:dyDescent="0.2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7"/>
    </row>
    <row r="2680" spans="1:17" x14ac:dyDescent="0.2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7"/>
    </row>
    <row r="2681" spans="1:17" x14ac:dyDescent="0.2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7"/>
    </row>
    <row r="2682" spans="1:17" x14ac:dyDescent="0.2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7"/>
    </row>
    <row r="2683" spans="1:17" x14ac:dyDescent="0.2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7"/>
    </row>
    <row r="2684" spans="1:17" x14ac:dyDescent="0.2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7"/>
    </row>
    <row r="2685" spans="1:17" x14ac:dyDescent="0.2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7"/>
    </row>
    <row r="2686" spans="1:17" x14ac:dyDescent="0.2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7"/>
    </row>
    <row r="2687" spans="1:17" x14ac:dyDescent="0.2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7"/>
    </row>
    <row r="2688" spans="1:17" x14ac:dyDescent="0.2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7"/>
    </row>
    <row r="2689" spans="1:17" x14ac:dyDescent="0.2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7"/>
    </row>
    <row r="2690" spans="1:17" x14ac:dyDescent="0.2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7"/>
    </row>
    <row r="2691" spans="1:17" x14ac:dyDescent="0.2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7"/>
    </row>
    <row r="2692" spans="1:17" x14ac:dyDescent="0.2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7"/>
    </row>
    <row r="2693" spans="1:17" x14ac:dyDescent="0.2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7"/>
    </row>
    <row r="2694" spans="1:17" x14ac:dyDescent="0.2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7"/>
    </row>
    <row r="2695" spans="1:17" x14ac:dyDescent="0.2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7"/>
    </row>
    <row r="2696" spans="1:17" x14ac:dyDescent="0.2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7"/>
    </row>
    <row r="2697" spans="1:17" x14ac:dyDescent="0.2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7"/>
    </row>
    <row r="2698" spans="1:17" x14ac:dyDescent="0.2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7"/>
    </row>
    <row r="2699" spans="1:17" x14ac:dyDescent="0.2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7"/>
    </row>
    <row r="2700" spans="1:17" x14ac:dyDescent="0.2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7"/>
    </row>
    <row r="2701" spans="1:17" x14ac:dyDescent="0.2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7"/>
    </row>
    <row r="2702" spans="1:17" x14ac:dyDescent="0.2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7"/>
    </row>
    <row r="2703" spans="1:17" x14ac:dyDescent="0.2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7"/>
    </row>
    <row r="2704" spans="1:17" x14ac:dyDescent="0.2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7"/>
    </row>
    <row r="2705" spans="1:17" x14ac:dyDescent="0.2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7"/>
    </row>
    <row r="2706" spans="1:17" x14ac:dyDescent="0.2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7"/>
    </row>
    <row r="2707" spans="1:17" x14ac:dyDescent="0.2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7"/>
    </row>
    <row r="2708" spans="1:17" x14ac:dyDescent="0.2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7"/>
    </row>
    <row r="2709" spans="1:17" x14ac:dyDescent="0.2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7"/>
    </row>
    <row r="2710" spans="1:17" x14ac:dyDescent="0.2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7"/>
    </row>
    <row r="2711" spans="1:17" x14ac:dyDescent="0.2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7"/>
    </row>
    <row r="2712" spans="1:17" x14ac:dyDescent="0.2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7"/>
    </row>
    <row r="2713" spans="1:17" x14ac:dyDescent="0.2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7"/>
    </row>
    <row r="2714" spans="1:17" x14ac:dyDescent="0.2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7"/>
    </row>
    <row r="2715" spans="1:17" x14ac:dyDescent="0.2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7"/>
    </row>
    <row r="2716" spans="1:17" x14ac:dyDescent="0.2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7"/>
    </row>
    <row r="2717" spans="1:17" x14ac:dyDescent="0.2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7"/>
    </row>
    <row r="2718" spans="1:17" x14ac:dyDescent="0.2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7"/>
    </row>
    <row r="2719" spans="1:17" x14ac:dyDescent="0.2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7"/>
    </row>
    <row r="2720" spans="1:17" x14ac:dyDescent="0.2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7"/>
    </row>
    <row r="2721" spans="1:17" x14ac:dyDescent="0.2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7"/>
    </row>
    <row r="2722" spans="1:17" x14ac:dyDescent="0.2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7"/>
    </row>
    <row r="2723" spans="1:17" x14ac:dyDescent="0.2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7"/>
    </row>
    <row r="2724" spans="1:17" x14ac:dyDescent="0.2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7"/>
    </row>
    <row r="2725" spans="1:17" x14ac:dyDescent="0.2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7"/>
    </row>
    <row r="2726" spans="1:17" x14ac:dyDescent="0.2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7"/>
    </row>
    <row r="2727" spans="1:17" x14ac:dyDescent="0.2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7"/>
    </row>
    <row r="2728" spans="1:17" x14ac:dyDescent="0.2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7"/>
    </row>
    <row r="2729" spans="1:17" x14ac:dyDescent="0.2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7"/>
    </row>
    <row r="2730" spans="1:17" x14ac:dyDescent="0.2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7"/>
    </row>
    <row r="2731" spans="1:17" x14ac:dyDescent="0.2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7"/>
    </row>
    <row r="2732" spans="1:17" x14ac:dyDescent="0.2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7"/>
    </row>
    <row r="2733" spans="1:17" x14ac:dyDescent="0.2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7"/>
    </row>
    <row r="2734" spans="1:17" x14ac:dyDescent="0.2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7"/>
    </row>
    <row r="2735" spans="1:17" x14ac:dyDescent="0.2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7"/>
    </row>
    <row r="2736" spans="1:17" x14ac:dyDescent="0.2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7"/>
    </row>
    <row r="2737" spans="1:17" x14ac:dyDescent="0.2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7"/>
    </row>
    <row r="2738" spans="1:17" x14ac:dyDescent="0.2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7"/>
    </row>
    <row r="2739" spans="1:17" x14ac:dyDescent="0.2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7"/>
    </row>
    <row r="2740" spans="1:17" x14ac:dyDescent="0.2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7"/>
    </row>
    <row r="2741" spans="1:17" x14ac:dyDescent="0.2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7"/>
    </row>
    <row r="2742" spans="1:17" x14ac:dyDescent="0.2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7"/>
    </row>
    <row r="2743" spans="1:17" x14ac:dyDescent="0.2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7"/>
    </row>
    <row r="2744" spans="1:17" x14ac:dyDescent="0.2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7"/>
    </row>
    <row r="2745" spans="1:17" x14ac:dyDescent="0.2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7"/>
    </row>
    <row r="2746" spans="1:17" x14ac:dyDescent="0.2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7"/>
    </row>
    <row r="2747" spans="1:17" x14ac:dyDescent="0.2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7"/>
    </row>
    <row r="2748" spans="1:17" x14ac:dyDescent="0.2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7"/>
    </row>
    <row r="2749" spans="1:17" x14ac:dyDescent="0.2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7"/>
    </row>
    <row r="2750" spans="1:17" x14ac:dyDescent="0.2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7"/>
    </row>
    <row r="2751" spans="1:17" x14ac:dyDescent="0.2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7"/>
    </row>
    <row r="2752" spans="1:17" x14ac:dyDescent="0.2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7"/>
    </row>
    <row r="2753" spans="1:17" x14ac:dyDescent="0.2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7"/>
    </row>
    <row r="2754" spans="1:17" x14ac:dyDescent="0.2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7"/>
    </row>
    <row r="2755" spans="1:17" x14ac:dyDescent="0.2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7"/>
    </row>
    <row r="2756" spans="1:17" x14ac:dyDescent="0.2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7"/>
    </row>
    <row r="2757" spans="1:17" x14ac:dyDescent="0.2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7"/>
    </row>
    <row r="2758" spans="1:17" x14ac:dyDescent="0.2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7"/>
    </row>
    <row r="2759" spans="1:17" x14ac:dyDescent="0.2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7"/>
    </row>
    <row r="2760" spans="1:17" x14ac:dyDescent="0.2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7"/>
    </row>
    <row r="2761" spans="1:17" x14ac:dyDescent="0.2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7"/>
    </row>
    <row r="2762" spans="1:17" x14ac:dyDescent="0.2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7"/>
    </row>
    <row r="2763" spans="1:17" x14ac:dyDescent="0.2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7"/>
    </row>
    <row r="2764" spans="1:17" x14ac:dyDescent="0.2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7"/>
    </row>
    <row r="2765" spans="1:17" x14ac:dyDescent="0.2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7"/>
    </row>
    <row r="2766" spans="1:17" x14ac:dyDescent="0.2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7"/>
    </row>
    <row r="2767" spans="1:17" x14ac:dyDescent="0.2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7"/>
    </row>
    <row r="2768" spans="1:17" x14ac:dyDescent="0.2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7"/>
    </row>
    <row r="2769" spans="1:17" x14ac:dyDescent="0.2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7"/>
    </row>
    <row r="2770" spans="1:17" x14ac:dyDescent="0.2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7"/>
    </row>
    <row r="2771" spans="1:17" x14ac:dyDescent="0.2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7"/>
    </row>
    <row r="2772" spans="1:17" x14ac:dyDescent="0.2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7"/>
    </row>
    <row r="2773" spans="1:17" x14ac:dyDescent="0.2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7"/>
    </row>
    <row r="2774" spans="1:17" x14ac:dyDescent="0.2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7"/>
    </row>
    <row r="2775" spans="1:17" x14ac:dyDescent="0.2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7"/>
    </row>
    <row r="2776" spans="1:17" x14ac:dyDescent="0.2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7"/>
    </row>
    <row r="2777" spans="1:17" x14ac:dyDescent="0.2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7"/>
    </row>
    <row r="2778" spans="1:17" x14ac:dyDescent="0.2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7"/>
    </row>
    <row r="2779" spans="1:17" x14ac:dyDescent="0.2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7"/>
    </row>
    <row r="2780" spans="1:17" x14ac:dyDescent="0.2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7"/>
    </row>
    <row r="2781" spans="1:17" x14ac:dyDescent="0.2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7"/>
    </row>
    <row r="2782" spans="1:17" x14ac:dyDescent="0.2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7"/>
    </row>
    <row r="2783" spans="1:17" x14ac:dyDescent="0.2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7"/>
    </row>
    <row r="2784" spans="1:17" x14ac:dyDescent="0.2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7"/>
    </row>
    <row r="2785" spans="1:17" x14ac:dyDescent="0.2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7"/>
    </row>
    <row r="2786" spans="1:17" x14ac:dyDescent="0.2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7"/>
    </row>
    <row r="2787" spans="1:17" x14ac:dyDescent="0.2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7"/>
    </row>
    <row r="2788" spans="1:17" x14ac:dyDescent="0.2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7"/>
    </row>
    <row r="2789" spans="1:17" x14ac:dyDescent="0.2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7"/>
    </row>
    <row r="2790" spans="1:17" x14ac:dyDescent="0.2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7"/>
    </row>
    <row r="2791" spans="1:17" x14ac:dyDescent="0.2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7"/>
    </row>
    <row r="2792" spans="1:17" x14ac:dyDescent="0.2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7"/>
    </row>
    <row r="2793" spans="1:17" x14ac:dyDescent="0.2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7"/>
    </row>
    <row r="2794" spans="1:17" x14ac:dyDescent="0.2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7"/>
    </row>
    <row r="2795" spans="1:17" x14ac:dyDescent="0.2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7"/>
    </row>
    <row r="2796" spans="1:17" x14ac:dyDescent="0.2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7"/>
    </row>
    <row r="2797" spans="1:17" x14ac:dyDescent="0.2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7"/>
    </row>
    <row r="2798" spans="1:17" x14ac:dyDescent="0.2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7"/>
    </row>
    <row r="2799" spans="1:17" x14ac:dyDescent="0.2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7"/>
    </row>
    <row r="2800" spans="1:17" x14ac:dyDescent="0.2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7"/>
    </row>
    <row r="2801" spans="1:17" x14ac:dyDescent="0.2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7"/>
    </row>
    <row r="2802" spans="1:17" x14ac:dyDescent="0.2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7"/>
    </row>
    <row r="2803" spans="1:17" x14ac:dyDescent="0.2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7"/>
    </row>
    <row r="2804" spans="1:17" x14ac:dyDescent="0.2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7"/>
    </row>
    <row r="2805" spans="1:17" x14ac:dyDescent="0.2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7"/>
    </row>
    <row r="2806" spans="1:17" x14ac:dyDescent="0.2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7"/>
    </row>
    <row r="2807" spans="1:17" x14ac:dyDescent="0.2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7"/>
    </row>
    <row r="2808" spans="1:17" x14ac:dyDescent="0.2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7"/>
    </row>
    <row r="2809" spans="1:17" x14ac:dyDescent="0.2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7"/>
    </row>
    <row r="2810" spans="1:17" x14ac:dyDescent="0.2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7"/>
    </row>
    <row r="2811" spans="1:17" x14ac:dyDescent="0.2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7"/>
    </row>
    <row r="2812" spans="1:17" x14ac:dyDescent="0.2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7"/>
    </row>
    <row r="2813" spans="1:17" x14ac:dyDescent="0.2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7"/>
    </row>
    <row r="2814" spans="1:17" x14ac:dyDescent="0.2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7"/>
    </row>
    <row r="2815" spans="1:17" x14ac:dyDescent="0.2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7"/>
    </row>
    <row r="2816" spans="1:17" x14ac:dyDescent="0.2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7"/>
    </row>
    <row r="2817" spans="1:17" x14ac:dyDescent="0.2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7"/>
    </row>
    <row r="2818" spans="1:17" x14ac:dyDescent="0.2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7"/>
    </row>
    <row r="2819" spans="1:17" x14ac:dyDescent="0.2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7"/>
    </row>
    <row r="2820" spans="1:17" x14ac:dyDescent="0.2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7"/>
    </row>
    <row r="2821" spans="1:17" x14ac:dyDescent="0.2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7"/>
    </row>
    <row r="2822" spans="1:17" x14ac:dyDescent="0.2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7"/>
    </row>
    <row r="2823" spans="1:17" x14ac:dyDescent="0.2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7"/>
    </row>
    <row r="2824" spans="1:17" x14ac:dyDescent="0.2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7"/>
    </row>
    <row r="2825" spans="1:17" x14ac:dyDescent="0.2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7"/>
    </row>
    <row r="2826" spans="1:17" x14ac:dyDescent="0.2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7"/>
    </row>
    <row r="2827" spans="1:17" x14ac:dyDescent="0.2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7"/>
    </row>
    <row r="2828" spans="1:17" x14ac:dyDescent="0.2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7"/>
    </row>
    <row r="2829" spans="1:17" x14ac:dyDescent="0.2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7"/>
    </row>
    <row r="2830" spans="1:17" x14ac:dyDescent="0.2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7"/>
    </row>
    <row r="2831" spans="1:17" x14ac:dyDescent="0.2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7"/>
    </row>
    <row r="2832" spans="1:17" x14ac:dyDescent="0.2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7"/>
    </row>
    <row r="2833" spans="1:17" x14ac:dyDescent="0.2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7"/>
    </row>
    <row r="2834" spans="1:17" x14ac:dyDescent="0.2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7"/>
    </row>
    <row r="2835" spans="1:17" x14ac:dyDescent="0.2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7"/>
    </row>
    <row r="2836" spans="1:17" x14ac:dyDescent="0.2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7"/>
    </row>
    <row r="2837" spans="1:17" x14ac:dyDescent="0.2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7"/>
    </row>
    <row r="2838" spans="1:17" x14ac:dyDescent="0.2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7"/>
    </row>
    <row r="2839" spans="1:17" x14ac:dyDescent="0.2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7"/>
    </row>
    <row r="2840" spans="1:17" x14ac:dyDescent="0.2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7"/>
    </row>
    <row r="2841" spans="1:17" x14ac:dyDescent="0.2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7"/>
    </row>
    <row r="2842" spans="1:17" x14ac:dyDescent="0.2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7"/>
    </row>
    <row r="2843" spans="1:17" x14ac:dyDescent="0.2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7"/>
    </row>
    <row r="2844" spans="1:17" x14ac:dyDescent="0.2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7"/>
    </row>
    <row r="2845" spans="1:17" x14ac:dyDescent="0.2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7"/>
    </row>
    <row r="2846" spans="1:17" x14ac:dyDescent="0.2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7"/>
    </row>
    <row r="2847" spans="1:17" x14ac:dyDescent="0.2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7"/>
    </row>
    <row r="2848" spans="1:17" x14ac:dyDescent="0.2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7"/>
    </row>
    <row r="2849" spans="1:17" x14ac:dyDescent="0.2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7"/>
    </row>
    <row r="2850" spans="1:17" x14ac:dyDescent="0.2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7"/>
    </row>
    <row r="2851" spans="1:17" x14ac:dyDescent="0.2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7"/>
    </row>
    <row r="2852" spans="1:17" x14ac:dyDescent="0.2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7"/>
    </row>
    <row r="2853" spans="1:17" x14ac:dyDescent="0.2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7"/>
    </row>
    <row r="2854" spans="1:17" x14ac:dyDescent="0.2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7"/>
    </row>
    <row r="2855" spans="1:17" x14ac:dyDescent="0.2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7"/>
    </row>
    <row r="2856" spans="1:17" x14ac:dyDescent="0.2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7"/>
    </row>
    <row r="2857" spans="1:17" x14ac:dyDescent="0.2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7"/>
    </row>
    <row r="2858" spans="1:17" x14ac:dyDescent="0.2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7"/>
    </row>
    <row r="2859" spans="1:17" x14ac:dyDescent="0.2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7"/>
    </row>
    <row r="2860" spans="1:17" x14ac:dyDescent="0.2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7"/>
    </row>
    <row r="2861" spans="1:17" x14ac:dyDescent="0.2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7"/>
    </row>
    <row r="2862" spans="1:17" x14ac:dyDescent="0.2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7"/>
    </row>
    <row r="2863" spans="1:17" x14ac:dyDescent="0.2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7"/>
    </row>
    <row r="2864" spans="1:17" x14ac:dyDescent="0.2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7"/>
    </row>
    <row r="2865" spans="1:17" x14ac:dyDescent="0.2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7"/>
    </row>
    <row r="2866" spans="1:17" x14ac:dyDescent="0.2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7"/>
    </row>
    <row r="2867" spans="1:17" x14ac:dyDescent="0.2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7"/>
    </row>
    <row r="2868" spans="1:17" x14ac:dyDescent="0.2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7"/>
    </row>
    <row r="2869" spans="1:17" x14ac:dyDescent="0.2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7"/>
    </row>
    <row r="2870" spans="1:17" x14ac:dyDescent="0.2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7"/>
    </row>
    <row r="2871" spans="1:17" x14ac:dyDescent="0.2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7"/>
    </row>
    <row r="2872" spans="1:17" x14ac:dyDescent="0.2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7"/>
    </row>
    <row r="2873" spans="1:17" x14ac:dyDescent="0.2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7"/>
    </row>
    <row r="2874" spans="1:17" x14ac:dyDescent="0.2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7"/>
    </row>
    <row r="2875" spans="1:17" x14ac:dyDescent="0.2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7"/>
    </row>
    <row r="2876" spans="1:17" x14ac:dyDescent="0.2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7"/>
    </row>
    <row r="2877" spans="1:17" x14ac:dyDescent="0.2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7"/>
    </row>
    <row r="2878" spans="1:17" x14ac:dyDescent="0.2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7"/>
    </row>
    <row r="2879" spans="1:17" x14ac:dyDescent="0.2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7"/>
    </row>
    <row r="2880" spans="1:17" x14ac:dyDescent="0.2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7"/>
    </row>
    <row r="2881" spans="1:17" x14ac:dyDescent="0.2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7"/>
    </row>
    <row r="2882" spans="1:17" x14ac:dyDescent="0.2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7"/>
    </row>
    <row r="2883" spans="1:17" x14ac:dyDescent="0.2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7"/>
    </row>
    <row r="2884" spans="1:17" x14ac:dyDescent="0.2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7"/>
    </row>
    <row r="2885" spans="1:17" x14ac:dyDescent="0.2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7"/>
    </row>
    <row r="2886" spans="1:17" x14ac:dyDescent="0.2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7"/>
    </row>
    <row r="2887" spans="1:17" x14ac:dyDescent="0.2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7"/>
    </row>
    <row r="2888" spans="1:17" x14ac:dyDescent="0.2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7"/>
    </row>
    <row r="2889" spans="1:17" x14ac:dyDescent="0.2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7"/>
    </row>
    <row r="2890" spans="1:17" x14ac:dyDescent="0.2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7"/>
    </row>
    <row r="2891" spans="1:17" x14ac:dyDescent="0.2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7"/>
    </row>
    <row r="2892" spans="1:17" x14ac:dyDescent="0.2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7"/>
    </row>
    <row r="2893" spans="1:17" x14ac:dyDescent="0.2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7"/>
    </row>
    <row r="2894" spans="1:17" x14ac:dyDescent="0.2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7"/>
    </row>
    <row r="2895" spans="1:17" x14ac:dyDescent="0.2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7"/>
    </row>
    <row r="2896" spans="1:17" x14ac:dyDescent="0.2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7"/>
    </row>
    <row r="2897" spans="1:17" x14ac:dyDescent="0.2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7"/>
    </row>
    <row r="2898" spans="1:17" x14ac:dyDescent="0.2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7"/>
    </row>
    <row r="2899" spans="1:17" x14ac:dyDescent="0.2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7"/>
    </row>
    <row r="2900" spans="1:17" x14ac:dyDescent="0.2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7"/>
    </row>
    <row r="2901" spans="1:17" x14ac:dyDescent="0.2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7"/>
    </row>
    <row r="2902" spans="1:17" x14ac:dyDescent="0.2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7"/>
    </row>
    <row r="2903" spans="1:17" x14ac:dyDescent="0.2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7"/>
    </row>
    <row r="2904" spans="1:17" x14ac:dyDescent="0.2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7"/>
    </row>
    <row r="2905" spans="1:17" x14ac:dyDescent="0.2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7"/>
    </row>
    <row r="2906" spans="1:17" x14ac:dyDescent="0.2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7"/>
    </row>
    <row r="2907" spans="1:17" x14ac:dyDescent="0.2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7"/>
    </row>
    <row r="2908" spans="1:17" x14ac:dyDescent="0.2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7"/>
    </row>
    <row r="2909" spans="1:17" x14ac:dyDescent="0.2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7"/>
    </row>
    <row r="2910" spans="1:17" x14ac:dyDescent="0.2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7"/>
    </row>
    <row r="2911" spans="1:17" x14ac:dyDescent="0.2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7"/>
    </row>
    <row r="2912" spans="1:17" x14ac:dyDescent="0.2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7"/>
    </row>
    <row r="2913" spans="1:17" x14ac:dyDescent="0.2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7"/>
    </row>
    <row r="2914" spans="1:17" x14ac:dyDescent="0.2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7"/>
    </row>
    <row r="2915" spans="1:17" x14ac:dyDescent="0.2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7"/>
    </row>
    <row r="2916" spans="1:17" x14ac:dyDescent="0.2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7"/>
    </row>
    <row r="2917" spans="1:17" x14ac:dyDescent="0.2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7"/>
    </row>
    <row r="2918" spans="1:17" x14ac:dyDescent="0.2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7"/>
    </row>
    <row r="2919" spans="1:17" x14ac:dyDescent="0.2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7"/>
    </row>
    <row r="2920" spans="1:17" x14ac:dyDescent="0.2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7"/>
    </row>
    <row r="2921" spans="1:17" x14ac:dyDescent="0.2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7"/>
    </row>
    <row r="2922" spans="1:17" x14ac:dyDescent="0.2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7"/>
    </row>
    <row r="2923" spans="1:17" x14ac:dyDescent="0.2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7"/>
    </row>
    <row r="2924" spans="1:17" x14ac:dyDescent="0.2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7"/>
    </row>
    <row r="2925" spans="1:17" x14ac:dyDescent="0.2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7"/>
    </row>
    <row r="2926" spans="1:17" x14ac:dyDescent="0.2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7"/>
    </row>
    <row r="2927" spans="1:17" x14ac:dyDescent="0.2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7"/>
    </row>
    <row r="2928" spans="1:17" x14ac:dyDescent="0.2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7"/>
    </row>
    <row r="2929" spans="1:17" x14ac:dyDescent="0.2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7"/>
    </row>
    <row r="2930" spans="1:17" x14ac:dyDescent="0.2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7"/>
    </row>
    <row r="2931" spans="1:17" x14ac:dyDescent="0.2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7"/>
    </row>
    <row r="2932" spans="1:17" x14ac:dyDescent="0.2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7"/>
    </row>
    <row r="2933" spans="1:17" x14ac:dyDescent="0.2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7"/>
    </row>
    <row r="2934" spans="1:17" x14ac:dyDescent="0.2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7"/>
    </row>
    <row r="2935" spans="1:17" x14ac:dyDescent="0.2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7"/>
    </row>
    <row r="2936" spans="1:17" x14ac:dyDescent="0.2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7"/>
    </row>
    <row r="2937" spans="1:17" x14ac:dyDescent="0.2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7"/>
    </row>
    <row r="2938" spans="1:17" x14ac:dyDescent="0.2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7"/>
    </row>
    <row r="2939" spans="1:17" x14ac:dyDescent="0.2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7"/>
    </row>
    <row r="2940" spans="1:17" x14ac:dyDescent="0.2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7"/>
    </row>
    <row r="2941" spans="1:17" x14ac:dyDescent="0.2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7"/>
    </row>
    <row r="2942" spans="1:17" x14ac:dyDescent="0.2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7"/>
    </row>
    <row r="2943" spans="1:17" x14ac:dyDescent="0.2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7"/>
    </row>
    <row r="2944" spans="1:17" x14ac:dyDescent="0.2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7"/>
    </row>
    <row r="2945" spans="1:17" x14ac:dyDescent="0.2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7"/>
    </row>
    <row r="2946" spans="1:17" x14ac:dyDescent="0.2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7"/>
    </row>
    <row r="2947" spans="1:17" x14ac:dyDescent="0.2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7"/>
    </row>
    <row r="2948" spans="1:17" x14ac:dyDescent="0.2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7"/>
    </row>
    <row r="2949" spans="1:17" x14ac:dyDescent="0.2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7"/>
    </row>
    <row r="2950" spans="1:17" x14ac:dyDescent="0.2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7"/>
    </row>
    <row r="2951" spans="1:17" x14ac:dyDescent="0.2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7"/>
    </row>
    <row r="2952" spans="1:17" x14ac:dyDescent="0.2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7"/>
    </row>
    <row r="2953" spans="1:17" x14ac:dyDescent="0.2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7"/>
    </row>
    <row r="2954" spans="1:17" x14ac:dyDescent="0.2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7"/>
    </row>
    <row r="2955" spans="1:17" x14ac:dyDescent="0.2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7"/>
    </row>
    <row r="2956" spans="1:17" x14ac:dyDescent="0.2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7"/>
    </row>
    <row r="2957" spans="1:17" x14ac:dyDescent="0.2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7"/>
    </row>
    <row r="2958" spans="1:17" x14ac:dyDescent="0.2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7"/>
    </row>
    <row r="2959" spans="1:17" x14ac:dyDescent="0.2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7"/>
    </row>
    <row r="2960" spans="1:17" x14ac:dyDescent="0.2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7"/>
    </row>
    <row r="2961" spans="1:17" x14ac:dyDescent="0.2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7"/>
    </row>
    <row r="2962" spans="1:17" x14ac:dyDescent="0.2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7"/>
    </row>
    <row r="2963" spans="1:17" x14ac:dyDescent="0.2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7"/>
    </row>
    <row r="2964" spans="1:17" x14ac:dyDescent="0.2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7"/>
    </row>
    <row r="2965" spans="1:17" x14ac:dyDescent="0.2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7"/>
    </row>
    <row r="2966" spans="1:17" x14ac:dyDescent="0.2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7"/>
    </row>
    <row r="2967" spans="1:17" x14ac:dyDescent="0.2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7"/>
    </row>
    <row r="2968" spans="1:17" x14ac:dyDescent="0.2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7"/>
    </row>
    <row r="2969" spans="1:17" x14ac:dyDescent="0.2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7"/>
    </row>
    <row r="2970" spans="1:17" x14ac:dyDescent="0.2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7"/>
    </row>
    <row r="2971" spans="1:17" x14ac:dyDescent="0.2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7"/>
    </row>
    <row r="2972" spans="1:17" x14ac:dyDescent="0.2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7"/>
    </row>
    <row r="2973" spans="1:17" x14ac:dyDescent="0.2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7"/>
    </row>
    <row r="2974" spans="1:17" x14ac:dyDescent="0.2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7"/>
    </row>
    <row r="2975" spans="1:17" x14ac:dyDescent="0.2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7"/>
    </row>
    <row r="2976" spans="1:17" x14ac:dyDescent="0.2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7"/>
    </row>
    <row r="2977" spans="1:17" x14ac:dyDescent="0.2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7"/>
    </row>
    <row r="2978" spans="1:17" x14ac:dyDescent="0.2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7"/>
    </row>
    <row r="2979" spans="1:17" x14ac:dyDescent="0.2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7"/>
    </row>
    <row r="2980" spans="1:17" x14ac:dyDescent="0.2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7"/>
    </row>
    <row r="2981" spans="1:17" x14ac:dyDescent="0.2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7"/>
    </row>
    <row r="2982" spans="1:17" x14ac:dyDescent="0.2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7"/>
    </row>
    <row r="2983" spans="1:17" x14ac:dyDescent="0.2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7"/>
    </row>
    <row r="2984" spans="1:17" x14ac:dyDescent="0.2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7"/>
    </row>
    <row r="2985" spans="1:17" x14ac:dyDescent="0.2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7"/>
    </row>
    <row r="2986" spans="1:17" x14ac:dyDescent="0.2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7"/>
    </row>
    <row r="2987" spans="1:17" x14ac:dyDescent="0.2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7"/>
    </row>
    <row r="2988" spans="1:17" x14ac:dyDescent="0.2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7"/>
    </row>
    <row r="2989" spans="1:17" x14ac:dyDescent="0.2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7"/>
    </row>
    <row r="2990" spans="1:17" x14ac:dyDescent="0.2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7"/>
    </row>
    <row r="2991" spans="1:17" x14ac:dyDescent="0.2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7"/>
    </row>
    <row r="2992" spans="1:17" x14ac:dyDescent="0.2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7"/>
    </row>
    <row r="2993" spans="1:17" x14ac:dyDescent="0.2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7"/>
    </row>
    <row r="2994" spans="1:17" x14ac:dyDescent="0.2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7"/>
    </row>
    <row r="2995" spans="1:17" x14ac:dyDescent="0.2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7"/>
    </row>
    <row r="2996" spans="1:17" x14ac:dyDescent="0.2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7"/>
    </row>
    <row r="2997" spans="1:17" x14ac:dyDescent="0.2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7"/>
    </row>
    <row r="2998" spans="1:17" x14ac:dyDescent="0.2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7"/>
    </row>
    <row r="2999" spans="1:17" x14ac:dyDescent="0.2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7"/>
    </row>
    <row r="3000" spans="1:17" x14ac:dyDescent="0.2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7"/>
    </row>
    <row r="3001" spans="1:17" x14ac:dyDescent="0.2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7"/>
    </row>
    <row r="3002" spans="1:17" x14ac:dyDescent="0.2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7"/>
    </row>
    <row r="3003" spans="1:17" x14ac:dyDescent="0.2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7"/>
    </row>
    <row r="3004" spans="1:17" x14ac:dyDescent="0.2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7"/>
    </row>
    <row r="3005" spans="1:17" x14ac:dyDescent="0.2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7"/>
    </row>
    <row r="3006" spans="1:17" x14ac:dyDescent="0.2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7"/>
    </row>
    <row r="3007" spans="1:17" x14ac:dyDescent="0.2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7"/>
    </row>
    <row r="3008" spans="1:17" x14ac:dyDescent="0.2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7"/>
    </row>
    <row r="3009" spans="1:17" x14ac:dyDescent="0.2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7"/>
    </row>
    <row r="3010" spans="1:17" x14ac:dyDescent="0.2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7"/>
    </row>
    <row r="3011" spans="1:17" x14ac:dyDescent="0.2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7"/>
    </row>
    <row r="3012" spans="1:17" x14ac:dyDescent="0.2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7"/>
    </row>
    <row r="3013" spans="1:17" x14ac:dyDescent="0.2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7"/>
    </row>
    <row r="3014" spans="1:17" x14ac:dyDescent="0.2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7"/>
    </row>
    <row r="3015" spans="1:17" x14ac:dyDescent="0.2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7"/>
    </row>
    <row r="3016" spans="1:17" x14ac:dyDescent="0.2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7"/>
    </row>
    <row r="3017" spans="1:17" x14ac:dyDescent="0.2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7"/>
    </row>
    <row r="3018" spans="1:17" x14ac:dyDescent="0.2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7"/>
    </row>
    <row r="3019" spans="1:17" x14ac:dyDescent="0.2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7"/>
    </row>
    <row r="3020" spans="1:17" x14ac:dyDescent="0.2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7"/>
    </row>
    <row r="3021" spans="1:17" x14ac:dyDescent="0.2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7"/>
    </row>
    <row r="3022" spans="1:17" x14ac:dyDescent="0.2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7"/>
    </row>
    <row r="3023" spans="1:17" x14ac:dyDescent="0.2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7"/>
    </row>
    <row r="3024" spans="1:17" x14ac:dyDescent="0.2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7"/>
    </row>
    <row r="3025" spans="1:17" x14ac:dyDescent="0.2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7"/>
    </row>
    <row r="3026" spans="1:17" x14ac:dyDescent="0.2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7"/>
    </row>
    <row r="3027" spans="1:17" x14ac:dyDescent="0.2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7"/>
    </row>
    <row r="3028" spans="1:17" x14ac:dyDescent="0.2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7"/>
    </row>
    <row r="3029" spans="1:17" x14ac:dyDescent="0.2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7"/>
    </row>
    <row r="3030" spans="1:17" x14ac:dyDescent="0.2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7"/>
    </row>
    <row r="3031" spans="1:17" x14ac:dyDescent="0.2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7"/>
    </row>
    <row r="3032" spans="1:17" x14ac:dyDescent="0.2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7"/>
    </row>
    <row r="3033" spans="1:17" x14ac:dyDescent="0.2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7"/>
    </row>
    <row r="3034" spans="1:17" x14ac:dyDescent="0.2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7"/>
    </row>
    <row r="3035" spans="1:17" x14ac:dyDescent="0.2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7"/>
    </row>
    <row r="3036" spans="1:17" x14ac:dyDescent="0.2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7"/>
    </row>
    <row r="3037" spans="1:17" x14ac:dyDescent="0.2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7"/>
    </row>
    <row r="3038" spans="1:17" x14ac:dyDescent="0.2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7"/>
    </row>
    <row r="3039" spans="1:17" x14ac:dyDescent="0.2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7"/>
    </row>
    <row r="3040" spans="1:17" x14ac:dyDescent="0.2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7"/>
    </row>
    <row r="3041" spans="1:17" x14ac:dyDescent="0.2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7"/>
    </row>
    <row r="3042" spans="1:17" x14ac:dyDescent="0.2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7"/>
    </row>
    <row r="3043" spans="1:17" x14ac:dyDescent="0.2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7"/>
    </row>
    <row r="3044" spans="1:17" x14ac:dyDescent="0.2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7"/>
    </row>
    <row r="3045" spans="1:17" x14ac:dyDescent="0.2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7"/>
    </row>
    <row r="3046" spans="1:17" x14ac:dyDescent="0.2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7"/>
    </row>
    <row r="3047" spans="1:17" x14ac:dyDescent="0.2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7"/>
    </row>
    <row r="3048" spans="1:17" x14ac:dyDescent="0.2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7"/>
    </row>
    <row r="3049" spans="1:17" x14ac:dyDescent="0.2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7"/>
    </row>
    <row r="3050" spans="1:17" x14ac:dyDescent="0.2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7"/>
    </row>
    <row r="3051" spans="1:17" x14ac:dyDescent="0.2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7"/>
    </row>
    <row r="3052" spans="1:17" x14ac:dyDescent="0.2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7"/>
    </row>
    <row r="3053" spans="1:17" x14ac:dyDescent="0.2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7"/>
    </row>
    <row r="3054" spans="1:17" x14ac:dyDescent="0.2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7"/>
    </row>
    <row r="3055" spans="1:17" x14ac:dyDescent="0.2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7"/>
    </row>
    <row r="3056" spans="1:17" x14ac:dyDescent="0.2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7"/>
    </row>
    <row r="3057" spans="1:17" x14ac:dyDescent="0.2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7"/>
    </row>
    <row r="3058" spans="1:17" x14ac:dyDescent="0.2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7"/>
    </row>
    <row r="3059" spans="1:17" x14ac:dyDescent="0.2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7"/>
    </row>
    <row r="3060" spans="1:17" x14ac:dyDescent="0.2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7"/>
    </row>
    <row r="3061" spans="1:17" x14ac:dyDescent="0.2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7"/>
    </row>
    <row r="3062" spans="1:17" x14ac:dyDescent="0.2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7"/>
    </row>
    <row r="3063" spans="1:17" x14ac:dyDescent="0.2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7"/>
    </row>
    <row r="3064" spans="1:17" x14ac:dyDescent="0.2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7"/>
    </row>
    <row r="3065" spans="1:17" x14ac:dyDescent="0.2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7"/>
    </row>
    <row r="3066" spans="1:17" x14ac:dyDescent="0.2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7"/>
    </row>
    <row r="3067" spans="1:17" x14ac:dyDescent="0.2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7"/>
    </row>
    <row r="3068" spans="1:17" x14ac:dyDescent="0.2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7"/>
    </row>
    <row r="3069" spans="1:17" x14ac:dyDescent="0.2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7"/>
    </row>
    <row r="3070" spans="1:17" x14ac:dyDescent="0.2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7"/>
    </row>
    <row r="3071" spans="1:17" x14ac:dyDescent="0.2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7"/>
    </row>
    <row r="3072" spans="1:17" x14ac:dyDescent="0.2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7"/>
    </row>
    <row r="3073" spans="1:17" x14ac:dyDescent="0.2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7"/>
    </row>
    <row r="3074" spans="1:17" x14ac:dyDescent="0.2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7"/>
    </row>
    <row r="3075" spans="1:17" x14ac:dyDescent="0.2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7"/>
    </row>
    <row r="3076" spans="1:17" x14ac:dyDescent="0.2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7"/>
    </row>
    <row r="3077" spans="1:17" x14ac:dyDescent="0.2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7"/>
    </row>
    <row r="3078" spans="1:17" x14ac:dyDescent="0.2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7"/>
    </row>
    <row r="3079" spans="1:17" x14ac:dyDescent="0.2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7"/>
    </row>
    <row r="3080" spans="1:17" x14ac:dyDescent="0.2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7"/>
    </row>
    <row r="3081" spans="1:17" x14ac:dyDescent="0.2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7"/>
    </row>
    <row r="3082" spans="1:17" x14ac:dyDescent="0.2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7"/>
    </row>
    <row r="3083" spans="1:17" x14ac:dyDescent="0.2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7"/>
    </row>
    <row r="3084" spans="1:17" x14ac:dyDescent="0.2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7"/>
    </row>
    <row r="3085" spans="1:17" x14ac:dyDescent="0.2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7"/>
    </row>
    <row r="3086" spans="1:17" x14ac:dyDescent="0.2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7"/>
    </row>
    <row r="3087" spans="1:17" x14ac:dyDescent="0.2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7"/>
    </row>
    <row r="3088" spans="1:17" x14ac:dyDescent="0.2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7"/>
    </row>
    <row r="3089" spans="1:17" x14ac:dyDescent="0.2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7"/>
    </row>
    <row r="3090" spans="1:17" x14ac:dyDescent="0.2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7"/>
    </row>
    <row r="3091" spans="1:17" x14ac:dyDescent="0.2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7"/>
    </row>
    <row r="3092" spans="1:17" x14ac:dyDescent="0.2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7"/>
    </row>
    <row r="3093" spans="1:17" x14ac:dyDescent="0.2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7"/>
    </row>
    <row r="3094" spans="1:17" x14ac:dyDescent="0.2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7"/>
    </row>
    <row r="3095" spans="1:17" x14ac:dyDescent="0.2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7"/>
    </row>
    <row r="3096" spans="1:17" x14ac:dyDescent="0.2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7"/>
    </row>
    <row r="3097" spans="1:17" x14ac:dyDescent="0.2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7"/>
    </row>
    <row r="3098" spans="1:17" x14ac:dyDescent="0.2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7"/>
    </row>
    <row r="3099" spans="1:17" x14ac:dyDescent="0.2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7"/>
    </row>
    <row r="3100" spans="1:17" x14ac:dyDescent="0.2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7"/>
    </row>
    <row r="3101" spans="1:17" x14ac:dyDescent="0.2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7"/>
    </row>
    <row r="3102" spans="1:17" x14ac:dyDescent="0.2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7"/>
    </row>
    <row r="3103" spans="1:17" x14ac:dyDescent="0.2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7"/>
    </row>
    <row r="3104" spans="1:17" x14ac:dyDescent="0.2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7"/>
    </row>
    <row r="3105" spans="1:17" x14ac:dyDescent="0.2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7"/>
    </row>
    <row r="3106" spans="1:17" x14ac:dyDescent="0.2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7"/>
    </row>
    <row r="3107" spans="1:17" x14ac:dyDescent="0.2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7"/>
    </row>
    <row r="3108" spans="1:17" x14ac:dyDescent="0.2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7"/>
    </row>
    <row r="3109" spans="1:17" x14ac:dyDescent="0.2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7"/>
    </row>
    <row r="3110" spans="1:17" x14ac:dyDescent="0.2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7"/>
    </row>
    <row r="3111" spans="1:17" x14ac:dyDescent="0.2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7"/>
    </row>
    <row r="3112" spans="1:17" x14ac:dyDescent="0.2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7"/>
    </row>
    <row r="3113" spans="1:17" x14ac:dyDescent="0.2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7"/>
    </row>
    <row r="3114" spans="1:17" x14ac:dyDescent="0.2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7"/>
    </row>
    <row r="3115" spans="1:17" x14ac:dyDescent="0.2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7"/>
    </row>
    <row r="3116" spans="1:17" x14ac:dyDescent="0.2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7"/>
    </row>
    <row r="3117" spans="1:17" x14ac:dyDescent="0.2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7"/>
    </row>
    <row r="3118" spans="1:17" x14ac:dyDescent="0.2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7"/>
    </row>
    <row r="3119" spans="1:17" x14ac:dyDescent="0.2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7"/>
    </row>
    <row r="3120" spans="1:17" x14ac:dyDescent="0.2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7"/>
    </row>
    <row r="3121" spans="1:17" x14ac:dyDescent="0.2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7"/>
    </row>
    <row r="3122" spans="1:17" x14ac:dyDescent="0.2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7"/>
    </row>
    <row r="3123" spans="1:17" x14ac:dyDescent="0.2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7"/>
    </row>
    <row r="3124" spans="1:17" x14ac:dyDescent="0.2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7"/>
    </row>
    <row r="3125" spans="1:17" x14ac:dyDescent="0.2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7"/>
    </row>
    <row r="3126" spans="1:17" x14ac:dyDescent="0.2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7"/>
    </row>
    <row r="3127" spans="1:17" x14ac:dyDescent="0.2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7"/>
    </row>
    <row r="3128" spans="1:17" x14ac:dyDescent="0.2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7"/>
    </row>
    <row r="3129" spans="1:17" x14ac:dyDescent="0.2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7"/>
    </row>
    <row r="3130" spans="1:17" x14ac:dyDescent="0.2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7"/>
    </row>
    <row r="3131" spans="1:17" x14ac:dyDescent="0.2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7"/>
    </row>
    <row r="3132" spans="1:17" x14ac:dyDescent="0.2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7"/>
    </row>
    <row r="3133" spans="1:17" x14ac:dyDescent="0.2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7"/>
    </row>
    <row r="3134" spans="1:17" x14ac:dyDescent="0.2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7"/>
    </row>
    <row r="3135" spans="1:17" x14ac:dyDescent="0.2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7"/>
    </row>
    <row r="3136" spans="1:17" x14ac:dyDescent="0.2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7"/>
    </row>
    <row r="3137" spans="1:17" x14ac:dyDescent="0.2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7"/>
    </row>
    <row r="3138" spans="1:17" x14ac:dyDescent="0.2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7"/>
    </row>
    <row r="3139" spans="1:17" x14ac:dyDescent="0.2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7"/>
    </row>
    <row r="3140" spans="1:17" x14ac:dyDescent="0.2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7"/>
    </row>
    <row r="3141" spans="1:17" x14ac:dyDescent="0.2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7"/>
    </row>
    <row r="3142" spans="1:17" x14ac:dyDescent="0.2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7"/>
    </row>
    <row r="3143" spans="1:17" x14ac:dyDescent="0.2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7"/>
    </row>
    <row r="3144" spans="1:17" x14ac:dyDescent="0.2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7"/>
    </row>
    <row r="3145" spans="1:17" x14ac:dyDescent="0.2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7"/>
    </row>
    <row r="3146" spans="1:17" x14ac:dyDescent="0.2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7"/>
    </row>
    <row r="3147" spans="1:17" x14ac:dyDescent="0.2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7"/>
    </row>
    <row r="3148" spans="1:17" x14ac:dyDescent="0.2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7"/>
    </row>
    <row r="3149" spans="1:17" x14ac:dyDescent="0.2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7"/>
    </row>
    <row r="3150" spans="1:17" x14ac:dyDescent="0.2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7"/>
    </row>
    <row r="3151" spans="1:17" x14ac:dyDescent="0.2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7"/>
    </row>
    <row r="3152" spans="1:17" x14ac:dyDescent="0.2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7"/>
    </row>
    <row r="3153" spans="1:17" x14ac:dyDescent="0.2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7"/>
    </row>
    <row r="3154" spans="1:17" x14ac:dyDescent="0.2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7"/>
    </row>
    <row r="3155" spans="1:17" x14ac:dyDescent="0.2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7"/>
    </row>
    <row r="3156" spans="1:17" x14ac:dyDescent="0.2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7"/>
    </row>
    <row r="3157" spans="1:17" x14ac:dyDescent="0.2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7"/>
    </row>
    <row r="3158" spans="1:17" x14ac:dyDescent="0.2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7"/>
    </row>
    <row r="3159" spans="1:17" x14ac:dyDescent="0.2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7"/>
    </row>
    <row r="3160" spans="1:17" x14ac:dyDescent="0.2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7"/>
    </row>
    <row r="3161" spans="1:17" x14ac:dyDescent="0.2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7"/>
    </row>
    <row r="3162" spans="1:17" x14ac:dyDescent="0.2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7"/>
    </row>
    <row r="3163" spans="1:17" x14ac:dyDescent="0.2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7"/>
    </row>
    <row r="3164" spans="1:17" x14ac:dyDescent="0.2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7"/>
    </row>
    <row r="3165" spans="1:17" x14ac:dyDescent="0.2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7"/>
    </row>
    <row r="3166" spans="1:17" x14ac:dyDescent="0.2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7"/>
    </row>
    <row r="3167" spans="1:17" x14ac:dyDescent="0.2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7"/>
    </row>
    <row r="3168" spans="1:17" x14ac:dyDescent="0.2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7"/>
    </row>
    <row r="3169" spans="1:17" x14ac:dyDescent="0.2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7"/>
    </row>
    <row r="3170" spans="1:17" x14ac:dyDescent="0.2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7"/>
    </row>
    <row r="3171" spans="1:17" x14ac:dyDescent="0.2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7"/>
    </row>
    <row r="3172" spans="1:17" x14ac:dyDescent="0.2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7"/>
    </row>
    <row r="3173" spans="1:17" x14ac:dyDescent="0.2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7"/>
    </row>
    <row r="3174" spans="1:17" x14ac:dyDescent="0.2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7"/>
    </row>
    <row r="3175" spans="1:17" x14ac:dyDescent="0.2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7"/>
    </row>
    <row r="3176" spans="1:17" x14ac:dyDescent="0.2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7"/>
    </row>
    <row r="3177" spans="1:17" x14ac:dyDescent="0.2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7"/>
    </row>
    <row r="3178" spans="1:17" x14ac:dyDescent="0.2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7"/>
    </row>
    <row r="3179" spans="1:17" x14ac:dyDescent="0.2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7"/>
    </row>
    <row r="3180" spans="1:17" x14ac:dyDescent="0.2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7"/>
    </row>
    <row r="3181" spans="1:17" x14ac:dyDescent="0.2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7"/>
    </row>
    <row r="3182" spans="1:17" x14ac:dyDescent="0.2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7"/>
    </row>
    <row r="3183" spans="1:17" x14ac:dyDescent="0.2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7"/>
    </row>
    <row r="3184" spans="1:17" x14ac:dyDescent="0.2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7"/>
    </row>
    <row r="3185" spans="1:17" x14ac:dyDescent="0.2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7"/>
    </row>
    <row r="3186" spans="1:17" x14ac:dyDescent="0.2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7"/>
    </row>
    <row r="3187" spans="1:17" x14ac:dyDescent="0.2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7"/>
    </row>
    <row r="3188" spans="1:17" x14ac:dyDescent="0.2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7"/>
    </row>
    <row r="3189" spans="1:17" x14ac:dyDescent="0.2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7"/>
    </row>
    <row r="3190" spans="1:17" x14ac:dyDescent="0.2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7"/>
    </row>
    <row r="3191" spans="1:17" x14ac:dyDescent="0.2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7"/>
    </row>
    <row r="3192" spans="1:17" x14ac:dyDescent="0.2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7"/>
    </row>
    <row r="3193" spans="1:17" x14ac:dyDescent="0.2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7"/>
    </row>
    <row r="3194" spans="1:17" x14ac:dyDescent="0.2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7"/>
    </row>
    <row r="3195" spans="1:17" x14ac:dyDescent="0.2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7"/>
    </row>
    <row r="3196" spans="1:17" x14ac:dyDescent="0.2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7"/>
    </row>
    <row r="3197" spans="1:17" x14ac:dyDescent="0.2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7"/>
    </row>
    <row r="3198" spans="1:17" x14ac:dyDescent="0.2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7"/>
    </row>
    <row r="3199" spans="1:17" x14ac:dyDescent="0.2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7"/>
    </row>
    <row r="3200" spans="1:17" x14ac:dyDescent="0.2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7"/>
    </row>
    <row r="3201" spans="1:17" x14ac:dyDescent="0.2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7"/>
    </row>
    <row r="3202" spans="1:17" x14ac:dyDescent="0.2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7"/>
    </row>
    <row r="3203" spans="1:17" x14ac:dyDescent="0.2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7"/>
    </row>
    <row r="3204" spans="1:17" x14ac:dyDescent="0.2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7"/>
    </row>
    <row r="3205" spans="1:17" x14ac:dyDescent="0.2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7"/>
    </row>
    <row r="3206" spans="1:17" x14ac:dyDescent="0.2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7"/>
    </row>
    <row r="3207" spans="1:17" x14ac:dyDescent="0.2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7"/>
    </row>
    <row r="3208" spans="1:17" x14ac:dyDescent="0.2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7"/>
    </row>
    <row r="3209" spans="1:17" x14ac:dyDescent="0.2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7"/>
    </row>
    <row r="3210" spans="1:17" x14ac:dyDescent="0.2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7"/>
    </row>
    <row r="3211" spans="1:17" x14ac:dyDescent="0.2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7"/>
    </row>
    <row r="3212" spans="1:17" x14ac:dyDescent="0.2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7"/>
    </row>
    <row r="3213" spans="1:17" x14ac:dyDescent="0.2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7"/>
    </row>
    <row r="3214" spans="1:17" x14ac:dyDescent="0.2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7"/>
    </row>
    <row r="3215" spans="1:17" x14ac:dyDescent="0.2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7"/>
    </row>
    <row r="3216" spans="1:17" x14ac:dyDescent="0.2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7"/>
    </row>
    <row r="3217" spans="1:17" x14ac:dyDescent="0.2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7"/>
    </row>
    <row r="3218" spans="1:17" x14ac:dyDescent="0.2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7"/>
    </row>
    <row r="3219" spans="1:17" x14ac:dyDescent="0.2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7"/>
    </row>
    <row r="3220" spans="1:17" x14ac:dyDescent="0.2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7"/>
    </row>
    <row r="3221" spans="1:17" x14ac:dyDescent="0.2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7"/>
    </row>
    <row r="3222" spans="1:17" x14ac:dyDescent="0.2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7"/>
    </row>
    <row r="3223" spans="1:17" x14ac:dyDescent="0.2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7"/>
    </row>
    <row r="3224" spans="1:17" x14ac:dyDescent="0.2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7"/>
    </row>
    <row r="3225" spans="1:17" x14ac:dyDescent="0.2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7"/>
    </row>
    <row r="3226" spans="1:17" x14ac:dyDescent="0.2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7"/>
    </row>
    <row r="3227" spans="1:17" x14ac:dyDescent="0.2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7"/>
    </row>
    <row r="3228" spans="1:17" x14ac:dyDescent="0.2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7"/>
    </row>
    <row r="3229" spans="1:17" x14ac:dyDescent="0.2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7"/>
    </row>
    <row r="3230" spans="1:17" x14ac:dyDescent="0.2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7"/>
    </row>
    <row r="3231" spans="1:17" x14ac:dyDescent="0.2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7"/>
    </row>
    <row r="3232" spans="1:17" x14ac:dyDescent="0.2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7"/>
    </row>
    <row r="3233" spans="1:17" x14ac:dyDescent="0.2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7"/>
    </row>
    <row r="3234" spans="1:17" x14ac:dyDescent="0.2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7"/>
    </row>
    <row r="3235" spans="1:17" x14ac:dyDescent="0.2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7"/>
    </row>
    <row r="3236" spans="1:17" x14ac:dyDescent="0.2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7"/>
    </row>
    <row r="3237" spans="1:17" x14ac:dyDescent="0.2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7"/>
    </row>
    <row r="3238" spans="1:17" x14ac:dyDescent="0.2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7"/>
    </row>
    <row r="3239" spans="1:17" x14ac:dyDescent="0.2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7"/>
    </row>
    <row r="3240" spans="1:17" x14ac:dyDescent="0.2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7"/>
    </row>
    <row r="3241" spans="1:17" x14ac:dyDescent="0.2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7"/>
    </row>
    <row r="3242" spans="1:17" x14ac:dyDescent="0.2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7"/>
    </row>
    <row r="3243" spans="1:17" x14ac:dyDescent="0.2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7"/>
    </row>
    <row r="3244" spans="1:17" x14ac:dyDescent="0.2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7"/>
    </row>
    <row r="3245" spans="1:17" x14ac:dyDescent="0.2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7"/>
    </row>
    <row r="3246" spans="1:17" x14ac:dyDescent="0.2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7"/>
    </row>
    <row r="3247" spans="1:17" x14ac:dyDescent="0.2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7"/>
    </row>
    <row r="3248" spans="1:17" x14ac:dyDescent="0.2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7"/>
    </row>
    <row r="3249" spans="1:17" x14ac:dyDescent="0.2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7"/>
    </row>
    <row r="3250" spans="1:17" x14ac:dyDescent="0.2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7"/>
    </row>
    <row r="3251" spans="1:17" x14ac:dyDescent="0.2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7"/>
    </row>
    <row r="3252" spans="1:17" x14ac:dyDescent="0.2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7"/>
    </row>
    <row r="3253" spans="1:17" x14ac:dyDescent="0.2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7"/>
    </row>
    <row r="3254" spans="1:17" x14ac:dyDescent="0.2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7"/>
    </row>
    <row r="3255" spans="1:17" x14ac:dyDescent="0.2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7"/>
    </row>
    <row r="3256" spans="1:17" x14ac:dyDescent="0.2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7"/>
    </row>
    <row r="3257" spans="1:17" x14ac:dyDescent="0.2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7"/>
    </row>
    <row r="3258" spans="1:17" x14ac:dyDescent="0.2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7"/>
    </row>
    <row r="3259" spans="1:17" x14ac:dyDescent="0.2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7"/>
    </row>
    <row r="3260" spans="1:17" x14ac:dyDescent="0.2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7"/>
    </row>
    <row r="3261" spans="1:17" x14ac:dyDescent="0.2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7"/>
    </row>
    <row r="3262" spans="1:17" x14ac:dyDescent="0.2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7"/>
    </row>
    <row r="3263" spans="1:17" x14ac:dyDescent="0.2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7"/>
    </row>
    <row r="3264" spans="1:17" x14ac:dyDescent="0.2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7"/>
    </row>
    <row r="3265" spans="1:17" x14ac:dyDescent="0.2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7"/>
    </row>
    <row r="3266" spans="1:17" x14ac:dyDescent="0.2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7"/>
    </row>
    <row r="3267" spans="1:17" x14ac:dyDescent="0.2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7"/>
    </row>
    <row r="3268" spans="1:17" x14ac:dyDescent="0.2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7"/>
    </row>
    <row r="3269" spans="1:17" x14ac:dyDescent="0.2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7"/>
    </row>
    <row r="3270" spans="1:17" x14ac:dyDescent="0.2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7"/>
    </row>
    <row r="3271" spans="1:17" x14ac:dyDescent="0.2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7"/>
    </row>
    <row r="3272" spans="1:17" x14ac:dyDescent="0.2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7"/>
    </row>
    <row r="3273" spans="1:17" x14ac:dyDescent="0.2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7"/>
    </row>
    <row r="3274" spans="1:17" x14ac:dyDescent="0.2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7"/>
    </row>
    <row r="3275" spans="1:17" x14ac:dyDescent="0.2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7"/>
    </row>
    <row r="3276" spans="1:17" x14ac:dyDescent="0.2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7"/>
    </row>
    <row r="3277" spans="1:17" x14ac:dyDescent="0.2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7"/>
    </row>
    <row r="3278" spans="1:17" x14ac:dyDescent="0.2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7"/>
    </row>
    <row r="3279" spans="1:17" x14ac:dyDescent="0.2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7"/>
    </row>
    <row r="3280" spans="1:17" x14ac:dyDescent="0.2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7"/>
    </row>
    <row r="3281" spans="1:17" x14ac:dyDescent="0.2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7"/>
    </row>
    <row r="3282" spans="1:17" x14ac:dyDescent="0.2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7"/>
    </row>
    <row r="3283" spans="1:17" x14ac:dyDescent="0.2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7"/>
    </row>
    <row r="3284" spans="1:17" x14ac:dyDescent="0.2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7"/>
    </row>
    <row r="3285" spans="1:17" x14ac:dyDescent="0.2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7"/>
    </row>
    <row r="3286" spans="1:17" x14ac:dyDescent="0.2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7"/>
    </row>
    <row r="3287" spans="1:17" x14ac:dyDescent="0.2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7"/>
    </row>
    <row r="3288" spans="1:17" x14ac:dyDescent="0.2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7"/>
    </row>
    <row r="3289" spans="1:17" x14ac:dyDescent="0.2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7"/>
    </row>
    <row r="3290" spans="1:17" x14ac:dyDescent="0.2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7"/>
    </row>
    <row r="3291" spans="1:17" x14ac:dyDescent="0.2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7"/>
    </row>
    <row r="3292" spans="1:17" x14ac:dyDescent="0.2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7"/>
    </row>
    <row r="3293" spans="1:17" x14ac:dyDescent="0.2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7"/>
    </row>
    <row r="3294" spans="1:17" x14ac:dyDescent="0.2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7"/>
    </row>
    <row r="3295" spans="1:17" x14ac:dyDescent="0.2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7"/>
    </row>
    <row r="3296" spans="1:17" x14ac:dyDescent="0.2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7"/>
    </row>
    <row r="3297" spans="1:17" x14ac:dyDescent="0.2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7"/>
    </row>
    <row r="3298" spans="1:17" x14ac:dyDescent="0.2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7"/>
    </row>
    <row r="3299" spans="1:17" x14ac:dyDescent="0.2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7"/>
    </row>
    <row r="3300" spans="1:17" x14ac:dyDescent="0.2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7"/>
    </row>
    <row r="3301" spans="1:17" x14ac:dyDescent="0.2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7"/>
    </row>
    <row r="3302" spans="1:17" x14ac:dyDescent="0.2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7"/>
    </row>
    <row r="3303" spans="1:17" x14ac:dyDescent="0.2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7"/>
    </row>
    <row r="3304" spans="1:17" x14ac:dyDescent="0.2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7"/>
    </row>
    <row r="3305" spans="1:17" x14ac:dyDescent="0.2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7"/>
    </row>
    <row r="3306" spans="1:17" x14ac:dyDescent="0.2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7"/>
    </row>
    <row r="3307" spans="1:17" x14ac:dyDescent="0.2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7"/>
    </row>
    <row r="3308" spans="1:17" x14ac:dyDescent="0.2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7"/>
    </row>
    <row r="3309" spans="1:17" x14ac:dyDescent="0.2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7"/>
    </row>
    <row r="3310" spans="1:17" x14ac:dyDescent="0.2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7"/>
    </row>
    <row r="3311" spans="1:17" x14ac:dyDescent="0.2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7"/>
    </row>
    <row r="3312" spans="1:17" x14ac:dyDescent="0.2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7"/>
    </row>
    <row r="3313" spans="1:17" x14ac:dyDescent="0.2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7"/>
    </row>
    <row r="3314" spans="1:17" x14ac:dyDescent="0.2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7"/>
    </row>
    <row r="3315" spans="1:17" x14ac:dyDescent="0.2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7"/>
    </row>
    <row r="3316" spans="1:17" x14ac:dyDescent="0.2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7"/>
    </row>
    <row r="3317" spans="1:17" x14ac:dyDescent="0.2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7"/>
    </row>
    <row r="3318" spans="1:17" x14ac:dyDescent="0.2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7"/>
    </row>
    <row r="3319" spans="1:17" x14ac:dyDescent="0.2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7"/>
    </row>
    <row r="3320" spans="1:17" x14ac:dyDescent="0.2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7"/>
    </row>
    <row r="3321" spans="1:17" x14ac:dyDescent="0.2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7"/>
    </row>
    <row r="3322" spans="1:17" x14ac:dyDescent="0.2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7"/>
    </row>
    <row r="3323" spans="1:17" x14ac:dyDescent="0.2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7"/>
    </row>
    <row r="3324" spans="1:17" x14ac:dyDescent="0.2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7"/>
    </row>
    <row r="3325" spans="1:17" x14ac:dyDescent="0.2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7"/>
    </row>
    <row r="3326" spans="1:17" x14ac:dyDescent="0.2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7"/>
    </row>
    <row r="3327" spans="1:17" x14ac:dyDescent="0.2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7"/>
    </row>
    <row r="3328" spans="1:17" x14ac:dyDescent="0.2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7"/>
    </row>
    <row r="3329" spans="1:17" x14ac:dyDescent="0.2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7"/>
    </row>
    <row r="3330" spans="1:17" x14ac:dyDescent="0.2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7"/>
    </row>
    <row r="3331" spans="1:17" x14ac:dyDescent="0.2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7"/>
    </row>
    <row r="3332" spans="1:17" x14ac:dyDescent="0.2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7"/>
    </row>
    <row r="3333" spans="1:17" x14ac:dyDescent="0.2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7"/>
    </row>
    <row r="3334" spans="1:17" x14ac:dyDescent="0.2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7"/>
    </row>
    <row r="3335" spans="1:17" x14ac:dyDescent="0.2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7"/>
    </row>
    <row r="3336" spans="1:17" x14ac:dyDescent="0.2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7"/>
    </row>
    <row r="3337" spans="1:17" x14ac:dyDescent="0.2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7"/>
    </row>
    <row r="3338" spans="1:17" x14ac:dyDescent="0.2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7"/>
    </row>
    <row r="3339" spans="1:17" x14ac:dyDescent="0.2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7"/>
    </row>
    <row r="3340" spans="1:17" x14ac:dyDescent="0.2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7"/>
    </row>
    <row r="3341" spans="1:17" x14ac:dyDescent="0.2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7"/>
    </row>
    <row r="3342" spans="1:17" x14ac:dyDescent="0.2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7"/>
    </row>
    <row r="3343" spans="1:17" x14ac:dyDescent="0.2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7"/>
    </row>
    <row r="3344" spans="1:17" x14ac:dyDescent="0.2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7"/>
    </row>
    <row r="3345" spans="1:17" x14ac:dyDescent="0.2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7"/>
    </row>
    <row r="3346" spans="1:17" x14ac:dyDescent="0.2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7"/>
    </row>
    <row r="3347" spans="1:17" x14ac:dyDescent="0.2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7"/>
    </row>
    <row r="3348" spans="1:17" x14ac:dyDescent="0.2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7"/>
    </row>
    <row r="3349" spans="1:17" x14ac:dyDescent="0.2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7"/>
    </row>
    <row r="3350" spans="1:17" x14ac:dyDescent="0.2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7"/>
    </row>
    <row r="3351" spans="1:17" x14ac:dyDescent="0.2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7"/>
    </row>
    <row r="3352" spans="1:17" x14ac:dyDescent="0.2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7"/>
    </row>
    <row r="3353" spans="1:17" x14ac:dyDescent="0.2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7"/>
    </row>
    <row r="3354" spans="1:17" x14ac:dyDescent="0.2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7"/>
    </row>
    <row r="3355" spans="1:17" x14ac:dyDescent="0.2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7"/>
    </row>
    <row r="3356" spans="1:17" x14ac:dyDescent="0.2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7"/>
    </row>
    <row r="3357" spans="1:17" x14ac:dyDescent="0.2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7"/>
    </row>
    <row r="3358" spans="1:17" x14ac:dyDescent="0.2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7"/>
    </row>
    <row r="3359" spans="1:17" x14ac:dyDescent="0.2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7"/>
    </row>
    <row r="3360" spans="1:17" x14ac:dyDescent="0.2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7"/>
    </row>
    <row r="3361" spans="1:17" x14ac:dyDescent="0.2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7"/>
    </row>
    <row r="3362" spans="1:17" x14ac:dyDescent="0.2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7"/>
    </row>
    <row r="3363" spans="1:17" x14ac:dyDescent="0.2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7"/>
    </row>
    <row r="3364" spans="1:17" x14ac:dyDescent="0.2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7"/>
    </row>
    <row r="3365" spans="1:17" x14ac:dyDescent="0.2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7"/>
    </row>
    <row r="3366" spans="1:17" x14ac:dyDescent="0.2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7"/>
    </row>
    <row r="3367" spans="1:17" x14ac:dyDescent="0.2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7"/>
    </row>
    <row r="3368" spans="1:17" x14ac:dyDescent="0.2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7"/>
    </row>
    <row r="3369" spans="1:17" x14ac:dyDescent="0.2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7"/>
    </row>
    <row r="3370" spans="1:17" x14ac:dyDescent="0.2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7"/>
    </row>
    <row r="3371" spans="1:17" x14ac:dyDescent="0.2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7"/>
    </row>
    <row r="3372" spans="1:17" x14ac:dyDescent="0.2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7"/>
    </row>
    <row r="3373" spans="1:17" x14ac:dyDescent="0.2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7"/>
    </row>
    <row r="3374" spans="1:17" x14ac:dyDescent="0.2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7"/>
    </row>
    <row r="3375" spans="1:17" x14ac:dyDescent="0.2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7"/>
    </row>
    <row r="3376" spans="1:17" x14ac:dyDescent="0.2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7"/>
    </row>
    <row r="3377" spans="1:17" x14ac:dyDescent="0.2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7"/>
    </row>
    <row r="3378" spans="1:17" x14ac:dyDescent="0.2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7"/>
    </row>
    <row r="3379" spans="1:17" x14ac:dyDescent="0.2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7"/>
    </row>
    <row r="3380" spans="1:17" x14ac:dyDescent="0.2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7"/>
    </row>
    <row r="3381" spans="1:17" x14ac:dyDescent="0.2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7"/>
    </row>
    <row r="3382" spans="1:17" x14ac:dyDescent="0.2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7"/>
    </row>
    <row r="3383" spans="1:17" x14ac:dyDescent="0.2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7"/>
    </row>
    <row r="3384" spans="1:17" x14ac:dyDescent="0.2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7"/>
    </row>
    <row r="3385" spans="1:17" x14ac:dyDescent="0.2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7"/>
    </row>
    <row r="3386" spans="1:17" x14ac:dyDescent="0.2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7"/>
    </row>
    <row r="3387" spans="1:17" x14ac:dyDescent="0.2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7"/>
    </row>
    <row r="3388" spans="1:17" x14ac:dyDescent="0.2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7"/>
    </row>
    <row r="3389" spans="1:17" x14ac:dyDescent="0.2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7"/>
    </row>
    <row r="3390" spans="1:17" x14ac:dyDescent="0.2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7"/>
    </row>
    <row r="3391" spans="1:17" x14ac:dyDescent="0.2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7"/>
    </row>
    <row r="3392" spans="1:17" x14ac:dyDescent="0.2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7"/>
    </row>
    <row r="3393" spans="1:17" x14ac:dyDescent="0.2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7"/>
    </row>
    <row r="3394" spans="1:17" x14ac:dyDescent="0.2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7"/>
    </row>
    <row r="3395" spans="1:17" x14ac:dyDescent="0.2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7"/>
    </row>
    <row r="3396" spans="1:17" x14ac:dyDescent="0.2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7"/>
    </row>
    <row r="3397" spans="1:17" x14ac:dyDescent="0.2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7"/>
    </row>
    <row r="3398" spans="1:17" x14ac:dyDescent="0.2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7"/>
    </row>
    <row r="3399" spans="1:17" x14ac:dyDescent="0.2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7"/>
    </row>
    <row r="3400" spans="1:17" x14ac:dyDescent="0.2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7"/>
    </row>
    <row r="3401" spans="1:17" x14ac:dyDescent="0.2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7"/>
    </row>
    <row r="3402" spans="1:17" x14ac:dyDescent="0.2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7"/>
    </row>
    <row r="3403" spans="1:17" x14ac:dyDescent="0.2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7"/>
    </row>
    <row r="3404" spans="1:17" x14ac:dyDescent="0.2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7"/>
    </row>
    <row r="3405" spans="1:17" x14ac:dyDescent="0.2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7"/>
    </row>
    <row r="3406" spans="1:17" x14ac:dyDescent="0.2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7"/>
    </row>
    <row r="3407" spans="1:17" x14ac:dyDescent="0.2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7"/>
    </row>
    <row r="3408" spans="1:17" x14ac:dyDescent="0.2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7"/>
    </row>
    <row r="3409" spans="1:17" x14ac:dyDescent="0.2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7"/>
    </row>
    <row r="3410" spans="1:17" x14ac:dyDescent="0.2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7"/>
    </row>
    <row r="3411" spans="1:17" x14ac:dyDescent="0.2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7"/>
    </row>
    <row r="3412" spans="1:17" x14ac:dyDescent="0.2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7"/>
    </row>
    <row r="3413" spans="1:17" x14ac:dyDescent="0.2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7"/>
    </row>
    <row r="3414" spans="1:17" x14ac:dyDescent="0.2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7"/>
    </row>
    <row r="3415" spans="1:17" x14ac:dyDescent="0.2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7"/>
    </row>
    <row r="3416" spans="1:17" x14ac:dyDescent="0.2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7"/>
    </row>
    <row r="3417" spans="1:17" x14ac:dyDescent="0.2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7"/>
    </row>
    <row r="3418" spans="1:17" x14ac:dyDescent="0.2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7"/>
    </row>
    <row r="3419" spans="1:17" x14ac:dyDescent="0.2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7"/>
    </row>
    <row r="3420" spans="1:17" x14ac:dyDescent="0.2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7"/>
    </row>
    <row r="3421" spans="1:17" x14ac:dyDescent="0.2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7"/>
    </row>
    <row r="3422" spans="1:17" x14ac:dyDescent="0.2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7"/>
    </row>
    <row r="3423" spans="1:17" x14ac:dyDescent="0.2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7"/>
    </row>
    <row r="3424" spans="1:17" x14ac:dyDescent="0.2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7"/>
    </row>
    <row r="3425" spans="1:17" x14ac:dyDescent="0.2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7"/>
    </row>
    <row r="3426" spans="1:17" x14ac:dyDescent="0.2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7"/>
    </row>
    <row r="3427" spans="1:17" x14ac:dyDescent="0.2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7"/>
    </row>
    <row r="3428" spans="1:17" x14ac:dyDescent="0.2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7"/>
    </row>
    <row r="3429" spans="1:17" x14ac:dyDescent="0.2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7"/>
    </row>
    <row r="3430" spans="1:17" x14ac:dyDescent="0.2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7"/>
    </row>
    <row r="3431" spans="1:17" x14ac:dyDescent="0.2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7"/>
    </row>
    <row r="3432" spans="1:17" x14ac:dyDescent="0.2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7"/>
    </row>
    <row r="3433" spans="1:17" x14ac:dyDescent="0.2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7"/>
    </row>
    <row r="3434" spans="1:17" x14ac:dyDescent="0.2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7"/>
    </row>
    <row r="3435" spans="1:17" x14ac:dyDescent="0.2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7"/>
    </row>
    <row r="3436" spans="1:17" x14ac:dyDescent="0.2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7"/>
    </row>
    <row r="3437" spans="1:17" x14ac:dyDescent="0.2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7"/>
    </row>
    <row r="3438" spans="1:17" x14ac:dyDescent="0.2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7"/>
    </row>
    <row r="3439" spans="1:17" x14ac:dyDescent="0.2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7"/>
    </row>
    <row r="3440" spans="1:17" x14ac:dyDescent="0.2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7"/>
    </row>
    <row r="3441" spans="1:17" x14ac:dyDescent="0.2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7"/>
    </row>
    <row r="3442" spans="1:17" x14ac:dyDescent="0.2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7"/>
    </row>
    <row r="3443" spans="1:17" x14ac:dyDescent="0.2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7"/>
    </row>
    <row r="3444" spans="1:17" x14ac:dyDescent="0.2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7"/>
    </row>
    <row r="3445" spans="1:17" x14ac:dyDescent="0.2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7"/>
    </row>
    <row r="3446" spans="1:17" x14ac:dyDescent="0.2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7"/>
    </row>
    <row r="3447" spans="1:17" x14ac:dyDescent="0.2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7"/>
    </row>
    <row r="3448" spans="1:17" x14ac:dyDescent="0.2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7"/>
    </row>
    <row r="3449" spans="1:17" x14ac:dyDescent="0.2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7"/>
    </row>
    <row r="3450" spans="1:17" x14ac:dyDescent="0.2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7"/>
    </row>
    <row r="3451" spans="1:17" x14ac:dyDescent="0.2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7"/>
    </row>
    <row r="3452" spans="1:17" x14ac:dyDescent="0.2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7"/>
    </row>
    <row r="3453" spans="1:17" x14ac:dyDescent="0.2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7"/>
    </row>
    <row r="3454" spans="1:17" x14ac:dyDescent="0.2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7"/>
    </row>
    <row r="3455" spans="1:17" x14ac:dyDescent="0.2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7"/>
    </row>
    <row r="3456" spans="1:17" x14ac:dyDescent="0.2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7"/>
    </row>
    <row r="3457" spans="1:17" x14ac:dyDescent="0.2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7"/>
    </row>
    <row r="3458" spans="1:17" x14ac:dyDescent="0.2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7"/>
    </row>
    <row r="3459" spans="1:17" x14ac:dyDescent="0.2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7"/>
    </row>
    <row r="3460" spans="1:17" x14ac:dyDescent="0.2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7"/>
    </row>
    <row r="3461" spans="1:17" x14ac:dyDescent="0.2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7"/>
    </row>
    <row r="3462" spans="1:17" x14ac:dyDescent="0.2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7"/>
    </row>
    <row r="3463" spans="1:17" x14ac:dyDescent="0.2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7"/>
    </row>
    <row r="3464" spans="1:17" x14ac:dyDescent="0.2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7"/>
    </row>
    <row r="3465" spans="1:17" x14ac:dyDescent="0.2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7"/>
    </row>
    <row r="3466" spans="1:17" x14ac:dyDescent="0.2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7"/>
    </row>
    <row r="3467" spans="1:17" x14ac:dyDescent="0.2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7"/>
    </row>
    <row r="3468" spans="1:17" x14ac:dyDescent="0.2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7"/>
    </row>
    <row r="3469" spans="1:17" x14ac:dyDescent="0.2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7"/>
    </row>
    <row r="3470" spans="1:17" x14ac:dyDescent="0.2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7"/>
    </row>
    <row r="3471" spans="1:17" x14ac:dyDescent="0.2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7"/>
    </row>
    <row r="3472" spans="1:17" x14ac:dyDescent="0.2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7"/>
    </row>
    <row r="3473" spans="1:17" x14ac:dyDescent="0.2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7"/>
    </row>
    <row r="3474" spans="1:17" x14ac:dyDescent="0.2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7"/>
    </row>
    <row r="3475" spans="1:17" x14ac:dyDescent="0.2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7"/>
    </row>
    <row r="3476" spans="1:17" x14ac:dyDescent="0.2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7"/>
    </row>
    <row r="3477" spans="1:17" x14ac:dyDescent="0.2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7"/>
    </row>
    <row r="3478" spans="1:17" x14ac:dyDescent="0.2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7"/>
    </row>
    <row r="3479" spans="1:17" x14ac:dyDescent="0.2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7"/>
    </row>
    <row r="3480" spans="1:17" x14ac:dyDescent="0.2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7"/>
    </row>
    <row r="3481" spans="1:17" x14ac:dyDescent="0.2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7"/>
    </row>
    <row r="3482" spans="1:17" x14ac:dyDescent="0.2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7"/>
    </row>
    <row r="3483" spans="1:17" x14ac:dyDescent="0.2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7"/>
    </row>
    <row r="3484" spans="1:17" x14ac:dyDescent="0.2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7"/>
    </row>
    <row r="3485" spans="1:17" x14ac:dyDescent="0.2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7"/>
    </row>
    <row r="3486" spans="1:17" x14ac:dyDescent="0.2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7"/>
    </row>
    <row r="3487" spans="1:17" x14ac:dyDescent="0.2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7"/>
    </row>
    <row r="3488" spans="1:17" x14ac:dyDescent="0.2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7"/>
    </row>
    <row r="3489" spans="1:17" x14ac:dyDescent="0.2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7"/>
    </row>
    <row r="3490" spans="1:17" x14ac:dyDescent="0.2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7"/>
    </row>
    <row r="3491" spans="1:17" x14ac:dyDescent="0.2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7"/>
    </row>
    <row r="3492" spans="1:17" x14ac:dyDescent="0.2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7"/>
    </row>
    <row r="3493" spans="1:17" x14ac:dyDescent="0.2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7"/>
    </row>
    <row r="3494" spans="1:17" x14ac:dyDescent="0.2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7"/>
    </row>
    <row r="3495" spans="1:17" x14ac:dyDescent="0.2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7"/>
    </row>
    <row r="3496" spans="1:17" x14ac:dyDescent="0.2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7"/>
    </row>
    <row r="3497" spans="1:17" x14ac:dyDescent="0.2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7"/>
    </row>
    <row r="3498" spans="1:17" x14ac:dyDescent="0.2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7"/>
    </row>
    <row r="3499" spans="1:17" x14ac:dyDescent="0.2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7"/>
    </row>
    <row r="3500" spans="1:17" x14ac:dyDescent="0.2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7"/>
    </row>
    <row r="3501" spans="1:17" x14ac:dyDescent="0.2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7"/>
    </row>
    <row r="3502" spans="1:17" x14ac:dyDescent="0.2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7"/>
    </row>
    <row r="3503" spans="1:17" x14ac:dyDescent="0.2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7"/>
    </row>
    <row r="3504" spans="1:17" x14ac:dyDescent="0.2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7"/>
    </row>
    <row r="3505" spans="1:17" x14ac:dyDescent="0.2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7"/>
    </row>
    <row r="3506" spans="1:17" x14ac:dyDescent="0.2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7"/>
    </row>
    <row r="3507" spans="1:17" x14ac:dyDescent="0.2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7"/>
    </row>
    <row r="3508" spans="1:17" x14ac:dyDescent="0.2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7"/>
    </row>
    <row r="3509" spans="1:17" x14ac:dyDescent="0.2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7"/>
    </row>
    <row r="3510" spans="1:17" x14ac:dyDescent="0.2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7"/>
    </row>
    <row r="3511" spans="1:17" x14ac:dyDescent="0.2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7"/>
    </row>
    <row r="3512" spans="1:17" x14ac:dyDescent="0.2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7"/>
    </row>
    <row r="3513" spans="1:17" x14ac:dyDescent="0.2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7"/>
    </row>
    <row r="3514" spans="1:17" x14ac:dyDescent="0.2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7"/>
    </row>
    <row r="3515" spans="1:17" x14ac:dyDescent="0.2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7"/>
    </row>
    <row r="3516" spans="1:17" x14ac:dyDescent="0.2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7"/>
    </row>
    <row r="3517" spans="1:17" x14ac:dyDescent="0.2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7"/>
    </row>
    <row r="3518" spans="1:17" x14ac:dyDescent="0.2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7"/>
    </row>
    <row r="3519" spans="1:17" x14ac:dyDescent="0.2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7"/>
    </row>
    <row r="3520" spans="1:17" x14ac:dyDescent="0.2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7"/>
    </row>
    <row r="3521" spans="1:17" x14ac:dyDescent="0.2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7"/>
    </row>
    <row r="3522" spans="1:17" x14ac:dyDescent="0.2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7"/>
    </row>
    <row r="3523" spans="1:17" x14ac:dyDescent="0.2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7"/>
    </row>
    <row r="3524" spans="1:17" x14ac:dyDescent="0.2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7"/>
    </row>
    <row r="3525" spans="1:17" x14ac:dyDescent="0.2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7"/>
    </row>
    <row r="3526" spans="1:17" x14ac:dyDescent="0.2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7"/>
    </row>
    <row r="3527" spans="1:17" x14ac:dyDescent="0.2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7"/>
    </row>
    <row r="3528" spans="1:17" x14ac:dyDescent="0.2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7"/>
    </row>
    <row r="3529" spans="1:17" x14ac:dyDescent="0.2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7"/>
    </row>
    <row r="3530" spans="1:17" x14ac:dyDescent="0.2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7"/>
    </row>
    <row r="3531" spans="1:17" x14ac:dyDescent="0.2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7"/>
    </row>
    <row r="3532" spans="1:17" x14ac:dyDescent="0.2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7"/>
    </row>
    <row r="3533" spans="1:17" x14ac:dyDescent="0.2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7"/>
    </row>
    <row r="3534" spans="1:17" x14ac:dyDescent="0.2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7"/>
    </row>
    <row r="3535" spans="1:17" x14ac:dyDescent="0.2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7"/>
    </row>
    <row r="3536" spans="1:17" x14ac:dyDescent="0.2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7"/>
    </row>
    <row r="3537" spans="1:17" x14ac:dyDescent="0.2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7"/>
    </row>
    <row r="3538" spans="1:17" x14ac:dyDescent="0.2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7"/>
    </row>
    <row r="3539" spans="1:17" x14ac:dyDescent="0.2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7"/>
    </row>
    <row r="3540" spans="1:17" x14ac:dyDescent="0.2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7"/>
    </row>
    <row r="3541" spans="1:17" x14ac:dyDescent="0.2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7"/>
    </row>
    <row r="3542" spans="1:17" x14ac:dyDescent="0.2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7"/>
    </row>
    <row r="3543" spans="1:17" x14ac:dyDescent="0.2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7"/>
    </row>
    <row r="3544" spans="1:17" x14ac:dyDescent="0.2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7"/>
    </row>
    <row r="3545" spans="1:17" x14ac:dyDescent="0.2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7"/>
    </row>
    <row r="3546" spans="1:17" x14ac:dyDescent="0.2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7"/>
    </row>
    <row r="3547" spans="1:17" x14ac:dyDescent="0.2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7"/>
    </row>
    <row r="3548" spans="1:17" x14ac:dyDescent="0.2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7"/>
    </row>
    <row r="3549" spans="1:17" x14ac:dyDescent="0.2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7"/>
    </row>
    <row r="3550" spans="1:17" x14ac:dyDescent="0.2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7"/>
    </row>
    <row r="3551" spans="1:17" x14ac:dyDescent="0.2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7"/>
    </row>
    <row r="3552" spans="1:17" x14ac:dyDescent="0.2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7"/>
    </row>
    <row r="3553" spans="1:17" x14ac:dyDescent="0.2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7"/>
    </row>
    <row r="3554" spans="1:17" x14ac:dyDescent="0.2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7"/>
    </row>
    <row r="3555" spans="1:17" x14ac:dyDescent="0.2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7"/>
    </row>
    <row r="3556" spans="1:17" x14ac:dyDescent="0.2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7"/>
    </row>
    <row r="3557" spans="1:17" x14ac:dyDescent="0.2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7"/>
    </row>
    <row r="3558" spans="1:17" x14ac:dyDescent="0.2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7"/>
    </row>
    <row r="3559" spans="1:17" x14ac:dyDescent="0.2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7"/>
    </row>
    <row r="3560" spans="1:17" x14ac:dyDescent="0.2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7"/>
    </row>
    <row r="3561" spans="1:17" x14ac:dyDescent="0.2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7"/>
    </row>
    <row r="3562" spans="1:17" x14ac:dyDescent="0.2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7"/>
    </row>
    <row r="3563" spans="1:17" x14ac:dyDescent="0.2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7"/>
    </row>
    <row r="3564" spans="1:17" x14ac:dyDescent="0.2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7"/>
    </row>
    <row r="3565" spans="1:17" x14ac:dyDescent="0.2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7"/>
    </row>
    <row r="3566" spans="1:17" x14ac:dyDescent="0.2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7"/>
    </row>
    <row r="3567" spans="1:17" x14ac:dyDescent="0.2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7"/>
    </row>
    <row r="3568" spans="1:17" x14ac:dyDescent="0.2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7"/>
    </row>
    <row r="3569" spans="1:17" x14ac:dyDescent="0.2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7"/>
    </row>
    <row r="3570" spans="1:17" x14ac:dyDescent="0.2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7"/>
    </row>
    <row r="3571" spans="1:17" x14ac:dyDescent="0.2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7"/>
    </row>
    <row r="3572" spans="1:17" x14ac:dyDescent="0.2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7"/>
    </row>
    <row r="3573" spans="1:17" x14ac:dyDescent="0.2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7"/>
    </row>
    <row r="3574" spans="1:17" x14ac:dyDescent="0.2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7"/>
    </row>
    <row r="3575" spans="1:17" x14ac:dyDescent="0.2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7"/>
    </row>
    <row r="3576" spans="1:17" x14ac:dyDescent="0.2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7"/>
    </row>
    <row r="3577" spans="1:17" x14ac:dyDescent="0.2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7"/>
    </row>
    <row r="3578" spans="1:17" x14ac:dyDescent="0.2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7"/>
    </row>
    <row r="3579" spans="1:17" x14ac:dyDescent="0.2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7"/>
    </row>
    <row r="3580" spans="1:17" x14ac:dyDescent="0.2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7"/>
    </row>
    <row r="3581" spans="1:17" x14ac:dyDescent="0.2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7"/>
    </row>
    <row r="3582" spans="1:17" x14ac:dyDescent="0.2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7"/>
    </row>
    <row r="3583" spans="1:17" x14ac:dyDescent="0.2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7"/>
    </row>
    <row r="3584" spans="1:17" x14ac:dyDescent="0.2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7"/>
    </row>
    <row r="3585" spans="1:17" x14ac:dyDescent="0.2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7"/>
    </row>
    <row r="3586" spans="1:17" x14ac:dyDescent="0.2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7"/>
    </row>
    <row r="3587" spans="1:17" x14ac:dyDescent="0.2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7"/>
    </row>
    <row r="3588" spans="1:17" x14ac:dyDescent="0.2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7"/>
    </row>
    <row r="3589" spans="1:17" x14ac:dyDescent="0.2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7"/>
    </row>
    <row r="3590" spans="1:17" x14ac:dyDescent="0.2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7"/>
    </row>
    <row r="3591" spans="1:17" x14ac:dyDescent="0.2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7"/>
    </row>
    <row r="3592" spans="1:17" x14ac:dyDescent="0.2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7"/>
    </row>
    <row r="3593" spans="1:17" x14ac:dyDescent="0.2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7"/>
    </row>
    <row r="3594" spans="1:17" x14ac:dyDescent="0.2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7"/>
    </row>
    <row r="3595" spans="1:17" x14ac:dyDescent="0.2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7"/>
    </row>
    <row r="3596" spans="1:17" x14ac:dyDescent="0.2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7"/>
    </row>
    <row r="3597" spans="1:17" x14ac:dyDescent="0.2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7"/>
    </row>
    <row r="3598" spans="1:17" x14ac:dyDescent="0.2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7"/>
    </row>
    <row r="3599" spans="1:17" x14ac:dyDescent="0.2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7"/>
    </row>
    <row r="3600" spans="1:17" x14ac:dyDescent="0.2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7"/>
    </row>
    <row r="3601" spans="1:17" x14ac:dyDescent="0.2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7"/>
    </row>
    <row r="3602" spans="1:17" x14ac:dyDescent="0.2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7"/>
    </row>
    <row r="3603" spans="1:17" x14ac:dyDescent="0.2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7"/>
    </row>
    <row r="3604" spans="1:17" x14ac:dyDescent="0.2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7"/>
    </row>
    <row r="3605" spans="1:17" x14ac:dyDescent="0.2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7"/>
    </row>
    <row r="3606" spans="1:17" x14ac:dyDescent="0.2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7"/>
    </row>
    <row r="3607" spans="1:17" x14ac:dyDescent="0.2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7"/>
    </row>
    <row r="3608" spans="1:17" x14ac:dyDescent="0.2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7"/>
    </row>
    <row r="3609" spans="1:17" x14ac:dyDescent="0.2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7"/>
    </row>
    <row r="3610" spans="1:17" x14ac:dyDescent="0.2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7"/>
    </row>
    <row r="3611" spans="1:17" x14ac:dyDescent="0.2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7"/>
    </row>
    <row r="3612" spans="1:17" x14ac:dyDescent="0.2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7"/>
    </row>
    <row r="3613" spans="1:17" x14ac:dyDescent="0.2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7"/>
    </row>
    <row r="3614" spans="1:17" x14ac:dyDescent="0.2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7"/>
    </row>
    <row r="3615" spans="1:17" x14ac:dyDescent="0.2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7"/>
    </row>
    <row r="3616" spans="1:17" x14ac:dyDescent="0.2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7"/>
    </row>
    <row r="3617" spans="1:17" x14ac:dyDescent="0.2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7"/>
    </row>
    <row r="3618" spans="1:17" x14ac:dyDescent="0.2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7"/>
    </row>
    <row r="3619" spans="1:17" x14ac:dyDescent="0.2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7"/>
    </row>
    <row r="3620" spans="1:17" x14ac:dyDescent="0.2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7"/>
    </row>
    <row r="3621" spans="1:17" x14ac:dyDescent="0.2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7"/>
    </row>
    <row r="3622" spans="1:17" x14ac:dyDescent="0.2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7"/>
    </row>
    <row r="3623" spans="1:17" x14ac:dyDescent="0.2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7"/>
    </row>
    <row r="3624" spans="1:17" x14ac:dyDescent="0.2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7"/>
    </row>
    <row r="3625" spans="1:17" x14ac:dyDescent="0.2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7"/>
    </row>
    <row r="3626" spans="1:17" x14ac:dyDescent="0.2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7"/>
    </row>
    <row r="3627" spans="1:17" x14ac:dyDescent="0.2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7"/>
    </row>
    <row r="3628" spans="1:17" x14ac:dyDescent="0.2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7"/>
    </row>
    <row r="3629" spans="1:17" x14ac:dyDescent="0.2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7"/>
    </row>
    <row r="3630" spans="1:17" x14ac:dyDescent="0.2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7"/>
    </row>
    <row r="3631" spans="1:17" x14ac:dyDescent="0.2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7"/>
    </row>
    <row r="3632" spans="1:17" x14ac:dyDescent="0.2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7"/>
    </row>
    <row r="3633" spans="1:17" x14ac:dyDescent="0.2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7"/>
    </row>
    <row r="3634" spans="1:17" x14ac:dyDescent="0.2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7"/>
    </row>
    <row r="3635" spans="1:17" x14ac:dyDescent="0.2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7"/>
    </row>
    <row r="3636" spans="1:17" x14ac:dyDescent="0.2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7"/>
    </row>
    <row r="3637" spans="1:17" x14ac:dyDescent="0.2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7"/>
    </row>
    <row r="3638" spans="1:17" x14ac:dyDescent="0.2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7"/>
    </row>
    <row r="3639" spans="1:17" x14ac:dyDescent="0.2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7"/>
    </row>
    <row r="3640" spans="1:17" x14ac:dyDescent="0.2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7"/>
    </row>
    <row r="3641" spans="1:17" x14ac:dyDescent="0.2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7"/>
    </row>
    <row r="3642" spans="1:17" x14ac:dyDescent="0.2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7"/>
    </row>
    <row r="3643" spans="1:17" x14ac:dyDescent="0.2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7"/>
    </row>
    <row r="3644" spans="1:17" x14ac:dyDescent="0.2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7"/>
    </row>
    <row r="3645" spans="1:17" x14ac:dyDescent="0.2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7"/>
    </row>
    <row r="3646" spans="1:17" x14ac:dyDescent="0.2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7"/>
    </row>
    <row r="3647" spans="1:17" x14ac:dyDescent="0.2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7"/>
    </row>
    <row r="3648" spans="1:17" x14ac:dyDescent="0.2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7"/>
    </row>
    <row r="3649" spans="1:17" x14ac:dyDescent="0.2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7"/>
    </row>
    <row r="3650" spans="1:17" x14ac:dyDescent="0.2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7"/>
    </row>
    <row r="3651" spans="1:17" x14ac:dyDescent="0.2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7"/>
    </row>
    <row r="3652" spans="1:17" x14ac:dyDescent="0.2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7"/>
    </row>
    <row r="3653" spans="1:17" x14ac:dyDescent="0.2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7"/>
    </row>
    <row r="3654" spans="1:17" x14ac:dyDescent="0.2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7"/>
    </row>
    <row r="3655" spans="1:17" x14ac:dyDescent="0.2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7"/>
    </row>
    <row r="3656" spans="1:17" x14ac:dyDescent="0.2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7"/>
    </row>
    <row r="3657" spans="1:17" x14ac:dyDescent="0.2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7"/>
    </row>
    <row r="3658" spans="1:17" x14ac:dyDescent="0.2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7"/>
    </row>
    <row r="3659" spans="1:17" x14ac:dyDescent="0.2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7"/>
    </row>
    <row r="3660" spans="1:17" x14ac:dyDescent="0.2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7"/>
    </row>
    <row r="3661" spans="1:17" x14ac:dyDescent="0.2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7"/>
    </row>
    <row r="3662" spans="1:17" x14ac:dyDescent="0.2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7"/>
    </row>
    <row r="3663" spans="1:17" x14ac:dyDescent="0.2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7"/>
    </row>
    <row r="3664" spans="1:17" x14ac:dyDescent="0.2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7"/>
    </row>
    <row r="3665" spans="1:17" x14ac:dyDescent="0.2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7"/>
    </row>
    <row r="3666" spans="1:17" x14ac:dyDescent="0.2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7"/>
    </row>
    <row r="3667" spans="1:17" x14ac:dyDescent="0.2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7"/>
    </row>
    <row r="3668" spans="1:17" x14ac:dyDescent="0.2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7"/>
    </row>
    <row r="3669" spans="1:17" x14ac:dyDescent="0.2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7"/>
    </row>
    <row r="3670" spans="1:17" x14ac:dyDescent="0.2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7"/>
    </row>
    <row r="3671" spans="1:17" x14ac:dyDescent="0.2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7"/>
    </row>
    <row r="3672" spans="1:17" x14ac:dyDescent="0.2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7"/>
    </row>
    <row r="3673" spans="1:17" x14ac:dyDescent="0.2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7"/>
    </row>
    <row r="3674" spans="1:17" x14ac:dyDescent="0.2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7"/>
    </row>
    <row r="3675" spans="1:17" x14ac:dyDescent="0.2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7"/>
    </row>
    <row r="3676" spans="1:17" x14ac:dyDescent="0.2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7"/>
    </row>
    <row r="3677" spans="1:17" x14ac:dyDescent="0.2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7"/>
    </row>
    <row r="3678" spans="1:17" x14ac:dyDescent="0.2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7"/>
    </row>
    <row r="3679" spans="1:17" x14ac:dyDescent="0.2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7"/>
    </row>
    <row r="3680" spans="1:17" x14ac:dyDescent="0.2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7"/>
    </row>
    <row r="3681" spans="1:17" x14ac:dyDescent="0.2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7"/>
    </row>
    <row r="3682" spans="1:17" x14ac:dyDescent="0.2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7"/>
    </row>
    <row r="3683" spans="1:17" x14ac:dyDescent="0.2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7"/>
    </row>
    <row r="3684" spans="1:17" x14ac:dyDescent="0.2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7"/>
    </row>
    <row r="3685" spans="1:17" x14ac:dyDescent="0.2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7"/>
    </row>
    <row r="3686" spans="1:17" x14ac:dyDescent="0.2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7"/>
    </row>
    <row r="3687" spans="1:17" x14ac:dyDescent="0.2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7"/>
    </row>
    <row r="3688" spans="1:17" x14ac:dyDescent="0.2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7"/>
    </row>
    <row r="3689" spans="1:17" x14ac:dyDescent="0.2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7"/>
    </row>
    <row r="3690" spans="1:17" x14ac:dyDescent="0.2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7"/>
    </row>
    <row r="3691" spans="1:17" x14ac:dyDescent="0.2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7"/>
    </row>
    <row r="3692" spans="1:17" x14ac:dyDescent="0.2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7"/>
    </row>
    <row r="3693" spans="1:17" x14ac:dyDescent="0.2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7"/>
    </row>
    <row r="3694" spans="1:17" x14ac:dyDescent="0.2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7"/>
    </row>
    <row r="3695" spans="1:17" x14ac:dyDescent="0.2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7"/>
    </row>
    <row r="3696" spans="1:17" x14ac:dyDescent="0.2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7"/>
    </row>
    <row r="3697" spans="1:17" x14ac:dyDescent="0.2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7"/>
    </row>
    <row r="3698" spans="1:17" x14ac:dyDescent="0.2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7"/>
    </row>
    <row r="3699" spans="1:17" x14ac:dyDescent="0.2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7"/>
    </row>
    <row r="3700" spans="1:17" x14ac:dyDescent="0.2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7"/>
    </row>
    <row r="3701" spans="1:17" x14ac:dyDescent="0.2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7"/>
    </row>
    <row r="3702" spans="1:17" x14ac:dyDescent="0.2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7"/>
    </row>
    <row r="3703" spans="1:17" x14ac:dyDescent="0.2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7"/>
    </row>
    <row r="3704" spans="1:17" x14ac:dyDescent="0.2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7"/>
    </row>
    <row r="3705" spans="1:17" x14ac:dyDescent="0.2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7"/>
    </row>
    <row r="3706" spans="1:17" x14ac:dyDescent="0.2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7"/>
    </row>
    <row r="3707" spans="1:17" x14ac:dyDescent="0.2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7"/>
    </row>
    <row r="3708" spans="1:17" x14ac:dyDescent="0.2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7"/>
    </row>
    <row r="3709" spans="1:17" x14ac:dyDescent="0.2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7"/>
    </row>
    <row r="3710" spans="1:17" x14ac:dyDescent="0.2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7"/>
    </row>
    <row r="3711" spans="1:17" x14ac:dyDescent="0.2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7"/>
    </row>
    <row r="3712" spans="1:17" x14ac:dyDescent="0.2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7"/>
    </row>
    <row r="3713" spans="1:17" x14ac:dyDescent="0.2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7"/>
    </row>
    <row r="3714" spans="1:17" x14ac:dyDescent="0.2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7"/>
    </row>
    <row r="3715" spans="1:17" x14ac:dyDescent="0.2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7"/>
    </row>
    <row r="3716" spans="1:17" x14ac:dyDescent="0.2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7"/>
    </row>
    <row r="3717" spans="1:17" x14ac:dyDescent="0.2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7"/>
    </row>
    <row r="3718" spans="1:17" x14ac:dyDescent="0.2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7"/>
    </row>
    <row r="3719" spans="1:17" x14ac:dyDescent="0.2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7"/>
    </row>
    <row r="3720" spans="1:17" x14ac:dyDescent="0.2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7"/>
    </row>
    <row r="3721" spans="1:17" x14ac:dyDescent="0.2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7"/>
    </row>
    <row r="3722" spans="1:17" x14ac:dyDescent="0.2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7"/>
    </row>
    <row r="3723" spans="1:17" x14ac:dyDescent="0.2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7"/>
    </row>
    <row r="3724" spans="1:17" x14ac:dyDescent="0.2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7"/>
    </row>
    <row r="3725" spans="1:17" x14ac:dyDescent="0.2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7"/>
    </row>
    <row r="3726" spans="1:17" x14ac:dyDescent="0.2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7"/>
    </row>
    <row r="3727" spans="1:17" x14ac:dyDescent="0.2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7"/>
    </row>
    <row r="3728" spans="1:17" x14ac:dyDescent="0.2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7"/>
    </row>
    <row r="3729" spans="1:17" x14ac:dyDescent="0.2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7"/>
    </row>
    <row r="3730" spans="1:17" x14ac:dyDescent="0.2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7"/>
    </row>
    <row r="3731" spans="1:17" x14ac:dyDescent="0.2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7"/>
    </row>
    <row r="3732" spans="1:17" x14ac:dyDescent="0.2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7"/>
    </row>
    <row r="3733" spans="1:17" x14ac:dyDescent="0.2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7"/>
    </row>
    <row r="3734" spans="1:17" x14ac:dyDescent="0.2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7"/>
    </row>
    <row r="3735" spans="1:17" x14ac:dyDescent="0.2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7"/>
    </row>
    <row r="3736" spans="1:17" x14ac:dyDescent="0.2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7"/>
    </row>
    <row r="3737" spans="1:17" x14ac:dyDescent="0.2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7"/>
    </row>
    <row r="3738" spans="1:17" x14ac:dyDescent="0.2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7"/>
    </row>
    <row r="3739" spans="1:17" x14ac:dyDescent="0.2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7"/>
    </row>
    <row r="3740" spans="1:17" x14ac:dyDescent="0.2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7"/>
    </row>
    <row r="3741" spans="1:17" x14ac:dyDescent="0.2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7"/>
    </row>
    <row r="3742" spans="1:17" x14ac:dyDescent="0.2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7"/>
    </row>
    <row r="3743" spans="1:17" x14ac:dyDescent="0.2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7"/>
    </row>
    <row r="3744" spans="1:17" x14ac:dyDescent="0.2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7"/>
    </row>
    <row r="3745" spans="1:17" x14ac:dyDescent="0.2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7"/>
    </row>
    <row r="3746" spans="1:17" x14ac:dyDescent="0.2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7"/>
    </row>
    <row r="3747" spans="1:17" x14ac:dyDescent="0.2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7"/>
    </row>
    <row r="3748" spans="1:17" x14ac:dyDescent="0.2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7"/>
    </row>
    <row r="3749" spans="1:17" x14ac:dyDescent="0.2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7"/>
    </row>
    <row r="3750" spans="1:17" x14ac:dyDescent="0.2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7"/>
    </row>
    <row r="3751" spans="1:17" x14ac:dyDescent="0.2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7"/>
    </row>
    <row r="3752" spans="1:17" x14ac:dyDescent="0.2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7"/>
    </row>
    <row r="3753" spans="1:17" x14ac:dyDescent="0.2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7"/>
    </row>
    <row r="3754" spans="1:17" x14ac:dyDescent="0.2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7"/>
    </row>
    <row r="3755" spans="1:17" x14ac:dyDescent="0.2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7"/>
    </row>
    <row r="3756" spans="1:17" x14ac:dyDescent="0.2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7"/>
    </row>
    <row r="3757" spans="1:17" x14ac:dyDescent="0.2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7"/>
    </row>
    <row r="3758" spans="1:17" x14ac:dyDescent="0.2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7"/>
    </row>
    <row r="3759" spans="1:17" x14ac:dyDescent="0.2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7"/>
    </row>
    <row r="3760" spans="1:17" x14ac:dyDescent="0.2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7"/>
    </row>
    <row r="3761" spans="1:17" x14ac:dyDescent="0.2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7"/>
    </row>
    <row r="3762" spans="1:17" x14ac:dyDescent="0.2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7"/>
    </row>
    <row r="3763" spans="1:17" x14ac:dyDescent="0.2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7"/>
    </row>
    <row r="3764" spans="1:17" x14ac:dyDescent="0.2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7"/>
    </row>
    <row r="3765" spans="1:17" x14ac:dyDescent="0.2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7"/>
    </row>
    <row r="3766" spans="1:17" x14ac:dyDescent="0.2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7"/>
    </row>
    <row r="3767" spans="1:17" x14ac:dyDescent="0.2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7"/>
    </row>
    <row r="3768" spans="1:17" x14ac:dyDescent="0.2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7"/>
    </row>
    <row r="3769" spans="1:17" x14ac:dyDescent="0.2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7"/>
    </row>
    <row r="3770" spans="1:17" x14ac:dyDescent="0.2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7"/>
    </row>
    <row r="3771" spans="1:17" x14ac:dyDescent="0.2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7"/>
    </row>
    <row r="3772" spans="1:17" x14ac:dyDescent="0.2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7"/>
    </row>
    <row r="3773" spans="1:17" x14ac:dyDescent="0.2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7"/>
    </row>
    <row r="3774" spans="1:17" x14ac:dyDescent="0.2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7"/>
    </row>
    <row r="3775" spans="1:17" x14ac:dyDescent="0.2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7"/>
    </row>
    <row r="3776" spans="1:17" x14ac:dyDescent="0.2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7"/>
    </row>
    <row r="3777" spans="1:17" x14ac:dyDescent="0.2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7"/>
    </row>
    <row r="3778" spans="1:17" x14ac:dyDescent="0.2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7"/>
    </row>
    <row r="3779" spans="1:17" x14ac:dyDescent="0.2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7"/>
    </row>
    <row r="3780" spans="1:17" x14ac:dyDescent="0.2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7"/>
    </row>
    <row r="3781" spans="1:17" x14ac:dyDescent="0.2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7"/>
    </row>
    <row r="3782" spans="1:17" x14ac:dyDescent="0.2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7"/>
    </row>
    <row r="3783" spans="1:17" x14ac:dyDescent="0.2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7"/>
    </row>
    <row r="3784" spans="1:17" x14ac:dyDescent="0.2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7"/>
    </row>
    <row r="3785" spans="1:17" x14ac:dyDescent="0.2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7"/>
    </row>
    <row r="3786" spans="1:17" x14ac:dyDescent="0.2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7"/>
    </row>
    <row r="3787" spans="1:17" x14ac:dyDescent="0.2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7"/>
    </row>
    <row r="3788" spans="1:17" x14ac:dyDescent="0.2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7"/>
    </row>
    <row r="3789" spans="1:17" x14ac:dyDescent="0.2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7"/>
    </row>
    <row r="3790" spans="1:17" x14ac:dyDescent="0.2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7"/>
    </row>
    <row r="3791" spans="1:17" x14ac:dyDescent="0.2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7"/>
    </row>
    <row r="3792" spans="1:17" x14ac:dyDescent="0.2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7"/>
    </row>
    <row r="3793" spans="1:17" x14ac:dyDescent="0.2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7"/>
    </row>
    <row r="3794" spans="1:17" x14ac:dyDescent="0.2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7"/>
    </row>
    <row r="3795" spans="1:17" x14ac:dyDescent="0.2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7"/>
    </row>
    <row r="3796" spans="1:17" x14ac:dyDescent="0.2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7"/>
    </row>
    <row r="3797" spans="1:17" x14ac:dyDescent="0.2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7"/>
    </row>
    <row r="3798" spans="1:17" x14ac:dyDescent="0.2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7"/>
    </row>
    <row r="3799" spans="1:17" x14ac:dyDescent="0.2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7"/>
    </row>
    <row r="3800" spans="1:17" x14ac:dyDescent="0.2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7"/>
    </row>
    <row r="3801" spans="1:17" x14ac:dyDescent="0.2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7"/>
    </row>
    <row r="3802" spans="1:17" x14ac:dyDescent="0.2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7"/>
    </row>
    <row r="3803" spans="1:17" x14ac:dyDescent="0.2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7"/>
    </row>
    <row r="3804" spans="1:17" x14ac:dyDescent="0.2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7"/>
    </row>
    <row r="3805" spans="1:17" x14ac:dyDescent="0.2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7"/>
    </row>
    <row r="3806" spans="1:17" x14ac:dyDescent="0.2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7"/>
    </row>
    <row r="3807" spans="1:17" x14ac:dyDescent="0.2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7"/>
    </row>
    <row r="3808" spans="1:17" x14ac:dyDescent="0.2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7"/>
    </row>
    <row r="3809" spans="1:17" x14ac:dyDescent="0.2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7"/>
    </row>
    <row r="3810" spans="1:17" x14ac:dyDescent="0.2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7"/>
    </row>
    <row r="3811" spans="1:17" x14ac:dyDescent="0.2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7"/>
    </row>
    <row r="3812" spans="1:17" x14ac:dyDescent="0.2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7"/>
    </row>
    <row r="3813" spans="1:17" x14ac:dyDescent="0.2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7"/>
    </row>
    <row r="3814" spans="1:17" x14ac:dyDescent="0.2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7"/>
    </row>
    <row r="3815" spans="1:17" x14ac:dyDescent="0.2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7"/>
    </row>
    <row r="3816" spans="1:17" x14ac:dyDescent="0.2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7"/>
    </row>
    <row r="3817" spans="1:17" x14ac:dyDescent="0.2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7"/>
    </row>
    <row r="3818" spans="1:17" x14ac:dyDescent="0.2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7"/>
    </row>
    <row r="3819" spans="1:17" x14ac:dyDescent="0.2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7"/>
    </row>
    <row r="3820" spans="1:17" x14ac:dyDescent="0.2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7"/>
    </row>
    <row r="3821" spans="1:17" x14ac:dyDescent="0.2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7"/>
    </row>
    <row r="3822" spans="1:17" x14ac:dyDescent="0.2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7"/>
    </row>
    <row r="3823" spans="1:17" x14ac:dyDescent="0.2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7"/>
    </row>
    <row r="3824" spans="1:17" x14ac:dyDescent="0.2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7"/>
    </row>
    <row r="3825" spans="1:17" x14ac:dyDescent="0.2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7"/>
    </row>
    <row r="3826" spans="1:17" x14ac:dyDescent="0.2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7"/>
    </row>
    <row r="3827" spans="1:17" x14ac:dyDescent="0.2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7"/>
    </row>
    <row r="3828" spans="1:17" x14ac:dyDescent="0.2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7"/>
    </row>
    <row r="3829" spans="1:17" x14ac:dyDescent="0.2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7"/>
    </row>
    <row r="3830" spans="1:17" x14ac:dyDescent="0.2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7"/>
    </row>
    <row r="3831" spans="1:17" x14ac:dyDescent="0.2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7"/>
    </row>
    <row r="3832" spans="1:17" x14ac:dyDescent="0.2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7"/>
    </row>
    <row r="3833" spans="1:17" x14ac:dyDescent="0.2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7"/>
    </row>
    <row r="3834" spans="1:17" x14ac:dyDescent="0.2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7"/>
    </row>
    <row r="3835" spans="1:17" x14ac:dyDescent="0.2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7"/>
    </row>
    <row r="3836" spans="1:17" x14ac:dyDescent="0.2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7"/>
    </row>
    <row r="3837" spans="1:17" x14ac:dyDescent="0.2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7"/>
    </row>
    <row r="3838" spans="1:17" x14ac:dyDescent="0.2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7"/>
    </row>
    <row r="3839" spans="1:17" x14ac:dyDescent="0.2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7"/>
    </row>
    <row r="3840" spans="1:17" x14ac:dyDescent="0.2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7"/>
    </row>
    <row r="3841" spans="1:17" x14ac:dyDescent="0.2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7"/>
    </row>
    <row r="3842" spans="1:17" x14ac:dyDescent="0.2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7"/>
    </row>
    <row r="3843" spans="1:17" x14ac:dyDescent="0.2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7"/>
    </row>
    <row r="3844" spans="1:17" x14ac:dyDescent="0.2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7"/>
    </row>
    <row r="3845" spans="1:17" x14ac:dyDescent="0.2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7"/>
    </row>
    <row r="3846" spans="1:17" x14ac:dyDescent="0.2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7"/>
    </row>
    <row r="3847" spans="1:17" x14ac:dyDescent="0.2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7"/>
    </row>
    <row r="3848" spans="1:17" x14ac:dyDescent="0.2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7"/>
    </row>
    <row r="3849" spans="1:17" x14ac:dyDescent="0.2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7"/>
    </row>
    <row r="3850" spans="1:17" x14ac:dyDescent="0.2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7"/>
    </row>
    <row r="3851" spans="1:17" x14ac:dyDescent="0.2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7"/>
    </row>
    <row r="3852" spans="1:17" x14ac:dyDescent="0.2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7"/>
    </row>
    <row r="3853" spans="1:17" x14ac:dyDescent="0.2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7"/>
    </row>
    <row r="3854" spans="1:17" x14ac:dyDescent="0.2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7"/>
    </row>
    <row r="3855" spans="1:17" x14ac:dyDescent="0.2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7"/>
    </row>
    <row r="3856" spans="1:17" x14ac:dyDescent="0.2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7"/>
    </row>
    <row r="3857" spans="1:17" x14ac:dyDescent="0.2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7"/>
    </row>
    <row r="3858" spans="1:17" x14ac:dyDescent="0.2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7"/>
    </row>
    <row r="3859" spans="1:17" x14ac:dyDescent="0.2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7"/>
    </row>
    <row r="3860" spans="1:17" x14ac:dyDescent="0.2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7"/>
    </row>
    <row r="3861" spans="1:17" x14ac:dyDescent="0.2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7"/>
    </row>
    <row r="3862" spans="1:17" x14ac:dyDescent="0.2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7"/>
    </row>
    <row r="3863" spans="1:17" x14ac:dyDescent="0.2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7"/>
    </row>
    <row r="3864" spans="1:17" x14ac:dyDescent="0.2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7"/>
    </row>
    <row r="3865" spans="1:17" x14ac:dyDescent="0.2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7"/>
    </row>
    <row r="3866" spans="1:17" x14ac:dyDescent="0.2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7"/>
    </row>
    <row r="3867" spans="1:17" x14ac:dyDescent="0.2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7"/>
    </row>
    <row r="3868" spans="1:17" x14ac:dyDescent="0.2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7"/>
    </row>
    <row r="3869" spans="1:17" x14ac:dyDescent="0.2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7"/>
    </row>
    <row r="3870" spans="1:17" x14ac:dyDescent="0.2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7"/>
    </row>
    <row r="3871" spans="1:17" x14ac:dyDescent="0.2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7"/>
    </row>
    <row r="3872" spans="1:17" x14ac:dyDescent="0.2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7"/>
    </row>
    <row r="3873" spans="1:17" x14ac:dyDescent="0.2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7"/>
    </row>
    <row r="3874" spans="1:17" x14ac:dyDescent="0.2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7"/>
    </row>
    <row r="3875" spans="1:17" x14ac:dyDescent="0.2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7"/>
    </row>
    <row r="3876" spans="1:17" x14ac:dyDescent="0.2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7"/>
    </row>
    <row r="3877" spans="1:17" x14ac:dyDescent="0.2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7"/>
    </row>
    <row r="3878" spans="1:17" x14ac:dyDescent="0.2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7"/>
    </row>
    <row r="3879" spans="1:17" x14ac:dyDescent="0.2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7"/>
    </row>
    <row r="3880" spans="1:17" x14ac:dyDescent="0.2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7"/>
    </row>
    <row r="3881" spans="1:17" x14ac:dyDescent="0.2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7"/>
    </row>
    <row r="3882" spans="1:17" x14ac:dyDescent="0.2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7"/>
    </row>
    <row r="3883" spans="1:17" x14ac:dyDescent="0.2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7"/>
    </row>
    <row r="3884" spans="1:17" x14ac:dyDescent="0.2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7"/>
    </row>
    <row r="3885" spans="1:17" x14ac:dyDescent="0.2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7"/>
    </row>
    <row r="3886" spans="1:17" x14ac:dyDescent="0.2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7"/>
    </row>
    <row r="3887" spans="1:17" x14ac:dyDescent="0.2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7"/>
    </row>
    <row r="3888" spans="1:17" x14ac:dyDescent="0.2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7"/>
    </row>
    <row r="3889" spans="1:17" x14ac:dyDescent="0.2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7"/>
    </row>
    <row r="3890" spans="1:17" x14ac:dyDescent="0.2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7"/>
    </row>
    <row r="3891" spans="1:17" x14ac:dyDescent="0.2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7"/>
    </row>
    <row r="3892" spans="1:17" x14ac:dyDescent="0.2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7"/>
    </row>
    <row r="3893" spans="1:17" x14ac:dyDescent="0.2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7"/>
    </row>
    <row r="3894" spans="1:17" x14ac:dyDescent="0.2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7"/>
    </row>
    <row r="3895" spans="1:17" x14ac:dyDescent="0.2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7"/>
    </row>
    <row r="3896" spans="1:17" x14ac:dyDescent="0.2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7"/>
    </row>
    <row r="3897" spans="1:17" x14ac:dyDescent="0.2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7"/>
    </row>
    <row r="3898" spans="1:17" x14ac:dyDescent="0.2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7"/>
    </row>
    <row r="3899" spans="1:17" x14ac:dyDescent="0.2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7"/>
    </row>
    <row r="3900" spans="1:17" x14ac:dyDescent="0.2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7"/>
    </row>
    <row r="3901" spans="1:17" x14ac:dyDescent="0.2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7"/>
    </row>
    <row r="3902" spans="1:17" x14ac:dyDescent="0.2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7"/>
    </row>
    <row r="3903" spans="1:17" x14ac:dyDescent="0.2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7"/>
    </row>
    <row r="3904" spans="1:17" x14ac:dyDescent="0.2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7"/>
    </row>
    <row r="3905" spans="1:17" x14ac:dyDescent="0.2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7"/>
    </row>
    <row r="3906" spans="1:17" x14ac:dyDescent="0.2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7"/>
    </row>
    <row r="3907" spans="1:17" x14ac:dyDescent="0.2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7"/>
    </row>
    <row r="3908" spans="1:17" x14ac:dyDescent="0.2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7"/>
    </row>
    <row r="3909" spans="1:17" x14ac:dyDescent="0.2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7"/>
    </row>
    <row r="3910" spans="1:17" x14ac:dyDescent="0.2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7"/>
    </row>
    <row r="3911" spans="1:17" x14ac:dyDescent="0.2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7"/>
    </row>
    <row r="3912" spans="1:17" x14ac:dyDescent="0.2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7"/>
    </row>
    <row r="3913" spans="1:17" x14ac:dyDescent="0.2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7"/>
    </row>
    <row r="3914" spans="1:17" x14ac:dyDescent="0.2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7"/>
    </row>
    <row r="3915" spans="1:17" x14ac:dyDescent="0.2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7"/>
    </row>
    <row r="3916" spans="1:17" x14ac:dyDescent="0.2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7"/>
    </row>
    <row r="3917" spans="1:17" x14ac:dyDescent="0.2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7"/>
    </row>
    <row r="3918" spans="1:17" x14ac:dyDescent="0.2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7"/>
    </row>
    <row r="3919" spans="1:17" x14ac:dyDescent="0.2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7"/>
    </row>
    <row r="3920" spans="1:17" x14ac:dyDescent="0.2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7"/>
    </row>
    <row r="3921" spans="1:17" x14ac:dyDescent="0.2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7"/>
    </row>
    <row r="3922" spans="1:17" x14ac:dyDescent="0.2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7"/>
    </row>
    <row r="3923" spans="1:17" x14ac:dyDescent="0.2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7"/>
    </row>
    <row r="3924" spans="1:17" x14ac:dyDescent="0.2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7"/>
    </row>
    <row r="3925" spans="1:17" x14ac:dyDescent="0.2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7"/>
    </row>
    <row r="3926" spans="1:17" x14ac:dyDescent="0.2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7"/>
    </row>
    <row r="3927" spans="1:17" x14ac:dyDescent="0.2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7"/>
    </row>
    <row r="3928" spans="1:17" x14ac:dyDescent="0.2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7"/>
    </row>
    <row r="3929" spans="1:17" x14ac:dyDescent="0.2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7"/>
    </row>
    <row r="3930" spans="1:17" x14ac:dyDescent="0.2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7"/>
    </row>
    <row r="3931" spans="1:17" x14ac:dyDescent="0.2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7"/>
    </row>
    <row r="3932" spans="1:17" x14ac:dyDescent="0.2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7"/>
    </row>
    <row r="3933" spans="1:17" x14ac:dyDescent="0.2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7"/>
    </row>
    <row r="3934" spans="1:17" x14ac:dyDescent="0.2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7"/>
    </row>
    <row r="3935" spans="1:17" x14ac:dyDescent="0.2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7"/>
    </row>
    <row r="3936" spans="1:17" x14ac:dyDescent="0.2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7"/>
    </row>
    <row r="3937" spans="1:17" x14ac:dyDescent="0.2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7"/>
    </row>
    <row r="3938" spans="1:17" x14ac:dyDescent="0.2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7"/>
    </row>
    <row r="3939" spans="1:17" x14ac:dyDescent="0.2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7"/>
    </row>
    <row r="3940" spans="1:17" x14ac:dyDescent="0.2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7"/>
    </row>
    <row r="3941" spans="1:17" x14ac:dyDescent="0.2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7"/>
    </row>
    <row r="3942" spans="1:17" x14ac:dyDescent="0.2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7"/>
    </row>
    <row r="3943" spans="1:17" x14ac:dyDescent="0.2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7"/>
    </row>
    <row r="3944" spans="1:17" x14ac:dyDescent="0.2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7"/>
    </row>
    <row r="3945" spans="1:17" x14ac:dyDescent="0.2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7"/>
    </row>
    <row r="3946" spans="1:17" x14ac:dyDescent="0.2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7"/>
    </row>
    <row r="3947" spans="1:17" x14ac:dyDescent="0.2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7"/>
    </row>
    <row r="3948" spans="1:17" x14ac:dyDescent="0.2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7"/>
    </row>
    <row r="3949" spans="1:17" x14ac:dyDescent="0.2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7"/>
    </row>
    <row r="3950" spans="1:17" x14ac:dyDescent="0.2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7"/>
    </row>
    <row r="3951" spans="1:17" x14ac:dyDescent="0.2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7"/>
    </row>
    <row r="3952" spans="1:17" x14ac:dyDescent="0.2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7"/>
    </row>
    <row r="3953" spans="1:17" x14ac:dyDescent="0.2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7"/>
    </row>
    <row r="3954" spans="1:17" x14ac:dyDescent="0.2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7"/>
    </row>
    <row r="3955" spans="1:17" x14ac:dyDescent="0.2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7"/>
    </row>
    <row r="3956" spans="1:17" x14ac:dyDescent="0.2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7"/>
    </row>
    <row r="3957" spans="1:17" x14ac:dyDescent="0.2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7"/>
    </row>
    <row r="3958" spans="1:17" x14ac:dyDescent="0.2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7"/>
    </row>
    <row r="3959" spans="1:17" x14ac:dyDescent="0.2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7"/>
    </row>
    <row r="3960" spans="1:17" x14ac:dyDescent="0.2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7"/>
    </row>
    <row r="3961" spans="1:17" x14ac:dyDescent="0.2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7"/>
    </row>
    <row r="3962" spans="1:17" x14ac:dyDescent="0.2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7"/>
    </row>
    <row r="3963" spans="1:17" x14ac:dyDescent="0.2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7"/>
    </row>
    <row r="3964" spans="1:17" x14ac:dyDescent="0.2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7"/>
    </row>
    <row r="3965" spans="1:17" x14ac:dyDescent="0.2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7"/>
    </row>
    <row r="3966" spans="1:17" x14ac:dyDescent="0.2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7"/>
    </row>
    <row r="3967" spans="1:17" x14ac:dyDescent="0.2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7"/>
    </row>
    <row r="3968" spans="1:17" x14ac:dyDescent="0.2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7"/>
    </row>
    <row r="3969" spans="1:17" x14ac:dyDescent="0.2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7"/>
    </row>
    <row r="3970" spans="1:17" x14ac:dyDescent="0.2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7"/>
    </row>
    <row r="3971" spans="1:17" x14ac:dyDescent="0.2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7"/>
    </row>
    <row r="3972" spans="1:17" x14ac:dyDescent="0.2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7"/>
    </row>
    <row r="3973" spans="1:17" x14ac:dyDescent="0.2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7"/>
    </row>
    <row r="3974" spans="1:17" x14ac:dyDescent="0.2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7"/>
    </row>
    <row r="3975" spans="1:17" x14ac:dyDescent="0.2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7"/>
    </row>
    <row r="3976" spans="1:17" x14ac:dyDescent="0.2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7"/>
    </row>
    <row r="3977" spans="1:17" x14ac:dyDescent="0.2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7"/>
    </row>
    <row r="3978" spans="1:17" x14ac:dyDescent="0.2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7"/>
    </row>
    <row r="3979" spans="1:17" x14ac:dyDescent="0.2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7"/>
    </row>
    <row r="3980" spans="1:17" x14ac:dyDescent="0.2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7"/>
    </row>
    <row r="3981" spans="1:17" x14ac:dyDescent="0.2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7"/>
    </row>
    <row r="3982" spans="1:17" x14ac:dyDescent="0.2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7"/>
    </row>
    <row r="3983" spans="1:17" x14ac:dyDescent="0.2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7"/>
    </row>
    <row r="3984" spans="1:17" x14ac:dyDescent="0.2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7"/>
    </row>
    <row r="3985" spans="1:17" x14ac:dyDescent="0.2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7"/>
    </row>
    <row r="3986" spans="1:17" x14ac:dyDescent="0.2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7"/>
    </row>
    <row r="3987" spans="1:17" x14ac:dyDescent="0.2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7"/>
    </row>
    <row r="3988" spans="1:17" x14ac:dyDescent="0.2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7"/>
    </row>
    <row r="3989" spans="1:17" x14ac:dyDescent="0.2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7"/>
    </row>
    <row r="3990" spans="1:17" x14ac:dyDescent="0.2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7"/>
    </row>
    <row r="3991" spans="1:17" x14ac:dyDescent="0.2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7"/>
    </row>
    <row r="3992" spans="1:17" x14ac:dyDescent="0.2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7"/>
    </row>
    <row r="3993" spans="1:17" x14ac:dyDescent="0.2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7"/>
    </row>
    <row r="3994" spans="1:17" x14ac:dyDescent="0.2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7"/>
    </row>
    <row r="3995" spans="1:17" x14ac:dyDescent="0.2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7"/>
    </row>
    <row r="3996" spans="1:17" x14ac:dyDescent="0.2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7"/>
    </row>
    <row r="3997" spans="1:17" x14ac:dyDescent="0.2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7"/>
    </row>
    <row r="3998" spans="1:17" x14ac:dyDescent="0.2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7"/>
    </row>
    <row r="3999" spans="1:17" x14ac:dyDescent="0.2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7"/>
    </row>
    <row r="4000" spans="1:17" x14ac:dyDescent="0.2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7"/>
    </row>
    <row r="4001" spans="1:17" x14ac:dyDescent="0.2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7"/>
    </row>
    <row r="4002" spans="1:17" x14ac:dyDescent="0.2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7"/>
    </row>
    <row r="4003" spans="1:17" x14ac:dyDescent="0.2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7"/>
    </row>
    <row r="4004" spans="1:17" x14ac:dyDescent="0.2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7"/>
    </row>
    <row r="4005" spans="1:17" x14ac:dyDescent="0.2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7"/>
    </row>
    <row r="4006" spans="1:17" x14ac:dyDescent="0.2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7"/>
    </row>
    <row r="4007" spans="1:17" x14ac:dyDescent="0.2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7"/>
    </row>
    <row r="4008" spans="1:17" x14ac:dyDescent="0.2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7"/>
    </row>
    <row r="4009" spans="1:17" x14ac:dyDescent="0.2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7"/>
    </row>
    <row r="4010" spans="1:17" x14ac:dyDescent="0.2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7"/>
    </row>
    <row r="4011" spans="1:17" x14ac:dyDescent="0.2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7"/>
    </row>
    <row r="4012" spans="1:17" x14ac:dyDescent="0.2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7"/>
    </row>
    <row r="4013" spans="1:17" x14ac:dyDescent="0.2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7"/>
    </row>
    <row r="4014" spans="1:17" x14ac:dyDescent="0.2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7"/>
    </row>
    <row r="4015" spans="1:17" x14ac:dyDescent="0.2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7"/>
    </row>
    <row r="4016" spans="1:17" x14ac:dyDescent="0.2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7"/>
    </row>
    <row r="4017" spans="1:17" x14ac:dyDescent="0.2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7"/>
    </row>
    <row r="4018" spans="1:17" x14ac:dyDescent="0.2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7"/>
    </row>
    <row r="4019" spans="1:17" x14ac:dyDescent="0.2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7"/>
    </row>
    <row r="4020" spans="1:17" x14ac:dyDescent="0.2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7"/>
    </row>
    <row r="4021" spans="1:17" x14ac:dyDescent="0.2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7"/>
    </row>
    <row r="4022" spans="1:17" x14ac:dyDescent="0.2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7"/>
    </row>
    <row r="4023" spans="1:17" x14ac:dyDescent="0.2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7"/>
    </row>
    <row r="4024" spans="1:17" x14ac:dyDescent="0.2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7"/>
    </row>
    <row r="4025" spans="1:17" x14ac:dyDescent="0.2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7"/>
    </row>
    <row r="4026" spans="1:17" x14ac:dyDescent="0.2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7"/>
    </row>
    <row r="4027" spans="1:17" x14ac:dyDescent="0.2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7"/>
    </row>
    <row r="4028" spans="1:17" x14ac:dyDescent="0.2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7"/>
    </row>
    <row r="4029" spans="1:17" x14ac:dyDescent="0.2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7"/>
    </row>
    <row r="4030" spans="1:17" x14ac:dyDescent="0.2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7"/>
    </row>
    <row r="4031" spans="1:17" x14ac:dyDescent="0.2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7"/>
    </row>
    <row r="4032" spans="1:17" x14ac:dyDescent="0.2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7"/>
    </row>
    <row r="4033" spans="1:17" x14ac:dyDescent="0.2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7"/>
    </row>
    <row r="4034" spans="1:17" x14ac:dyDescent="0.2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7"/>
    </row>
    <row r="4035" spans="1:17" x14ac:dyDescent="0.2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7"/>
    </row>
    <row r="4036" spans="1:17" x14ac:dyDescent="0.2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7"/>
    </row>
    <row r="4037" spans="1:17" x14ac:dyDescent="0.2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7"/>
    </row>
    <row r="4038" spans="1:17" x14ac:dyDescent="0.2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7"/>
    </row>
    <row r="4039" spans="1:17" x14ac:dyDescent="0.2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7"/>
    </row>
    <row r="4040" spans="1:17" x14ac:dyDescent="0.2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7"/>
    </row>
    <row r="4041" spans="1:17" x14ac:dyDescent="0.2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7"/>
    </row>
    <row r="4042" spans="1:17" x14ac:dyDescent="0.2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7"/>
    </row>
    <row r="4043" spans="1:17" x14ac:dyDescent="0.2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7"/>
    </row>
    <row r="4044" spans="1:17" x14ac:dyDescent="0.2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7"/>
    </row>
    <row r="4045" spans="1:17" x14ac:dyDescent="0.2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7"/>
    </row>
    <row r="4046" spans="1:17" x14ac:dyDescent="0.2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7"/>
    </row>
    <row r="4047" spans="1:17" x14ac:dyDescent="0.2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7"/>
    </row>
    <row r="4048" spans="1:17" x14ac:dyDescent="0.2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7"/>
    </row>
    <row r="4049" spans="1:17" x14ac:dyDescent="0.2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7"/>
    </row>
    <row r="4050" spans="1:17" x14ac:dyDescent="0.2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7"/>
    </row>
    <row r="4051" spans="1:17" x14ac:dyDescent="0.2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7"/>
    </row>
    <row r="4052" spans="1:17" x14ac:dyDescent="0.2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7"/>
    </row>
    <row r="4053" spans="1:17" x14ac:dyDescent="0.2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7"/>
    </row>
    <row r="4054" spans="1:17" x14ac:dyDescent="0.2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7"/>
    </row>
    <row r="4055" spans="1:17" x14ac:dyDescent="0.2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7"/>
    </row>
    <row r="4056" spans="1:17" x14ac:dyDescent="0.2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7"/>
    </row>
    <row r="4057" spans="1:17" x14ac:dyDescent="0.2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7"/>
    </row>
    <row r="4058" spans="1:17" x14ac:dyDescent="0.2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7"/>
    </row>
    <row r="4059" spans="1:17" x14ac:dyDescent="0.2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7"/>
    </row>
    <row r="4060" spans="1:17" x14ac:dyDescent="0.2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7"/>
    </row>
    <row r="4061" spans="1:17" x14ac:dyDescent="0.2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7"/>
    </row>
    <row r="4062" spans="1:17" x14ac:dyDescent="0.2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7"/>
    </row>
    <row r="4063" spans="1:17" x14ac:dyDescent="0.2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7"/>
    </row>
    <row r="4064" spans="1:17" x14ac:dyDescent="0.2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7"/>
    </row>
    <row r="4065" spans="1:17" x14ac:dyDescent="0.2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7"/>
    </row>
    <row r="4066" spans="1:17" x14ac:dyDescent="0.2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7"/>
    </row>
    <row r="4067" spans="1:17" x14ac:dyDescent="0.2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7"/>
    </row>
    <row r="4068" spans="1:17" x14ac:dyDescent="0.2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7"/>
    </row>
    <row r="4069" spans="1:17" x14ac:dyDescent="0.2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7"/>
    </row>
    <row r="4070" spans="1:17" x14ac:dyDescent="0.2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7"/>
    </row>
    <row r="4071" spans="1:17" x14ac:dyDescent="0.2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7"/>
    </row>
    <row r="4072" spans="1:17" x14ac:dyDescent="0.2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7"/>
    </row>
    <row r="4073" spans="1:17" x14ac:dyDescent="0.2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7"/>
    </row>
    <row r="4074" spans="1:17" x14ac:dyDescent="0.2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7"/>
    </row>
    <row r="4075" spans="1:17" x14ac:dyDescent="0.2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7"/>
    </row>
    <row r="4076" spans="1:17" x14ac:dyDescent="0.2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7"/>
    </row>
    <row r="4077" spans="1:17" x14ac:dyDescent="0.2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7"/>
    </row>
    <row r="4078" spans="1:17" x14ac:dyDescent="0.2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7"/>
    </row>
    <row r="4079" spans="1:17" x14ac:dyDescent="0.2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7"/>
    </row>
    <row r="4080" spans="1:17" x14ac:dyDescent="0.2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7"/>
    </row>
    <row r="4081" spans="1:17" x14ac:dyDescent="0.2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7"/>
    </row>
    <row r="4082" spans="1:17" x14ac:dyDescent="0.2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7"/>
    </row>
    <row r="4083" spans="1:17" x14ac:dyDescent="0.2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7"/>
    </row>
    <row r="4084" spans="1:17" x14ac:dyDescent="0.2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7"/>
    </row>
    <row r="4085" spans="1:17" x14ac:dyDescent="0.2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7"/>
    </row>
    <row r="4086" spans="1:17" x14ac:dyDescent="0.2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7"/>
    </row>
    <row r="4087" spans="1:17" x14ac:dyDescent="0.2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7"/>
    </row>
    <row r="4088" spans="1:17" x14ac:dyDescent="0.2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7"/>
    </row>
    <row r="4089" spans="1:17" x14ac:dyDescent="0.2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7"/>
    </row>
    <row r="4090" spans="1:17" x14ac:dyDescent="0.2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7"/>
    </row>
    <row r="4091" spans="1:17" x14ac:dyDescent="0.2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7"/>
    </row>
    <row r="4092" spans="1:17" x14ac:dyDescent="0.2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7"/>
    </row>
    <row r="4093" spans="1:17" x14ac:dyDescent="0.2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7"/>
    </row>
    <row r="4094" spans="1:17" x14ac:dyDescent="0.2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7"/>
    </row>
    <row r="4095" spans="1:17" x14ac:dyDescent="0.2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7"/>
    </row>
    <row r="4096" spans="1:17" x14ac:dyDescent="0.2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7"/>
    </row>
    <row r="4097" spans="1:17" x14ac:dyDescent="0.2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7"/>
    </row>
  </sheetData>
  <phoneticPr fontId="6" type="noConversion"/>
  <pageMargins left="0" right="0" top="0.7" bottom="0" header="0.25" footer="0"/>
  <pageSetup scale="71" orientation="landscape" horizontalDpi="300" r:id="rId1"/>
  <headerFooter alignWithMargins="0">
    <oddFooter>&amp;CPage &amp;P of &amp;N</oddFooter>
  </headerFooter>
  <rowBreaks count="1" manualBreakCount="1">
    <brk id="55" max="15" man="1"/>
  </rowBreaks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0">
    <pageSetUpPr fitToPage="1"/>
  </sheetPr>
  <dimension ref="A1:Y675"/>
  <sheetViews>
    <sheetView showGridLines="0" view="pageBreakPreview" zoomScaleNormal="70" zoomScaleSheetLayoutView="100" workbookViewId="0">
      <selection activeCell="Q40" sqref="Q40"/>
    </sheetView>
  </sheetViews>
  <sheetFormatPr defaultColWidth="11" defaultRowHeight="15.75" x14ac:dyDescent="0.25"/>
  <cols>
    <col min="1" max="1" width="4.85546875" style="109" customWidth="1"/>
    <col min="2" max="2" width="37.5703125" style="109" customWidth="1"/>
    <col min="3" max="3" width="16.5703125" style="109" customWidth="1"/>
    <col min="4" max="4" width="15.140625" style="109" bestFit="1" customWidth="1"/>
    <col min="5" max="5" width="15.42578125" style="109" bestFit="1" customWidth="1"/>
    <col min="6" max="6" width="13.42578125" style="109" customWidth="1"/>
    <col min="7" max="7" width="16.5703125" style="109" customWidth="1"/>
    <col min="8" max="8" width="15.42578125" style="109" bestFit="1" customWidth="1"/>
    <col min="9" max="9" width="3.5703125" style="109" customWidth="1"/>
    <col min="10" max="10" width="15.42578125" style="109" customWidth="1"/>
    <col min="11" max="11" width="18.42578125" style="109" customWidth="1"/>
    <col min="12" max="12" width="3.5703125" style="109" customWidth="1"/>
    <col min="13" max="13" width="15.42578125" style="109" bestFit="1" customWidth="1"/>
    <col min="14" max="14" width="3.5703125" style="109" customWidth="1"/>
    <col min="15" max="15" width="11" style="109"/>
    <col min="16" max="16" width="19" style="109" bestFit="1" customWidth="1"/>
    <col min="17" max="17" width="14.42578125" style="109" customWidth="1"/>
    <col min="18" max="18" width="16.140625" style="109" bestFit="1" customWidth="1"/>
    <col min="19" max="19" width="17" style="109" bestFit="1" customWidth="1"/>
    <col min="20" max="25" width="14.5703125" style="109" bestFit="1" customWidth="1"/>
    <col min="26" max="16384" width="11" style="109"/>
  </cols>
  <sheetData>
    <row r="1" spans="1:25" x14ac:dyDescent="0.25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</row>
    <row r="2" spans="1:25" x14ac:dyDescent="0.25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S2" s="406"/>
      <c r="T2" s="406"/>
    </row>
    <row r="3" spans="1:25" x14ac:dyDescent="0.25">
      <c r="A3" s="150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549" t="s">
        <v>714</v>
      </c>
    </row>
    <row r="4" spans="1:25" x14ac:dyDescent="0.25">
      <c r="A4" s="150"/>
      <c r="B4" s="150"/>
      <c r="C4" s="150"/>
      <c r="D4" s="150"/>
      <c r="E4" s="150"/>
      <c r="F4" s="150"/>
      <c r="G4" s="111" t="s">
        <v>93</v>
      </c>
      <c r="H4" s="150"/>
      <c r="I4" s="150"/>
      <c r="J4" s="150"/>
      <c r="K4" s="150"/>
      <c r="L4" s="150"/>
      <c r="M4" s="150"/>
      <c r="N4" s="150"/>
      <c r="O4" s="150"/>
      <c r="P4" s="150"/>
      <c r="T4" s="113"/>
      <c r="U4" s="113"/>
      <c r="V4" s="113"/>
      <c r="W4" s="113"/>
      <c r="X4" s="113"/>
      <c r="Y4" s="113"/>
    </row>
    <row r="5" spans="1:25" x14ac:dyDescent="0.25">
      <c r="A5" s="150"/>
      <c r="B5" s="150"/>
      <c r="C5" s="150"/>
      <c r="D5" s="150"/>
      <c r="E5" s="150"/>
      <c r="F5" s="150"/>
      <c r="G5" s="550" t="s">
        <v>470</v>
      </c>
      <c r="H5" s="150"/>
      <c r="I5" s="150"/>
      <c r="J5" s="150"/>
      <c r="K5" s="150"/>
      <c r="L5" s="150"/>
      <c r="M5" s="150"/>
      <c r="N5" s="150"/>
      <c r="O5" s="150"/>
      <c r="P5" s="549"/>
      <c r="T5" s="407"/>
      <c r="U5" s="407"/>
      <c r="V5" s="407"/>
      <c r="W5" s="407"/>
      <c r="X5" s="407"/>
      <c r="Y5" s="407"/>
    </row>
    <row r="6" spans="1:25" x14ac:dyDescent="0.25">
      <c r="A6" s="150"/>
      <c r="B6" s="150"/>
      <c r="C6" s="150"/>
      <c r="D6" s="150"/>
      <c r="E6" s="150"/>
      <c r="F6" s="150"/>
      <c r="G6" s="550" t="str">
        <f>'Test Year Revenue Present'!G6</f>
        <v>TEST YEAR ENDING MAR, 31 2019</v>
      </c>
      <c r="H6" s="150"/>
      <c r="I6" s="150"/>
      <c r="J6" s="150"/>
      <c r="K6" s="150"/>
      <c r="L6" s="150"/>
      <c r="M6" s="150"/>
      <c r="N6" s="150"/>
      <c r="O6" s="150"/>
      <c r="P6" s="150"/>
      <c r="T6" s="407"/>
      <c r="U6" s="407"/>
      <c r="V6" s="407"/>
      <c r="W6" s="407"/>
      <c r="X6" s="407"/>
      <c r="Y6" s="407"/>
    </row>
    <row r="7" spans="1:25" x14ac:dyDescent="0.25">
      <c r="A7" s="150"/>
      <c r="B7" s="150"/>
      <c r="C7" s="150"/>
      <c r="D7" s="150"/>
      <c r="E7" s="550"/>
      <c r="F7" s="550"/>
      <c r="G7" s="150"/>
      <c r="H7" s="150"/>
      <c r="I7" s="150"/>
      <c r="J7" s="150"/>
      <c r="K7" s="150"/>
      <c r="L7" s="150"/>
      <c r="M7" s="150"/>
      <c r="N7" s="150"/>
      <c r="O7" s="150"/>
      <c r="P7" s="150"/>
      <c r="T7" s="118"/>
      <c r="U7" s="118"/>
      <c r="V7" s="118"/>
      <c r="W7" s="118"/>
      <c r="X7" s="118"/>
      <c r="Y7" s="118"/>
    </row>
    <row r="8" spans="1:25" x14ac:dyDescent="0.25">
      <c r="A8" s="150"/>
      <c r="B8" s="150"/>
      <c r="C8" s="150"/>
      <c r="D8" s="150"/>
      <c r="E8" s="150"/>
      <c r="F8" s="150"/>
      <c r="G8" s="150"/>
      <c r="H8" s="150"/>
      <c r="I8" s="150"/>
      <c r="J8" s="751" t="s">
        <v>142</v>
      </c>
      <c r="K8" s="751"/>
      <c r="L8" s="150"/>
      <c r="M8" s="150"/>
      <c r="N8" s="150"/>
      <c r="O8" s="150"/>
      <c r="P8" s="150"/>
      <c r="T8" s="408"/>
      <c r="U8" s="408"/>
      <c r="V8" s="408"/>
      <c r="W8" s="408"/>
      <c r="X8" s="408"/>
      <c r="Y8" s="408"/>
    </row>
    <row r="9" spans="1:25" ht="16.5" thickBot="1" x14ac:dyDescent="0.3">
      <c r="A9" s="150"/>
      <c r="B9" s="150"/>
      <c r="C9" s="150"/>
      <c r="D9" s="551"/>
      <c r="E9" s="551"/>
      <c r="F9" s="552" t="str">
        <f>'Test Year Revenue Present'!F9</f>
        <v>Reference Period - Twelve Months Ending 06/30/2017</v>
      </c>
      <c r="G9" s="552"/>
      <c r="H9" s="551"/>
      <c r="I9" s="553"/>
      <c r="J9" s="752" t="s">
        <v>348</v>
      </c>
      <c r="K9" s="752"/>
      <c r="L9" s="553"/>
      <c r="M9" s="553"/>
      <c r="N9" s="553"/>
      <c r="O9" s="150"/>
      <c r="P9" s="150"/>
      <c r="T9" s="408"/>
      <c r="U9" s="408"/>
      <c r="V9" s="408"/>
      <c r="W9" s="408"/>
      <c r="X9" s="408"/>
      <c r="Y9" s="408"/>
    </row>
    <row r="10" spans="1:25" ht="16.5" thickTop="1" x14ac:dyDescent="0.25">
      <c r="A10" s="150"/>
      <c r="B10" s="150"/>
      <c r="C10" s="150"/>
      <c r="D10" s="150"/>
      <c r="E10" s="151"/>
      <c r="F10" s="151" t="s">
        <v>143</v>
      </c>
      <c r="G10" s="141" t="s">
        <v>148</v>
      </c>
      <c r="H10" s="151"/>
      <c r="I10" s="151"/>
      <c r="J10" s="151" t="s">
        <v>105</v>
      </c>
      <c r="K10" s="151" t="s">
        <v>144</v>
      </c>
      <c r="L10" s="151"/>
      <c r="M10" s="151" t="s">
        <v>19</v>
      </c>
      <c r="N10" s="151"/>
      <c r="O10" s="151"/>
      <c r="P10" s="150"/>
      <c r="T10" s="408"/>
      <c r="U10" s="408"/>
      <c r="V10" s="408"/>
      <c r="W10" s="408"/>
      <c r="X10" s="408"/>
      <c r="Y10" s="408"/>
    </row>
    <row r="11" spans="1:25" x14ac:dyDescent="0.25">
      <c r="A11" s="151" t="s">
        <v>12</v>
      </c>
      <c r="B11" s="150"/>
      <c r="C11" s="150"/>
      <c r="D11" s="151" t="s">
        <v>146</v>
      </c>
      <c r="E11" s="141" t="s">
        <v>106</v>
      </c>
      <c r="F11" s="151" t="s">
        <v>147</v>
      </c>
      <c r="G11" s="141" t="s">
        <v>106</v>
      </c>
      <c r="H11" s="141" t="s">
        <v>19</v>
      </c>
      <c r="I11" s="141"/>
      <c r="J11" s="141" t="s">
        <v>149</v>
      </c>
      <c r="K11" s="151" t="s">
        <v>150</v>
      </c>
      <c r="L11" s="151"/>
      <c r="M11" s="151" t="s">
        <v>151</v>
      </c>
      <c r="N11" s="141"/>
      <c r="O11" s="151" t="s">
        <v>171</v>
      </c>
      <c r="P11" s="151" t="s">
        <v>171</v>
      </c>
      <c r="Q11" s="113"/>
      <c r="T11" s="408"/>
      <c r="U11" s="408"/>
      <c r="V11" s="408"/>
      <c r="W11" s="408"/>
      <c r="X11" s="408"/>
      <c r="Y11" s="408"/>
    </row>
    <row r="12" spans="1:25" x14ac:dyDescent="0.25">
      <c r="A12" s="152" t="s">
        <v>17</v>
      </c>
      <c r="B12" s="152" t="s">
        <v>152</v>
      </c>
      <c r="C12" s="152" t="s">
        <v>153</v>
      </c>
      <c r="D12" s="152" t="s">
        <v>154</v>
      </c>
      <c r="E12" s="152" t="s">
        <v>155</v>
      </c>
      <c r="F12" s="152" t="s">
        <v>106</v>
      </c>
      <c r="G12" s="554" t="str">
        <f>'Test Year Revenue Present'!G12</f>
        <v>(NOAA 1997-2017)</v>
      </c>
      <c r="H12" s="152" t="s">
        <v>106</v>
      </c>
      <c r="I12" s="554"/>
      <c r="J12" s="152" t="s">
        <v>156</v>
      </c>
      <c r="K12" s="152" t="s">
        <v>157</v>
      </c>
      <c r="L12" s="152"/>
      <c r="M12" s="152" t="s">
        <v>106</v>
      </c>
      <c r="N12" s="554"/>
      <c r="O12" s="555" t="s">
        <v>66</v>
      </c>
      <c r="P12" s="152" t="s">
        <v>22</v>
      </c>
      <c r="T12" s="409"/>
      <c r="U12" s="409"/>
      <c r="V12" s="409"/>
      <c r="W12" s="409"/>
      <c r="X12" s="409"/>
      <c r="Y12" s="409"/>
    </row>
    <row r="13" spans="1:25" x14ac:dyDescent="0.25">
      <c r="A13" s="150"/>
      <c r="B13" s="151"/>
      <c r="C13" s="151"/>
      <c r="D13" s="151" t="s">
        <v>13</v>
      </c>
      <c r="E13" s="151" t="s">
        <v>14</v>
      </c>
      <c r="F13" s="151" t="s">
        <v>15</v>
      </c>
      <c r="G13" s="151" t="s">
        <v>16</v>
      </c>
      <c r="H13" s="151" t="s">
        <v>108</v>
      </c>
      <c r="I13" s="151"/>
      <c r="J13" s="151" t="s">
        <v>109</v>
      </c>
      <c r="K13" s="151" t="s">
        <v>110</v>
      </c>
      <c r="L13" s="151"/>
      <c r="M13" s="556" t="s">
        <v>112</v>
      </c>
      <c r="N13" s="150"/>
      <c r="O13" s="556" t="s">
        <v>113</v>
      </c>
      <c r="P13" s="556" t="s">
        <v>114</v>
      </c>
      <c r="Q13" s="118"/>
      <c r="S13" s="410"/>
      <c r="T13" s="407"/>
      <c r="U13" s="407"/>
      <c r="V13" s="407"/>
      <c r="W13" s="407"/>
      <c r="X13" s="407"/>
      <c r="Y13" s="407"/>
    </row>
    <row r="14" spans="1:25" x14ac:dyDescent="0.25">
      <c r="A14" s="151">
        <v>1</v>
      </c>
      <c r="B14" s="557" t="s">
        <v>158</v>
      </c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18"/>
      <c r="R14" s="409"/>
      <c r="T14" s="407"/>
      <c r="U14" s="407"/>
      <c r="V14" s="407"/>
      <c r="W14" s="407"/>
      <c r="X14" s="407"/>
      <c r="Y14" s="407"/>
    </row>
    <row r="15" spans="1:25" x14ac:dyDescent="0.25">
      <c r="A15" s="151">
        <v>2</v>
      </c>
      <c r="B15" s="150" t="s">
        <v>528</v>
      </c>
      <c r="C15" s="151" t="s">
        <v>159</v>
      </c>
      <c r="D15" s="153">
        <f>'Test Year Revenue Present'!D15</f>
        <v>1880067</v>
      </c>
      <c r="E15" s="153"/>
      <c r="F15" s="153"/>
      <c r="G15" s="153"/>
      <c r="H15" s="153"/>
      <c r="I15" s="153"/>
      <c r="J15" s="153">
        <f>'Test Year Revenue Present'!J15</f>
        <v>6300</v>
      </c>
      <c r="K15" s="153"/>
      <c r="L15" s="153"/>
      <c r="M15" s="153"/>
      <c r="N15" s="153"/>
      <c r="O15" s="558">
        <f>'Rate Design'!H12</f>
        <v>20.5</v>
      </c>
      <c r="P15" s="156">
        <f>ROUND(+O15*(D15+F15+J15),0)</f>
        <v>38670524</v>
      </c>
      <c r="Q15" s="117">
        <f>D15+F15+J15</f>
        <v>1886367</v>
      </c>
      <c r="R15" s="119"/>
      <c r="S15" s="409"/>
      <c r="T15" s="118"/>
      <c r="U15" s="118"/>
      <c r="V15" s="118"/>
      <c r="W15" s="118"/>
      <c r="X15" s="118"/>
      <c r="Y15" s="118"/>
    </row>
    <row r="16" spans="1:25" x14ac:dyDescent="0.25">
      <c r="A16" s="151">
        <v>3</v>
      </c>
      <c r="B16" s="150"/>
      <c r="C16" s="151" t="s">
        <v>159</v>
      </c>
      <c r="D16" s="153">
        <f>'Test Year Revenue Present'!D16</f>
        <v>229990.32222222222</v>
      </c>
      <c r="E16" s="153"/>
      <c r="F16" s="153">
        <f>'Test Year Revenue Present'!F16</f>
        <v>13</v>
      </c>
      <c r="G16" s="150"/>
      <c r="H16" s="150"/>
      <c r="I16" s="150"/>
      <c r="J16" s="200"/>
      <c r="K16" s="200"/>
      <c r="L16" s="150"/>
      <c r="M16" s="150"/>
      <c r="N16" s="150"/>
      <c r="O16" s="559">
        <f>'Rate Design'!H13</f>
        <v>52.5</v>
      </c>
      <c r="P16" s="157">
        <f>ROUND(+O16*(D16+F16+J16),0)</f>
        <v>12075174</v>
      </c>
      <c r="Q16" s="117">
        <f>D16+F16+J16</f>
        <v>230003.32222222222</v>
      </c>
      <c r="R16" s="119"/>
      <c r="S16" s="409"/>
      <c r="T16" s="408"/>
      <c r="U16" s="408"/>
      <c r="V16" s="408"/>
      <c r="W16" s="408"/>
      <c r="X16" s="408"/>
      <c r="Y16" s="408"/>
    </row>
    <row r="17" spans="1:25" x14ac:dyDescent="0.25">
      <c r="A17" s="151">
        <v>4</v>
      </c>
      <c r="B17" s="150"/>
      <c r="C17" s="151" t="s">
        <v>160</v>
      </c>
      <c r="D17" s="200"/>
      <c r="E17" s="153">
        <f>'Test Year Revenue Present'!E17</f>
        <v>12806756.629999999</v>
      </c>
      <c r="F17" s="153">
        <f>'Test Year Revenue Present'!F17</f>
        <v>2648.4300000000003</v>
      </c>
      <c r="G17" s="153">
        <f>'Test Year Revenue Present'!G17</f>
        <v>2573875.2732027033</v>
      </c>
      <c r="H17" s="153">
        <f>SUM(E17:G17)</f>
        <v>15383280.333202701</v>
      </c>
      <c r="I17" s="153"/>
      <c r="J17" s="153">
        <f>'Test Year Revenue Present'!J17</f>
        <v>35393.092694049701</v>
      </c>
      <c r="K17" s="153">
        <f>'Test Year Revenue Present'!K17</f>
        <v>0</v>
      </c>
      <c r="L17" s="153"/>
      <c r="M17" s="153">
        <f>H17+J17+K17</f>
        <v>15418673.425896751</v>
      </c>
      <c r="N17" s="153"/>
      <c r="O17" s="560">
        <f>'Rate Design'!H19</f>
        <v>1.825</v>
      </c>
      <c r="P17" s="153">
        <f>ROUND((+M17)*O17,0)</f>
        <v>28139079</v>
      </c>
      <c r="Q17" s="117"/>
      <c r="R17" s="119"/>
      <c r="S17" s="409"/>
      <c r="T17" s="123"/>
      <c r="U17" s="125"/>
      <c r="V17" s="125"/>
      <c r="W17" s="125"/>
      <c r="X17" s="125"/>
      <c r="Y17" s="125"/>
    </row>
    <row r="18" spans="1:25" x14ac:dyDescent="0.25">
      <c r="A18" s="151">
        <v>5</v>
      </c>
      <c r="B18" s="200"/>
      <c r="C18" s="151" t="s">
        <v>161</v>
      </c>
      <c r="D18" s="200"/>
      <c r="E18" s="153">
        <f>'Test Year Revenue Present'!E18</f>
        <v>992822.01</v>
      </c>
      <c r="F18" s="153">
        <f>'Test Year Revenue Present'!F18</f>
        <v>-34945.43</v>
      </c>
      <c r="G18" s="153">
        <f>'Test Year Revenue Present'!G18</f>
        <v>66415.726797296797</v>
      </c>
      <c r="H18" s="153">
        <f>SUM(E18:G18)</f>
        <v>1024292.3067972967</v>
      </c>
      <c r="I18" s="153"/>
      <c r="J18" s="153"/>
      <c r="K18" s="153">
        <f>'Test Year Revenue Present'!K18</f>
        <v>0</v>
      </c>
      <c r="L18" s="153"/>
      <c r="M18" s="153">
        <f>H18+J18+K18</f>
        <v>1024292.3067972967</v>
      </c>
      <c r="N18" s="153"/>
      <c r="O18" s="560">
        <f>'Rate Design'!H20</f>
        <v>1.1850000000000001</v>
      </c>
      <c r="P18" s="153">
        <f>ROUND((+M18)*O18,0)</f>
        <v>1213786</v>
      </c>
      <c r="Q18" s="117"/>
      <c r="R18" s="119"/>
      <c r="S18" s="409"/>
      <c r="T18" s="123"/>
    </row>
    <row r="19" spans="1:25" x14ac:dyDescent="0.25">
      <c r="A19" s="151">
        <v>6</v>
      </c>
      <c r="B19" s="561"/>
      <c r="C19" s="151" t="s">
        <v>162</v>
      </c>
      <c r="D19" s="200"/>
      <c r="E19" s="153">
        <f>'Test Year Revenue Present'!E19</f>
        <v>0</v>
      </c>
      <c r="F19" s="153">
        <f>'Test Year Revenue Present'!F19</f>
        <v>0</v>
      </c>
      <c r="G19" s="153">
        <f>'Test Year Revenue Present'!G19</f>
        <v>0</v>
      </c>
      <c r="H19" s="153">
        <f>SUM(E19:G19)</f>
        <v>0</v>
      </c>
      <c r="I19" s="153"/>
      <c r="J19" s="153"/>
      <c r="K19" s="153">
        <f>'Test Year Revenue Present'!K19</f>
        <v>0</v>
      </c>
      <c r="L19" s="153"/>
      <c r="M19" s="153">
        <f>H19+J19+K19</f>
        <v>0</v>
      </c>
      <c r="N19" s="153"/>
      <c r="O19" s="560">
        <f>'Rate Design'!H21</f>
        <v>0.9</v>
      </c>
      <c r="P19" s="153">
        <f>ROUND((+M19)*O19,0)</f>
        <v>0</v>
      </c>
      <c r="Q19" s="117"/>
      <c r="R19" s="119"/>
      <c r="S19" s="409"/>
    </row>
    <row r="20" spans="1:25" x14ac:dyDescent="0.25">
      <c r="A20" s="151">
        <v>7</v>
      </c>
      <c r="B20" s="150" t="s">
        <v>529</v>
      </c>
      <c r="C20" s="151" t="s">
        <v>159</v>
      </c>
      <c r="D20" s="153">
        <f>'Test Year Revenue Present'!D20</f>
        <v>142</v>
      </c>
      <c r="E20" s="153"/>
      <c r="F20" s="153">
        <f>'Test Year Revenue Present'!F20</f>
        <v>0</v>
      </c>
      <c r="G20" s="153"/>
      <c r="H20" s="153"/>
      <c r="I20" s="153"/>
      <c r="J20" s="153"/>
      <c r="K20" s="153"/>
      <c r="L20" s="153"/>
      <c r="M20" s="153"/>
      <c r="N20" s="153"/>
      <c r="O20" s="559">
        <f>'Rate Design'!H14</f>
        <v>400</v>
      </c>
      <c r="P20" s="157">
        <f>ROUND(+O20*(D20+F20+J20),0)</f>
        <v>56800</v>
      </c>
      <c r="Q20" s="117">
        <f>D20+F20+J20</f>
        <v>142</v>
      </c>
      <c r="R20" s="119"/>
    </row>
    <row r="21" spans="1:25" x14ac:dyDescent="0.25">
      <c r="A21" s="151">
        <v>8</v>
      </c>
      <c r="B21" s="562"/>
      <c r="C21" s="151" t="s">
        <v>163</v>
      </c>
      <c r="D21" s="153"/>
      <c r="E21" s="153">
        <f>'Test Year Revenue Present'!E21</f>
        <v>432169</v>
      </c>
      <c r="F21" s="153">
        <f>'Test Year Revenue Present'!F21</f>
        <v>-75000</v>
      </c>
      <c r="G21" s="153"/>
      <c r="H21" s="153">
        <f>SUM(E21:G21)</f>
        <v>357169</v>
      </c>
      <c r="I21" s="153"/>
      <c r="J21" s="153"/>
      <c r="K21" s="153"/>
      <c r="L21" s="153"/>
      <c r="M21" s="153">
        <f>H21+J21+K21</f>
        <v>357169</v>
      </c>
      <c r="N21" s="153"/>
      <c r="O21" s="560">
        <f>'Rate Design'!H27</f>
        <v>1.0449999999999999</v>
      </c>
      <c r="P21" s="153">
        <f>ROUND((+M21)*O21,0)</f>
        <v>373242</v>
      </c>
      <c r="Q21" s="117"/>
      <c r="R21" s="119"/>
    </row>
    <row r="22" spans="1:25" x14ac:dyDescent="0.25">
      <c r="A22" s="151">
        <v>9</v>
      </c>
      <c r="B22" s="150"/>
      <c r="C22" s="151" t="s">
        <v>162</v>
      </c>
      <c r="D22" s="153"/>
      <c r="E22" s="153">
        <f>'Test Year Revenue Present'!E22</f>
        <v>324655.01</v>
      </c>
      <c r="F22" s="153">
        <f>'Test Year Revenue Present'!F22</f>
        <v>-266795</v>
      </c>
      <c r="G22" s="153"/>
      <c r="H22" s="153">
        <f>SUM(E22:G22)</f>
        <v>57860.010000000009</v>
      </c>
      <c r="I22" s="153"/>
      <c r="J22" s="153"/>
      <c r="K22" s="153"/>
      <c r="L22" s="153"/>
      <c r="M22" s="153">
        <f>H22+J22+K22</f>
        <v>57860.010000000009</v>
      </c>
      <c r="N22" s="153"/>
      <c r="O22" s="560">
        <f>'Rate Design'!H28</f>
        <v>0.76400000000000001</v>
      </c>
      <c r="P22" s="153">
        <f>ROUND((+M22)*O22,0)</f>
        <v>44205</v>
      </c>
      <c r="Q22" s="117"/>
      <c r="R22" s="119"/>
    </row>
    <row r="23" spans="1:25" x14ac:dyDescent="0.25">
      <c r="A23" s="151">
        <v>10</v>
      </c>
      <c r="B23" s="563"/>
      <c r="C23" s="564"/>
      <c r="D23" s="154"/>
      <c r="E23" s="154"/>
      <c r="F23" s="154"/>
      <c r="G23" s="563"/>
      <c r="H23" s="154"/>
      <c r="I23" s="154"/>
      <c r="J23" s="154"/>
      <c r="K23" s="154"/>
      <c r="L23" s="154"/>
      <c r="M23" s="154"/>
      <c r="N23" s="154"/>
      <c r="O23" s="565"/>
      <c r="P23" s="154"/>
      <c r="Q23" s="149"/>
      <c r="R23" s="119"/>
    </row>
    <row r="24" spans="1:25" x14ac:dyDescent="0.25">
      <c r="A24" s="151">
        <v>11</v>
      </c>
      <c r="B24" s="557" t="s">
        <v>70</v>
      </c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3"/>
      <c r="Q24" s="117"/>
      <c r="R24" s="119"/>
    </row>
    <row r="25" spans="1:25" x14ac:dyDescent="0.25">
      <c r="A25" s="151">
        <v>12</v>
      </c>
      <c r="B25" s="150" t="s">
        <v>533</v>
      </c>
      <c r="C25" s="151" t="s">
        <v>159</v>
      </c>
      <c r="D25" s="153">
        <f>'Test Year Revenue Present'!D25</f>
        <v>1485</v>
      </c>
      <c r="E25" s="150"/>
      <c r="F25" s="153">
        <f>'Test Year Revenue Present'!F25</f>
        <v>11</v>
      </c>
      <c r="G25" s="150"/>
      <c r="H25" s="153"/>
      <c r="I25" s="153"/>
      <c r="J25" s="153"/>
      <c r="K25" s="153"/>
      <c r="L25" s="153"/>
      <c r="M25" s="153"/>
      <c r="N25" s="153"/>
      <c r="O25" s="559">
        <f>'Rate Design'!H15</f>
        <v>400</v>
      </c>
      <c r="P25" s="153">
        <f>ROUND(+O25*(D25+F25),0)</f>
        <v>598400</v>
      </c>
      <c r="Q25" s="117">
        <f>D25+F25+J25</f>
        <v>1496</v>
      </c>
      <c r="R25" s="119"/>
    </row>
    <row r="26" spans="1:25" x14ac:dyDescent="0.25">
      <c r="A26" s="151">
        <v>13</v>
      </c>
      <c r="B26" s="150" t="s">
        <v>532</v>
      </c>
      <c r="C26" s="151" t="s">
        <v>159</v>
      </c>
      <c r="D26" s="153">
        <f>'Test Year Revenue Present'!D26</f>
        <v>869</v>
      </c>
      <c r="E26" s="150"/>
      <c r="F26" s="153">
        <f>'Test Year Revenue Present'!F26</f>
        <v>-17</v>
      </c>
      <c r="G26" s="150"/>
      <c r="H26" s="153"/>
      <c r="I26" s="153"/>
      <c r="J26" s="153"/>
      <c r="K26" s="153"/>
      <c r="L26" s="153"/>
      <c r="M26" s="153"/>
      <c r="N26" s="153"/>
      <c r="O26" s="559">
        <f>'Rate Design'!H16</f>
        <v>400</v>
      </c>
      <c r="P26" s="153">
        <f>ROUND(+O26*(D26+F26),0)</f>
        <v>340800</v>
      </c>
      <c r="Q26" s="117">
        <f>D26+F26+J26</f>
        <v>852</v>
      </c>
      <c r="R26" s="119"/>
    </row>
    <row r="27" spans="1:25" x14ac:dyDescent="0.25">
      <c r="A27" s="151">
        <v>14</v>
      </c>
      <c r="B27" s="150" t="s">
        <v>534</v>
      </c>
      <c r="C27" s="151" t="s">
        <v>159</v>
      </c>
      <c r="D27" s="153">
        <f>'Test Year Revenue Present'!D27</f>
        <v>173.60000000000005</v>
      </c>
      <c r="E27" s="150"/>
      <c r="F27" s="153">
        <f>'Test Year Revenue Present'!F27</f>
        <v>-7</v>
      </c>
      <c r="G27" s="150"/>
      <c r="H27" s="150"/>
      <c r="I27" s="150"/>
      <c r="J27" s="150"/>
      <c r="K27" s="150"/>
      <c r="L27" s="150"/>
      <c r="M27" s="150"/>
      <c r="N27" s="150"/>
      <c r="O27" s="559">
        <f>'Rate Design'!G17</f>
        <v>375</v>
      </c>
      <c r="P27" s="153">
        <f>ROUND(+O27*(D27+F27),0)</f>
        <v>62475</v>
      </c>
      <c r="Q27" s="117">
        <f>D27+F27+J27</f>
        <v>166.60000000000005</v>
      </c>
      <c r="R27" s="119"/>
    </row>
    <row r="28" spans="1:25" x14ac:dyDescent="0.25">
      <c r="A28" s="151">
        <v>15</v>
      </c>
      <c r="B28" s="150" t="s">
        <v>164</v>
      </c>
      <c r="C28" s="151" t="s">
        <v>159</v>
      </c>
      <c r="D28" s="153">
        <f>'Test Year Revenue Present'!D28</f>
        <v>2493</v>
      </c>
      <c r="E28" s="150"/>
      <c r="F28" s="153">
        <f>'Test Year Revenue Present'!F28</f>
        <v>-13</v>
      </c>
      <c r="G28" s="150"/>
      <c r="H28" s="153"/>
      <c r="I28" s="153"/>
      <c r="J28" s="153"/>
      <c r="K28" s="153"/>
      <c r="L28" s="153"/>
      <c r="M28" s="153"/>
      <c r="N28" s="153"/>
      <c r="O28" s="559">
        <f>'Rate Design'!H33</f>
        <v>50</v>
      </c>
      <c r="P28" s="153">
        <f>ROUND(+O28*(D28+F28),0)</f>
        <v>124000</v>
      </c>
      <c r="Q28" s="117"/>
      <c r="R28" s="119"/>
      <c r="S28" s="409"/>
    </row>
    <row r="29" spans="1:25" x14ac:dyDescent="0.25">
      <c r="A29" s="151">
        <v>16</v>
      </c>
      <c r="B29" s="150" t="s">
        <v>472</v>
      </c>
      <c r="C29" s="150"/>
      <c r="D29" s="150"/>
      <c r="E29" s="153">
        <f>'Test Year Revenue Present'!E29</f>
        <v>757887.00000000012</v>
      </c>
      <c r="F29" s="153">
        <f>'Test Year Revenue Present'!F29</f>
        <v>0</v>
      </c>
      <c r="G29" s="150"/>
      <c r="H29" s="150"/>
      <c r="I29" s="150"/>
      <c r="J29" s="150"/>
      <c r="K29" s="150"/>
      <c r="L29" s="150"/>
      <c r="M29" s="150"/>
      <c r="N29" s="150"/>
      <c r="O29" s="559">
        <f>'Rate Design'!H34</f>
        <v>0.1</v>
      </c>
      <c r="P29" s="153">
        <f>ROUND((+E29+G29+F29)*O29,0)</f>
        <v>75789</v>
      </c>
      <c r="Q29" s="117"/>
      <c r="R29" s="119"/>
    </row>
    <row r="30" spans="1:25" x14ac:dyDescent="0.25">
      <c r="A30" s="151">
        <v>17</v>
      </c>
      <c r="B30" s="150" t="s">
        <v>0</v>
      </c>
      <c r="C30" s="150"/>
      <c r="D30" s="150"/>
      <c r="E30" s="150"/>
      <c r="F30" s="194"/>
      <c r="G30" s="150"/>
      <c r="H30" s="150"/>
      <c r="I30" s="150"/>
      <c r="J30" s="150"/>
      <c r="K30" s="150"/>
      <c r="L30" s="150"/>
      <c r="M30" s="150"/>
      <c r="N30" s="150"/>
      <c r="O30" s="549" t="s">
        <v>61</v>
      </c>
      <c r="P30" s="200">
        <f>'Test Year Monthly - (Pres)'!P67+'Test Year Monthly - (Pres)'!P83+'Test Year Monthly - (Pres)'!P92</f>
        <v>130600</v>
      </c>
      <c r="Q30" s="117"/>
      <c r="R30" s="119"/>
    </row>
    <row r="31" spans="1:25" x14ac:dyDescent="0.25">
      <c r="A31" s="151">
        <v>18</v>
      </c>
      <c r="B31" s="150" t="s">
        <v>530</v>
      </c>
      <c r="C31" s="151" t="s">
        <v>160</v>
      </c>
      <c r="D31" s="153"/>
      <c r="E31" s="153">
        <f>'Test Year Revenue Present'!E31</f>
        <v>425359</v>
      </c>
      <c r="F31" s="153">
        <f>'Test Year Revenue Present'!F31</f>
        <v>5494</v>
      </c>
      <c r="G31" s="153"/>
      <c r="H31" s="153">
        <f t="shared" ref="H31:H38" si="0">SUM(E31:G31)</f>
        <v>430853</v>
      </c>
      <c r="I31" s="153"/>
      <c r="J31" s="153"/>
      <c r="K31" s="153"/>
      <c r="L31" s="153"/>
      <c r="M31" s="153">
        <f t="shared" ref="M31:M38" si="1">H31+J31+K31</f>
        <v>430853</v>
      </c>
      <c r="N31" s="153"/>
      <c r="O31" s="560">
        <f>'Rate Design'!H23</f>
        <v>1.825</v>
      </c>
      <c r="P31" s="153">
        <f t="shared" ref="P31:P37" si="2">ROUND((+M31)*O31,0)</f>
        <v>786307</v>
      </c>
      <c r="Q31" s="117"/>
      <c r="R31" s="119"/>
    </row>
    <row r="32" spans="1:25" x14ac:dyDescent="0.25">
      <c r="A32" s="151">
        <v>19</v>
      </c>
      <c r="B32" s="150"/>
      <c r="C32" s="151" t="s">
        <v>161</v>
      </c>
      <c r="D32" s="153"/>
      <c r="E32" s="153">
        <f>'Test Year Revenue Present'!E32</f>
        <v>5289535</v>
      </c>
      <c r="F32" s="153">
        <f>'Test Year Revenue Present'!F32</f>
        <v>151171.46734954938</v>
      </c>
      <c r="G32" s="153"/>
      <c r="H32" s="153">
        <f t="shared" si="0"/>
        <v>5440706.4673495498</v>
      </c>
      <c r="I32" s="153"/>
      <c r="J32" s="153"/>
      <c r="K32" s="153"/>
      <c r="L32" s="153"/>
      <c r="M32" s="153">
        <f t="shared" si="1"/>
        <v>5440706.4673495498</v>
      </c>
      <c r="N32" s="153"/>
      <c r="O32" s="560">
        <f>'Rate Design'!H24</f>
        <v>1.1850000000000001</v>
      </c>
      <c r="P32" s="153">
        <f t="shared" si="2"/>
        <v>6447237</v>
      </c>
      <c r="Q32" s="117"/>
      <c r="R32" s="119"/>
    </row>
    <row r="33" spans="1:20" x14ac:dyDescent="0.25">
      <c r="A33" s="151">
        <v>20</v>
      </c>
      <c r="B33" s="150"/>
      <c r="C33" s="151" t="s">
        <v>162</v>
      </c>
      <c r="D33" s="153"/>
      <c r="E33" s="153">
        <f>'Test Year Revenue Present'!E33</f>
        <v>1178385</v>
      </c>
      <c r="F33" s="153">
        <f>'Test Year Revenue Present'!F33</f>
        <v>-22342.46734954937</v>
      </c>
      <c r="G33" s="153"/>
      <c r="H33" s="153">
        <f t="shared" si="0"/>
        <v>1156042.5326504507</v>
      </c>
      <c r="I33" s="153"/>
      <c r="J33" s="153"/>
      <c r="K33" s="153"/>
      <c r="L33" s="153"/>
      <c r="M33" s="153">
        <f t="shared" si="1"/>
        <v>1156042.5326504507</v>
      </c>
      <c r="N33" s="153"/>
      <c r="O33" s="560">
        <f>'Rate Design'!H25</f>
        <v>0.9</v>
      </c>
      <c r="P33" s="153">
        <f t="shared" si="2"/>
        <v>1040438</v>
      </c>
      <c r="Q33" s="117"/>
      <c r="R33" s="119"/>
    </row>
    <row r="34" spans="1:20" x14ac:dyDescent="0.25">
      <c r="A34" s="151">
        <v>21</v>
      </c>
      <c r="B34" s="150" t="s">
        <v>646</v>
      </c>
      <c r="C34" s="151" t="s">
        <v>161</v>
      </c>
      <c r="D34" s="153"/>
      <c r="E34" s="200">
        <f>'Bill Frequency'!P64</f>
        <v>0</v>
      </c>
      <c r="F34" s="200">
        <f>'Contract &amp; Vol Adj'!P64</f>
        <v>0</v>
      </c>
      <c r="G34" s="153"/>
      <c r="H34" s="153">
        <f t="shared" si="0"/>
        <v>0</v>
      </c>
      <c r="I34" s="153"/>
      <c r="J34" s="153"/>
      <c r="K34" s="153"/>
      <c r="L34" s="153"/>
      <c r="M34" s="153">
        <f t="shared" si="1"/>
        <v>0</v>
      </c>
      <c r="N34" s="153"/>
      <c r="O34" s="560">
        <f>ROUND((O32*0.75),4)</f>
        <v>0.88880000000000003</v>
      </c>
      <c r="P34" s="153">
        <f t="shared" si="2"/>
        <v>0</v>
      </c>
      <c r="Q34" s="117"/>
      <c r="R34" s="119"/>
    </row>
    <row r="35" spans="1:20" x14ac:dyDescent="0.25">
      <c r="A35" s="151">
        <v>22</v>
      </c>
      <c r="B35" s="150"/>
      <c r="C35" s="151" t="s">
        <v>162</v>
      </c>
      <c r="D35" s="153"/>
      <c r="E35" s="200">
        <f>'Bill Frequency'!P65</f>
        <v>212615</v>
      </c>
      <c r="F35" s="200">
        <f>'Contract &amp; Vol Adj'!P65</f>
        <v>0</v>
      </c>
      <c r="G35" s="153"/>
      <c r="H35" s="153">
        <f t="shared" si="0"/>
        <v>212615</v>
      </c>
      <c r="I35" s="153"/>
      <c r="J35" s="153"/>
      <c r="K35" s="153"/>
      <c r="L35" s="153"/>
      <c r="M35" s="153">
        <f t="shared" si="1"/>
        <v>212615</v>
      </c>
      <c r="N35" s="153"/>
      <c r="O35" s="560">
        <f>ROUND((O33*0.75),4)</f>
        <v>0.67500000000000004</v>
      </c>
      <c r="P35" s="153">
        <f t="shared" si="2"/>
        <v>143515</v>
      </c>
      <c r="Q35" s="117"/>
      <c r="R35" s="119"/>
    </row>
    <row r="36" spans="1:20" x14ac:dyDescent="0.25">
      <c r="A36" s="151">
        <v>23</v>
      </c>
      <c r="B36" s="150" t="s">
        <v>531</v>
      </c>
      <c r="C36" s="151" t="s">
        <v>163</v>
      </c>
      <c r="D36" s="153"/>
      <c r="E36" s="153">
        <f>'Test Year Revenue Present'!E36</f>
        <v>5227792</v>
      </c>
      <c r="F36" s="153">
        <f>'Test Year Revenue Present'!F36</f>
        <v>161611.16855604001</v>
      </c>
      <c r="G36" s="153"/>
      <c r="H36" s="153">
        <f t="shared" si="0"/>
        <v>5389403.1685560402</v>
      </c>
      <c r="I36" s="153"/>
      <c r="J36" s="153"/>
      <c r="K36" s="153"/>
      <c r="L36" s="153"/>
      <c r="M36" s="153">
        <f t="shared" si="1"/>
        <v>5389403.1685560402</v>
      </c>
      <c r="N36" s="153"/>
      <c r="O36" s="560">
        <f>'Rate Design'!H30</f>
        <v>1.0449999999999999</v>
      </c>
      <c r="P36" s="153">
        <f t="shared" si="2"/>
        <v>5631926</v>
      </c>
      <c r="Q36" s="117"/>
      <c r="R36" s="119"/>
    </row>
    <row r="37" spans="1:20" x14ac:dyDescent="0.25">
      <c r="A37" s="151">
        <v>24</v>
      </c>
      <c r="B37" s="150"/>
      <c r="C37" s="151" t="s">
        <v>162</v>
      </c>
      <c r="D37" s="153"/>
      <c r="E37" s="153">
        <f>'Test Year Revenue Present'!E37</f>
        <v>2598044</v>
      </c>
      <c r="F37" s="153">
        <f>'Test Year Revenue Present'!F37</f>
        <v>291249.83144395996</v>
      </c>
      <c r="G37" s="153"/>
      <c r="H37" s="153">
        <f t="shared" si="0"/>
        <v>2889293.8314439598</v>
      </c>
      <c r="I37" s="153"/>
      <c r="J37" s="153"/>
      <c r="K37" s="153"/>
      <c r="L37" s="153"/>
      <c r="M37" s="153">
        <f t="shared" si="1"/>
        <v>2889293.8314439598</v>
      </c>
      <c r="N37" s="153"/>
      <c r="O37" s="560">
        <f>'Rate Design'!H31</f>
        <v>0.76400000000000001</v>
      </c>
      <c r="P37" s="153">
        <f t="shared" si="2"/>
        <v>2207420</v>
      </c>
      <c r="Q37" s="117"/>
      <c r="R37" s="119"/>
    </row>
    <row r="38" spans="1:20" x14ac:dyDescent="0.25">
      <c r="A38" s="151">
        <v>25</v>
      </c>
      <c r="B38" s="150" t="s">
        <v>473</v>
      </c>
      <c r="C38" s="150"/>
      <c r="D38" s="566"/>
      <c r="E38" s="512">
        <f>'Test Year Revenue Present'!E38</f>
        <v>13847313</v>
      </c>
      <c r="F38" s="512">
        <f>'Test Year Revenue Present'!F38</f>
        <v>-24300.000000000015</v>
      </c>
      <c r="G38" s="553"/>
      <c r="H38" s="512">
        <f t="shared" si="0"/>
        <v>13823013</v>
      </c>
      <c r="I38" s="512"/>
      <c r="J38" s="512"/>
      <c r="K38" s="512"/>
      <c r="L38" s="512"/>
      <c r="M38" s="512">
        <f t="shared" si="1"/>
        <v>13823013</v>
      </c>
      <c r="N38" s="512"/>
      <c r="O38" s="567" t="s">
        <v>61</v>
      </c>
      <c r="P38" s="566">
        <f>'Test Year Monthly - (Pres)'!P95-P39</f>
        <v>2125425.460282953</v>
      </c>
      <c r="Q38" s="117"/>
      <c r="R38" s="119"/>
    </row>
    <row r="39" spans="1:20" x14ac:dyDescent="0.25">
      <c r="A39" s="151">
        <v>26</v>
      </c>
      <c r="B39" s="150"/>
      <c r="C39" s="150"/>
      <c r="D39" s="568"/>
      <c r="E39" s="199"/>
      <c r="F39" s="199"/>
      <c r="G39" s="569"/>
      <c r="H39" s="199"/>
      <c r="I39" s="512"/>
      <c r="J39" s="199"/>
      <c r="K39" s="199"/>
      <c r="L39" s="199"/>
      <c r="M39" s="199"/>
      <c r="N39" s="512"/>
      <c r="O39" s="549"/>
      <c r="P39" s="568"/>
      <c r="Q39" s="117"/>
      <c r="R39" s="119"/>
    </row>
    <row r="40" spans="1:20" ht="16.5" thickBot="1" x14ac:dyDescent="0.3">
      <c r="A40" s="151">
        <v>27</v>
      </c>
      <c r="B40" s="150" t="s">
        <v>165</v>
      </c>
      <c r="C40" s="150"/>
      <c r="D40" s="570">
        <f>SUM(D15:D38)-D28</f>
        <v>2112726.9222222222</v>
      </c>
      <c r="E40" s="570">
        <f>SUM((E17:E23),(E31:E38))</f>
        <v>43335445.649999999</v>
      </c>
      <c r="F40" s="570">
        <f>F17+F18+F19+F21+F22+F23+SUM(F31:F38)</f>
        <v>188792</v>
      </c>
      <c r="G40" s="570">
        <f>SUM(G14:G38)</f>
        <v>2640291</v>
      </c>
      <c r="H40" s="570">
        <f>SUM(H14:H38)</f>
        <v>46164528.649999999</v>
      </c>
      <c r="I40" s="571"/>
      <c r="J40" s="155">
        <f>SUM(J15:J38)</f>
        <v>41693.092694049701</v>
      </c>
      <c r="K40" s="155">
        <f>SUM(K17:K38)</f>
        <v>0</v>
      </c>
      <c r="L40" s="570"/>
      <c r="M40" s="570">
        <f>SUM(M14:M38)</f>
        <v>46199921.74269405</v>
      </c>
      <c r="N40" s="571"/>
      <c r="O40" s="150"/>
      <c r="P40" s="428">
        <f>SUM(P14:P39)</f>
        <v>100287142.46028295</v>
      </c>
      <c r="Q40" s="117">
        <f>SUM(Q15:Q39)</f>
        <v>2119026.9222222222</v>
      </c>
      <c r="R40" s="123"/>
    </row>
    <row r="41" spans="1:20" ht="16.5" thickTop="1" x14ac:dyDescent="0.25">
      <c r="A41" s="151">
        <v>28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429"/>
      <c r="N41" s="150"/>
      <c r="O41" s="150"/>
      <c r="P41" s="150"/>
      <c r="Q41" s="118">
        <f>Q40/12</f>
        <v>176585.57685185186</v>
      </c>
      <c r="R41" s="123"/>
    </row>
    <row r="42" spans="1:20" x14ac:dyDescent="0.25">
      <c r="A42" s="151">
        <v>29</v>
      </c>
      <c r="B42" s="150" t="s">
        <v>292</v>
      </c>
      <c r="C42" s="150"/>
      <c r="D42" s="150"/>
      <c r="E42" s="572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571">
        <f>'Test Year Monthly - (Pres)'!P99</f>
        <v>806054</v>
      </c>
      <c r="Q42" s="117"/>
      <c r="R42" s="118"/>
    </row>
    <row r="43" spans="1:20" x14ac:dyDescent="0.25">
      <c r="A43" s="151">
        <v>30</v>
      </c>
      <c r="B43" s="150" t="s">
        <v>99</v>
      </c>
      <c r="C43" s="150"/>
      <c r="D43" s="150"/>
      <c r="E43" s="429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432">
        <f>'Test Year Monthly - (Prop)'!P100</f>
        <v>1368496.4195872755</v>
      </c>
    </row>
    <row r="44" spans="1:20" x14ac:dyDescent="0.25">
      <c r="A44" s="151">
        <v>31</v>
      </c>
      <c r="B44" s="150" t="s">
        <v>314</v>
      </c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428">
        <f>P40+P42+P43</f>
        <v>102461692.87987022</v>
      </c>
      <c r="Q44" s="117"/>
      <c r="R44" s="119"/>
    </row>
    <row r="45" spans="1:20" x14ac:dyDescent="0.25">
      <c r="A45" s="151">
        <v>32</v>
      </c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R45" s="123"/>
    </row>
    <row r="46" spans="1:20" x14ac:dyDescent="0.25">
      <c r="A46" s="151">
        <v>33</v>
      </c>
      <c r="B46" s="150" t="s">
        <v>218</v>
      </c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573">
        <f>'Test Year Monthly - (Pres)'!P103</f>
        <v>78709117.242809042</v>
      </c>
      <c r="R46" s="411"/>
    </row>
    <row r="47" spans="1:20" x14ac:dyDescent="0.25">
      <c r="A47" s="151">
        <v>34</v>
      </c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T47"/>
    </row>
    <row r="48" spans="1:20" ht="16.5" thickBot="1" x14ac:dyDescent="0.3">
      <c r="A48" s="151">
        <v>35</v>
      </c>
      <c r="B48" s="150" t="s">
        <v>96</v>
      </c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574">
        <f>P40+P42+P46+P43</f>
        <v>181170810.12267926</v>
      </c>
      <c r="R48" s="123"/>
      <c r="T48"/>
    </row>
    <row r="49" spans="1:24" ht="16.5" thickTop="1" x14ac:dyDescent="0.25">
      <c r="A49" s="151">
        <v>36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R49" s="221"/>
      <c r="T49"/>
    </row>
    <row r="50" spans="1:24" x14ac:dyDescent="0.25">
      <c r="A50" s="151">
        <v>37</v>
      </c>
      <c r="B50" s="575" t="s">
        <v>471</v>
      </c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429">
        <f>P48-'Test Year Revenue Present'!P48</f>
        <v>10441534.239889622</v>
      </c>
      <c r="R50" s="123"/>
      <c r="T50"/>
    </row>
    <row r="51" spans="1:24" x14ac:dyDescent="0.25">
      <c r="A51" s="151">
        <v>38</v>
      </c>
      <c r="B51" s="575" t="s">
        <v>548</v>
      </c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429"/>
      <c r="N51" s="150"/>
      <c r="O51" s="150"/>
      <c r="P51" s="150"/>
      <c r="T51"/>
    </row>
    <row r="52" spans="1:24" x14ac:dyDescent="0.25">
      <c r="A52" s="113"/>
      <c r="T52"/>
    </row>
    <row r="53" spans="1:24" x14ac:dyDescent="0.25">
      <c r="A53" s="113"/>
      <c r="T53"/>
    </row>
    <row r="54" spans="1:24" x14ac:dyDescent="0.25">
      <c r="A54" s="113"/>
      <c r="P54" s="123"/>
    </row>
    <row r="55" spans="1:24" x14ac:dyDescent="0.25">
      <c r="A55" s="113"/>
    </row>
    <row r="56" spans="1:24" x14ac:dyDescent="0.25">
      <c r="A56" s="113"/>
      <c r="P56" s="125"/>
    </row>
    <row r="57" spans="1:24" x14ac:dyDescent="0.25">
      <c r="A57" s="113"/>
    </row>
    <row r="58" spans="1:24" x14ac:dyDescent="0.25">
      <c r="A58" s="113"/>
    </row>
    <row r="59" spans="1:24" x14ac:dyDescent="0.25">
      <c r="A59" s="113"/>
    </row>
    <row r="60" spans="1:24" x14ac:dyDescent="0.25">
      <c r="A60" s="113"/>
    </row>
    <row r="61" spans="1:24" x14ac:dyDescent="0.25">
      <c r="A61" s="113"/>
    </row>
    <row r="64" spans="1:24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</row>
    <row r="65" spans="1:24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</row>
    <row r="66" spans="1:24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</row>
    <row r="67" spans="1:24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</row>
    <row r="68" spans="1:24" x14ac:dyDescent="0.25">
      <c r="A68" s="112"/>
      <c r="B68" s="112"/>
      <c r="C68" s="112"/>
      <c r="D68" s="112"/>
      <c r="E68" s="413"/>
      <c r="F68" s="413"/>
      <c r="G68" s="112"/>
      <c r="H68" s="112"/>
      <c r="I68" s="112"/>
      <c r="J68" s="112"/>
      <c r="K68" s="112"/>
      <c r="L68" s="112"/>
      <c r="M68" s="112"/>
      <c r="N68" s="112"/>
      <c r="O68" s="112"/>
      <c r="P68" s="414"/>
      <c r="Q68" s="112"/>
      <c r="R68" s="112"/>
      <c r="S68" s="112"/>
      <c r="T68" s="112"/>
      <c r="U68" s="112"/>
      <c r="V68" s="112"/>
      <c r="W68" s="112"/>
      <c r="X68" s="112"/>
    </row>
    <row r="69" spans="1:24" x14ac:dyDescent="0.25">
      <c r="A69" s="112"/>
      <c r="B69" s="112"/>
      <c r="C69" s="112"/>
      <c r="D69" s="112"/>
      <c r="E69" s="413"/>
      <c r="F69" s="413"/>
      <c r="G69" s="112"/>
      <c r="H69" s="112"/>
      <c r="I69" s="112"/>
      <c r="J69" s="112"/>
      <c r="K69" s="112"/>
      <c r="L69" s="112"/>
      <c r="M69" s="112"/>
      <c r="N69" s="112"/>
      <c r="O69" s="112"/>
      <c r="P69" s="414"/>
      <c r="Q69" s="112"/>
      <c r="R69" s="112"/>
      <c r="S69" s="112"/>
      <c r="T69" s="112"/>
      <c r="U69" s="112"/>
      <c r="V69" s="112"/>
      <c r="W69" s="112"/>
      <c r="X69" s="112"/>
    </row>
    <row r="70" spans="1:24" x14ac:dyDescent="0.25">
      <c r="A70" s="112"/>
      <c r="B70" s="112"/>
      <c r="C70" s="112"/>
      <c r="D70" s="112"/>
      <c r="E70" s="413"/>
      <c r="F70" s="413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</row>
    <row r="71" spans="1:24" x14ac:dyDescent="0.25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</row>
    <row r="72" spans="1:24" x14ac:dyDescent="0.25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222"/>
      <c r="P72" s="112"/>
      <c r="Q72" s="112"/>
      <c r="R72" s="112"/>
      <c r="S72" s="112"/>
      <c r="T72" s="112"/>
      <c r="U72" s="112"/>
      <c r="V72" s="112"/>
      <c r="W72" s="112"/>
      <c r="X72" s="112"/>
    </row>
    <row r="73" spans="1:24" x14ac:dyDescent="0.25">
      <c r="A73" s="222"/>
      <c r="B73" s="112"/>
      <c r="C73" s="11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112"/>
      <c r="R73" s="112"/>
      <c r="S73" s="112"/>
      <c r="T73" s="112"/>
      <c r="U73" s="112"/>
      <c r="V73" s="112"/>
      <c r="W73" s="112"/>
      <c r="X73" s="112"/>
    </row>
    <row r="74" spans="1:24" x14ac:dyDescent="0.25">
      <c r="A74" s="222"/>
      <c r="B74" s="222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112"/>
      <c r="R74" s="112"/>
      <c r="S74" s="112"/>
      <c r="T74" s="112"/>
      <c r="U74" s="112"/>
      <c r="V74" s="112"/>
      <c r="W74" s="112"/>
      <c r="X74" s="112"/>
    </row>
    <row r="75" spans="1:24" x14ac:dyDescent="0.25">
      <c r="A75" s="11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112"/>
      <c r="R75" s="112"/>
      <c r="S75" s="112"/>
      <c r="T75" s="112"/>
      <c r="U75" s="112"/>
      <c r="V75" s="112"/>
      <c r="W75" s="112"/>
      <c r="X75" s="112"/>
    </row>
    <row r="76" spans="1:24" x14ac:dyDescent="0.25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</row>
    <row r="77" spans="1:24" x14ac:dyDescent="0.25">
      <c r="A77" s="112"/>
      <c r="B77" s="415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21"/>
      <c r="R77" s="112"/>
      <c r="S77" s="112"/>
      <c r="T77" s="112"/>
      <c r="U77" s="112"/>
      <c r="V77" s="112"/>
      <c r="W77" s="112"/>
      <c r="X77" s="112"/>
    </row>
    <row r="78" spans="1:24" x14ac:dyDescent="0.25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21"/>
      <c r="R78" s="112"/>
      <c r="S78" s="112"/>
      <c r="T78" s="112"/>
      <c r="U78" s="112"/>
      <c r="V78" s="112"/>
      <c r="W78" s="112"/>
      <c r="X78" s="112"/>
    </row>
    <row r="79" spans="1:24" x14ac:dyDescent="0.25">
      <c r="A79" s="112"/>
      <c r="B79" s="112"/>
      <c r="C79" s="22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416"/>
      <c r="P79" s="417"/>
      <c r="Q79" s="121"/>
      <c r="R79" s="112"/>
      <c r="S79" s="112"/>
      <c r="T79" s="112"/>
      <c r="U79" s="112"/>
      <c r="V79" s="112"/>
      <c r="W79" s="112"/>
      <c r="X79" s="112"/>
    </row>
    <row r="80" spans="1:24" x14ac:dyDescent="0.25">
      <c r="A80" s="112"/>
      <c r="B80" s="112"/>
      <c r="C80" s="22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21"/>
      <c r="Q80" s="121"/>
      <c r="R80" s="112"/>
      <c r="S80" s="112"/>
      <c r="T80" s="112"/>
      <c r="U80" s="112"/>
      <c r="V80" s="112"/>
      <c r="W80" s="112"/>
      <c r="X80" s="112"/>
    </row>
    <row r="81" spans="1:24" x14ac:dyDescent="0.25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</row>
    <row r="82" spans="1:24" x14ac:dyDescent="0.25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</row>
    <row r="83" spans="1:24" x14ac:dyDescent="0.25">
      <c r="A83" s="112"/>
      <c r="B83" s="112"/>
      <c r="C83" s="222"/>
      <c r="D83" s="112"/>
      <c r="E83" s="112"/>
      <c r="F83" s="112"/>
      <c r="G83" s="112"/>
      <c r="H83" s="121"/>
      <c r="I83" s="121"/>
      <c r="J83" s="121"/>
      <c r="K83" s="121"/>
      <c r="L83" s="121"/>
      <c r="M83" s="121"/>
      <c r="N83" s="121"/>
      <c r="O83" s="418"/>
      <c r="P83" s="121"/>
      <c r="Q83" s="121"/>
      <c r="R83" s="112"/>
      <c r="S83" s="112"/>
      <c r="T83" s="112"/>
      <c r="U83" s="112"/>
      <c r="V83" s="112"/>
      <c r="W83" s="112"/>
      <c r="X83" s="112"/>
    </row>
    <row r="84" spans="1:24" x14ac:dyDescent="0.25">
      <c r="A84" s="112"/>
      <c r="B84" s="112"/>
      <c r="C84" s="222"/>
      <c r="D84" s="112"/>
      <c r="E84" s="112"/>
      <c r="F84" s="112"/>
      <c r="G84" s="112"/>
      <c r="H84" s="121"/>
      <c r="I84" s="121"/>
      <c r="J84" s="121"/>
      <c r="K84" s="121"/>
      <c r="L84" s="121"/>
      <c r="M84" s="121"/>
      <c r="N84" s="121"/>
      <c r="O84" s="418"/>
      <c r="P84" s="121"/>
      <c r="Q84" s="121"/>
      <c r="R84" s="112"/>
      <c r="S84" s="112"/>
      <c r="T84" s="112"/>
      <c r="U84" s="112"/>
      <c r="V84" s="112"/>
      <c r="W84" s="112"/>
      <c r="X84" s="112"/>
    </row>
    <row r="85" spans="1:24" x14ac:dyDescent="0.25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</row>
    <row r="86" spans="1:24" x14ac:dyDescent="0.25">
      <c r="A86" s="112"/>
      <c r="B86" s="112"/>
      <c r="C86" s="222"/>
      <c r="D86" s="112"/>
      <c r="E86" s="112"/>
      <c r="F86" s="112"/>
      <c r="G86" s="112"/>
      <c r="H86" s="121"/>
      <c r="I86" s="121"/>
      <c r="J86" s="121"/>
      <c r="K86" s="121"/>
      <c r="L86" s="121"/>
      <c r="M86" s="121"/>
      <c r="N86" s="121"/>
      <c r="O86" s="418"/>
      <c r="P86" s="121"/>
      <c r="Q86" s="121"/>
      <c r="R86" s="112"/>
      <c r="S86" s="112"/>
      <c r="T86" s="112"/>
      <c r="U86" s="112"/>
      <c r="V86" s="112"/>
      <c r="W86" s="112"/>
      <c r="X86" s="112"/>
    </row>
    <row r="87" spans="1:24" x14ac:dyDescent="0.25">
      <c r="A87" s="112"/>
      <c r="B87" s="112"/>
      <c r="C87" s="222"/>
      <c r="D87" s="112"/>
      <c r="E87" s="112"/>
      <c r="F87" s="112"/>
      <c r="G87" s="112"/>
      <c r="H87" s="121"/>
      <c r="I87" s="121"/>
      <c r="J87" s="121"/>
      <c r="K87" s="121"/>
      <c r="L87" s="121"/>
      <c r="M87" s="121"/>
      <c r="N87" s="121"/>
      <c r="O87" s="418"/>
      <c r="P87" s="121"/>
      <c r="Q87" s="121"/>
      <c r="R87" s="112"/>
      <c r="S87" s="112"/>
      <c r="T87" s="112"/>
      <c r="U87" s="112"/>
      <c r="V87" s="112"/>
      <c r="W87" s="112"/>
      <c r="X87" s="112"/>
    </row>
    <row r="88" spans="1:24" x14ac:dyDescent="0.25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</row>
    <row r="89" spans="1:24" x14ac:dyDescent="0.25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</row>
    <row r="90" spans="1:24" x14ac:dyDescent="0.25">
      <c r="A90" s="112"/>
      <c r="B90" s="112"/>
      <c r="C90" s="222"/>
      <c r="D90" s="112"/>
      <c r="E90" s="112"/>
      <c r="F90" s="112"/>
      <c r="G90" s="112"/>
      <c r="H90" s="121"/>
      <c r="I90" s="121"/>
      <c r="J90" s="121"/>
      <c r="K90" s="121"/>
      <c r="L90" s="121"/>
      <c r="M90" s="121"/>
      <c r="N90" s="121"/>
      <c r="O90" s="418"/>
      <c r="P90" s="121"/>
      <c r="Q90" s="121"/>
      <c r="R90" s="112"/>
      <c r="S90" s="112"/>
      <c r="T90" s="112"/>
      <c r="U90" s="112"/>
      <c r="V90" s="112"/>
      <c r="W90" s="112"/>
      <c r="X90" s="112"/>
    </row>
    <row r="91" spans="1:24" x14ac:dyDescent="0.25">
      <c r="A91" s="112"/>
      <c r="B91" s="112"/>
      <c r="C91" s="222"/>
      <c r="D91" s="112"/>
      <c r="E91" s="112"/>
      <c r="F91" s="112"/>
      <c r="G91" s="112"/>
      <c r="H91" s="121"/>
      <c r="I91" s="121"/>
      <c r="J91" s="121"/>
      <c r="K91" s="121"/>
      <c r="L91" s="121"/>
      <c r="M91" s="121"/>
      <c r="N91" s="121"/>
      <c r="O91" s="418"/>
      <c r="P91" s="121"/>
      <c r="Q91" s="121"/>
      <c r="R91" s="112"/>
      <c r="S91" s="112"/>
      <c r="T91" s="112"/>
      <c r="U91" s="112"/>
      <c r="V91" s="112"/>
      <c r="W91" s="112"/>
      <c r="X91" s="112"/>
    </row>
    <row r="92" spans="1:24" x14ac:dyDescent="0.25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</row>
    <row r="93" spans="1:24" x14ac:dyDescent="0.25">
      <c r="A93" s="112"/>
      <c r="B93" s="112"/>
      <c r="C93" s="222"/>
      <c r="D93" s="112"/>
      <c r="E93" s="112"/>
      <c r="F93" s="112"/>
      <c r="G93" s="112"/>
      <c r="H93" s="121"/>
      <c r="I93" s="121"/>
      <c r="J93" s="121"/>
      <c r="K93" s="121"/>
      <c r="L93" s="121"/>
      <c r="M93" s="121"/>
      <c r="N93" s="121"/>
      <c r="O93" s="418"/>
      <c r="P93" s="121"/>
      <c r="Q93" s="121"/>
      <c r="R93" s="112"/>
      <c r="S93" s="112"/>
      <c r="T93" s="112"/>
      <c r="U93" s="112"/>
      <c r="V93" s="112"/>
      <c r="W93" s="112"/>
      <c r="X93" s="112"/>
    </row>
    <row r="94" spans="1:24" x14ac:dyDescent="0.25">
      <c r="A94" s="112"/>
      <c r="B94" s="112"/>
      <c r="C94" s="222"/>
      <c r="D94" s="112"/>
      <c r="E94" s="112"/>
      <c r="F94" s="112"/>
      <c r="G94" s="112"/>
      <c r="H94" s="121"/>
      <c r="I94" s="121"/>
      <c r="J94" s="121"/>
      <c r="K94" s="121"/>
      <c r="L94" s="121"/>
      <c r="M94" s="121"/>
      <c r="N94" s="121"/>
      <c r="O94" s="418"/>
      <c r="P94" s="121"/>
      <c r="Q94" s="121"/>
      <c r="R94" s="112"/>
      <c r="S94" s="112"/>
      <c r="T94" s="112"/>
      <c r="U94" s="112"/>
      <c r="V94" s="112"/>
      <c r="W94" s="112"/>
      <c r="X94" s="112"/>
    </row>
    <row r="95" spans="1:24" x14ac:dyDescent="0.25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</row>
    <row r="96" spans="1:24" x14ac:dyDescent="0.25">
      <c r="A96" s="112"/>
      <c r="B96" s="112"/>
      <c r="C96" s="222"/>
      <c r="D96" s="112"/>
      <c r="E96" s="112"/>
      <c r="F96" s="112"/>
      <c r="G96" s="112"/>
      <c r="H96" s="121"/>
      <c r="I96" s="121"/>
      <c r="J96" s="121"/>
      <c r="K96" s="121"/>
      <c r="L96" s="121"/>
      <c r="M96" s="121"/>
      <c r="N96" s="121"/>
      <c r="O96" s="418"/>
      <c r="P96" s="121"/>
      <c r="Q96" s="121"/>
      <c r="R96" s="112"/>
      <c r="S96" s="112"/>
      <c r="T96" s="112"/>
      <c r="U96" s="112"/>
      <c r="V96" s="112"/>
      <c r="W96" s="112"/>
      <c r="X96" s="112"/>
    </row>
    <row r="97" spans="1:24" x14ac:dyDescent="0.25">
      <c r="A97" s="112"/>
      <c r="B97" s="112"/>
      <c r="C97" s="222"/>
      <c r="D97" s="112"/>
      <c r="E97" s="112"/>
      <c r="F97" s="112"/>
      <c r="G97" s="112"/>
      <c r="H97" s="121"/>
      <c r="I97" s="121"/>
      <c r="J97" s="121"/>
      <c r="K97" s="121"/>
      <c r="L97" s="121"/>
      <c r="M97" s="121"/>
      <c r="N97" s="121"/>
      <c r="O97" s="418"/>
      <c r="P97" s="121"/>
      <c r="Q97" s="121"/>
      <c r="R97" s="112"/>
      <c r="S97" s="112"/>
      <c r="T97" s="112"/>
      <c r="U97" s="112"/>
      <c r="V97" s="112"/>
      <c r="W97" s="112"/>
      <c r="X97" s="112"/>
    </row>
    <row r="98" spans="1:24" x14ac:dyDescent="0.25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</row>
    <row r="99" spans="1:24" x14ac:dyDescent="0.25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</row>
    <row r="100" spans="1:24" x14ac:dyDescent="0.25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</row>
    <row r="101" spans="1:24" x14ac:dyDescent="0.25">
      <c r="A101" s="112"/>
      <c r="B101" s="112"/>
      <c r="C101" s="222"/>
      <c r="D101" s="112"/>
      <c r="E101" s="112"/>
      <c r="F101" s="112"/>
      <c r="G101" s="112"/>
      <c r="H101" s="121"/>
      <c r="I101" s="121"/>
      <c r="J101" s="121"/>
      <c r="K101" s="121"/>
      <c r="L101" s="121"/>
      <c r="M101" s="121"/>
      <c r="N101" s="121"/>
      <c r="O101" s="418"/>
      <c r="P101" s="121"/>
      <c r="Q101" s="121"/>
      <c r="R101" s="112"/>
      <c r="S101" s="112"/>
      <c r="T101" s="112"/>
      <c r="U101" s="112"/>
      <c r="V101" s="112"/>
      <c r="W101" s="112"/>
      <c r="X101" s="112"/>
    </row>
    <row r="102" spans="1:24" x14ac:dyDescent="0.25">
      <c r="A102" s="112"/>
      <c r="B102" s="112"/>
      <c r="C102" s="222"/>
      <c r="D102" s="112"/>
      <c r="E102" s="112"/>
      <c r="F102" s="112"/>
      <c r="G102" s="112"/>
      <c r="H102" s="121"/>
      <c r="I102" s="121"/>
      <c r="J102" s="121"/>
      <c r="K102" s="121"/>
      <c r="L102" s="121"/>
      <c r="M102" s="121"/>
      <c r="N102" s="121"/>
      <c r="O102" s="418"/>
      <c r="P102" s="121"/>
      <c r="Q102" s="121"/>
      <c r="R102" s="112"/>
      <c r="S102" s="112"/>
      <c r="T102" s="112"/>
      <c r="U102" s="112"/>
      <c r="V102" s="112"/>
      <c r="W102" s="112"/>
      <c r="X102" s="112"/>
    </row>
    <row r="103" spans="1:24" x14ac:dyDescent="0.25">
      <c r="A103" s="112"/>
      <c r="B103" s="112"/>
      <c r="C103" s="222"/>
      <c r="D103" s="112"/>
      <c r="E103" s="112"/>
      <c r="F103" s="112"/>
      <c r="G103" s="112"/>
      <c r="H103" s="121"/>
      <c r="I103" s="121"/>
      <c r="J103" s="121"/>
      <c r="K103" s="121"/>
      <c r="L103" s="121"/>
      <c r="M103" s="121"/>
      <c r="N103" s="121"/>
      <c r="O103" s="418"/>
      <c r="P103" s="121"/>
      <c r="Q103" s="121"/>
      <c r="R103" s="112"/>
      <c r="S103" s="112"/>
      <c r="T103" s="112"/>
      <c r="U103" s="112"/>
      <c r="V103" s="112"/>
      <c r="W103" s="112"/>
      <c r="X103" s="112"/>
    </row>
    <row r="104" spans="1:24" x14ac:dyDescent="0.25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</row>
    <row r="105" spans="1:24" x14ac:dyDescent="0.25">
      <c r="A105" s="112"/>
      <c r="B105" s="112"/>
      <c r="C105" s="222"/>
      <c r="D105" s="112"/>
      <c r="E105" s="112"/>
      <c r="F105" s="112"/>
      <c r="G105" s="112"/>
      <c r="H105" s="121"/>
      <c r="I105" s="121"/>
      <c r="J105" s="121"/>
      <c r="K105" s="121"/>
      <c r="L105" s="121"/>
      <c r="M105" s="121"/>
      <c r="N105" s="121"/>
      <c r="O105" s="418"/>
      <c r="P105" s="121"/>
      <c r="Q105" s="121"/>
      <c r="R105" s="112"/>
      <c r="S105" s="112"/>
      <c r="T105" s="112"/>
      <c r="U105" s="112"/>
      <c r="V105" s="112"/>
      <c r="W105" s="112"/>
      <c r="X105" s="112"/>
    </row>
    <row r="106" spans="1:24" x14ac:dyDescent="0.25">
      <c r="A106" s="112"/>
      <c r="B106" s="112"/>
      <c r="C106" s="222"/>
      <c r="D106" s="112"/>
      <c r="E106" s="112"/>
      <c r="F106" s="112"/>
      <c r="G106" s="112"/>
      <c r="H106" s="121"/>
      <c r="I106" s="121"/>
      <c r="J106" s="121"/>
      <c r="K106" s="121"/>
      <c r="L106" s="121"/>
      <c r="M106" s="121"/>
      <c r="N106" s="121"/>
      <c r="O106" s="418"/>
      <c r="P106" s="121"/>
      <c r="Q106" s="121"/>
      <c r="R106" s="112"/>
      <c r="S106" s="112"/>
      <c r="T106" s="112"/>
      <c r="U106" s="112"/>
      <c r="V106" s="112"/>
      <c r="W106" s="112"/>
      <c r="X106" s="112"/>
    </row>
    <row r="107" spans="1:24" x14ac:dyDescent="0.25">
      <c r="A107" s="112"/>
      <c r="B107" s="112"/>
      <c r="C107" s="222"/>
      <c r="D107" s="112"/>
      <c r="E107" s="112"/>
      <c r="F107" s="112"/>
      <c r="G107" s="112"/>
      <c r="H107" s="121"/>
      <c r="I107" s="121"/>
      <c r="J107" s="121"/>
      <c r="K107" s="121"/>
      <c r="L107" s="121"/>
      <c r="M107" s="121"/>
      <c r="N107" s="121"/>
      <c r="O107" s="418"/>
      <c r="P107" s="121"/>
      <c r="Q107" s="121"/>
      <c r="R107" s="112"/>
      <c r="S107" s="112"/>
      <c r="T107" s="112"/>
      <c r="U107" s="112"/>
      <c r="V107" s="112"/>
      <c r="W107" s="112"/>
      <c r="X107" s="112"/>
    </row>
    <row r="108" spans="1:24" x14ac:dyDescent="0.25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21"/>
      <c r="Q108" s="121"/>
      <c r="R108" s="112"/>
      <c r="S108" s="112"/>
      <c r="T108" s="112"/>
      <c r="U108" s="112"/>
      <c r="V108" s="112"/>
      <c r="W108" s="112"/>
      <c r="X108" s="112"/>
    </row>
    <row r="109" spans="1:24" x14ac:dyDescent="0.25">
      <c r="A109" s="112"/>
      <c r="B109" s="112"/>
      <c r="C109" s="22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21"/>
      <c r="Q109" s="121"/>
      <c r="R109" s="112"/>
      <c r="S109" s="112"/>
      <c r="T109" s="112"/>
      <c r="U109" s="112"/>
      <c r="V109" s="112"/>
      <c r="W109" s="112"/>
      <c r="X109" s="112"/>
    </row>
    <row r="110" spans="1:24" x14ac:dyDescent="0.25">
      <c r="A110" s="112"/>
      <c r="B110" s="112"/>
      <c r="C110" s="22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419"/>
      <c r="P110" s="121"/>
      <c r="Q110" s="121"/>
      <c r="R110" s="112"/>
      <c r="S110" s="112"/>
      <c r="T110" s="112"/>
      <c r="U110" s="112"/>
      <c r="V110" s="112"/>
      <c r="W110" s="112"/>
      <c r="X110" s="112"/>
    </row>
    <row r="111" spans="1:24" x14ac:dyDescent="0.25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</row>
    <row r="112" spans="1:24" x14ac:dyDescent="0.25">
      <c r="A112" s="112"/>
      <c r="B112" s="112"/>
      <c r="C112" s="222"/>
      <c r="D112" s="112"/>
      <c r="E112" s="112"/>
      <c r="F112" s="112"/>
      <c r="G112" s="112"/>
      <c r="H112" s="121"/>
      <c r="I112" s="121"/>
      <c r="J112" s="121"/>
      <c r="K112" s="121"/>
      <c r="L112" s="121"/>
      <c r="M112" s="121"/>
      <c r="N112" s="121"/>
      <c r="O112" s="418"/>
      <c r="P112" s="121"/>
      <c r="Q112" s="121"/>
      <c r="R112" s="112"/>
      <c r="S112" s="112"/>
      <c r="T112" s="112"/>
      <c r="U112" s="112"/>
      <c r="V112" s="112"/>
      <c r="W112" s="112"/>
      <c r="X112" s="112"/>
    </row>
    <row r="113" spans="1:24" x14ac:dyDescent="0.25">
      <c r="A113" s="112"/>
      <c r="B113" s="112"/>
      <c r="C113" s="222"/>
      <c r="D113" s="112"/>
      <c r="E113" s="112"/>
      <c r="F113" s="112"/>
      <c r="G113" s="112"/>
      <c r="H113" s="121"/>
      <c r="I113" s="121"/>
      <c r="J113" s="121"/>
      <c r="K113" s="121"/>
      <c r="L113" s="121"/>
      <c r="M113" s="121"/>
      <c r="N113" s="121"/>
      <c r="O113" s="418"/>
      <c r="P113" s="121"/>
      <c r="Q113" s="121"/>
      <c r="R113" s="112"/>
      <c r="S113" s="112"/>
      <c r="T113" s="112"/>
      <c r="U113" s="112"/>
      <c r="V113" s="112"/>
      <c r="W113" s="112"/>
      <c r="X113" s="112"/>
    </row>
    <row r="114" spans="1:24" x14ac:dyDescent="0.25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</row>
    <row r="115" spans="1:24" x14ac:dyDescent="0.25">
      <c r="A115" s="112"/>
      <c r="B115" s="112"/>
      <c r="C115" s="222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418"/>
      <c r="P115" s="121"/>
      <c r="Q115" s="121"/>
      <c r="R115" s="112"/>
      <c r="S115" s="112"/>
      <c r="T115" s="112"/>
      <c r="U115" s="112"/>
      <c r="V115" s="112"/>
      <c r="W115" s="112"/>
      <c r="X115" s="112"/>
    </row>
    <row r="116" spans="1:24" x14ac:dyDescent="0.25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21"/>
      <c r="Q116" s="121"/>
      <c r="R116" s="112"/>
      <c r="S116" s="112"/>
      <c r="T116" s="112"/>
      <c r="U116" s="112"/>
      <c r="V116" s="112"/>
      <c r="W116" s="112"/>
      <c r="X116" s="112"/>
    </row>
    <row r="117" spans="1:24" x14ac:dyDescent="0.25">
      <c r="A117" s="112"/>
      <c r="B117" s="112"/>
      <c r="C117" s="222"/>
      <c r="D117" s="112"/>
      <c r="E117" s="112"/>
      <c r="F117" s="112"/>
      <c r="G117" s="112"/>
      <c r="H117" s="121"/>
      <c r="I117" s="121"/>
      <c r="J117" s="121"/>
      <c r="K117" s="121"/>
      <c r="L117" s="121"/>
      <c r="M117" s="121"/>
      <c r="N117" s="121"/>
      <c r="O117" s="418"/>
      <c r="P117" s="121"/>
      <c r="Q117" s="121"/>
      <c r="R117" s="112"/>
      <c r="S117" s="112"/>
      <c r="T117" s="112"/>
      <c r="U117" s="112"/>
      <c r="V117" s="112"/>
      <c r="W117" s="112"/>
      <c r="X117" s="112"/>
    </row>
    <row r="118" spans="1:24" x14ac:dyDescent="0.25">
      <c r="A118" s="112"/>
      <c r="B118" s="112"/>
      <c r="C118" s="222"/>
      <c r="D118" s="112"/>
      <c r="E118" s="112"/>
      <c r="F118" s="112"/>
      <c r="G118" s="112"/>
      <c r="H118" s="121"/>
      <c r="I118" s="121"/>
      <c r="J118" s="121"/>
      <c r="K118" s="121"/>
      <c r="L118" s="121"/>
      <c r="M118" s="121"/>
      <c r="N118" s="121"/>
      <c r="O118" s="418"/>
      <c r="P118" s="121"/>
      <c r="Q118" s="121"/>
      <c r="R118" s="112"/>
      <c r="S118" s="112"/>
      <c r="T118" s="112"/>
      <c r="U118" s="112"/>
      <c r="V118" s="112"/>
      <c r="W118" s="112"/>
      <c r="X118" s="112"/>
    </row>
    <row r="119" spans="1:24" x14ac:dyDescent="0.25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420"/>
      <c r="P119" s="121"/>
      <c r="Q119" s="121"/>
      <c r="R119" s="112"/>
      <c r="S119" s="112"/>
      <c r="T119" s="112"/>
      <c r="U119" s="112"/>
      <c r="V119" s="112"/>
      <c r="W119" s="112"/>
      <c r="X119" s="112"/>
    </row>
    <row r="120" spans="1:24" x14ac:dyDescent="0.25">
      <c r="A120" s="112"/>
      <c r="B120" s="112"/>
      <c r="C120" s="222"/>
      <c r="D120" s="112"/>
      <c r="E120" s="112"/>
      <c r="F120" s="112"/>
      <c r="G120" s="112"/>
      <c r="H120" s="121"/>
      <c r="I120" s="121"/>
      <c r="J120" s="121"/>
      <c r="K120" s="121"/>
      <c r="L120" s="121"/>
      <c r="M120" s="121"/>
      <c r="N120" s="121"/>
      <c r="O120" s="418"/>
      <c r="P120" s="121"/>
      <c r="Q120" s="121"/>
      <c r="R120" s="112"/>
      <c r="S120" s="112"/>
      <c r="T120" s="112"/>
      <c r="U120" s="112"/>
      <c r="V120" s="112"/>
      <c r="W120" s="112"/>
      <c r="X120" s="112"/>
    </row>
    <row r="121" spans="1:24" x14ac:dyDescent="0.25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418"/>
      <c r="P121" s="121"/>
      <c r="Q121" s="121"/>
      <c r="R121" s="112"/>
      <c r="S121" s="112"/>
      <c r="T121" s="112"/>
      <c r="U121" s="112"/>
      <c r="V121" s="112"/>
      <c r="W121" s="112"/>
      <c r="X121" s="112"/>
    </row>
    <row r="122" spans="1:24" x14ac:dyDescent="0.25">
      <c r="A122" s="112"/>
      <c r="B122" s="112"/>
      <c r="C122" s="222"/>
      <c r="D122" s="112"/>
      <c r="E122" s="112"/>
      <c r="F122" s="112"/>
      <c r="G122" s="112"/>
      <c r="H122" s="121"/>
      <c r="I122" s="121"/>
      <c r="J122" s="121"/>
      <c r="K122" s="121"/>
      <c r="L122" s="121"/>
      <c r="M122" s="121"/>
      <c r="N122" s="121"/>
      <c r="O122" s="418"/>
      <c r="P122" s="121"/>
      <c r="Q122" s="121"/>
      <c r="R122" s="112"/>
      <c r="S122" s="112"/>
      <c r="T122" s="112"/>
      <c r="U122" s="112"/>
      <c r="V122" s="112"/>
      <c r="W122" s="112"/>
      <c r="X122" s="112"/>
    </row>
    <row r="123" spans="1:24" x14ac:dyDescent="0.25">
      <c r="A123" s="112"/>
      <c r="B123" s="112"/>
      <c r="C123" s="222"/>
      <c r="D123" s="112"/>
      <c r="E123" s="112"/>
      <c r="F123" s="112"/>
      <c r="G123" s="112"/>
      <c r="H123" s="121"/>
      <c r="I123" s="121"/>
      <c r="J123" s="121"/>
      <c r="K123" s="121"/>
      <c r="L123" s="121"/>
      <c r="M123" s="121"/>
      <c r="N123" s="121"/>
      <c r="O123" s="418"/>
      <c r="P123" s="121"/>
      <c r="Q123" s="121"/>
      <c r="R123" s="112"/>
      <c r="S123" s="112"/>
      <c r="T123" s="112"/>
      <c r="U123" s="112"/>
      <c r="V123" s="112"/>
      <c r="W123" s="112"/>
      <c r="X123" s="112"/>
    </row>
    <row r="124" spans="1:24" x14ac:dyDescent="0.25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</row>
    <row r="125" spans="1:24" x14ac:dyDescent="0.25">
      <c r="A125" s="112"/>
      <c r="B125" s="112"/>
      <c r="C125" s="112"/>
      <c r="D125" s="112"/>
      <c r="E125" s="121"/>
      <c r="F125" s="121"/>
      <c r="G125" s="112"/>
      <c r="H125" s="121"/>
      <c r="I125" s="121"/>
      <c r="J125" s="121"/>
      <c r="K125" s="121"/>
      <c r="L125" s="121"/>
      <c r="M125" s="121"/>
      <c r="N125" s="121"/>
      <c r="O125" s="418"/>
      <c r="P125" s="121"/>
      <c r="Q125" s="121"/>
      <c r="R125" s="112"/>
      <c r="S125" s="112"/>
      <c r="T125" s="112"/>
      <c r="U125" s="112"/>
      <c r="V125" s="112"/>
      <c r="W125" s="112"/>
      <c r="X125" s="112"/>
    </row>
    <row r="126" spans="1:24" x14ac:dyDescent="0.25">
      <c r="A126" s="112"/>
      <c r="B126" s="112"/>
      <c r="C126" s="4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422"/>
      <c r="P126" s="417"/>
      <c r="Q126" s="121"/>
      <c r="R126" s="112"/>
      <c r="S126" s="112"/>
      <c r="T126" s="112"/>
      <c r="U126" s="112"/>
      <c r="V126" s="112"/>
      <c r="W126" s="112"/>
      <c r="X126" s="112"/>
    </row>
    <row r="127" spans="1:24" x14ac:dyDescent="0.25">
      <c r="A127" s="112"/>
      <c r="B127" s="112"/>
      <c r="C127" s="112"/>
      <c r="D127" s="112"/>
      <c r="E127" s="121"/>
      <c r="F127" s="121"/>
      <c r="G127" s="112"/>
      <c r="H127" s="422"/>
      <c r="I127" s="422"/>
      <c r="J127" s="422"/>
      <c r="K127" s="422"/>
      <c r="L127" s="422"/>
      <c r="M127" s="422"/>
      <c r="N127" s="422"/>
      <c r="O127" s="112"/>
      <c r="P127" s="121"/>
      <c r="Q127" s="121"/>
      <c r="R127" s="112"/>
      <c r="S127" s="112"/>
      <c r="T127" s="112"/>
      <c r="U127" s="112"/>
      <c r="V127" s="112"/>
      <c r="W127" s="112"/>
      <c r="X127" s="112"/>
    </row>
    <row r="128" spans="1:24" x14ac:dyDescent="0.25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21"/>
      <c r="R128" s="112"/>
      <c r="S128" s="112"/>
      <c r="T128" s="112"/>
      <c r="U128" s="112"/>
      <c r="V128" s="112"/>
      <c r="W128" s="112"/>
      <c r="X128" s="112"/>
    </row>
    <row r="129" spans="1:24" x14ac:dyDescent="0.25">
      <c r="A129" s="112"/>
      <c r="B129" s="421"/>
      <c r="C129" s="112"/>
      <c r="D129" s="112"/>
      <c r="E129" s="112"/>
      <c r="F129" s="112"/>
      <c r="G129" s="112"/>
      <c r="H129" s="121"/>
      <c r="I129" s="121"/>
      <c r="J129" s="121"/>
      <c r="K129" s="121"/>
      <c r="L129" s="121"/>
      <c r="M129" s="121"/>
      <c r="N129" s="121"/>
      <c r="O129" s="112"/>
      <c r="P129" s="423"/>
      <c r="Q129" s="121"/>
      <c r="R129" s="112"/>
      <c r="S129" s="112"/>
      <c r="T129" s="112"/>
      <c r="U129" s="112"/>
      <c r="V129" s="112"/>
      <c r="W129" s="112"/>
      <c r="X129" s="112"/>
    </row>
    <row r="130" spans="1:24" x14ac:dyDescent="0.25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</row>
    <row r="131" spans="1:24" x14ac:dyDescent="0.25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</row>
    <row r="132" spans="1:24" x14ac:dyDescent="0.25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</row>
    <row r="133" spans="1:24" x14ac:dyDescent="0.25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</row>
    <row r="134" spans="1:24" x14ac:dyDescent="0.25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</row>
    <row r="135" spans="1:24" x14ac:dyDescent="0.25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</row>
    <row r="136" spans="1:24" x14ac:dyDescent="0.25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</row>
    <row r="137" spans="1:24" x14ac:dyDescent="0.25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</row>
    <row r="138" spans="1:24" x14ac:dyDescent="0.25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</row>
    <row r="139" spans="1:24" x14ac:dyDescent="0.25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</row>
    <row r="140" spans="1:24" x14ac:dyDescent="0.25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</row>
    <row r="141" spans="1:24" x14ac:dyDescent="0.25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</row>
    <row r="142" spans="1:24" x14ac:dyDescent="0.25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</row>
    <row r="143" spans="1:24" x14ac:dyDescent="0.25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</row>
    <row r="144" spans="1:24" x14ac:dyDescent="0.25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</row>
    <row r="145" spans="1:24" x14ac:dyDescent="0.25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</row>
    <row r="146" spans="1:24" x14ac:dyDescent="0.25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</row>
    <row r="147" spans="1:24" x14ac:dyDescent="0.25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</row>
    <row r="148" spans="1:24" x14ac:dyDescent="0.25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</row>
    <row r="149" spans="1:24" x14ac:dyDescent="0.25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</row>
    <row r="150" spans="1:24" x14ac:dyDescent="0.25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</row>
    <row r="151" spans="1:24" x14ac:dyDescent="0.25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</row>
    <row r="152" spans="1:24" x14ac:dyDescent="0.25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</row>
    <row r="153" spans="1:24" x14ac:dyDescent="0.25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</row>
    <row r="154" spans="1:24" x14ac:dyDescent="0.25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</row>
    <row r="155" spans="1:24" x14ac:dyDescent="0.25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</row>
    <row r="156" spans="1:24" x14ac:dyDescent="0.25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</row>
    <row r="157" spans="1:24" x14ac:dyDescent="0.25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</row>
    <row r="158" spans="1:24" x14ac:dyDescent="0.25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</row>
    <row r="159" spans="1:24" x14ac:dyDescent="0.25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</row>
    <row r="160" spans="1:24" x14ac:dyDescent="0.25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</row>
    <row r="161" spans="1:24" x14ac:dyDescent="0.25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</row>
    <row r="162" spans="1:24" x14ac:dyDescent="0.25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</row>
    <row r="163" spans="1:24" x14ac:dyDescent="0.25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</row>
    <row r="164" spans="1:24" x14ac:dyDescent="0.25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</row>
    <row r="165" spans="1:24" x14ac:dyDescent="0.25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</row>
    <row r="166" spans="1:24" x14ac:dyDescent="0.25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</row>
    <row r="167" spans="1:24" x14ac:dyDescent="0.25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</row>
    <row r="168" spans="1:24" x14ac:dyDescent="0.25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</row>
    <row r="169" spans="1:24" x14ac:dyDescent="0.25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</row>
    <row r="170" spans="1:24" x14ac:dyDescent="0.25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</row>
    <row r="171" spans="1:24" x14ac:dyDescent="0.25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</row>
    <row r="172" spans="1:24" x14ac:dyDescent="0.25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</row>
    <row r="173" spans="1:24" x14ac:dyDescent="0.25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</row>
    <row r="174" spans="1:24" x14ac:dyDescent="0.25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</row>
    <row r="175" spans="1:24" x14ac:dyDescent="0.25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</row>
    <row r="176" spans="1:24" x14ac:dyDescent="0.25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</row>
    <row r="177" spans="1:24" x14ac:dyDescent="0.25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</row>
    <row r="178" spans="1:24" x14ac:dyDescent="0.25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</row>
    <row r="179" spans="1:24" x14ac:dyDescent="0.25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</row>
    <row r="180" spans="1:24" x14ac:dyDescent="0.25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</row>
    <row r="181" spans="1:24" x14ac:dyDescent="0.25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</row>
    <row r="182" spans="1:24" x14ac:dyDescent="0.25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</row>
    <row r="183" spans="1:24" x14ac:dyDescent="0.25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</row>
    <row r="184" spans="1:24" x14ac:dyDescent="0.25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</row>
    <row r="185" spans="1:24" x14ac:dyDescent="0.25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</row>
    <row r="186" spans="1:24" x14ac:dyDescent="0.25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</row>
    <row r="187" spans="1:24" x14ac:dyDescent="0.25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</row>
    <row r="188" spans="1:24" x14ac:dyDescent="0.25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</row>
    <row r="189" spans="1:24" x14ac:dyDescent="0.25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</row>
    <row r="190" spans="1:24" x14ac:dyDescent="0.25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</row>
    <row r="191" spans="1:24" x14ac:dyDescent="0.25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</row>
    <row r="192" spans="1:24" x14ac:dyDescent="0.25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</row>
    <row r="193" spans="1:24" x14ac:dyDescent="0.25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</row>
    <row r="194" spans="1:24" x14ac:dyDescent="0.25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</row>
    <row r="195" spans="1:24" x14ac:dyDescent="0.25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</row>
    <row r="196" spans="1:24" x14ac:dyDescent="0.25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</row>
    <row r="197" spans="1:24" x14ac:dyDescent="0.25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</row>
    <row r="198" spans="1:24" x14ac:dyDescent="0.25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</row>
    <row r="199" spans="1:24" x14ac:dyDescent="0.25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</row>
    <row r="200" spans="1:24" x14ac:dyDescent="0.25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</row>
    <row r="201" spans="1:24" x14ac:dyDescent="0.25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</row>
    <row r="202" spans="1:24" x14ac:dyDescent="0.25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</row>
    <row r="203" spans="1:24" x14ac:dyDescent="0.25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</row>
    <row r="204" spans="1:24" x14ac:dyDescent="0.25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</row>
    <row r="205" spans="1:24" x14ac:dyDescent="0.25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</row>
    <row r="206" spans="1:24" x14ac:dyDescent="0.25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</row>
    <row r="207" spans="1:24" x14ac:dyDescent="0.25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</row>
    <row r="208" spans="1:24" x14ac:dyDescent="0.25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</row>
    <row r="209" spans="1:24" x14ac:dyDescent="0.25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</row>
    <row r="210" spans="1:24" x14ac:dyDescent="0.25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</row>
    <row r="211" spans="1:24" x14ac:dyDescent="0.25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</row>
    <row r="212" spans="1:24" x14ac:dyDescent="0.25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</row>
    <row r="213" spans="1:24" x14ac:dyDescent="0.25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</row>
    <row r="214" spans="1:24" x14ac:dyDescent="0.25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</row>
    <row r="215" spans="1:24" x14ac:dyDescent="0.25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</row>
    <row r="216" spans="1:24" x14ac:dyDescent="0.25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</row>
    <row r="217" spans="1:24" x14ac:dyDescent="0.25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</row>
    <row r="218" spans="1:24" x14ac:dyDescent="0.25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</row>
    <row r="219" spans="1:24" x14ac:dyDescent="0.25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</row>
    <row r="220" spans="1:24" x14ac:dyDescent="0.25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</row>
    <row r="221" spans="1:24" x14ac:dyDescent="0.25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</row>
    <row r="222" spans="1:24" x14ac:dyDescent="0.25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</row>
    <row r="223" spans="1:24" x14ac:dyDescent="0.25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</row>
    <row r="224" spans="1:24" x14ac:dyDescent="0.25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</row>
    <row r="225" spans="1:24" x14ac:dyDescent="0.25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</row>
    <row r="226" spans="1:24" x14ac:dyDescent="0.25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</row>
    <row r="227" spans="1:24" x14ac:dyDescent="0.25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</row>
    <row r="228" spans="1:24" x14ac:dyDescent="0.25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</row>
    <row r="229" spans="1:24" x14ac:dyDescent="0.25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</row>
    <row r="230" spans="1:24" x14ac:dyDescent="0.25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</row>
    <row r="231" spans="1:24" x14ac:dyDescent="0.25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</row>
    <row r="232" spans="1:24" x14ac:dyDescent="0.25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</row>
    <row r="233" spans="1:24" x14ac:dyDescent="0.25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</row>
    <row r="234" spans="1:24" x14ac:dyDescent="0.25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</row>
    <row r="235" spans="1:24" x14ac:dyDescent="0.25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</row>
    <row r="236" spans="1:24" x14ac:dyDescent="0.25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</row>
    <row r="237" spans="1:24" x14ac:dyDescent="0.25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</row>
    <row r="238" spans="1:24" x14ac:dyDescent="0.25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</row>
    <row r="239" spans="1:24" x14ac:dyDescent="0.25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</row>
    <row r="240" spans="1:24" x14ac:dyDescent="0.25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</row>
    <row r="241" spans="1:24" x14ac:dyDescent="0.25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</row>
    <row r="242" spans="1:24" x14ac:dyDescent="0.25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</row>
    <row r="243" spans="1:24" x14ac:dyDescent="0.25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</row>
    <row r="244" spans="1:24" x14ac:dyDescent="0.25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</row>
    <row r="245" spans="1:24" x14ac:dyDescent="0.25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</row>
    <row r="246" spans="1:24" x14ac:dyDescent="0.25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</row>
    <row r="247" spans="1:24" x14ac:dyDescent="0.25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</row>
    <row r="248" spans="1:24" x14ac:dyDescent="0.25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</row>
    <row r="249" spans="1:24" x14ac:dyDescent="0.25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</row>
    <row r="250" spans="1:24" x14ac:dyDescent="0.25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</row>
    <row r="251" spans="1:24" x14ac:dyDescent="0.25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</row>
    <row r="252" spans="1:24" x14ac:dyDescent="0.25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</row>
    <row r="253" spans="1:24" x14ac:dyDescent="0.25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</row>
    <row r="254" spans="1:24" x14ac:dyDescent="0.25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</row>
    <row r="255" spans="1:24" x14ac:dyDescent="0.25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</row>
    <row r="256" spans="1:24" x14ac:dyDescent="0.25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</row>
    <row r="257" spans="1:24" x14ac:dyDescent="0.25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</row>
    <row r="258" spans="1:24" x14ac:dyDescent="0.25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</row>
    <row r="259" spans="1:24" x14ac:dyDescent="0.25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</row>
    <row r="260" spans="1:24" x14ac:dyDescent="0.25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</row>
    <row r="261" spans="1:24" x14ac:dyDescent="0.25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</row>
    <row r="262" spans="1:24" x14ac:dyDescent="0.25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</row>
    <row r="263" spans="1:24" x14ac:dyDescent="0.25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</row>
    <row r="264" spans="1:24" x14ac:dyDescent="0.25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</row>
    <row r="265" spans="1:24" x14ac:dyDescent="0.25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</row>
    <row r="266" spans="1:24" x14ac:dyDescent="0.25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</row>
    <row r="267" spans="1:24" x14ac:dyDescent="0.25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</row>
    <row r="268" spans="1:24" x14ac:dyDescent="0.25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</row>
    <row r="269" spans="1:24" x14ac:dyDescent="0.25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</row>
    <row r="270" spans="1:24" x14ac:dyDescent="0.25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</row>
    <row r="271" spans="1:24" x14ac:dyDescent="0.25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</row>
    <row r="272" spans="1:24" x14ac:dyDescent="0.25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</row>
    <row r="273" spans="1:24" x14ac:dyDescent="0.25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</row>
    <row r="274" spans="1:24" x14ac:dyDescent="0.25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</row>
    <row r="275" spans="1:24" x14ac:dyDescent="0.25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</row>
    <row r="276" spans="1:24" x14ac:dyDescent="0.25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</row>
    <row r="277" spans="1:24" x14ac:dyDescent="0.25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</row>
    <row r="278" spans="1:24" x14ac:dyDescent="0.25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</row>
    <row r="279" spans="1:24" x14ac:dyDescent="0.25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</row>
    <row r="280" spans="1:24" x14ac:dyDescent="0.25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</row>
    <row r="281" spans="1:24" x14ac:dyDescent="0.25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</row>
    <row r="282" spans="1:24" x14ac:dyDescent="0.25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</row>
    <row r="283" spans="1:24" x14ac:dyDescent="0.25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</row>
    <row r="284" spans="1:24" x14ac:dyDescent="0.25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</row>
    <row r="285" spans="1:24" x14ac:dyDescent="0.25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</row>
    <row r="286" spans="1:24" x14ac:dyDescent="0.25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</row>
    <row r="287" spans="1:24" x14ac:dyDescent="0.25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</row>
    <row r="288" spans="1:24" x14ac:dyDescent="0.25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</row>
    <row r="289" spans="1:24" x14ac:dyDescent="0.25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</row>
    <row r="290" spans="1:24" x14ac:dyDescent="0.25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</row>
    <row r="291" spans="1:24" x14ac:dyDescent="0.25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</row>
    <row r="292" spans="1:24" x14ac:dyDescent="0.25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</row>
    <row r="293" spans="1:24" x14ac:dyDescent="0.25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</row>
    <row r="294" spans="1:24" x14ac:dyDescent="0.25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</row>
    <row r="295" spans="1:24" x14ac:dyDescent="0.25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</row>
    <row r="296" spans="1:24" x14ac:dyDescent="0.25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</row>
    <row r="297" spans="1:24" x14ac:dyDescent="0.25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</row>
    <row r="298" spans="1:24" x14ac:dyDescent="0.25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</row>
    <row r="299" spans="1:24" x14ac:dyDescent="0.25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</row>
    <row r="300" spans="1:24" x14ac:dyDescent="0.25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</row>
    <row r="301" spans="1:24" x14ac:dyDescent="0.25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</row>
    <row r="302" spans="1:24" x14ac:dyDescent="0.25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</row>
    <row r="303" spans="1:24" x14ac:dyDescent="0.25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</row>
    <row r="304" spans="1:24" x14ac:dyDescent="0.25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</row>
    <row r="305" spans="1:24" x14ac:dyDescent="0.25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</row>
    <row r="306" spans="1:24" x14ac:dyDescent="0.25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</row>
    <row r="307" spans="1:24" x14ac:dyDescent="0.25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</row>
    <row r="308" spans="1:24" x14ac:dyDescent="0.25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</row>
    <row r="309" spans="1:24" x14ac:dyDescent="0.25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</row>
    <row r="310" spans="1:24" x14ac:dyDescent="0.25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</row>
    <row r="311" spans="1:24" x14ac:dyDescent="0.25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</row>
    <row r="312" spans="1:24" x14ac:dyDescent="0.25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</row>
    <row r="313" spans="1:24" x14ac:dyDescent="0.25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</row>
    <row r="314" spans="1:24" x14ac:dyDescent="0.25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</row>
    <row r="315" spans="1:24" x14ac:dyDescent="0.25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</row>
    <row r="316" spans="1:24" x14ac:dyDescent="0.25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</row>
    <row r="317" spans="1:24" x14ac:dyDescent="0.25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</row>
    <row r="318" spans="1:24" x14ac:dyDescent="0.25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</row>
    <row r="319" spans="1:24" x14ac:dyDescent="0.25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</row>
    <row r="320" spans="1:24" x14ac:dyDescent="0.25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</row>
    <row r="321" spans="1:24" x14ac:dyDescent="0.25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</row>
    <row r="322" spans="1:24" x14ac:dyDescent="0.25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</row>
    <row r="323" spans="1:24" x14ac:dyDescent="0.25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</row>
    <row r="324" spans="1:24" x14ac:dyDescent="0.25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</row>
    <row r="325" spans="1:24" x14ac:dyDescent="0.25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</row>
    <row r="326" spans="1:24" x14ac:dyDescent="0.25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</row>
    <row r="327" spans="1:24" x14ac:dyDescent="0.25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</row>
    <row r="328" spans="1:24" x14ac:dyDescent="0.25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</row>
    <row r="329" spans="1:24" x14ac:dyDescent="0.25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</row>
    <row r="330" spans="1:24" x14ac:dyDescent="0.25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</row>
    <row r="331" spans="1:24" x14ac:dyDescent="0.25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</row>
    <row r="332" spans="1:24" x14ac:dyDescent="0.25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</row>
    <row r="333" spans="1:24" x14ac:dyDescent="0.25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</row>
    <row r="334" spans="1:24" x14ac:dyDescent="0.25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</row>
    <row r="335" spans="1:24" x14ac:dyDescent="0.25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</row>
    <row r="336" spans="1:24" x14ac:dyDescent="0.25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</row>
    <row r="337" spans="1:24" x14ac:dyDescent="0.25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</row>
    <row r="338" spans="1:24" x14ac:dyDescent="0.25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</row>
    <row r="339" spans="1:24" x14ac:dyDescent="0.25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</row>
    <row r="340" spans="1:24" x14ac:dyDescent="0.25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</row>
    <row r="341" spans="1:24" x14ac:dyDescent="0.25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</row>
    <row r="342" spans="1:24" x14ac:dyDescent="0.25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</row>
    <row r="343" spans="1:24" x14ac:dyDescent="0.25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</row>
    <row r="344" spans="1:24" x14ac:dyDescent="0.25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</row>
    <row r="345" spans="1:24" x14ac:dyDescent="0.25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</row>
    <row r="346" spans="1:24" x14ac:dyDescent="0.25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</row>
    <row r="347" spans="1:24" x14ac:dyDescent="0.25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</row>
    <row r="348" spans="1:24" x14ac:dyDescent="0.25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</row>
    <row r="349" spans="1:24" x14ac:dyDescent="0.25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</row>
    <row r="350" spans="1:24" x14ac:dyDescent="0.25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</row>
    <row r="351" spans="1:24" x14ac:dyDescent="0.25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</row>
    <row r="352" spans="1:24" x14ac:dyDescent="0.25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</row>
    <row r="353" spans="1:24" x14ac:dyDescent="0.25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</row>
    <row r="354" spans="1:24" x14ac:dyDescent="0.25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</row>
    <row r="355" spans="1:24" x14ac:dyDescent="0.25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</row>
    <row r="356" spans="1:24" x14ac:dyDescent="0.25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</row>
    <row r="357" spans="1:24" x14ac:dyDescent="0.25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</row>
    <row r="358" spans="1:24" x14ac:dyDescent="0.25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</row>
    <row r="359" spans="1:24" x14ac:dyDescent="0.25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</row>
    <row r="360" spans="1:24" x14ac:dyDescent="0.25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</row>
    <row r="361" spans="1:24" x14ac:dyDescent="0.25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</row>
    <row r="362" spans="1:24" x14ac:dyDescent="0.25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</row>
    <row r="363" spans="1:24" x14ac:dyDescent="0.25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</row>
    <row r="364" spans="1:24" x14ac:dyDescent="0.25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</row>
    <row r="365" spans="1:24" x14ac:dyDescent="0.25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</row>
    <row r="366" spans="1:24" x14ac:dyDescent="0.25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</row>
    <row r="367" spans="1:24" x14ac:dyDescent="0.25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</row>
    <row r="368" spans="1:24" x14ac:dyDescent="0.25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</row>
    <row r="369" spans="1:24" x14ac:dyDescent="0.25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</row>
    <row r="370" spans="1:24" x14ac:dyDescent="0.25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</row>
    <row r="371" spans="1:24" x14ac:dyDescent="0.25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</row>
    <row r="372" spans="1:24" x14ac:dyDescent="0.25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</row>
    <row r="373" spans="1:24" x14ac:dyDescent="0.25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</row>
    <row r="374" spans="1:24" x14ac:dyDescent="0.25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</row>
    <row r="375" spans="1:24" x14ac:dyDescent="0.25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</row>
    <row r="376" spans="1:24" x14ac:dyDescent="0.25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</row>
    <row r="377" spans="1:24" x14ac:dyDescent="0.25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</row>
    <row r="378" spans="1:24" x14ac:dyDescent="0.25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</row>
    <row r="379" spans="1:24" x14ac:dyDescent="0.25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</row>
    <row r="380" spans="1:24" x14ac:dyDescent="0.25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</row>
    <row r="381" spans="1:24" x14ac:dyDescent="0.25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</row>
    <row r="382" spans="1:24" x14ac:dyDescent="0.25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</row>
    <row r="383" spans="1:24" x14ac:dyDescent="0.25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</row>
    <row r="384" spans="1:24" x14ac:dyDescent="0.25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</row>
    <row r="385" spans="1:24" x14ac:dyDescent="0.25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</row>
    <row r="386" spans="1:24" x14ac:dyDescent="0.25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</row>
    <row r="387" spans="1:24" x14ac:dyDescent="0.25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</row>
    <row r="388" spans="1:24" x14ac:dyDescent="0.25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</row>
    <row r="389" spans="1:24" x14ac:dyDescent="0.25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</row>
    <row r="390" spans="1:24" x14ac:dyDescent="0.25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</row>
    <row r="391" spans="1:24" x14ac:dyDescent="0.25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</row>
    <row r="392" spans="1:24" x14ac:dyDescent="0.25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</row>
    <row r="393" spans="1:24" x14ac:dyDescent="0.25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</row>
    <row r="394" spans="1:24" x14ac:dyDescent="0.25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</row>
    <row r="395" spans="1:24" x14ac:dyDescent="0.25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</row>
    <row r="396" spans="1:24" x14ac:dyDescent="0.25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</row>
    <row r="397" spans="1:24" x14ac:dyDescent="0.25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</row>
    <row r="398" spans="1:24" x14ac:dyDescent="0.25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</row>
    <row r="399" spans="1:24" x14ac:dyDescent="0.25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</row>
    <row r="400" spans="1:24" x14ac:dyDescent="0.25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</row>
    <row r="401" spans="1:24" x14ac:dyDescent="0.25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</row>
    <row r="402" spans="1:24" x14ac:dyDescent="0.25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</row>
    <row r="403" spans="1:24" x14ac:dyDescent="0.25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</row>
    <row r="404" spans="1:24" x14ac:dyDescent="0.25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</row>
    <row r="405" spans="1:24" x14ac:dyDescent="0.25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</row>
    <row r="406" spans="1:24" x14ac:dyDescent="0.25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</row>
    <row r="407" spans="1:24" x14ac:dyDescent="0.25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</row>
    <row r="408" spans="1:24" x14ac:dyDescent="0.25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</row>
    <row r="409" spans="1:24" x14ac:dyDescent="0.25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</row>
    <row r="410" spans="1:24" x14ac:dyDescent="0.25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</row>
    <row r="411" spans="1:24" x14ac:dyDescent="0.25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</row>
    <row r="412" spans="1:24" x14ac:dyDescent="0.25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</row>
    <row r="413" spans="1:24" x14ac:dyDescent="0.25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</row>
    <row r="414" spans="1:24" x14ac:dyDescent="0.25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</row>
    <row r="415" spans="1:24" x14ac:dyDescent="0.25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</row>
    <row r="416" spans="1:24" x14ac:dyDescent="0.25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</row>
    <row r="417" spans="1:24" x14ac:dyDescent="0.25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</row>
    <row r="418" spans="1:24" x14ac:dyDescent="0.25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</row>
    <row r="419" spans="1:24" x14ac:dyDescent="0.25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</row>
    <row r="420" spans="1:24" x14ac:dyDescent="0.25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</row>
    <row r="421" spans="1:24" x14ac:dyDescent="0.25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</row>
    <row r="422" spans="1:24" x14ac:dyDescent="0.25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</row>
    <row r="423" spans="1:24" x14ac:dyDescent="0.25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</row>
    <row r="424" spans="1:24" x14ac:dyDescent="0.25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</row>
    <row r="425" spans="1:24" x14ac:dyDescent="0.25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</row>
    <row r="426" spans="1:24" x14ac:dyDescent="0.25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</row>
    <row r="427" spans="1:24" x14ac:dyDescent="0.25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</row>
    <row r="428" spans="1:24" x14ac:dyDescent="0.25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</row>
    <row r="429" spans="1:24" x14ac:dyDescent="0.25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</row>
    <row r="430" spans="1:24" x14ac:dyDescent="0.25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</row>
    <row r="431" spans="1:24" x14ac:dyDescent="0.25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</row>
    <row r="432" spans="1:24" x14ac:dyDescent="0.25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</row>
    <row r="433" spans="1:24" x14ac:dyDescent="0.25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</row>
    <row r="434" spans="1:24" x14ac:dyDescent="0.25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</row>
    <row r="435" spans="1:24" x14ac:dyDescent="0.25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</row>
    <row r="436" spans="1:24" x14ac:dyDescent="0.25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</row>
    <row r="437" spans="1:24" x14ac:dyDescent="0.25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</row>
    <row r="438" spans="1:24" x14ac:dyDescent="0.25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</row>
    <row r="439" spans="1:24" x14ac:dyDescent="0.25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</row>
    <row r="440" spans="1:24" x14ac:dyDescent="0.25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</row>
    <row r="441" spans="1:24" x14ac:dyDescent="0.25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</row>
    <row r="442" spans="1:24" x14ac:dyDescent="0.25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</row>
    <row r="443" spans="1:24" x14ac:dyDescent="0.25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</row>
    <row r="444" spans="1:24" x14ac:dyDescent="0.25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</row>
    <row r="445" spans="1:24" x14ac:dyDescent="0.25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</row>
    <row r="446" spans="1:24" x14ac:dyDescent="0.25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</row>
    <row r="447" spans="1:24" x14ac:dyDescent="0.25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</row>
    <row r="448" spans="1:24" x14ac:dyDescent="0.25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</row>
    <row r="449" spans="1:24" x14ac:dyDescent="0.25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</row>
    <row r="450" spans="1:24" x14ac:dyDescent="0.25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</row>
    <row r="451" spans="1:24" x14ac:dyDescent="0.25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</row>
    <row r="452" spans="1:24" x14ac:dyDescent="0.25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</row>
    <row r="453" spans="1:24" x14ac:dyDescent="0.25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</row>
    <row r="454" spans="1:24" x14ac:dyDescent="0.25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</row>
    <row r="455" spans="1:24" x14ac:dyDescent="0.25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</row>
    <row r="456" spans="1:24" x14ac:dyDescent="0.25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</row>
    <row r="457" spans="1:24" x14ac:dyDescent="0.25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</row>
    <row r="458" spans="1:24" x14ac:dyDescent="0.25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</row>
    <row r="459" spans="1:24" x14ac:dyDescent="0.25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</row>
    <row r="460" spans="1:24" x14ac:dyDescent="0.25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</row>
    <row r="461" spans="1:24" x14ac:dyDescent="0.25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</row>
    <row r="462" spans="1:24" x14ac:dyDescent="0.25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</row>
    <row r="463" spans="1:24" x14ac:dyDescent="0.25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</row>
    <row r="464" spans="1:24" x14ac:dyDescent="0.25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</row>
    <row r="465" spans="1:24" x14ac:dyDescent="0.25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</row>
    <row r="466" spans="1:24" x14ac:dyDescent="0.25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</row>
    <row r="467" spans="1:24" x14ac:dyDescent="0.25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</row>
    <row r="468" spans="1:24" x14ac:dyDescent="0.25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</row>
    <row r="469" spans="1:24" x14ac:dyDescent="0.25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</row>
    <row r="470" spans="1:24" x14ac:dyDescent="0.25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</row>
    <row r="471" spans="1:24" x14ac:dyDescent="0.25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</row>
    <row r="472" spans="1:24" x14ac:dyDescent="0.25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</row>
    <row r="473" spans="1:24" x14ac:dyDescent="0.25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</row>
    <row r="474" spans="1:24" x14ac:dyDescent="0.25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</row>
    <row r="475" spans="1:24" x14ac:dyDescent="0.25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</row>
    <row r="476" spans="1:24" x14ac:dyDescent="0.25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</row>
    <row r="477" spans="1:24" x14ac:dyDescent="0.25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</row>
    <row r="478" spans="1:24" x14ac:dyDescent="0.25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</row>
    <row r="479" spans="1:24" x14ac:dyDescent="0.25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</row>
    <row r="480" spans="1:24" x14ac:dyDescent="0.25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</row>
    <row r="481" spans="1:24" x14ac:dyDescent="0.25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</row>
    <row r="482" spans="1:24" x14ac:dyDescent="0.25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</row>
    <row r="483" spans="1:24" x14ac:dyDescent="0.25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</row>
    <row r="484" spans="1:24" x14ac:dyDescent="0.25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</row>
    <row r="485" spans="1:24" x14ac:dyDescent="0.25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</row>
    <row r="486" spans="1:24" x14ac:dyDescent="0.25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</row>
    <row r="487" spans="1:24" x14ac:dyDescent="0.25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</row>
    <row r="488" spans="1:24" x14ac:dyDescent="0.25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</row>
    <row r="489" spans="1:24" x14ac:dyDescent="0.25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</row>
    <row r="490" spans="1:24" x14ac:dyDescent="0.25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</row>
    <row r="491" spans="1:24" x14ac:dyDescent="0.25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</row>
    <row r="492" spans="1:24" x14ac:dyDescent="0.25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</row>
    <row r="493" spans="1:24" x14ac:dyDescent="0.25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</row>
    <row r="494" spans="1:24" x14ac:dyDescent="0.25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</row>
    <row r="495" spans="1:24" x14ac:dyDescent="0.25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</row>
    <row r="496" spans="1:24" x14ac:dyDescent="0.25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</row>
    <row r="497" spans="1:24" x14ac:dyDescent="0.25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</row>
    <row r="498" spans="1:24" x14ac:dyDescent="0.25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</row>
    <row r="499" spans="1:24" x14ac:dyDescent="0.25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</row>
    <row r="500" spans="1:24" x14ac:dyDescent="0.25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</row>
    <row r="501" spans="1:24" x14ac:dyDescent="0.25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</row>
    <row r="502" spans="1:24" x14ac:dyDescent="0.25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</row>
    <row r="503" spans="1:24" x14ac:dyDescent="0.25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</row>
    <row r="504" spans="1:24" x14ac:dyDescent="0.25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</row>
    <row r="505" spans="1:24" x14ac:dyDescent="0.25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</row>
    <row r="506" spans="1:24" x14ac:dyDescent="0.25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</row>
    <row r="507" spans="1:24" x14ac:dyDescent="0.25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</row>
    <row r="508" spans="1:24" x14ac:dyDescent="0.25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</row>
    <row r="509" spans="1:24" x14ac:dyDescent="0.25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</row>
    <row r="510" spans="1:24" x14ac:dyDescent="0.25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</row>
    <row r="511" spans="1:24" x14ac:dyDescent="0.25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</row>
    <row r="512" spans="1:24" x14ac:dyDescent="0.25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</row>
    <row r="513" spans="1:24" x14ac:dyDescent="0.25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</row>
    <row r="514" spans="1:24" x14ac:dyDescent="0.25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</row>
    <row r="515" spans="1:24" x14ac:dyDescent="0.25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</row>
    <row r="516" spans="1:24" x14ac:dyDescent="0.25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</row>
    <row r="517" spans="1:24" x14ac:dyDescent="0.25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</row>
    <row r="518" spans="1:24" x14ac:dyDescent="0.25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</row>
    <row r="519" spans="1:24" x14ac:dyDescent="0.25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</row>
    <row r="520" spans="1:24" x14ac:dyDescent="0.25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</row>
    <row r="521" spans="1:24" x14ac:dyDescent="0.25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</row>
    <row r="522" spans="1:24" x14ac:dyDescent="0.25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</row>
    <row r="523" spans="1:24" x14ac:dyDescent="0.25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</row>
    <row r="524" spans="1:24" x14ac:dyDescent="0.25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</row>
    <row r="525" spans="1:24" x14ac:dyDescent="0.25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</row>
    <row r="526" spans="1:24" x14ac:dyDescent="0.25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</row>
    <row r="527" spans="1:24" x14ac:dyDescent="0.25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</row>
    <row r="528" spans="1:24" x14ac:dyDescent="0.25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</row>
    <row r="529" spans="1:24" x14ac:dyDescent="0.25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</row>
    <row r="530" spans="1:24" x14ac:dyDescent="0.25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</row>
    <row r="531" spans="1:24" x14ac:dyDescent="0.25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</row>
    <row r="532" spans="1:24" x14ac:dyDescent="0.25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</row>
    <row r="533" spans="1:24" x14ac:dyDescent="0.25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</row>
    <row r="534" spans="1:24" x14ac:dyDescent="0.25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</row>
    <row r="535" spans="1:24" x14ac:dyDescent="0.25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</row>
    <row r="536" spans="1:24" x14ac:dyDescent="0.25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</row>
    <row r="537" spans="1:24" x14ac:dyDescent="0.25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</row>
    <row r="538" spans="1:24" x14ac:dyDescent="0.25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</row>
    <row r="539" spans="1:24" x14ac:dyDescent="0.25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</row>
    <row r="540" spans="1:24" x14ac:dyDescent="0.25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</row>
    <row r="541" spans="1:24" x14ac:dyDescent="0.25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</row>
    <row r="542" spans="1:24" x14ac:dyDescent="0.25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</row>
    <row r="543" spans="1:24" x14ac:dyDescent="0.25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</row>
    <row r="544" spans="1:24" x14ac:dyDescent="0.25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</row>
    <row r="545" spans="1:24" x14ac:dyDescent="0.25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</row>
    <row r="546" spans="1:24" x14ac:dyDescent="0.25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</row>
    <row r="547" spans="1:24" x14ac:dyDescent="0.25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</row>
    <row r="548" spans="1:24" x14ac:dyDescent="0.25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</row>
    <row r="549" spans="1:24" x14ac:dyDescent="0.25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</row>
    <row r="550" spans="1:24" x14ac:dyDescent="0.25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</row>
    <row r="551" spans="1:24" x14ac:dyDescent="0.25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</row>
    <row r="552" spans="1:24" x14ac:dyDescent="0.25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</row>
    <row r="553" spans="1:24" x14ac:dyDescent="0.25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</row>
    <row r="554" spans="1:24" x14ac:dyDescent="0.25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</row>
    <row r="555" spans="1:24" x14ac:dyDescent="0.25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</row>
    <row r="556" spans="1:24" x14ac:dyDescent="0.25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</row>
    <row r="557" spans="1:24" x14ac:dyDescent="0.25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</row>
    <row r="558" spans="1:24" x14ac:dyDescent="0.25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</row>
    <row r="559" spans="1:24" x14ac:dyDescent="0.25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</row>
    <row r="560" spans="1:24" x14ac:dyDescent="0.25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</row>
    <row r="561" spans="1:24" x14ac:dyDescent="0.25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</row>
    <row r="562" spans="1:24" x14ac:dyDescent="0.25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</row>
    <row r="563" spans="1:24" x14ac:dyDescent="0.25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</row>
    <row r="564" spans="1:24" x14ac:dyDescent="0.25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</row>
    <row r="565" spans="1:24" x14ac:dyDescent="0.25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</row>
    <row r="566" spans="1:24" x14ac:dyDescent="0.25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</row>
    <row r="567" spans="1:24" x14ac:dyDescent="0.25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</row>
    <row r="568" spans="1:24" x14ac:dyDescent="0.25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</row>
    <row r="569" spans="1:24" x14ac:dyDescent="0.25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</row>
    <row r="570" spans="1:24" x14ac:dyDescent="0.25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</row>
    <row r="571" spans="1:24" x14ac:dyDescent="0.25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</row>
    <row r="572" spans="1:24" x14ac:dyDescent="0.25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</row>
    <row r="573" spans="1:24" x14ac:dyDescent="0.25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</row>
    <row r="574" spans="1:24" x14ac:dyDescent="0.25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</row>
    <row r="575" spans="1:24" x14ac:dyDescent="0.25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</row>
    <row r="576" spans="1:24" x14ac:dyDescent="0.25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</row>
    <row r="577" spans="1:24" x14ac:dyDescent="0.25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</row>
    <row r="578" spans="1:24" x14ac:dyDescent="0.25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</row>
    <row r="579" spans="1:24" x14ac:dyDescent="0.25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</row>
    <row r="580" spans="1:24" x14ac:dyDescent="0.25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</row>
    <row r="581" spans="1:24" x14ac:dyDescent="0.25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</row>
    <row r="582" spans="1:24" x14ac:dyDescent="0.25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</row>
    <row r="583" spans="1:24" x14ac:dyDescent="0.25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</row>
    <row r="584" spans="1:24" x14ac:dyDescent="0.25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</row>
    <row r="585" spans="1:24" x14ac:dyDescent="0.25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</row>
    <row r="586" spans="1:24" x14ac:dyDescent="0.25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</row>
    <row r="587" spans="1:24" x14ac:dyDescent="0.25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</row>
    <row r="588" spans="1:24" x14ac:dyDescent="0.25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</row>
    <row r="589" spans="1:24" x14ac:dyDescent="0.25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</row>
    <row r="590" spans="1:24" x14ac:dyDescent="0.25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</row>
    <row r="591" spans="1:24" x14ac:dyDescent="0.25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</row>
    <row r="592" spans="1:24" x14ac:dyDescent="0.25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</row>
    <row r="593" spans="1:24" x14ac:dyDescent="0.25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</row>
    <row r="594" spans="1:24" x14ac:dyDescent="0.25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</row>
    <row r="595" spans="1:24" x14ac:dyDescent="0.25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</row>
    <row r="596" spans="1:24" x14ac:dyDescent="0.25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</row>
    <row r="597" spans="1:24" x14ac:dyDescent="0.25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</row>
    <row r="598" spans="1:24" x14ac:dyDescent="0.25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</row>
    <row r="599" spans="1:24" x14ac:dyDescent="0.25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</row>
    <row r="600" spans="1:24" x14ac:dyDescent="0.25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</row>
    <row r="601" spans="1:24" x14ac:dyDescent="0.25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</row>
    <row r="602" spans="1:24" x14ac:dyDescent="0.25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</row>
    <row r="603" spans="1:24" x14ac:dyDescent="0.25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</row>
    <row r="604" spans="1:24" x14ac:dyDescent="0.25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</row>
    <row r="605" spans="1:24" x14ac:dyDescent="0.25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</row>
    <row r="606" spans="1:24" x14ac:dyDescent="0.25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</row>
    <row r="607" spans="1:24" x14ac:dyDescent="0.25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</row>
    <row r="608" spans="1:24" x14ac:dyDescent="0.25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</row>
    <row r="609" spans="1:24" x14ac:dyDescent="0.25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</row>
    <row r="610" spans="1:24" x14ac:dyDescent="0.25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</row>
    <row r="611" spans="1:24" x14ac:dyDescent="0.25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</row>
    <row r="612" spans="1:24" x14ac:dyDescent="0.25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</row>
    <row r="613" spans="1:24" x14ac:dyDescent="0.25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</row>
    <row r="614" spans="1:24" x14ac:dyDescent="0.25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</row>
    <row r="615" spans="1:24" x14ac:dyDescent="0.25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</row>
    <row r="616" spans="1:24" x14ac:dyDescent="0.25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</row>
    <row r="617" spans="1:24" x14ac:dyDescent="0.25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</row>
    <row r="618" spans="1:24" x14ac:dyDescent="0.25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</row>
    <row r="619" spans="1:24" x14ac:dyDescent="0.25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</row>
    <row r="620" spans="1:24" x14ac:dyDescent="0.25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</row>
    <row r="621" spans="1:24" x14ac:dyDescent="0.25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</row>
    <row r="622" spans="1:24" x14ac:dyDescent="0.25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</row>
    <row r="623" spans="1:24" x14ac:dyDescent="0.25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</row>
    <row r="624" spans="1:24" x14ac:dyDescent="0.25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</row>
    <row r="625" spans="1:24" x14ac:dyDescent="0.25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</row>
    <row r="626" spans="1:24" x14ac:dyDescent="0.25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</row>
    <row r="627" spans="1:24" x14ac:dyDescent="0.25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</row>
    <row r="628" spans="1:24" x14ac:dyDescent="0.25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</row>
    <row r="629" spans="1:24" x14ac:dyDescent="0.25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</row>
    <row r="630" spans="1:24" x14ac:dyDescent="0.25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</row>
    <row r="631" spans="1:24" x14ac:dyDescent="0.25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</row>
    <row r="632" spans="1:24" x14ac:dyDescent="0.25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</row>
    <row r="633" spans="1:24" x14ac:dyDescent="0.25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</row>
    <row r="634" spans="1:24" x14ac:dyDescent="0.25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</row>
    <row r="635" spans="1:24" x14ac:dyDescent="0.25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</row>
    <row r="636" spans="1:24" x14ac:dyDescent="0.25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</row>
    <row r="637" spans="1:24" x14ac:dyDescent="0.25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</row>
    <row r="638" spans="1:24" x14ac:dyDescent="0.25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</row>
    <row r="639" spans="1:24" x14ac:dyDescent="0.25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</row>
    <row r="640" spans="1:24" x14ac:dyDescent="0.25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</row>
    <row r="641" spans="1:24" x14ac:dyDescent="0.25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</row>
    <row r="642" spans="1:24" x14ac:dyDescent="0.25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</row>
    <row r="643" spans="1:24" x14ac:dyDescent="0.25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</row>
    <row r="644" spans="1:24" x14ac:dyDescent="0.25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</row>
    <row r="645" spans="1:24" x14ac:dyDescent="0.25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</row>
    <row r="646" spans="1:24" x14ac:dyDescent="0.25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</row>
    <row r="647" spans="1:24" x14ac:dyDescent="0.25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</row>
    <row r="648" spans="1:24" x14ac:dyDescent="0.25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</row>
    <row r="649" spans="1:24" x14ac:dyDescent="0.25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</row>
    <row r="650" spans="1:24" x14ac:dyDescent="0.25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</row>
    <row r="651" spans="1:24" x14ac:dyDescent="0.25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</row>
    <row r="652" spans="1:24" x14ac:dyDescent="0.25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</row>
    <row r="653" spans="1:24" x14ac:dyDescent="0.25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</row>
    <row r="654" spans="1:24" x14ac:dyDescent="0.25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</row>
    <row r="655" spans="1:24" x14ac:dyDescent="0.25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</row>
    <row r="656" spans="1:24" x14ac:dyDescent="0.25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</row>
    <row r="657" spans="1:24" x14ac:dyDescent="0.25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</row>
    <row r="658" spans="1:24" x14ac:dyDescent="0.25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</row>
    <row r="659" spans="1:24" x14ac:dyDescent="0.25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</row>
    <row r="660" spans="1:24" x14ac:dyDescent="0.25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</row>
    <row r="661" spans="1:24" x14ac:dyDescent="0.25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</row>
    <row r="662" spans="1:24" x14ac:dyDescent="0.25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</row>
    <row r="663" spans="1:24" x14ac:dyDescent="0.25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</row>
    <row r="664" spans="1:24" x14ac:dyDescent="0.25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</row>
    <row r="665" spans="1:24" x14ac:dyDescent="0.25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</row>
    <row r="666" spans="1:24" x14ac:dyDescent="0.25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</row>
    <row r="667" spans="1:24" x14ac:dyDescent="0.25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</row>
    <row r="668" spans="1:24" x14ac:dyDescent="0.25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</row>
    <row r="669" spans="1:24" x14ac:dyDescent="0.25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</row>
    <row r="670" spans="1:24" x14ac:dyDescent="0.25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</row>
    <row r="671" spans="1:24" x14ac:dyDescent="0.25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</row>
    <row r="672" spans="1:24" x14ac:dyDescent="0.25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</row>
    <row r="673" spans="1:24" x14ac:dyDescent="0.25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</row>
    <row r="674" spans="1:24" x14ac:dyDescent="0.25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</row>
    <row r="675" spans="1:24" x14ac:dyDescent="0.25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</row>
  </sheetData>
  <mergeCells count="2">
    <mergeCell ref="J8:K8"/>
    <mergeCell ref="J9:K9"/>
  </mergeCells>
  <pageMargins left="0.75" right="0.5" top="0.5" bottom="0.5" header="0.5" footer="0.5"/>
  <pageSetup scale="56" orientation="landscape" horizontalDpi="300" verticalDpi="300" r:id="rId1"/>
  <headerFooter alignWithMargins="0">
    <oddFooter>&amp;CPage &amp;P of &amp;N</oddFooter>
  </headerFooter>
  <rowBreaks count="1" manualBreakCount="1">
    <brk id="67" max="16383" man="1"/>
  </rowBreaks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CM4097"/>
  <sheetViews>
    <sheetView showGridLines="0" view="pageBreakPreview" zoomScale="110" zoomScaleNormal="100" zoomScaleSheetLayoutView="110" workbookViewId="0">
      <pane xSplit="3" ySplit="10" topLeftCell="F71" activePane="bottomRight" state="frozen"/>
      <selection activeCell="E28" sqref="E28"/>
      <selection pane="topRight" activeCell="E28" sqref="E28"/>
      <selection pane="bottomLeft" activeCell="E28" sqref="E28"/>
      <selection pane="bottomRight" activeCell="E28" sqref="E28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3" width="8.5703125" style="3" customWidth="1"/>
    <col min="4" max="15" width="10.5703125" style="3" customWidth="1"/>
    <col min="16" max="16" width="11.42578125" style="3" bestFit="1" customWidth="1"/>
    <col min="17" max="17" width="10.5703125" style="2" customWidth="1"/>
    <col min="18" max="29" width="10.5703125" style="205" customWidth="1"/>
    <col min="30" max="50" width="10.5703125" style="18" customWidth="1"/>
    <col min="51" max="63" width="10.5703125" style="3" customWidth="1"/>
    <col min="64" max="67" width="9.5703125" style="3" customWidth="1"/>
    <col min="68" max="16384" width="12.5703125" style="3"/>
  </cols>
  <sheetData>
    <row r="1" spans="1:9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71"/>
      <c r="Q1" s="71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</row>
    <row r="2" spans="1:9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71"/>
      <c r="Q2" s="71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28"/>
      <c r="BS2" s="128"/>
      <c r="BT2" s="128"/>
      <c r="BU2" s="128"/>
      <c r="BV2" s="128"/>
      <c r="BW2" s="128"/>
      <c r="BX2" s="128"/>
      <c r="BY2" s="128"/>
      <c r="BZ2" s="128"/>
      <c r="CA2" s="128"/>
      <c r="CB2" s="128"/>
      <c r="CC2" s="128"/>
      <c r="CD2" s="128"/>
      <c r="CE2" s="128"/>
      <c r="CF2" s="128"/>
      <c r="CG2" s="128"/>
      <c r="CH2" s="128"/>
      <c r="CI2" s="128"/>
      <c r="CJ2" s="128"/>
      <c r="CK2" s="128"/>
      <c r="CL2" s="128"/>
      <c r="CM2" s="128"/>
    </row>
    <row r="3" spans="1:9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72" t="s">
        <v>713</v>
      </c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</row>
    <row r="4" spans="1:91" x14ac:dyDescent="0.2">
      <c r="A4" s="8"/>
      <c r="B4" s="2"/>
      <c r="C4" s="20"/>
      <c r="D4" s="19"/>
      <c r="E4" s="19"/>
      <c r="F4" s="19"/>
      <c r="G4" s="19"/>
      <c r="H4" s="19"/>
      <c r="I4" s="19"/>
      <c r="J4" s="5" t="s">
        <v>93</v>
      </c>
      <c r="K4" s="19"/>
      <c r="L4" s="19"/>
      <c r="M4" s="19"/>
      <c r="N4" s="19"/>
      <c r="O4" s="19"/>
      <c r="P4" s="72"/>
      <c r="Q4" s="72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</row>
    <row r="5" spans="1:91" x14ac:dyDescent="0.2">
      <c r="A5" s="8"/>
      <c r="B5" s="19"/>
      <c r="C5" s="20"/>
      <c r="D5" s="19"/>
      <c r="E5" s="19"/>
      <c r="F5" s="19"/>
      <c r="G5" s="19"/>
      <c r="H5" s="19"/>
      <c r="I5" s="19"/>
      <c r="J5" s="5" t="s">
        <v>293</v>
      </c>
      <c r="K5" s="19"/>
      <c r="L5" s="19"/>
      <c r="M5" s="19"/>
      <c r="N5" s="19"/>
      <c r="O5" s="19"/>
      <c r="P5" s="19"/>
      <c r="Q5" s="19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</row>
    <row r="6" spans="1:91" x14ac:dyDescent="0.2">
      <c r="A6" s="8"/>
      <c r="B6" s="19"/>
      <c r="C6" s="74"/>
      <c r="D6" s="19"/>
      <c r="E6" s="19"/>
      <c r="F6" s="19"/>
      <c r="G6" s="19"/>
      <c r="H6" s="19"/>
      <c r="I6" s="19"/>
      <c r="J6" s="5" t="str">
        <f>'Test Year Revenue Present'!G6</f>
        <v>TEST YEAR ENDING MAR, 31 2019</v>
      </c>
      <c r="K6" s="19"/>
      <c r="L6" s="19"/>
      <c r="M6" s="19"/>
      <c r="N6" s="19"/>
      <c r="O6" s="19"/>
      <c r="P6" s="19"/>
      <c r="Q6" s="19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</row>
    <row r="7" spans="1:91" x14ac:dyDescent="0.2">
      <c r="A7" s="2"/>
      <c r="B7" s="2"/>
      <c r="C7" s="2"/>
      <c r="D7" s="2"/>
      <c r="E7" s="2"/>
      <c r="F7" s="2"/>
      <c r="G7" s="2"/>
      <c r="H7" s="2"/>
      <c r="I7" s="2"/>
      <c r="J7" s="126" t="s">
        <v>391</v>
      </c>
      <c r="K7" s="2"/>
      <c r="L7" s="2"/>
      <c r="M7" s="2"/>
      <c r="N7" s="2"/>
      <c r="O7" s="2"/>
      <c r="P7" s="2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</row>
    <row r="8" spans="1:91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5" t="s">
        <v>19</v>
      </c>
      <c r="Q8" s="5" t="s">
        <v>19</v>
      </c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</row>
    <row r="9" spans="1:91" x14ac:dyDescent="0.2">
      <c r="A9" s="9" t="s">
        <v>17</v>
      </c>
      <c r="B9" s="10" t="s">
        <v>27</v>
      </c>
      <c r="C9" s="11" t="s">
        <v>6</v>
      </c>
      <c r="D9" s="66">
        <f>'Summary of Revenue'!T7</f>
        <v>43220</v>
      </c>
      <c r="E9" s="66">
        <f>'Summary of Revenue'!U7</f>
        <v>43251</v>
      </c>
      <c r="F9" s="66">
        <f>'Summary of Revenue'!V7</f>
        <v>43281</v>
      </c>
      <c r="G9" s="66">
        <f>'Summary of Revenue'!W7</f>
        <v>43312</v>
      </c>
      <c r="H9" s="66">
        <f>'Summary of Revenue'!X7</f>
        <v>43343</v>
      </c>
      <c r="I9" s="66">
        <f>'Summary of Revenue'!Y7</f>
        <v>43373</v>
      </c>
      <c r="J9" s="66">
        <f>'Summary of Revenue'!Z7</f>
        <v>43404</v>
      </c>
      <c r="K9" s="66">
        <f>'Summary of Revenue'!AA7</f>
        <v>43434</v>
      </c>
      <c r="L9" s="66">
        <f>'Summary of Revenue'!AB7</f>
        <v>43465</v>
      </c>
      <c r="M9" s="66">
        <f>'Summary of Revenue'!AC7</f>
        <v>43496</v>
      </c>
      <c r="N9" s="66">
        <f>'Summary of Revenue'!AD7</f>
        <v>43524</v>
      </c>
      <c r="O9" s="66">
        <f>'Summary of Revenue'!AE7</f>
        <v>43555</v>
      </c>
      <c r="P9" s="66" t="s">
        <v>347</v>
      </c>
      <c r="Q9" s="66" t="s">
        <v>22</v>
      </c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</row>
    <row r="10" spans="1:91" x14ac:dyDescent="0.2">
      <c r="A10" s="2"/>
      <c r="B10" s="82"/>
      <c r="C10" s="82"/>
      <c r="D10" s="82" t="s">
        <v>13</v>
      </c>
      <c r="E10" s="82" t="s">
        <v>14</v>
      </c>
      <c r="F10" s="5" t="s">
        <v>15</v>
      </c>
      <c r="G10" s="96" t="s">
        <v>16</v>
      </c>
      <c r="H10" s="97" t="s">
        <v>108</v>
      </c>
      <c r="I10" s="97" t="s">
        <v>109</v>
      </c>
      <c r="J10" s="97" t="s">
        <v>110</v>
      </c>
      <c r="K10" s="97" t="s">
        <v>111</v>
      </c>
      <c r="L10" s="97" t="s">
        <v>112</v>
      </c>
      <c r="M10" s="97" t="s">
        <v>113</v>
      </c>
      <c r="N10" s="97" t="s">
        <v>114</v>
      </c>
      <c r="O10" s="97" t="s">
        <v>115</v>
      </c>
      <c r="P10" s="97" t="s">
        <v>116</v>
      </c>
      <c r="Q10" s="97" t="s">
        <v>234</v>
      </c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</row>
    <row r="11" spans="1:91" x14ac:dyDescent="0.2">
      <c r="A11" s="2"/>
      <c r="B11" s="2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50"/>
      <c r="Q11" s="45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</row>
    <row r="12" spans="1:91" x14ac:dyDescent="0.2">
      <c r="A12" s="5">
        <v>1</v>
      </c>
      <c r="B12" s="36" t="s">
        <v>30</v>
      </c>
      <c r="C12" s="16"/>
      <c r="D12" s="103">
        <f t="shared" ref="D12:O12" si="0">D13*$C$13+D14*$C$14+D15*$C$15+D16*$C$16</f>
        <v>4835644.0604008576</v>
      </c>
      <c r="E12" s="103">
        <f t="shared" si="0"/>
        <v>4017494.5397419147</v>
      </c>
      <c r="F12" s="103">
        <f t="shared" si="0"/>
        <v>3589389.4164844789</v>
      </c>
      <c r="G12" s="103">
        <f t="shared" si="0"/>
        <v>3459833.3172050752</v>
      </c>
      <c r="H12" s="103">
        <f t="shared" si="0"/>
        <v>3479135.5663255509</v>
      </c>
      <c r="I12" s="103">
        <f t="shared" si="0"/>
        <v>3432791.5974905714</v>
      </c>
      <c r="J12" s="103">
        <f t="shared" si="0"/>
        <v>3756247.1169338659</v>
      </c>
      <c r="K12" s="103">
        <f t="shared" si="0"/>
        <v>4774300.8401169404</v>
      </c>
      <c r="L12" s="103">
        <f t="shared" si="0"/>
        <v>6028531.1013012286</v>
      </c>
      <c r="M12" s="103">
        <f t="shared" si="0"/>
        <v>6771373.0943878898</v>
      </c>
      <c r="N12" s="103">
        <f t="shared" si="0"/>
        <v>6941281.4395015789</v>
      </c>
      <c r="O12" s="103">
        <f t="shared" si="0"/>
        <v>5882654.9890266852</v>
      </c>
      <c r="P12" s="103">
        <f>SUM(D12:O12)</f>
        <v>56968677.078916639</v>
      </c>
      <c r="Q12" s="103"/>
      <c r="S12" s="207">
        <f>(P12+P19)/P13</f>
        <v>55.138775266051759</v>
      </c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31"/>
      <c r="BM12" s="131"/>
      <c r="BN12" s="131"/>
      <c r="BO12" s="131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</row>
    <row r="13" spans="1:91" x14ac:dyDescent="0.2">
      <c r="A13" s="5">
        <v>2</v>
      </c>
      <c r="B13" s="2" t="s">
        <v>23</v>
      </c>
      <c r="C13" s="12">
        <f>'Rate Design'!H12</f>
        <v>20.5</v>
      </c>
      <c r="D13" s="71">
        <f>'Monthly Forecast'!Y12</f>
        <v>157594</v>
      </c>
      <c r="E13" s="71">
        <f>'Monthly Forecast'!Z12</f>
        <v>159580</v>
      </c>
      <c r="F13" s="71">
        <f>'Monthly Forecast'!AA12</f>
        <v>157189</v>
      </c>
      <c r="G13" s="71">
        <f>'Monthly Forecast'!AB12</f>
        <v>155047</v>
      </c>
      <c r="H13" s="71">
        <f>'Monthly Forecast'!AC12</f>
        <v>155912</v>
      </c>
      <c r="I13" s="71">
        <f>'Monthly Forecast'!AD12</f>
        <v>153510</v>
      </c>
      <c r="J13" s="71">
        <f>'Monthly Forecast'!AE12</f>
        <v>153825</v>
      </c>
      <c r="K13" s="71">
        <f>'Monthly Forecast'!AF12</f>
        <v>155116</v>
      </c>
      <c r="L13" s="71">
        <f>'Monthly Forecast'!AG12</f>
        <v>158490</v>
      </c>
      <c r="M13" s="71">
        <f>'Monthly Forecast'!AH12</f>
        <v>159482</v>
      </c>
      <c r="N13" s="71">
        <f>'Monthly Forecast'!AI12</f>
        <v>160183</v>
      </c>
      <c r="O13" s="71">
        <f>'Monthly Forecast'!AJ12</f>
        <v>160439</v>
      </c>
      <c r="P13" s="71">
        <f>ROUND((SUM(D13:O13)),0)</f>
        <v>1886367</v>
      </c>
      <c r="Q13" s="71">
        <f>ROUND(P13*C13,0)</f>
        <v>38670524</v>
      </c>
      <c r="S13" s="353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7"/>
      <c r="BM13" s="137"/>
      <c r="BN13" s="137"/>
      <c r="BO13" s="137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</row>
    <row r="14" spans="1:91" x14ac:dyDescent="0.2">
      <c r="A14" s="5">
        <v>3</v>
      </c>
      <c r="B14" s="2" t="s">
        <v>24</v>
      </c>
      <c r="C14" s="15">
        <f>'Rate Design'!H19</f>
        <v>1.825</v>
      </c>
      <c r="D14" s="71">
        <f>'Monthly Forecast'!Y13</f>
        <v>879434.00569909997</v>
      </c>
      <c r="E14" s="71">
        <f>'Monthly Forecast'!Z13</f>
        <v>408824.40533803555</v>
      </c>
      <c r="F14" s="71">
        <f>'Monthly Forecast'!AA13</f>
        <v>201104.06382711162</v>
      </c>
      <c r="G14" s="71">
        <f>'Monthly Forecast'!AB13</f>
        <v>154175.24230415092</v>
      </c>
      <c r="H14" s="71">
        <f>'Monthly Forecast'!AC13</f>
        <v>155035.37880852114</v>
      </c>
      <c r="I14" s="71">
        <f>'Monthly Forecast'!AD13</f>
        <v>156622.79314551849</v>
      </c>
      <c r="J14" s="71">
        <f>'Monthly Forecast'!AE13</f>
        <v>330320.33804595389</v>
      </c>
      <c r="K14" s="71">
        <f>'Monthly Forecast'!AF13</f>
        <v>873656.35074900824</v>
      </c>
      <c r="L14" s="71">
        <f>'Monthly Forecast'!AG13</f>
        <v>1523006.0829047831</v>
      </c>
      <c r="M14" s="71">
        <f>'Monthly Forecast'!AH13</f>
        <v>1918899.7777467889</v>
      </c>
      <c r="N14" s="71">
        <f>'Monthly Forecast'!AI13</f>
        <v>2004125.9942474405</v>
      </c>
      <c r="O14" s="71">
        <f>'Monthly Forecast'!AJ13</f>
        <v>1421181.0898776357</v>
      </c>
      <c r="P14" s="71">
        <f>SUM(D14:O14)</f>
        <v>10026385.522694048</v>
      </c>
      <c r="Q14" s="71">
        <f t="shared" ref="Q14:Q16" si="1">ROUND(P14*C14,0)</f>
        <v>18298154</v>
      </c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</row>
    <row r="15" spans="1:91" x14ac:dyDescent="0.2">
      <c r="A15" s="5">
        <v>4</v>
      </c>
      <c r="B15" s="2" t="s">
        <v>25</v>
      </c>
      <c r="C15" s="15">
        <f>'Rate Design'!H20</f>
        <v>1.1850000000000001</v>
      </c>
      <c r="D15" s="71">
        <f>'Monthly Forecast'!Y14</f>
        <v>0</v>
      </c>
      <c r="E15" s="71">
        <f>'Monthly Forecast'!Z14</f>
        <v>0</v>
      </c>
      <c r="F15" s="71">
        <f>'Monthly Forecast'!AA14</f>
        <v>0</v>
      </c>
      <c r="G15" s="71">
        <f>'Monthly Forecast'!AB14</f>
        <v>0</v>
      </c>
      <c r="H15" s="71">
        <f>'Monthly Forecast'!AC14</f>
        <v>0</v>
      </c>
      <c r="I15" s="71">
        <f>'Monthly Forecast'!AD14</f>
        <v>0</v>
      </c>
      <c r="J15" s="71">
        <f>'Monthly Forecast'!AE14</f>
        <v>0</v>
      </c>
      <c r="K15" s="71">
        <f>'Monthly Forecast'!AF14</f>
        <v>0</v>
      </c>
      <c r="L15" s="71">
        <f>'Monthly Forecast'!AG14</f>
        <v>0</v>
      </c>
      <c r="M15" s="71">
        <f>'Monthly Forecast'!AH14</f>
        <v>0</v>
      </c>
      <c r="N15" s="71">
        <f>'Monthly Forecast'!AI14</f>
        <v>0</v>
      </c>
      <c r="O15" s="71">
        <f>'Monthly Forecast'!AJ14</f>
        <v>0</v>
      </c>
      <c r="P15" s="71">
        <f>SUM(D15:O15)</f>
        <v>0</v>
      </c>
      <c r="Q15" s="71">
        <f t="shared" si="1"/>
        <v>0</v>
      </c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</row>
    <row r="16" spans="1:91" x14ac:dyDescent="0.2">
      <c r="A16" s="5">
        <v>5</v>
      </c>
      <c r="B16" s="2" t="s">
        <v>81</v>
      </c>
      <c r="C16" s="15">
        <f>'Rate Design'!H21</f>
        <v>0.9</v>
      </c>
      <c r="D16" s="71">
        <f>'Monthly Forecast'!Y15</f>
        <v>0</v>
      </c>
      <c r="E16" s="71">
        <f>'Monthly Forecast'!Z15</f>
        <v>0</v>
      </c>
      <c r="F16" s="71">
        <f>'Monthly Forecast'!AA15</f>
        <v>0</v>
      </c>
      <c r="G16" s="71">
        <f>'Monthly Forecast'!AB15</f>
        <v>0</v>
      </c>
      <c r="H16" s="71">
        <f>'Monthly Forecast'!AC15</f>
        <v>0</v>
      </c>
      <c r="I16" s="71">
        <f>'Monthly Forecast'!AD15</f>
        <v>0</v>
      </c>
      <c r="J16" s="71">
        <f>'Monthly Forecast'!AE15</f>
        <v>0</v>
      </c>
      <c r="K16" s="71">
        <f>'Monthly Forecast'!AF15</f>
        <v>0</v>
      </c>
      <c r="L16" s="71">
        <f>'Monthly Forecast'!AG15</f>
        <v>0</v>
      </c>
      <c r="M16" s="71">
        <f>'Monthly Forecast'!AH15</f>
        <v>0</v>
      </c>
      <c r="N16" s="71">
        <f>'Monthly Forecast'!AI15</f>
        <v>0</v>
      </c>
      <c r="O16" s="71">
        <f>'Monthly Forecast'!AJ15</f>
        <v>0</v>
      </c>
      <c r="P16" s="71">
        <f>SUM(D16:O16)</f>
        <v>0</v>
      </c>
      <c r="Q16" s="71">
        <f t="shared" si="1"/>
        <v>0</v>
      </c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</row>
    <row r="17" spans="1:91" x14ac:dyDescent="0.2">
      <c r="A17" s="5">
        <v>6</v>
      </c>
      <c r="B17" s="33" t="s">
        <v>79</v>
      </c>
      <c r="C17" s="33"/>
      <c r="D17" s="32">
        <f t="shared" ref="D17:P17" si="2">D14+D15+D16</f>
        <v>879434.00569909997</v>
      </c>
      <c r="E17" s="32">
        <f t="shared" si="2"/>
        <v>408824.40533803555</v>
      </c>
      <c r="F17" s="32">
        <f t="shared" si="2"/>
        <v>201104.06382711162</v>
      </c>
      <c r="G17" s="32">
        <f t="shared" si="2"/>
        <v>154175.24230415092</v>
      </c>
      <c r="H17" s="32">
        <f t="shared" si="2"/>
        <v>155035.37880852114</v>
      </c>
      <c r="I17" s="32">
        <f t="shared" si="2"/>
        <v>156622.79314551849</v>
      </c>
      <c r="J17" s="32">
        <f t="shared" si="2"/>
        <v>330320.33804595389</v>
      </c>
      <c r="K17" s="32">
        <f t="shared" si="2"/>
        <v>873656.35074900824</v>
      </c>
      <c r="L17" s="32">
        <f t="shared" si="2"/>
        <v>1523006.0829047831</v>
      </c>
      <c r="M17" s="32">
        <f t="shared" si="2"/>
        <v>1918899.7777467889</v>
      </c>
      <c r="N17" s="32">
        <f t="shared" si="2"/>
        <v>2004125.9942474405</v>
      </c>
      <c r="O17" s="32">
        <f t="shared" si="2"/>
        <v>1421181.0898776357</v>
      </c>
      <c r="P17" s="32">
        <f t="shared" si="2"/>
        <v>10026385.522694048</v>
      </c>
      <c r="Q17" s="32">
        <f>SUM(Q13:Q16)</f>
        <v>56968678</v>
      </c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</row>
    <row r="18" spans="1:91" x14ac:dyDescent="0.2">
      <c r="A18" s="5">
        <v>7</v>
      </c>
      <c r="B18" s="17" t="s">
        <v>226</v>
      </c>
      <c r="C18" s="17"/>
      <c r="D18" s="95">
        <f>'Monthly Forecast'!Y17</f>
        <v>4.6493144113040463</v>
      </c>
      <c r="E18" s="95">
        <f>'Monthly Forecast'!Z17</f>
        <v>4.8747402727505156</v>
      </c>
      <c r="F18" s="95">
        <f>'Monthly Forecast'!AA17</f>
        <v>4.8747402727505156</v>
      </c>
      <c r="G18" s="95">
        <f>'Monthly Forecast'!AB17</f>
        <v>4.8747402727505156</v>
      </c>
      <c r="H18" s="95">
        <f>'Monthly Forecast'!AC17</f>
        <v>4.8549770121409086</v>
      </c>
      <c r="I18" s="95">
        <f>'Monthly Forecast'!AD17</f>
        <v>4.8549770121409086</v>
      </c>
      <c r="J18" s="95">
        <f>'Monthly Forecast'!AE17</f>
        <v>4.8549770121409086</v>
      </c>
      <c r="K18" s="95">
        <f>'Monthly Forecast'!AF17</f>
        <v>4.6982867815053471</v>
      </c>
      <c r="L18" s="95">
        <f>'Monthly Forecast'!AG17</f>
        <v>4.6982867815053471</v>
      </c>
      <c r="M18" s="95">
        <f>'Monthly Forecast'!AH17</f>
        <v>4.6982867815053471</v>
      </c>
      <c r="N18" s="95">
        <f>'Monthly Forecast'!AI17</f>
        <v>4.6235786988289602</v>
      </c>
      <c r="O18" s="95">
        <f>'Monthly Forecast'!AJ17</f>
        <v>4.6235786988289602</v>
      </c>
      <c r="P18" s="95"/>
      <c r="Q18" s="95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</row>
    <row r="19" spans="1:91" x14ac:dyDescent="0.2">
      <c r="A19" s="5">
        <v>8</v>
      </c>
      <c r="B19" s="17" t="s">
        <v>218</v>
      </c>
      <c r="C19" s="18"/>
      <c r="D19" s="60">
        <f t="shared" ref="D19:O19" si="3">D18*D17</f>
        <v>4088765.1964876703</v>
      </c>
      <c r="E19" s="60">
        <f t="shared" si="3"/>
        <v>1992912.7931846026</v>
      </c>
      <c r="F19" s="60">
        <f t="shared" si="3"/>
        <v>980330.07895181119</v>
      </c>
      <c r="G19" s="60">
        <f t="shared" si="3"/>
        <v>751564.26272111351</v>
      </c>
      <c r="H19" s="60">
        <f t="shared" si="3"/>
        <v>752693.2001839279</v>
      </c>
      <c r="I19" s="60">
        <f t="shared" si="3"/>
        <v>760400.0602987929</v>
      </c>
      <c r="J19" s="60">
        <f t="shared" si="3"/>
        <v>1603697.64785572</v>
      </c>
      <c r="K19" s="60">
        <f t="shared" si="3"/>
        <v>4104688.0843022647</v>
      </c>
      <c r="L19" s="60">
        <f t="shared" si="3"/>
        <v>7155519.3474637792</v>
      </c>
      <c r="M19" s="60">
        <f t="shared" si="3"/>
        <v>9015541.4608212858</v>
      </c>
      <c r="N19" s="60">
        <f t="shared" si="3"/>
        <v>9266234.2567718774</v>
      </c>
      <c r="O19" s="60">
        <f t="shared" si="3"/>
        <v>6570942.6143367626</v>
      </c>
      <c r="P19" s="60">
        <f>SUM(D19:O19)</f>
        <v>47043289.003379613</v>
      </c>
      <c r="Q19" s="39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</row>
    <row r="20" spans="1:91" x14ac:dyDescent="0.2">
      <c r="A20" s="5">
        <v>9</v>
      </c>
      <c r="C20" s="44"/>
      <c r="D20" s="35"/>
      <c r="P20" s="44"/>
      <c r="Q20" s="71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</row>
    <row r="21" spans="1:91" x14ac:dyDescent="0.2">
      <c r="A21" s="5">
        <v>10</v>
      </c>
      <c r="B21" s="36" t="s">
        <v>31</v>
      </c>
      <c r="C21" s="2"/>
      <c r="D21" s="103">
        <f t="shared" ref="D21:O21" si="4">D22*$C$22+D23*$C$23+D24*$C$24+D25*$C$25</f>
        <v>1672388.3331698114</v>
      </c>
      <c r="E21" s="103">
        <f t="shared" si="4"/>
        <v>1383140.0033357018</v>
      </c>
      <c r="F21" s="103">
        <f t="shared" si="4"/>
        <v>1227320.6174930669</v>
      </c>
      <c r="G21" s="103">
        <f t="shared" si="4"/>
        <v>1167402.0871441362</v>
      </c>
      <c r="H21" s="103">
        <f t="shared" si="4"/>
        <v>1175003.524086192</v>
      </c>
      <c r="I21" s="103">
        <f t="shared" si="4"/>
        <v>1160236.9473753716</v>
      </c>
      <c r="J21" s="103">
        <f t="shared" si="4"/>
        <v>1242169.7983444754</v>
      </c>
      <c r="K21" s="103">
        <f t="shared" si="4"/>
        <v>1661336.3224623301</v>
      </c>
      <c r="L21" s="103">
        <f t="shared" si="4"/>
        <v>2072093.1797930712</v>
      </c>
      <c r="M21" s="103">
        <f t="shared" si="4"/>
        <v>2332407.9617392835</v>
      </c>
      <c r="N21" s="103">
        <f t="shared" si="4"/>
        <v>2402691.0352629405</v>
      </c>
      <c r="O21" s="103">
        <f t="shared" si="4"/>
        <v>2039054.9931572091</v>
      </c>
      <c r="P21" s="103">
        <f>SUM(D21:O21)</f>
        <v>19535244.803363591</v>
      </c>
      <c r="Q21" s="103"/>
      <c r="S21" s="207">
        <f>(P21+P28)/P22</f>
        <v>203.5846505850223</v>
      </c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</row>
    <row r="22" spans="1:91" x14ac:dyDescent="0.2">
      <c r="A22" s="5">
        <v>11</v>
      </c>
      <c r="B22" s="2" t="s">
        <v>23</v>
      </c>
      <c r="C22" s="101">
        <f>'Rate Design'!H13</f>
        <v>52.5</v>
      </c>
      <c r="D22" s="71">
        <f>'Monthly Forecast'!Y21</f>
        <v>17568</v>
      </c>
      <c r="E22" s="71">
        <f>'Monthly Forecast'!Z21</f>
        <v>17819</v>
      </c>
      <c r="F22" s="71">
        <f>'Monthly Forecast'!AA21</f>
        <v>17344</v>
      </c>
      <c r="G22" s="71">
        <f>'Monthly Forecast'!AB21</f>
        <v>17024</v>
      </c>
      <c r="H22" s="71">
        <f>'Monthly Forecast'!AC21</f>
        <v>17149</v>
      </c>
      <c r="I22" s="71">
        <f>'Monthly Forecast'!AD21</f>
        <v>16872</v>
      </c>
      <c r="J22" s="71">
        <f>'Monthly Forecast'!AE21</f>
        <v>16778</v>
      </c>
      <c r="K22" s="71">
        <f>'Monthly Forecast'!AF21</f>
        <v>17200</v>
      </c>
      <c r="L22" s="71">
        <f>'Monthly Forecast'!AG21</f>
        <v>17535</v>
      </c>
      <c r="M22" s="71">
        <f>'Monthly Forecast'!AH21</f>
        <v>17874</v>
      </c>
      <c r="N22" s="71">
        <f>'Monthly Forecast'!AI21</f>
        <v>17890</v>
      </c>
      <c r="O22" s="71">
        <f>'Monthly Forecast'!AJ21</f>
        <v>17938</v>
      </c>
      <c r="P22" s="71">
        <f>ROUND((SUM(D22:O22)),0)</f>
        <v>208991</v>
      </c>
      <c r="Q22" s="71">
        <f t="shared" ref="Q22:Q25" si="5">ROUND(P22*C22,0)</f>
        <v>10972028</v>
      </c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</row>
    <row r="23" spans="1:91" x14ac:dyDescent="0.2">
      <c r="A23" s="5">
        <v>12</v>
      </c>
      <c r="B23" s="2" t="s">
        <v>24</v>
      </c>
      <c r="C23" s="15">
        <f>'Rate Design'!H19</f>
        <v>1.825</v>
      </c>
      <c r="D23" s="71">
        <f>'Monthly Forecast'!Y22</f>
        <v>386388.61276533036</v>
      </c>
      <c r="E23" s="71">
        <f>'Monthly Forecast'!Z22</f>
        <v>225116.38818078395</v>
      </c>
      <c r="F23" s="71">
        <f>'Monthly Forecast'!AA22</f>
        <v>166628.90084854182</v>
      </c>
      <c r="G23" s="71">
        <f>'Monthly Forecast'!AB22</f>
        <v>134403.7971002126</v>
      </c>
      <c r="H23" s="71">
        <f>'Monthly Forecast'!AC22</f>
        <v>133874.06513467498</v>
      </c>
      <c r="I23" s="71">
        <f>'Monthly Forecast'!AD22</f>
        <v>135673.12793026792</v>
      </c>
      <c r="J23" s="71">
        <f>'Monthly Forecast'!AE22</f>
        <v>159657.46006949278</v>
      </c>
      <c r="K23" s="71">
        <f>'Monthly Forecast'!AF22</f>
        <v>410418.60962864093</v>
      </c>
      <c r="L23" s="71">
        <f>'Monthly Forecast'!AG22</f>
        <v>591520.67319229885</v>
      </c>
      <c r="M23" s="71">
        <f>'Monthly Forecast'!AH22</f>
        <v>687483.46209263033</v>
      </c>
      <c r="N23" s="71">
        <f>'Monthly Forecast'!AI22</f>
        <v>743241.35931709385</v>
      </c>
      <c r="O23" s="71">
        <f>'Monthly Forecast'!AJ22</f>
        <v>559898.38040188956</v>
      </c>
      <c r="P23" s="71">
        <f>SUM(D23:O23)</f>
        <v>4334304.8366618585</v>
      </c>
      <c r="Q23" s="71">
        <f t="shared" si="5"/>
        <v>7910106</v>
      </c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</row>
    <row r="24" spans="1:91" x14ac:dyDescent="0.2">
      <c r="A24" s="5">
        <v>13</v>
      </c>
      <c r="B24" s="2" t="s">
        <v>25</v>
      </c>
      <c r="C24" s="15">
        <f>'Rate Design'!H20</f>
        <v>1.1850000000000001</v>
      </c>
      <c r="D24" s="71">
        <f>'Monthly Forecast'!Y23</f>
        <v>37897.987234669585</v>
      </c>
      <c r="E24" s="71">
        <f>'Monthly Forecast'!Z23</f>
        <v>31059.151819216066</v>
      </c>
      <c r="F24" s="71">
        <f>'Monthly Forecast'!AA23</f>
        <v>10685.969151458166</v>
      </c>
      <c r="G24" s="71">
        <f>'Monthly Forecast'!AB23</f>
        <v>23928.402899787401</v>
      </c>
      <c r="H24" s="71">
        <f>'Monthly Forecast'!AC23</f>
        <v>25620.974865325028</v>
      </c>
      <c r="I24" s="71">
        <f>'Monthly Forecast'!AD23</f>
        <v>22661.172069732063</v>
      </c>
      <c r="J24" s="71">
        <f>'Monthly Forecast'!AE23</f>
        <v>59029.479930507223</v>
      </c>
      <c r="K24" s="71">
        <f>'Monthly Forecast'!AF23</f>
        <v>7866.9703713590061</v>
      </c>
      <c r="L24" s="71">
        <f>'Monthly Forecast'!AG23</f>
        <v>60742.99680770118</v>
      </c>
      <c r="M24" s="71">
        <f>'Monthly Forecast'!AH23</f>
        <v>117608.13790736967</v>
      </c>
      <c r="N24" s="71">
        <f>'Monthly Forecast'!AI23</f>
        <v>90338.020682906121</v>
      </c>
      <c r="O24" s="71">
        <f>'Monthly Forecast'!AJ23</f>
        <v>63709.239598110413</v>
      </c>
      <c r="P24" s="71">
        <f>SUM(D24:O24)</f>
        <v>551148.50333814195</v>
      </c>
      <c r="Q24" s="71">
        <f t="shared" si="5"/>
        <v>653111</v>
      </c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</row>
    <row r="25" spans="1:91" x14ac:dyDescent="0.2">
      <c r="A25" s="5">
        <v>14</v>
      </c>
      <c r="B25" s="2" t="s">
        <v>81</v>
      </c>
      <c r="C25" s="15">
        <f>'Rate Design'!H21</f>
        <v>0.9</v>
      </c>
      <c r="D25" s="71">
        <f>'Monthly Forecast'!Y24</f>
        <v>0</v>
      </c>
      <c r="E25" s="71">
        <f>'Monthly Forecast'!Z24</f>
        <v>0</v>
      </c>
      <c r="F25" s="71">
        <f>'Monthly Forecast'!AA24</f>
        <v>0</v>
      </c>
      <c r="G25" s="71">
        <f>'Monthly Forecast'!AB24</f>
        <v>0</v>
      </c>
      <c r="H25" s="71">
        <f>'Monthly Forecast'!AC24</f>
        <v>0</v>
      </c>
      <c r="I25" s="71">
        <f>'Monthly Forecast'!AD24</f>
        <v>0</v>
      </c>
      <c r="J25" s="71">
        <f>'Monthly Forecast'!AE24</f>
        <v>0</v>
      </c>
      <c r="K25" s="71">
        <f>'Monthly Forecast'!AF24</f>
        <v>0</v>
      </c>
      <c r="L25" s="71">
        <f>'Monthly Forecast'!AG24</f>
        <v>0</v>
      </c>
      <c r="M25" s="71">
        <f>'Monthly Forecast'!AH24</f>
        <v>0</v>
      </c>
      <c r="N25" s="71">
        <f>'Monthly Forecast'!AI24</f>
        <v>0</v>
      </c>
      <c r="O25" s="71">
        <f>'Monthly Forecast'!AJ24</f>
        <v>0</v>
      </c>
      <c r="P25" s="71">
        <f>SUM(D25:O25)</f>
        <v>0</v>
      </c>
      <c r="Q25" s="71">
        <f t="shared" si="5"/>
        <v>0</v>
      </c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</row>
    <row r="26" spans="1:91" x14ac:dyDescent="0.2">
      <c r="A26" s="5">
        <v>15</v>
      </c>
      <c r="B26" s="33" t="s">
        <v>79</v>
      </c>
      <c r="C26" s="33"/>
      <c r="D26" s="32">
        <f t="shared" ref="D26:P26" si="6">D23+D24+D25</f>
        <v>424286.59999999992</v>
      </c>
      <c r="E26" s="32">
        <f t="shared" si="6"/>
        <v>256175.54</v>
      </c>
      <c r="F26" s="32">
        <f t="shared" si="6"/>
        <v>177314.87</v>
      </c>
      <c r="G26" s="32">
        <f t="shared" si="6"/>
        <v>158332.20000000001</v>
      </c>
      <c r="H26" s="32">
        <f t="shared" si="6"/>
        <v>159495.04000000001</v>
      </c>
      <c r="I26" s="32">
        <f t="shared" si="6"/>
        <v>158334.29999999999</v>
      </c>
      <c r="J26" s="32">
        <f t="shared" si="6"/>
        <v>218686.94</v>
      </c>
      <c r="K26" s="32">
        <f t="shared" si="6"/>
        <v>418285.57999999996</v>
      </c>
      <c r="L26" s="32">
        <f t="shared" si="6"/>
        <v>652263.67000000004</v>
      </c>
      <c r="M26" s="32">
        <f t="shared" si="6"/>
        <v>805091.6</v>
      </c>
      <c r="N26" s="32">
        <f t="shared" si="6"/>
        <v>833579.38</v>
      </c>
      <c r="O26" s="32">
        <f t="shared" si="6"/>
        <v>623607.62</v>
      </c>
      <c r="P26" s="32">
        <f t="shared" si="6"/>
        <v>4885453.3400000008</v>
      </c>
      <c r="Q26" s="32">
        <f>SUM(Q22:Q25)</f>
        <v>19535245</v>
      </c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</row>
    <row r="27" spans="1:91" x14ac:dyDescent="0.2">
      <c r="A27" s="5">
        <v>16</v>
      </c>
      <c r="B27" s="17" t="s">
        <v>226</v>
      </c>
      <c r="C27" s="17"/>
      <c r="D27" s="95">
        <f>'Monthly Forecast'!Y26</f>
        <v>4.6493144113040463</v>
      </c>
      <c r="E27" s="95">
        <f>'Monthly Forecast'!Z26</f>
        <v>4.8747402727505156</v>
      </c>
      <c r="F27" s="95">
        <f>'Monthly Forecast'!AA26</f>
        <v>4.8747402727505156</v>
      </c>
      <c r="G27" s="95">
        <f>'Monthly Forecast'!AB26</f>
        <v>4.8747402727505156</v>
      </c>
      <c r="H27" s="95">
        <f>'Monthly Forecast'!AC26</f>
        <v>4.8549770121409086</v>
      </c>
      <c r="I27" s="95">
        <f>'Monthly Forecast'!AD26</f>
        <v>4.8549770121409086</v>
      </c>
      <c r="J27" s="95">
        <f>'Monthly Forecast'!AE26</f>
        <v>4.8549770121409086</v>
      </c>
      <c r="K27" s="95">
        <f>'Monthly Forecast'!AF26</f>
        <v>4.6982867815053471</v>
      </c>
      <c r="L27" s="95">
        <f>'Monthly Forecast'!AG26</f>
        <v>4.6982867815053471</v>
      </c>
      <c r="M27" s="95">
        <f>'Monthly Forecast'!AH26</f>
        <v>4.6982867815053471</v>
      </c>
      <c r="N27" s="95">
        <f>'Monthly Forecast'!AI26</f>
        <v>4.6235786988289602</v>
      </c>
      <c r="O27" s="95">
        <f>'Monthly Forecast'!AJ26</f>
        <v>4.6235786988289602</v>
      </c>
      <c r="P27" s="95"/>
      <c r="Q27" s="95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</row>
    <row r="28" spans="1:91" x14ac:dyDescent="0.2">
      <c r="A28" s="5">
        <v>17</v>
      </c>
      <c r="B28" s="17" t="s">
        <v>218</v>
      </c>
      <c r="C28" s="18"/>
      <c r="D28" s="60">
        <f t="shared" ref="D28:O28" si="7">D27*D26</f>
        <v>1972641.8039031951</v>
      </c>
      <c r="E28" s="60">
        <f t="shared" si="7"/>
        <v>1248789.2217316106</v>
      </c>
      <c r="F28" s="60">
        <f t="shared" si="7"/>
        <v>864363.93774652213</v>
      </c>
      <c r="G28" s="60">
        <f t="shared" si="7"/>
        <v>771828.35181318922</v>
      </c>
      <c r="H28" s="60">
        <f t="shared" si="7"/>
        <v>774344.75275049475</v>
      </c>
      <c r="I28" s="60">
        <f t="shared" si="7"/>
        <v>768709.38673342217</v>
      </c>
      <c r="J28" s="60">
        <f t="shared" si="7"/>
        <v>1061720.0665554381</v>
      </c>
      <c r="K28" s="60">
        <f t="shared" si="7"/>
        <v>1965225.6114082972</v>
      </c>
      <c r="L28" s="60">
        <f t="shared" si="7"/>
        <v>3064521.7788171661</v>
      </c>
      <c r="M28" s="60">
        <f t="shared" si="7"/>
        <v>3782551.22218099</v>
      </c>
      <c r="N28" s="60">
        <f t="shared" si="7"/>
        <v>3854119.8651510514</v>
      </c>
      <c r="O28" s="60">
        <f t="shared" si="7"/>
        <v>2883298.9082594248</v>
      </c>
      <c r="P28" s="60">
        <f>SUM(D28:O28)</f>
        <v>23012114.9070508</v>
      </c>
      <c r="Q28" s="39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</row>
    <row r="29" spans="1:91" x14ac:dyDescent="0.2">
      <c r="A29" s="5">
        <v>18</v>
      </c>
      <c r="D29" s="35"/>
      <c r="P29" s="44"/>
      <c r="Q29" s="71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</row>
    <row r="30" spans="1:91" x14ac:dyDescent="0.2">
      <c r="A30" s="5">
        <v>19</v>
      </c>
      <c r="B30" s="36" t="s">
        <v>80</v>
      </c>
      <c r="C30" s="15"/>
      <c r="D30" s="103">
        <f t="shared" ref="D30:O30" si="8">D31*$C$31+D32*$C$32+D33*$C$33+D34*$C$34</f>
        <v>72974.806383333329</v>
      </c>
      <c r="E30" s="103">
        <f t="shared" si="8"/>
        <v>62172.056633333334</v>
      </c>
      <c r="F30" s="103">
        <f t="shared" si="8"/>
        <v>50641.92016666667</v>
      </c>
      <c r="G30" s="103">
        <f t="shared" si="8"/>
        <v>41304.710000000006</v>
      </c>
      <c r="H30" s="103">
        <f t="shared" si="8"/>
        <v>44940.013800000001</v>
      </c>
      <c r="I30" s="103">
        <f t="shared" si="8"/>
        <v>46228.692583333337</v>
      </c>
      <c r="J30" s="103">
        <f t="shared" si="8"/>
        <v>49440.957933333324</v>
      </c>
      <c r="K30" s="103">
        <f t="shared" si="8"/>
        <v>56315.05563333333</v>
      </c>
      <c r="L30" s="103">
        <f t="shared" si="8"/>
        <v>116113.89983333333</v>
      </c>
      <c r="M30" s="103">
        <f t="shared" si="8"/>
        <v>175032.79263333336</v>
      </c>
      <c r="N30" s="103">
        <f t="shared" si="8"/>
        <v>126810.42748333332</v>
      </c>
      <c r="O30" s="103">
        <f t="shared" si="8"/>
        <v>113637.82538333333</v>
      </c>
      <c r="P30" s="103">
        <f>SUM(D30:O30)</f>
        <v>955613.1584666667</v>
      </c>
      <c r="Q30" s="103"/>
      <c r="S30" s="207">
        <f>(P30+P37)/P31</f>
        <v>1497.9302350004798</v>
      </c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</row>
    <row r="31" spans="1:91" x14ac:dyDescent="0.2">
      <c r="A31" s="5">
        <v>20</v>
      </c>
      <c r="B31" s="2" t="s">
        <v>23</v>
      </c>
      <c r="C31" s="12">
        <f>C22</f>
        <v>52.5</v>
      </c>
      <c r="D31" s="71">
        <f>'Monthly Forecast'!Y30</f>
        <v>194.97777777777779</v>
      </c>
      <c r="E31" s="71">
        <f>'Monthly Forecast'!Z30</f>
        <v>211.97777777777779</v>
      </c>
      <c r="F31" s="71">
        <f>'Monthly Forecast'!AA30</f>
        <v>204.98888888888888</v>
      </c>
      <c r="G31" s="71">
        <f>'Monthly Forecast'!AB30</f>
        <v>183</v>
      </c>
      <c r="H31" s="71">
        <f>'Monthly Forecast'!AC30</f>
        <v>208</v>
      </c>
      <c r="I31" s="71">
        <f>'Monthly Forecast'!AD30</f>
        <v>193.24444444444444</v>
      </c>
      <c r="J31" s="71">
        <f>'Monthly Forecast'!AE30</f>
        <v>189.24444444444444</v>
      </c>
      <c r="K31" s="71">
        <f>'Monthly Forecast'!AF30</f>
        <v>203.97777777777779</v>
      </c>
      <c r="L31" s="71">
        <f>'Monthly Forecast'!AG30</f>
        <v>195.97777777777779</v>
      </c>
      <c r="M31" s="71">
        <f>'Monthly Forecast'!AH30</f>
        <v>221.97777777777779</v>
      </c>
      <c r="N31" s="71">
        <f>'Monthly Forecast'!AI30</f>
        <v>209.97777777777779</v>
      </c>
      <c r="O31" s="71">
        <f>'Monthly Forecast'!AJ30</f>
        <v>211.97777777777779</v>
      </c>
      <c r="P31" s="71">
        <f>ROUND((SUM(D31:O31)),0)</f>
        <v>2429</v>
      </c>
      <c r="Q31" s="71">
        <f t="shared" ref="Q31:Q34" si="9">ROUND(P31*C31,0)</f>
        <v>127523</v>
      </c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</row>
    <row r="32" spans="1:91" x14ac:dyDescent="0.2">
      <c r="A32" s="5">
        <v>21</v>
      </c>
      <c r="B32" s="2" t="s">
        <v>24</v>
      </c>
      <c r="C32" s="15">
        <f>C23</f>
        <v>1.825</v>
      </c>
      <c r="D32" s="71">
        <f>'Monthly Forecast'!Y31</f>
        <v>20328.839999999997</v>
      </c>
      <c r="E32" s="71">
        <f>'Monthly Forecast'!Z31</f>
        <v>14722.940000000002</v>
      </c>
      <c r="F32" s="71">
        <f>'Monthly Forecast'!AA31</f>
        <v>10418.430000000002</v>
      </c>
      <c r="G32" s="71">
        <f>'Monthly Forecast'!AB31</f>
        <v>7904.21</v>
      </c>
      <c r="H32" s="71">
        <f>'Monthly Forecast'!AC31</f>
        <v>9534.57</v>
      </c>
      <c r="I32" s="71">
        <f>'Monthly Forecast'!AD31</f>
        <v>9830.6899999999987</v>
      </c>
      <c r="J32" s="71">
        <f>'Monthly Forecast'!AE31</f>
        <v>8994.5199999999968</v>
      </c>
      <c r="K32" s="71">
        <f>'Monthly Forecast'!AF31</f>
        <v>15108.089999999998</v>
      </c>
      <c r="L32" s="71">
        <f>'Monthly Forecast'!AG31</f>
        <v>34044.89</v>
      </c>
      <c r="M32" s="71">
        <f>'Monthly Forecast'!AH31</f>
        <v>43047.420000000013</v>
      </c>
      <c r="N32" s="71">
        <f>'Monthly Forecast'!AI31</f>
        <v>36370.419999999991</v>
      </c>
      <c r="O32" s="71">
        <f>'Monthly Forecast'!AJ31</f>
        <v>31835.3</v>
      </c>
      <c r="P32" s="71">
        <f>SUM(D32:O32)</f>
        <v>242140.31999999995</v>
      </c>
      <c r="Q32" s="71">
        <f t="shared" si="9"/>
        <v>441906</v>
      </c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</row>
    <row r="33" spans="1:91" x14ac:dyDescent="0.2">
      <c r="A33" s="5">
        <v>22</v>
      </c>
      <c r="B33" s="2" t="s">
        <v>25</v>
      </c>
      <c r="C33" s="15">
        <f>C24</f>
        <v>1.1850000000000001</v>
      </c>
      <c r="D33" s="71">
        <f>'Monthly Forecast'!Y32</f>
        <v>21635.73</v>
      </c>
      <c r="E33" s="71">
        <f>'Monthly Forecast'!Z32</f>
        <v>20399.879999999997</v>
      </c>
      <c r="F33" s="71">
        <f>'Monthly Forecast'!AA32</f>
        <v>17608.75</v>
      </c>
      <c r="G33" s="71">
        <f>'Monthly Forecast'!AB32</f>
        <v>14575.55</v>
      </c>
      <c r="H33" s="71">
        <f>'Monthly Forecast'!AC32</f>
        <v>14024.83</v>
      </c>
      <c r="I33" s="71">
        <f>'Monthly Forecast'!AD32</f>
        <v>15310</v>
      </c>
      <c r="J33" s="71">
        <f>'Monthly Forecast'!AE32</f>
        <v>19485.760000000002</v>
      </c>
      <c r="K33" s="71">
        <f>'Monthly Forecast'!AF32</f>
        <v>15218.529999999999</v>
      </c>
      <c r="L33" s="71">
        <f>'Monthly Forecast'!AG32</f>
        <v>36871.85</v>
      </c>
      <c r="M33" s="71">
        <f>'Monthly Forecast'!AH32</f>
        <v>71575.88</v>
      </c>
      <c r="N33" s="71">
        <f>'Monthly Forecast'!AI32</f>
        <v>41696.69</v>
      </c>
      <c r="O33" s="71">
        <f>'Monthly Forecast'!AJ32</f>
        <v>37476.43</v>
      </c>
      <c r="P33" s="71">
        <f>SUM(D33:O33)</f>
        <v>325879.88</v>
      </c>
      <c r="Q33" s="71">
        <f t="shared" si="9"/>
        <v>386168</v>
      </c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</row>
    <row r="34" spans="1:91" x14ac:dyDescent="0.2">
      <c r="A34" s="5">
        <v>23</v>
      </c>
      <c r="B34" s="2" t="s">
        <v>81</v>
      </c>
      <c r="C34" s="15">
        <f>C25</f>
        <v>0.9</v>
      </c>
      <c r="D34" s="71">
        <f>'Monthly Forecast'!Y33</f>
        <v>0</v>
      </c>
      <c r="E34" s="71">
        <f>'Monthly Forecast'!Z33</f>
        <v>0</v>
      </c>
      <c r="F34" s="71">
        <f>'Monthly Forecast'!AA33</f>
        <v>0</v>
      </c>
      <c r="G34" s="71">
        <f>'Monthly Forecast'!AB33</f>
        <v>0</v>
      </c>
      <c r="H34" s="71">
        <f>'Monthly Forecast'!AC33</f>
        <v>0</v>
      </c>
      <c r="I34" s="71">
        <f>'Monthly Forecast'!AD33</f>
        <v>0</v>
      </c>
      <c r="J34" s="71">
        <f>'Monthly Forecast'!AE33</f>
        <v>0</v>
      </c>
      <c r="K34" s="71">
        <f>'Monthly Forecast'!AF33</f>
        <v>0</v>
      </c>
      <c r="L34" s="71">
        <f>'Monthly Forecast'!AG33</f>
        <v>0</v>
      </c>
      <c r="M34" s="71">
        <f>'Monthly Forecast'!AH33</f>
        <v>0</v>
      </c>
      <c r="N34" s="71">
        <f>'Monthly Forecast'!AI33</f>
        <v>0</v>
      </c>
      <c r="O34" s="71">
        <f>'Monthly Forecast'!AJ33</f>
        <v>0</v>
      </c>
      <c r="P34" s="71">
        <f>SUM(D34:O34)</f>
        <v>0</v>
      </c>
      <c r="Q34" s="71">
        <f t="shared" si="9"/>
        <v>0</v>
      </c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</row>
    <row r="35" spans="1:91" x14ac:dyDescent="0.2">
      <c r="A35" s="5">
        <v>24</v>
      </c>
      <c r="B35" s="33" t="s">
        <v>79</v>
      </c>
      <c r="C35" s="33"/>
      <c r="D35" s="32">
        <f t="shared" ref="D35:P35" si="10">D32+D33+D34</f>
        <v>41964.569999999992</v>
      </c>
      <c r="E35" s="32">
        <f t="shared" si="10"/>
        <v>35122.82</v>
      </c>
      <c r="F35" s="32">
        <f t="shared" si="10"/>
        <v>28027.18</v>
      </c>
      <c r="G35" s="32">
        <f t="shared" si="10"/>
        <v>22479.759999999998</v>
      </c>
      <c r="H35" s="32">
        <f t="shared" si="10"/>
        <v>23559.4</v>
      </c>
      <c r="I35" s="32">
        <f t="shared" si="10"/>
        <v>25140.69</v>
      </c>
      <c r="J35" s="32">
        <f t="shared" si="10"/>
        <v>28480.28</v>
      </c>
      <c r="K35" s="32">
        <f t="shared" si="10"/>
        <v>30326.619999999995</v>
      </c>
      <c r="L35" s="32">
        <f t="shared" si="10"/>
        <v>70916.739999999991</v>
      </c>
      <c r="M35" s="32">
        <f t="shared" si="10"/>
        <v>114623.30000000002</v>
      </c>
      <c r="N35" s="32">
        <f t="shared" si="10"/>
        <v>78067.109999999986</v>
      </c>
      <c r="O35" s="32">
        <f t="shared" si="10"/>
        <v>69311.73</v>
      </c>
      <c r="P35" s="32">
        <f t="shared" si="10"/>
        <v>568020.19999999995</v>
      </c>
      <c r="Q35" s="32">
        <f>SUM(Q31:Q34)</f>
        <v>955597</v>
      </c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</row>
    <row r="36" spans="1:91" x14ac:dyDescent="0.2">
      <c r="A36" s="5">
        <v>25</v>
      </c>
      <c r="B36" s="17" t="s">
        <v>226</v>
      </c>
      <c r="D36" s="95">
        <f>'Monthly Forecast'!Y35</f>
        <v>4.6493144113040463</v>
      </c>
      <c r="E36" s="95">
        <f>'Monthly Forecast'!Z35</f>
        <v>4.8747402727505156</v>
      </c>
      <c r="F36" s="95">
        <f>'Monthly Forecast'!AA35</f>
        <v>4.8747402727505156</v>
      </c>
      <c r="G36" s="95">
        <f>'Monthly Forecast'!AB35</f>
        <v>4.8747402727505156</v>
      </c>
      <c r="H36" s="95">
        <f>'Monthly Forecast'!AC35</f>
        <v>4.8549770121409086</v>
      </c>
      <c r="I36" s="95">
        <f>'Monthly Forecast'!AD35</f>
        <v>4.8549770121409086</v>
      </c>
      <c r="J36" s="95">
        <f>'Monthly Forecast'!AE35</f>
        <v>4.8549770121409086</v>
      </c>
      <c r="K36" s="95">
        <f>'Monthly Forecast'!AF35</f>
        <v>4.6982867815053471</v>
      </c>
      <c r="L36" s="95">
        <f>'Monthly Forecast'!AG35</f>
        <v>4.6982867815053471</v>
      </c>
      <c r="M36" s="95">
        <f>'Monthly Forecast'!AH35</f>
        <v>4.6982867815053471</v>
      </c>
      <c r="N36" s="95">
        <f>'Monthly Forecast'!AI35</f>
        <v>4.6235786988289602</v>
      </c>
      <c r="O36" s="95">
        <f>'Monthly Forecast'!AJ35</f>
        <v>4.6235786988289602</v>
      </c>
      <c r="P36" s="95"/>
      <c r="Q36" s="95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</row>
    <row r="37" spans="1:91" x14ac:dyDescent="0.2">
      <c r="A37" s="5">
        <v>26</v>
      </c>
      <c r="B37" s="17" t="s">
        <v>218</v>
      </c>
      <c r="D37" s="60">
        <f t="shared" ref="D37:O37" si="11">D36*D35</f>
        <v>195106.4800651774</v>
      </c>
      <c r="E37" s="60">
        <f t="shared" si="11"/>
        <v>171214.62514656727</v>
      </c>
      <c r="F37" s="60">
        <f t="shared" si="11"/>
        <v>136625.2230776278</v>
      </c>
      <c r="G37" s="60">
        <f t="shared" si="11"/>
        <v>109582.99139376612</v>
      </c>
      <c r="H37" s="60">
        <f t="shared" si="11"/>
        <v>114380.34541983253</v>
      </c>
      <c r="I37" s="60">
        <f t="shared" si="11"/>
        <v>122057.47201936081</v>
      </c>
      <c r="J37" s="60">
        <f t="shared" si="11"/>
        <v>138271.10469933646</v>
      </c>
      <c r="K37" s="60">
        <f t="shared" si="11"/>
        <v>142483.15787373568</v>
      </c>
      <c r="L37" s="60">
        <f t="shared" si="11"/>
        <v>333187.18212945148</v>
      </c>
      <c r="M37" s="60">
        <f t="shared" si="11"/>
        <v>538533.13524252188</v>
      </c>
      <c r="N37" s="60">
        <f t="shared" si="11"/>
        <v>360949.42687513726</v>
      </c>
      <c r="O37" s="60">
        <f t="shared" si="11"/>
        <v>320468.23840698419</v>
      </c>
      <c r="P37" s="60">
        <f>SUM(D37:O37)</f>
        <v>2682859.382349499</v>
      </c>
      <c r="Q37" s="39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</row>
    <row r="38" spans="1:91" x14ac:dyDescent="0.2">
      <c r="A38" s="5">
        <v>27</v>
      </c>
      <c r="D38" s="35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</row>
    <row r="39" spans="1:91" x14ac:dyDescent="0.2">
      <c r="A39" s="5">
        <v>28</v>
      </c>
      <c r="B39" s="36" t="s">
        <v>82</v>
      </c>
      <c r="C39" s="15"/>
      <c r="D39" s="103">
        <f>D40*$C$40+D41*$C$41+D42*$C$42+D43*$C$43</f>
        <v>220762.15633009991</v>
      </c>
      <c r="E39" s="103">
        <f t="shared" ref="E39:O39" si="12">E40*$C$40+E41*$C$41+E42*$C$42+E43*$C$43</f>
        <v>166510.66148523428</v>
      </c>
      <c r="F39" s="103">
        <f t="shared" si="12"/>
        <v>132601.31559143815</v>
      </c>
      <c r="G39" s="103">
        <f t="shared" si="12"/>
        <v>126279.54587153022</v>
      </c>
      <c r="H39" s="103">
        <f t="shared" si="12"/>
        <v>132182.81057949783</v>
      </c>
      <c r="I39" s="103">
        <f t="shared" si="12"/>
        <v>126462.00220820218</v>
      </c>
      <c r="J39" s="103">
        <f t="shared" si="12"/>
        <v>153810.19391566905</v>
      </c>
      <c r="K39" s="103">
        <f t="shared" si="12"/>
        <v>231545.83636500873</v>
      </c>
      <c r="L39" s="103">
        <f t="shared" si="12"/>
        <v>312891.94055692042</v>
      </c>
      <c r="M39" s="103">
        <f t="shared" si="12"/>
        <v>359550.41075062728</v>
      </c>
      <c r="N39" s="103">
        <f t="shared" si="12"/>
        <v>374874.3000179524</v>
      </c>
      <c r="O39" s="103">
        <f t="shared" si="12"/>
        <v>301557.08806396031</v>
      </c>
      <c r="P39" s="103">
        <f>SUM(D39:O39)</f>
        <v>2639028.2617361406</v>
      </c>
      <c r="Q39" s="103"/>
      <c r="S39" s="207">
        <f>(P39+P46)/P40</f>
        <v>385.87304139704707</v>
      </c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</row>
    <row r="40" spans="1:91" x14ac:dyDescent="0.2">
      <c r="A40" s="5">
        <v>29</v>
      </c>
      <c r="B40" s="2" t="s">
        <v>23</v>
      </c>
      <c r="C40" s="12">
        <f>C31</f>
        <v>52.5</v>
      </c>
      <c r="D40" s="71">
        <f>'Monthly Forecast'!Y39</f>
        <v>1509</v>
      </c>
      <c r="E40" s="71">
        <f>'Monthly Forecast'!Z39</f>
        <v>1576</v>
      </c>
      <c r="F40" s="71">
        <f>'Monthly Forecast'!AA39</f>
        <v>1536</v>
      </c>
      <c r="G40" s="71">
        <f>'Monthly Forecast'!AB39</f>
        <v>1520</v>
      </c>
      <c r="H40" s="71">
        <f>'Monthly Forecast'!AC39</f>
        <v>1593</v>
      </c>
      <c r="I40" s="71">
        <f>'Monthly Forecast'!AD39</f>
        <v>1524</v>
      </c>
      <c r="J40" s="71">
        <f>'Monthly Forecast'!AE39</f>
        <v>1554</v>
      </c>
      <c r="K40" s="71">
        <f>'Monthly Forecast'!AF39</f>
        <v>1556</v>
      </c>
      <c r="L40" s="71">
        <f>'Monthly Forecast'!AG39</f>
        <v>1551</v>
      </c>
      <c r="M40" s="71">
        <f>'Monthly Forecast'!AH39</f>
        <v>1552</v>
      </c>
      <c r="N40" s="71">
        <f>'Monthly Forecast'!AI39</f>
        <v>1546</v>
      </c>
      <c r="O40" s="71">
        <f>'Monthly Forecast'!AJ39</f>
        <v>1566</v>
      </c>
      <c r="P40" s="71">
        <f>ROUND((SUM(D40:O40)),0)</f>
        <v>18583</v>
      </c>
      <c r="Q40" s="71">
        <f t="shared" ref="Q40:Q43" si="13">ROUND(P40*C40,0)</f>
        <v>975608</v>
      </c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</row>
    <row r="41" spans="1:91" x14ac:dyDescent="0.2">
      <c r="A41" s="5">
        <v>30</v>
      </c>
      <c r="B41" s="2" t="s">
        <v>24</v>
      </c>
      <c r="C41" s="15">
        <f>C32</f>
        <v>1.825</v>
      </c>
      <c r="D41" s="71">
        <f>'Monthly Forecast'!Y40</f>
        <v>69347.270125156094</v>
      </c>
      <c r="E41" s="71">
        <f>'Monthly Forecast'!Z40</f>
        <v>43888.32903942855</v>
      </c>
      <c r="F41" s="71">
        <f>'Monthly Forecast'!AA40</f>
        <v>26022.584205372106</v>
      </c>
      <c r="G41" s="71">
        <f>'Monthly Forecast'!AB40</f>
        <v>24548.599721140996</v>
      </c>
      <c r="H41" s="71">
        <f>'Monthly Forecast'!AC40</f>
        <v>25475.956217965388</v>
      </c>
      <c r="I41" s="71">
        <f>'Monthly Forecast'!AD40</f>
        <v>23785.508606565905</v>
      </c>
      <c r="J41" s="71">
        <f>'Monthly Forecast'!AE40</f>
        <v>36752.20236823288</v>
      </c>
      <c r="K41" s="71">
        <f>'Monthly Forecast'!AF40</f>
        <v>76399.989164076134</v>
      </c>
      <c r="L41" s="71">
        <f>'Monthly Forecast'!AG40</f>
        <v>111646.01891706315</v>
      </c>
      <c r="M41" s="71">
        <f>'Monthly Forecast'!AH40</f>
        <v>127757.74671973014</v>
      </c>
      <c r="N41" s="71">
        <f>'Monthly Forecast'!AI40</f>
        <v>142235.0119030507</v>
      </c>
      <c r="O41" s="71">
        <f>'Monthly Forecast'!AJ40</f>
        <v>107983.52955306301</v>
      </c>
      <c r="P41" s="71">
        <f>SUM(D41:O41)</f>
        <v>815842.74654084502</v>
      </c>
      <c r="Q41" s="71">
        <f t="shared" si="13"/>
        <v>1488913</v>
      </c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</row>
    <row r="42" spans="1:91" x14ac:dyDescent="0.2">
      <c r="A42" s="5">
        <v>31</v>
      </c>
      <c r="B42" s="2" t="s">
        <v>25</v>
      </c>
      <c r="C42" s="15">
        <f>C33</f>
        <v>1.1850000000000001</v>
      </c>
      <c r="D42" s="71">
        <f>'Monthly Forecast'!Y41</f>
        <v>12642.099874843907</v>
      </c>
      <c r="E42" s="71">
        <f>'Monthly Forecast'!Z41</f>
        <v>3100.8109605714526</v>
      </c>
      <c r="F42" s="71">
        <f>'Monthly Forecast'!AA41</f>
        <v>3772.2357946278903</v>
      </c>
      <c r="G42" s="71">
        <f>'Monthly Forecast'!AB41</f>
        <v>1416.330278859004</v>
      </c>
      <c r="H42" s="71">
        <f>'Monthly Forecast'!AC41</f>
        <v>1735.6037820346139</v>
      </c>
      <c r="I42" s="71">
        <f>'Monthly Forecast'!AD41</f>
        <v>2568.3113934340927</v>
      </c>
      <c r="J42" s="71">
        <f>'Monthly Forecast'!AE41</f>
        <v>4348.0376317671207</v>
      </c>
      <c r="K42" s="71">
        <f>'Monthly Forecast'!AF41</f>
        <v>8798.1908359238714</v>
      </c>
      <c r="L42" s="71">
        <f>'Monthly Forecast'!AG41</f>
        <v>23384.351082936853</v>
      </c>
      <c r="M42" s="71">
        <f>'Monthly Forecast'!AH41</f>
        <v>37900.863280269834</v>
      </c>
      <c r="N42" s="71">
        <f>'Monthly Forecast'!AI41</f>
        <v>28802.028096949278</v>
      </c>
      <c r="O42" s="71">
        <f>'Monthly Forecast'!AJ41</f>
        <v>18795.060446936983</v>
      </c>
      <c r="P42" s="71">
        <f>SUM(D42:O42)</f>
        <v>147263.9234591549</v>
      </c>
      <c r="Q42" s="71">
        <f t="shared" si="13"/>
        <v>174508</v>
      </c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</row>
    <row r="43" spans="1:91" x14ac:dyDescent="0.2">
      <c r="A43" s="5">
        <v>32</v>
      </c>
      <c r="B43" s="2" t="s">
        <v>81</v>
      </c>
      <c r="C43" s="15">
        <f>C34</f>
        <v>0.9</v>
      </c>
      <c r="D43" s="71">
        <f>'Monthly Forecast'!Y42</f>
        <v>0</v>
      </c>
      <c r="E43" s="71">
        <f>'Monthly Forecast'!Z42</f>
        <v>0</v>
      </c>
      <c r="F43" s="71">
        <f>'Monthly Forecast'!AA42</f>
        <v>0</v>
      </c>
      <c r="G43" s="71">
        <f>'Monthly Forecast'!AB42</f>
        <v>0</v>
      </c>
      <c r="H43" s="71">
        <f>'Monthly Forecast'!AC42</f>
        <v>0</v>
      </c>
      <c r="I43" s="71">
        <f>'Monthly Forecast'!AD42</f>
        <v>0</v>
      </c>
      <c r="J43" s="71">
        <f>'Monthly Forecast'!AE42</f>
        <v>0</v>
      </c>
      <c r="K43" s="71">
        <f>'Monthly Forecast'!AF42</f>
        <v>0</v>
      </c>
      <c r="L43" s="71">
        <f>'Monthly Forecast'!AG42</f>
        <v>0</v>
      </c>
      <c r="M43" s="71">
        <f>'Monthly Forecast'!AH42</f>
        <v>0</v>
      </c>
      <c r="N43" s="71">
        <f>'Monthly Forecast'!AI42</f>
        <v>0</v>
      </c>
      <c r="O43" s="71">
        <f>'Monthly Forecast'!AJ42</f>
        <v>0</v>
      </c>
      <c r="P43" s="71">
        <f>SUM(D43:O43)</f>
        <v>0</v>
      </c>
      <c r="Q43" s="71">
        <f t="shared" si="13"/>
        <v>0</v>
      </c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</row>
    <row r="44" spans="1:91" x14ac:dyDescent="0.2">
      <c r="A44" s="5">
        <v>33</v>
      </c>
      <c r="B44" s="33" t="s">
        <v>79</v>
      </c>
      <c r="C44" s="33"/>
      <c r="D44" s="32">
        <f t="shared" ref="D44:P44" si="14">D41+D42+D43</f>
        <v>81989.37</v>
      </c>
      <c r="E44" s="32">
        <f t="shared" si="14"/>
        <v>46989.14</v>
      </c>
      <c r="F44" s="32">
        <f t="shared" si="14"/>
        <v>29794.819999999996</v>
      </c>
      <c r="G44" s="32">
        <f t="shared" si="14"/>
        <v>25964.93</v>
      </c>
      <c r="H44" s="32">
        <f t="shared" si="14"/>
        <v>27211.56</v>
      </c>
      <c r="I44" s="32">
        <f t="shared" si="14"/>
        <v>26353.82</v>
      </c>
      <c r="J44" s="32">
        <f t="shared" si="14"/>
        <v>41100.239999999998</v>
      </c>
      <c r="K44" s="32">
        <f t="shared" si="14"/>
        <v>85198.180000000008</v>
      </c>
      <c r="L44" s="32">
        <f t="shared" si="14"/>
        <v>135030.37</v>
      </c>
      <c r="M44" s="32">
        <f t="shared" si="14"/>
        <v>165658.60999999999</v>
      </c>
      <c r="N44" s="32">
        <f t="shared" si="14"/>
        <v>171037.03999999998</v>
      </c>
      <c r="O44" s="32">
        <f t="shared" si="14"/>
        <v>126778.59</v>
      </c>
      <c r="P44" s="32">
        <f t="shared" si="14"/>
        <v>963106.66999999993</v>
      </c>
      <c r="Q44" s="32">
        <f>SUM(Q40:Q43)</f>
        <v>2639029</v>
      </c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</row>
    <row r="45" spans="1:91" x14ac:dyDescent="0.2">
      <c r="A45" s="5">
        <v>34</v>
      </c>
      <c r="B45" s="17" t="s">
        <v>226</v>
      </c>
      <c r="D45" s="95">
        <f>'Monthly Forecast'!Y44</f>
        <v>4.6493144113040463</v>
      </c>
      <c r="E45" s="95">
        <f>'Monthly Forecast'!Z44</f>
        <v>4.8747402727505156</v>
      </c>
      <c r="F45" s="95">
        <f>'Monthly Forecast'!AA44</f>
        <v>4.8747402727505156</v>
      </c>
      <c r="G45" s="95">
        <f>'Monthly Forecast'!AB44</f>
        <v>4.8747402727505156</v>
      </c>
      <c r="H45" s="95">
        <f>'Monthly Forecast'!AC44</f>
        <v>4.8549770121409086</v>
      </c>
      <c r="I45" s="95">
        <f>'Monthly Forecast'!AD44</f>
        <v>4.8549770121409086</v>
      </c>
      <c r="J45" s="95">
        <f>'Monthly Forecast'!AE44</f>
        <v>4.8549770121409086</v>
      </c>
      <c r="K45" s="95">
        <f>'Monthly Forecast'!AF44</f>
        <v>4.6982867815053471</v>
      </c>
      <c r="L45" s="95">
        <f>'Monthly Forecast'!AG44</f>
        <v>4.6982867815053471</v>
      </c>
      <c r="M45" s="95">
        <f>'Monthly Forecast'!AH44</f>
        <v>4.6982867815053471</v>
      </c>
      <c r="N45" s="95">
        <f>'Monthly Forecast'!AI44</f>
        <v>4.6235786988289602</v>
      </c>
      <c r="O45" s="95">
        <f>'Monthly Forecast'!AJ44</f>
        <v>4.6235786988289602</v>
      </c>
      <c r="P45" s="95"/>
      <c r="Q45" s="95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</row>
    <row r="46" spans="1:91" x14ac:dyDescent="0.2">
      <c r="A46" s="5">
        <v>35</v>
      </c>
      <c r="B46" s="17" t="s">
        <v>218</v>
      </c>
      <c r="D46" s="60">
        <f t="shared" ref="D46:O46" si="15">D45*D44</f>
        <v>381194.3595147396</v>
      </c>
      <c r="E46" s="60">
        <f t="shared" si="15"/>
        <v>229059.85313991216</v>
      </c>
      <c r="F46" s="60">
        <f t="shared" si="15"/>
        <v>145242.00897335249</v>
      </c>
      <c r="G46" s="60">
        <f t="shared" si="15"/>
        <v>126572.28995014804</v>
      </c>
      <c r="H46" s="60">
        <f t="shared" si="15"/>
        <v>132111.49826449307</v>
      </c>
      <c r="I46" s="60">
        <f t="shared" si="15"/>
        <v>127947.19028209931</v>
      </c>
      <c r="J46" s="60">
        <f t="shared" si="15"/>
        <v>199540.72039347424</v>
      </c>
      <c r="K46" s="60">
        <f t="shared" si="15"/>
        <v>400285.48290231329</v>
      </c>
      <c r="L46" s="60">
        <f t="shared" si="15"/>
        <v>634411.40247277613</v>
      </c>
      <c r="M46" s="60">
        <f t="shared" si="15"/>
        <v>778311.65760554944</v>
      </c>
      <c r="N46" s="60">
        <f t="shared" si="15"/>
        <v>790803.21485475672</v>
      </c>
      <c r="O46" s="60">
        <f t="shared" si="15"/>
        <v>586170.7881915702</v>
      </c>
      <c r="P46" s="60">
        <f>SUM(D46:O46)</f>
        <v>4531650.4665451851</v>
      </c>
      <c r="Q46" s="39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</row>
    <row r="47" spans="1:91" x14ac:dyDescent="0.2">
      <c r="A47" s="5">
        <v>36</v>
      </c>
      <c r="D47" s="35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</row>
    <row r="48" spans="1:91" x14ac:dyDescent="0.2">
      <c r="A48" s="5">
        <v>37</v>
      </c>
      <c r="B48" s="69" t="s">
        <v>83</v>
      </c>
      <c r="D48" s="103">
        <f t="shared" ref="D48:O48" si="16">D49*$C$49+D50*$C$50+D51*$C$51</f>
        <v>2699.5540999999998</v>
      </c>
      <c r="E48" s="103">
        <f t="shared" si="16"/>
        <v>2335.4605499999998</v>
      </c>
      <c r="F48" s="103">
        <f t="shared" si="16"/>
        <v>815.1943</v>
      </c>
      <c r="G48" s="103">
        <f t="shared" si="16"/>
        <v>816.43785000000003</v>
      </c>
      <c r="H48" s="103">
        <f t="shared" si="16"/>
        <v>861.74905000000001</v>
      </c>
      <c r="I48" s="103">
        <f t="shared" si="16"/>
        <v>859.02160000000003</v>
      </c>
      <c r="J48" s="103">
        <f t="shared" si="16"/>
        <v>853.14869999999996</v>
      </c>
      <c r="K48" s="103">
        <f t="shared" si="16"/>
        <v>1724.76765</v>
      </c>
      <c r="L48" s="103">
        <f t="shared" si="16"/>
        <v>2884.19515</v>
      </c>
      <c r="M48" s="103">
        <f t="shared" si="16"/>
        <v>3788.0992499999998</v>
      </c>
      <c r="N48" s="103">
        <f t="shared" si="16"/>
        <v>3234.6567999999997</v>
      </c>
      <c r="O48" s="103">
        <f t="shared" si="16"/>
        <v>2773.50875</v>
      </c>
      <c r="P48" s="103">
        <f>SUM(D48:O48)</f>
        <v>23645.793750000001</v>
      </c>
      <c r="Q48" s="103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</row>
    <row r="49" spans="1:91" x14ac:dyDescent="0.2">
      <c r="A49" s="5">
        <v>38</v>
      </c>
      <c r="B49" s="3" t="s">
        <v>84</v>
      </c>
      <c r="C49" s="101">
        <f>'Rate Design'!H14</f>
        <v>400</v>
      </c>
      <c r="D49" s="71">
        <f>'Monthly Forecast'!Y48</f>
        <v>3</v>
      </c>
      <c r="E49" s="71">
        <f>'Monthly Forecast'!Z48</f>
        <v>4</v>
      </c>
      <c r="F49" s="71">
        <f>'Monthly Forecast'!AA48</f>
        <v>2</v>
      </c>
      <c r="G49" s="71">
        <f>'Monthly Forecast'!AB48</f>
        <v>2</v>
      </c>
      <c r="H49" s="71">
        <f>'Monthly Forecast'!AC48</f>
        <v>2</v>
      </c>
      <c r="I49" s="71">
        <f>'Monthly Forecast'!AD48</f>
        <v>2</v>
      </c>
      <c r="J49" s="71">
        <f>'Monthly Forecast'!AE48</f>
        <v>2</v>
      </c>
      <c r="K49" s="71">
        <f>'Monthly Forecast'!AF48</f>
        <v>3</v>
      </c>
      <c r="L49" s="71">
        <f>'Monthly Forecast'!AG48</f>
        <v>3</v>
      </c>
      <c r="M49" s="71">
        <f>'Monthly Forecast'!AH48</f>
        <v>3</v>
      </c>
      <c r="N49" s="71">
        <f>'Monthly Forecast'!AI48</f>
        <v>3</v>
      </c>
      <c r="O49" s="71">
        <f>'Monthly Forecast'!AJ48</f>
        <v>3</v>
      </c>
      <c r="P49" s="7">
        <f>SUM(D49:O49)</f>
        <v>32</v>
      </c>
      <c r="Q49" s="71">
        <f t="shared" ref="Q49:Q51" si="17">ROUND(P49*C49,0)</f>
        <v>12800</v>
      </c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</row>
    <row r="50" spans="1:91" x14ac:dyDescent="0.2">
      <c r="A50" s="5">
        <v>39</v>
      </c>
      <c r="B50" s="3" t="s">
        <v>85</v>
      </c>
      <c r="C50" s="15">
        <f>'Rate Design'!H27</f>
        <v>1.0449999999999999</v>
      </c>
      <c r="D50" s="71">
        <f>'Monthly Forecast'!Y49</f>
        <v>1434.98</v>
      </c>
      <c r="E50" s="71">
        <f>'Monthly Forecast'!Z49</f>
        <v>703.79</v>
      </c>
      <c r="F50" s="71">
        <f>'Monthly Forecast'!AA49</f>
        <v>14.54</v>
      </c>
      <c r="G50" s="71">
        <f>'Monthly Forecast'!AB49</f>
        <v>15.73</v>
      </c>
      <c r="H50" s="71">
        <f>'Monthly Forecast'!AC49</f>
        <v>59.09</v>
      </c>
      <c r="I50" s="71">
        <f>'Monthly Forecast'!AD49</f>
        <v>56.48</v>
      </c>
      <c r="J50" s="71">
        <f>'Monthly Forecast'!AE49</f>
        <v>50.86</v>
      </c>
      <c r="K50" s="71">
        <f>'Monthly Forecast'!AF49</f>
        <v>502.17</v>
      </c>
      <c r="L50" s="71">
        <f>'Monthly Forecast'!AG49</f>
        <v>1611.67</v>
      </c>
      <c r="M50" s="71">
        <f>'Monthly Forecast'!AH49</f>
        <v>2476.65</v>
      </c>
      <c r="N50" s="71">
        <f>'Monthly Forecast'!AI49</f>
        <v>1947.04</v>
      </c>
      <c r="O50" s="71">
        <f>'Monthly Forecast'!AJ49</f>
        <v>1505.75</v>
      </c>
      <c r="P50" s="7">
        <f>SUM(C50:O50)</f>
        <v>10379.795000000002</v>
      </c>
      <c r="Q50" s="71">
        <f t="shared" si="17"/>
        <v>10847</v>
      </c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</row>
    <row r="51" spans="1:91" x14ac:dyDescent="0.2">
      <c r="A51" s="5">
        <v>40</v>
      </c>
      <c r="B51" s="2" t="s">
        <v>81</v>
      </c>
      <c r="C51" s="15">
        <f>'Rate Design'!H28</f>
        <v>0.76400000000000001</v>
      </c>
      <c r="D51" s="71">
        <f>'Monthly Forecast'!Y50</f>
        <v>0</v>
      </c>
      <c r="E51" s="71">
        <f>'Monthly Forecast'!Z50</f>
        <v>0</v>
      </c>
      <c r="F51" s="71">
        <f>'Monthly Forecast'!AA50</f>
        <v>0</v>
      </c>
      <c r="G51" s="71">
        <f>'Monthly Forecast'!AB50</f>
        <v>0</v>
      </c>
      <c r="H51" s="71">
        <f>'Monthly Forecast'!AC50</f>
        <v>0</v>
      </c>
      <c r="I51" s="71">
        <f>'Monthly Forecast'!AD50</f>
        <v>0</v>
      </c>
      <c r="J51" s="71">
        <f>'Monthly Forecast'!AE50</f>
        <v>0</v>
      </c>
      <c r="K51" s="71">
        <f>'Monthly Forecast'!AF50</f>
        <v>0</v>
      </c>
      <c r="L51" s="71">
        <f>'Monthly Forecast'!AG50</f>
        <v>0</v>
      </c>
      <c r="M51" s="71">
        <f>'Monthly Forecast'!AH50</f>
        <v>0</v>
      </c>
      <c r="N51" s="71">
        <f>'Monthly Forecast'!AI50</f>
        <v>0</v>
      </c>
      <c r="O51" s="71">
        <f>'Monthly Forecast'!AJ50</f>
        <v>0</v>
      </c>
      <c r="P51" s="7">
        <f>SUM(C51:O51)</f>
        <v>0.76400000000000001</v>
      </c>
      <c r="Q51" s="71">
        <f t="shared" si="17"/>
        <v>1</v>
      </c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</row>
    <row r="52" spans="1:91" x14ac:dyDescent="0.2">
      <c r="A52" s="5">
        <v>41</v>
      </c>
      <c r="B52" s="33" t="s">
        <v>79</v>
      </c>
      <c r="C52" s="33"/>
      <c r="D52" s="32">
        <f t="shared" ref="D52:P52" si="18">D50+D51</f>
        <v>1434.98</v>
      </c>
      <c r="E52" s="32">
        <f t="shared" si="18"/>
        <v>703.79</v>
      </c>
      <c r="F52" s="32">
        <f t="shared" si="18"/>
        <v>14.54</v>
      </c>
      <c r="G52" s="32">
        <f t="shared" si="18"/>
        <v>15.73</v>
      </c>
      <c r="H52" s="32">
        <f t="shared" si="18"/>
        <v>59.09</v>
      </c>
      <c r="I52" s="32">
        <f t="shared" si="18"/>
        <v>56.48</v>
      </c>
      <c r="J52" s="32">
        <f t="shared" si="18"/>
        <v>50.86</v>
      </c>
      <c r="K52" s="32">
        <f t="shared" si="18"/>
        <v>502.17</v>
      </c>
      <c r="L52" s="32">
        <f t="shared" si="18"/>
        <v>1611.67</v>
      </c>
      <c r="M52" s="32">
        <f t="shared" si="18"/>
        <v>2476.65</v>
      </c>
      <c r="N52" s="32">
        <f t="shared" si="18"/>
        <v>1947.04</v>
      </c>
      <c r="O52" s="32">
        <f t="shared" si="18"/>
        <v>1505.75</v>
      </c>
      <c r="P52" s="32">
        <f t="shared" si="18"/>
        <v>10380.559000000001</v>
      </c>
      <c r="Q52" s="32">
        <f>SUM(Q49:Q51)</f>
        <v>23648</v>
      </c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</row>
    <row r="53" spans="1:91" x14ac:dyDescent="0.2">
      <c r="A53" s="5">
        <v>42</v>
      </c>
      <c r="B53" s="17" t="s">
        <v>226</v>
      </c>
      <c r="D53" s="95">
        <f>'Monthly Forecast'!Y52</f>
        <v>3.36752485693808</v>
      </c>
      <c r="E53" s="95">
        <f>'Monthly Forecast'!Z52</f>
        <v>3.5929507183845497</v>
      </c>
      <c r="F53" s="95">
        <f>'Monthly Forecast'!AA52</f>
        <v>3.5929507183845497</v>
      </c>
      <c r="G53" s="95">
        <f>'Monthly Forecast'!AB52</f>
        <v>3.5929507183845497</v>
      </c>
      <c r="H53" s="95">
        <f>'Monthly Forecast'!AC52</f>
        <v>3.5731874577749427</v>
      </c>
      <c r="I53" s="95">
        <f>'Monthly Forecast'!AD52</f>
        <v>3.5731874577749427</v>
      </c>
      <c r="J53" s="95">
        <f>'Monthly Forecast'!AE52</f>
        <v>3.5731874577749427</v>
      </c>
      <c r="K53" s="95">
        <f>'Monthly Forecast'!AF52</f>
        <v>3.4182326490369213</v>
      </c>
      <c r="L53" s="95">
        <f>'Monthly Forecast'!AG52</f>
        <v>3.4182326490369213</v>
      </c>
      <c r="M53" s="95">
        <f>'Monthly Forecast'!AH52</f>
        <v>3.4182326490369213</v>
      </c>
      <c r="N53" s="95">
        <f>'Monthly Forecast'!AI52</f>
        <v>3.3435245663605344</v>
      </c>
      <c r="O53" s="95">
        <f>'Monthly Forecast'!AJ52</f>
        <v>3.3435245663605344</v>
      </c>
      <c r="P53" s="95"/>
      <c r="Q53" s="95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</row>
    <row r="54" spans="1:91" x14ac:dyDescent="0.2">
      <c r="A54" s="5">
        <v>43</v>
      </c>
      <c r="B54" s="17" t="s">
        <v>218</v>
      </c>
      <c r="D54" s="60">
        <f t="shared" ref="D54:O54" si="19">D53*D52</f>
        <v>4832.3308192090062</v>
      </c>
      <c r="E54" s="60">
        <f t="shared" si="19"/>
        <v>2528.682786091862</v>
      </c>
      <c r="F54" s="60">
        <f t="shared" si="19"/>
        <v>52.241503445311352</v>
      </c>
      <c r="G54" s="60">
        <f t="shared" si="19"/>
        <v>56.51711480018897</v>
      </c>
      <c r="H54" s="60">
        <f t="shared" si="19"/>
        <v>211.13964687992137</v>
      </c>
      <c r="I54" s="60">
        <f t="shared" si="19"/>
        <v>201.81362761512875</v>
      </c>
      <c r="J54" s="60">
        <f t="shared" si="19"/>
        <v>181.73231410243358</v>
      </c>
      <c r="K54" s="60">
        <f t="shared" si="19"/>
        <v>1716.5338893668709</v>
      </c>
      <c r="L54" s="60">
        <f t="shared" si="19"/>
        <v>5509.0630134733356</v>
      </c>
      <c r="M54" s="60">
        <f t="shared" si="19"/>
        <v>8465.7658902372914</v>
      </c>
      <c r="N54" s="60">
        <f t="shared" si="19"/>
        <v>6509.9760716866149</v>
      </c>
      <c r="O54" s="60">
        <f t="shared" si="19"/>
        <v>5034.5121157973745</v>
      </c>
      <c r="P54" s="60">
        <f>SUM(D54:O54)</f>
        <v>35300.308792705342</v>
      </c>
      <c r="Q54" s="39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</row>
    <row r="55" spans="1:91" x14ac:dyDescent="0.2">
      <c r="A55" s="5">
        <v>44</v>
      </c>
      <c r="D55" s="35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</row>
    <row r="56" spans="1:91" x14ac:dyDescent="0.2">
      <c r="A56" s="5">
        <v>45</v>
      </c>
      <c r="B56" s="69" t="s">
        <v>86</v>
      </c>
      <c r="D56" s="103">
        <f t="shared" ref="D56:O56" si="20">D57*$C$57+D58*$C$58+D59*$C$59</f>
        <v>21326.444599999999</v>
      </c>
      <c r="E56" s="103">
        <f t="shared" si="20"/>
        <v>29265.769650000002</v>
      </c>
      <c r="F56" s="103">
        <f t="shared" si="20"/>
        <v>20875.260749999998</v>
      </c>
      <c r="G56" s="103">
        <f t="shared" si="20"/>
        <v>52722.816500000001</v>
      </c>
      <c r="H56" s="103">
        <f t="shared" si="20"/>
        <v>32272.161249999997</v>
      </c>
      <c r="I56" s="103">
        <f t="shared" si="20"/>
        <v>36773.568549999989</v>
      </c>
      <c r="J56" s="103">
        <f t="shared" si="20"/>
        <v>18073.176599999999</v>
      </c>
      <c r="K56" s="103">
        <f t="shared" si="20"/>
        <v>30404.275999999998</v>
      </c>
      <c r="L56" s="103">
        <f t="shared" si="20"/>
        <v>55247.676590000003</v>
      </c>
      <c r="M56" s="103">
        <f t="shared" si="20"/>
        <v>66778.183949999991</v>
      </c>
      <c r="N56" s="103">
        <f t="shared" si="20"/>
        <v>50425.017899999999</v>
      </c>
      <c r="O56" s="103">
        <f t="shared" si="20"/>
        <v>36436.506549999998</v>
      </c>
      <c r="P56" s="103">
        <f>SUM(D56:O56)</f>
        <v>450600.85888999992</v>
      </c>
      <c r="Q56" s="103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</row>
    <row r="57" spans="1:91" x14ac:dyDescent="0.2">
      <c r="A57" s="5">
        <v>46</v>
      </c>
      <c r="B57" s="3" t="s">
        <v>84</v>
      </c>
      <c r="C57" s="101">
        <f>C49</f>
        <v>400</v>
      </c>
      <c r="D57" s="71">
        <f>'Monthly Forecast'!Y56</f>
        <v>8</v>
      </c>
      <c r="E57" s="71">
        <f>'Monthly Forecast'!Z56</f>
        <v>10</v>
      </c>
      <c r="F57" s="71">
        <f>'Monthly Forecast'!AA56</f>
        <v>9</v>
      </c>
      <c r="G57" s="71">
        <f>'Monthly Forecast'!AB56</f>
        <v>9</v>
      </c>
      <c r="H57" s="71">
        <f>'Monthly Forecast'!AC56</f>
        <v>8</v>
      </c>
      <c r="I57" s="71">
        <f>'Monthly Forecast'!AD56</f>
        <v>8</v>
      </c>
      <c r="J57" s="71">
        <f>'Monthly Forecast'!AE56</f>
        <v>7</v>
      </c>
      <c r="K57" s="71">
        <f>'Monthly Forecast'!AF56</f>
        <v>8</v>
      </c>
      <c r="L57" s="71">
        <f>'Monthly Forecast'!AG56</f>
        <v>8</v>
      </c>
      <c r="M57" s="71">
        <f>'Monthly Forecast'!AH56</f>
        <v>9</v>
      </c>
      <c r="N57" s="71">
        <f>'Monthly Forecast'!AI56</f>
        <v>16</v>
      </c>
      <c r="O57" s="71">
        <f>'Monthly Forecast'!AJ56</f>
        <v>10</v>
      </c>
      <c r="P57" s="71">
        <f>ROUND((SUM(D57:O57)),0)</f>
        <v>110</v>
      </c>
      <c r="Q57" s="71">
        <f t="shared" ref="Q57:Q59" si="21">ROUND(P57*C57,0)</f>
        <v>44000</v>
      </c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</row>
    <row r="58" spans="1:91" x14ac:dyDescent="0.2">
      <c r="A58" s="5">
        <v>47</v>
      </c>
      <c r="B58" s="3" t="s">
        <v>85</v>
      </c>
      <c r="C58" s="15">
        <f>C50</f>
        <v>1.0449999999999999</v>
      </c>
      <c r="D58" s="71">
        <f>'Monthly Forecast'!Y57</f>
        <v>17345.88</v>
      </c>
      <c r="E58" s="71">
        <f>'Monthly Forecast'!Z57</f>
        <v>24177.770000000004</v>
      </c>
      <c r="F58" s="71">
        <f>'Monthly Forecast'!AA57</f>
        <v>16531.349999999999</v>
      </c>
      <c r="G58" s="71">
        <f>'Monthly Forecast'!AB57</f>
        <v>41347.300000000003</v>
      </c>
      <c r="H58" s="71">
        <f>'Monthly Forecast'!AC57</f>
        <v>27820.25</v>
      </c>
      <c r="I58" s="71">
        <f>'Monthly Forecast'!AD57</f>
        <v>28622.19</v>
      </c>
      <c r="J58" s="71">
        <f>'Monthly Forecast'!AE57</f>
        <v>14615.48</v>
      </c>
      <c r="K58" s="71">
        <f>'Monthly Forecast'!AF57</f>
        <v>26032.799999999999</v>
      </c>
      <c r="L58" s="71">
        <f>'Monthly Forecast'!AG57</f>
        <v>40530.910000000003</v>
      </c>
      <c r="M58" s="71">
        <f>'Monthly Forecast'!AH57</f>
        <v>50530.71</v>
      </c>
      <c r="N58" s="71">
        <f>'Monthly Forecast'!AI57</f>
        <v>35051.42</v>
      </c>
      <c r="O58" s="71">
        <f>'Monthly Forecast'!AJ57</f>
        <v>24184.190000000002</v>
      </c>
      <c r="P58" s="7">
        <f>SUM(C58:O58)</f>
        <v>346791.29499999998</v>
      </c>
      <c r="Q58" s="71">
        <f t="shared" si="21"/>
        <v>362397</v>
      </c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</row>
    <row r="59" spans="1:91" x14ac:dyDescent="0.2">
      <c r="A59" s="5">
        <v>48</v>
      </c>
      <c r="B59" s="2" t="s">
        <v>81</v>
      </c>
      <c r="C59" s="15">
        <f>C51</f>
        <v>0.76400000000000001</v>
      </c>
      <c r="D59" s="71">
        <f>'Monthly Forecast'!Y58</f>
        <v>0</v>
      </c>
      <c r="E59" s="71">
        <f>'Monthly Forecast'!Z58</f>
        <v>0</v>
      </c>
      <c r="F59" s="71">
        <f>'Monthly Forecast'!AA58</f>
        <v>0</v>
      </c>
      <c r="G59" s="71">
        <f>'Monthly Forecast'!AB58</f>
        <v>7742</v>
      </c>
      <c r="H59" s="71">
        <f>'Monthly Forecast'!AC58</f>
        <v>0</v>
      </c>
      <c r="I59" s="71">
        <f>'Monthly Forecast'!AD58</f>
        <v>4795</v>
      </c>
      <c r="J59" s="71">
        <f>'Monthly Forecast'!AE58</f>
        <v>0</v>
      </c>
      <c r="K59" s="71">
        <f>'Monthly Forecast'!AF58</f>
        <v>0</v>
      </c>
      <c r="L59" s="71">
        <f>'Monthly Forecast'!AG58</f>
        <v>12687.01</v>
      </c>
      <c r="M59" s="71">
        <f>'Monthly Forecast'!AH58</f>
        <v>13578</v>
      </c>
      <c r="N59" s="71">
        <f>'Monthly Forecast'!AI58</f>
        <v>9681</v>
      </c>
      <c r="O59" s="71">
        <f>'Monthly Forecast'!AJ58</f>
        <v>9377</v>
      </c>
      <c r="P59" s="7">
        <f>SUM(C59:O59)</f>
        <v>57860.773999999998</v>
      </c>
      <c r="Q59" s="71">
        <f t="shared" si="21"/>
        <v>44206</v>
      </c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</row>
    <row r="60" spans="1:91" x14ac:dyDescent="0.2">
      <c r="A60" s="5">
        <v>49</v>
      </c>
      <c r="B60" s="33" t="s">
        <v>79</v>
      </c>
      <c r="C60" s="33"/>
      <c r="D60" s="32">
        <f t="shared" ref="D60:P60" si="22">D58+D59</f>
        <v>17345.88</v>
      </c>
      <c r="E60" s="32">
        <f t="shared" si="22"/>
        <v>24177.770000000004</v>
      </c>
      <c r="F60" s="32">
        <f t="shared" si="22"/>
        <v>16531.349999999999</v>
      </c>
      <c r="G60" s="32">
        <f t="shared" si="22"/>
        <v>49089.3</v>
      </c>
      <c r="H60" s="32">
        <f t="shared" si="22"/>
        <v>27820.25</v>
      </c>
      <c r="I60" s="32">
        <f t="shared" si="22"/>
        <v>33417.19</v>
      </c>
      <c r="J60" s="32">
        <f t="shared" si="22"/>
        <v>14615.48</v>
      </c>
      <c r="K60" s="32">
        <f t="shared" si="22"/>
        <v>26032.799999999999</v>
      </c>
      <c r="L60" s="32">
        <f t="shared" si="22"/>
        <v>53217.920000000006</v>
      </c>
      <c r="M60" s="32">
        <f t="shared" si="22"/>
        <v>64108.71</v>
      </c>
      <c r="N60" s="32">
        <f t="shared" si="22"/>
        <v>44732.42</v>
      </c>
      <c r="O60" s="32">
        <f t="shared" si="22"/>
        <v>33561.19</v>
      </c>
      <c r="P60" s="32">
        <f t="shared" si="22"/>
        <v>404652.06899999996</v>
      </c>
      <c r="Q60" s="32">
        <f>SUM(Q57:Q59)</f>
        <v>450603</v>
      </c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</row>
    <row r="61" spans="1:91" x14ac:dyDescent="0.2">
      <c r="A61" s="5">
        <v>50</v>
      </c>
      <c r="B61" s="17" t="s">
        <v>226</v>
      </c>
      <c r="D61" s="95">
        <f>'Monthly Forecast'!Y60</f>
        <v>3.36752485693808</v>
      </c>
      <c r="E61" s="95">
        <f>'Monthly Forecast'!Z60</f>
        <v>3.5929507183845497</v>
      </c>
      <c r="F61" s="95">
        <f>'Monthly Forecast'!AA60</f>
        <v>3.5929507183845497</v>
      </c>
      <c r="G61" s="95">
        <f>'Monthly Forecast'!AB60</f>
        <v>3.5929507183845497</v>
      </c>
      <c r="H61" s="95">
        <f>'Monthly Forecast'!AC60</f>
        <v>3.5731874577749427</v>
      </c>
      <c r="I61" s="95">
        <f>'Monthly Forecast'!AD60</f>
        <v>3.5731874577749427</v>
      </c>
      <c r="J61" s="95">
        <f>'Monthly Forecast'!AE60</f>
        <v>3.5731874577749427</v>
      </c>
      <c r="K61" s="95">
        <f>'Monthly Forecast'!AF60</f>
        <v>3.4182326490369213</v>
      </c>
      <c r="L61" s="95">
        <f>'Monthly Forecast'!AG60</f>
        <v>3.4182326490369213</v>
      </c>
      <c r="M61" s="95">
        <f>'Monthly Forecast'!AH60</f>
        <v>3.4182326490369213</v>
      </c>
      <c r="N61" s="95">
        <f>'Monthly Forecast'!AI60</f>
        <v>3.3435245663605344</v>
      </c>
      <c r="O61" s="95">
        <f>'Monthly Forecast'!AJ60</f>
        <v>3.3435245663605344</v>
      </c>
      <c r="P61" s="95"/>
      <c r="Q61" s="95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</row>
    <row r="62" spans="1:91" x14ac:dyDescent="0.2">
      <c r="A62" s="5">
        <v>51</v>
      </c>
      <c r="B62" s="17" t="s">
        <v>218</v>
      </c>
      <c r="D62" s="60">
        <f t="shared" ref="D62:O62" si="23">D61*D60</f>
        <v>58412.682065465109</v>
      </c>
      <c r="E62" s="60">
        <f t="shared" si="23"/>
        <v>86869.536090436435</v>
      </c>
      <c r="F62" s="60">
        <f t="shared" si="23"/>
        <v>59396.325858366421</v>
      </c>
      <c r="G62" s="60">
        <f t="shared" si="23"/>
        <v>176375.43569999468</v>
      </c>
      <c r="H62" s="60">
        <f t="shared" si="23"/>
        <v>99406.968372163348</v>
      </c>
      <c r="I62" s="60">
        <f t="shared" si="23"/>
        <v>119405.88418208224</v>
      </c>
      <c r="J62" s="60">
        <f t="shared" si="23"/>
        <v>52223.849825360521</v>
      </c>
      <c r="K62" s="60">
        <f t="shared" si="23"/>
        <v>88986.166905848368</v>
      </c>
      <c r="L62" s="60">
        <f t="shared" si="23"/>
        <v>181911.23165783499</v>
      </c>
      <c r="M62" s="60">
        <f t="shared" si="23"/>
        <v>219138.48560963976</v>
      </c>
      <c r="N62" s="60">
        <f t="shared" si="23"/>
        <v>149563.94518275728</v>
      </c>
      <c r="O62" s="60">
        <f t="shared" si="23"/>
        <v>112212.66324129351</v>
      </c>
      <c r="P62" s="4">
        <f>SUM(C62:O62)</f>
        <v>1403903.1746912424</v>
      </c>
      <c r="Q62" s="39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</row>
    <row r="63" spans="1:91" x14ac:dyDescent="0.2">
      <c r="A63" s="5">
        <v>52</v>
      </c>
      <c r="B63" s="17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4"/>
      <c r="Q63" s="39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</row>
    <row r="64" spans="1:91" x14ac:dyDescent="0.2">
      <c r="A64" s="5">
        <v>53</v>
      </c>
      <c r="B64" s="69" t="s">
        <v>88</v>
      </c>
      <c r="D64" s="103">
        <f>D65*$C$65+D69*$C$69+D70*$C$70+D71*$C$71+D66+D67+D68</f>
        <v>677934.00588404702</v>
      </c>
      <c r="E64" s="103">
        <f t="shared" ref="E64:O64" si="24">E65*$C$65+E69*$C$69+E70*$C$70+E71*$C$71+E66+E67+E68</f>
        <v>686699.30362793291</v>
      </c>
      <c r="F64" s="103">
        <f t="shared" si="24"/>
        <v>669017.073828778</v>
      </c>
      <c r="G64" s="103">
        <f t="shared" si="24"/>
        <v>597388.48623542255</v>
      </c>
      <c r="H64" s="103">
        <f t="shared" si="24"/>
        <v>652030.92563637358</v>
      </c>
      <c r="I64" s="103">
        <f t="shared" si="24"/>
        <v>652498.24280005321</v>
      </c>
      <c r="J64" s="103">
        <f t="shared" si="24"/>
        <v>694110.81675899262</v>
      </c>
      <c r="K64" s="103">
        <f t="shared" si="24"/>
        <v>794740.85436111351</v>
      </c>
      <c r="L64" s="103">
        <f t="shared" si="24"/>
        <v>952394.98434338998</v>
      </c>
      <c r="M64" s="103">
        <f t="shared" si="24"/>
        <v>951379.4716937521</v>
      </c>
      <c r="N64" s="103">
        <f t="shared" si="24"/>
        <v>824944.80362019478</v>
      </c>
      <c r="O64" s="103">
        <f t="shared" si="24"/>
        <v>872649.7994045713</v>
      </c>
      <c r="P64" s="103">
        <f>SUM(D64:O64)</f>
        <v>9025788.7681946214</v>
      </c>
      <c r="Q64" s="103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</row>
    <row r="65" spans="1:91" x14ac:dyDescent="0.2">
      <c r="A65" s="5">
        <v>54</v>
      </c>
      <c r="B65" s="2" t="s">
        <v>87</v>
      </c>
      <c r="C65" s="101">
        <f>'Rate Design'!H15</f>
        <v>400</v>
      </c>
      <c r="D65" s="71">
        <f>'Monthly Forecast'!Y64</f>
        <v>125</v>
      </c>
      <c r="E65" s="71">
        <f>'Monthly Forecast'!Z64</f>
        <v>125</v>
      </c>
      <c r="F65" s="71">
        <f>'Monthly Forecast'!AA64</f>
        <v>125</v>
      </c>
      <c r="G65" s="71">
        <f>'Monthly Forecast'!AB64</f>
        <v>124</v>
      </c>
      <c r="H65" s="71">
        <f>'Monthly Forecast'!AC64</f>
        <v>124</v>
      </c>
      <c r="I65" s="71">
        <f>'Monthly Forecast'!AD64</f>
        <v>124</v>
      </c>
      <c r="J65" s="71">
        <f>'Monthly Forecast'!AE64</f>
        <v>124</v>
      </c>
      <c r="K65" s="71">
        <f>'Monthly Forecast'!AF64</f>
        <v>125</v>
      </c>
      <c r="L65" s="71">
        <f>'Monthly Forecast'!AG64</f>
        <v>125</v>
      </c>
      <c r="M65" s="71">
        <f>'Monthly Forecast'!AH64</f>
        <v>125</v>
      </c>
      <c r="N65" s="71">
        <f>'Monthly Forecast'!AI64</f>
        <v>125</v>
      </c>
      <c r="O65" s="71">
        <f>'Monthly Forecast'!AJ64</f>
        <v>125</v>
      </c>
      <c r="P65" s="7">
        <f>SUM(D65:O65)</f>
        <v>1496</v>
      </c>
      <c r="Q65" s="71">
        <f>ROUND(P65*C65,0)</f>
        <v>598400</v>
      </c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</row>
    <row r="66" spans="1:91" x14ac:dyDescent="0.2">
      <c r="A66" s="5">
        <v>55</v>
      </c>
      <c r="B66" s="3" t="s">
        <v>1</v>
      </c>
      <c r="D66" s="71">
        <f>'Monthly Forecast'!Y65</f>
        <v>6150</v>
      </c>
      <c r="E66" s="71">
        <f>'Monthly Forecast'!Z65</f>
        <v>6150</v>
      </c>
      <c r="F66" s="71">
        <f>'Monthly Forecast'!AA65</f>
        <v>6150</v>
      </c>
      <c r="G66" s="71">
        <f>'Monthly Forecast'!AB65</f>
        <v>6100</v>
      </c>
      <c r="H66" s="71">
        <f>'Monthly Forecast'!AC65</f>
        <v>6100</v>
      </c>
      <c r="I66" s="71">
        <f>'Monthly Forecast'!AD65</f>
        <v>6100</v>
      </c>
      <c r="J66" s="71">
        <f>'Monthly Forecast'!AE65</f>
        <v>6100</v>
      </c>
      <c r="K66" s="71">
        <f>'Monthly Forecast'!AF65</f>
        <v>6150</v>
      </c>
      <c r="L66" s="71">
        <f>'Monthly Forecast'!AG65</f>
        <v>6150</v>
      </c>
      <c r="M66" s="71">
        <f>'Monthly Forecast'!AH65</f>
        <v>6150</v>
      </c>
      <c r="N66" s="71">
        <f>'Monthly Forecast'!AI65</f>
        <v>6150</v>
      </c>
      <c r="O66" s="71">
        <f>'Monthly Forecast'!AJ65</f>
        <v>6150</v>
      </c>
      <c r="P66" s="4">
        <f t="shared" ref="P66:P71" si="25">SUM(D66:O66)</f>
        <v>73600</v>
      </c>
      <c r="Q66" s="71">
        <f>P66</f>
        <v>73600</v>
      </c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</row>
    <row r="67" spans="1:91" x14ac:dyDescent="0.2">
      <c r="A67" s="5">
        <v>56</v>
      </c>
      <c r="B67" s="3" t="s">
        <v>62</v>
      </c>
      <c r="D67" s="71">
        <f>'Monthly Forecast'!Y66</f>
        <v>6500</v>
      </c>
      <c r="E67" s="71">
        <f>'Monthly Forecast'!Z66</f>
        <v>6500</v>
      </c>
      <c r="F67" s="71">
        <f>'Monthly Forecast'!AA66</f>
        <v>6450</v>
      </c>
      <c r="G67" s="71">
        <f>'Monthly Forecast'!AB66</f>
        <v>6325</v>
      </c>
      <c r="H67" s="71">
        <f>'Monthly Forecast'!AC66</f>
        <v>6350</v>
      </c>
      <c r="I67" s="71">
        <f>'Monthly Forecast'!AD66</f>
        <v>6350</v>
      </c>
      <c r="J67" s="71">
        <f>'Monthly Forecast'!AE66</f>
        <v>6400</v>
      </c>
      <c r="K67" s="71">
        <f>'Monthly Forecast'!AF66</f>
        <v>6475</v>
      </c>
      <c r="L67" s="71">
        <f>'Monthly Forecast'!AG66</f>
        <v>6475</v>
      </c>
      <c r="M67" s="71">
        <f>'Monthly Forecast'!AH66</f>
        <v>6475</v>
      </c>
      <c r="N67" s="71">
        <f>'Monthly Forecast'!AI66</f>
        <v>6475</v>
      </c>
      <c r="O67" s="71">
        <f>'Monthly Forecast'!AJ66</f>
        <v>6500</v>
      </c>
      <c r="P67" s="4">
        <f t="shared" si="25"/>
        <v>77275</v>
      </c>
      <c r="Q67" s="71">
        <f>P67</f>
        <v>77275</v>
      </c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</row>
    <row r="68" spans="1:91" x14ac:dyDescent="0.2">
      <c r="A68" s="5">
        <v>57</v>
      </c>
      <c r="B68" s="3" t="s">
        <v>2</v>
      </c>
      <c r="D68" s="71">
        <f>'Monthly Forecast'!Y67</f>
        <v>87.9</v>
      </c>
      <c r="E68" s="71">
        <f>'Monthly Forecast'!Z67</f>
        <v>174.7</v>
      </c>
      <c r="F68" s="71">
        <f>'Monthly Forecast'!AA67</f>
        <v>100.1</v>
      </c>
      <c r="G68" s="71">
        <f>'Monthly Forecast'!AB67</f>
        <v>53.1</v>
      </c>
      <c r="H68" s="71">
        <f>'Monthly Forecast'!AC67</f>
        <v>155.19999999999999</v>
      </c>
      <c r="I68" s="71">
        <f>'Monthly Forecast'!AD67</f>
        <v>121.2</v>
      </c>
      <c r="J68" s="71">
        <f>'Monthly Forecast'!AE67</f>
        <v>68.399999999999991</v>
      </c>
      <c r="K68" s="71">
        <f>'Monthly Forecast'!AF67</f>
        <v>73.700000000000017</v>
      </c>
      <c r="L68" s="71">
        <f>'Monthly Forecast'!AG67</f>
        <v>801.3</v>
      </c>
      <c r="M68" s="71">
        <f>'Monthly Forecast'!AH67</f>
        <v>203.00000000000003</v>
      </c>
      <c r="N68" s="71">
        <f>'Monthly Forecast'!AI67</f>
        <v>336.8</v>
      </c>
      <c r="O68" s="71">
        <f>'Monthly Forecast'!AJ67</f>
        <v>356.20000000000005</v>
      </c>
      <c r="P68" s="4">
        <f t="shared" si="25"/>
        <v>2531.6000000000004</v>
      </c>
      <c r="Q68" s="71">
        <f>P68</f>
        <v>2531.6000000000004</v>
      </c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</row>
    <row r="69" spans="1:91" x14ac:dyDescent="0.2">
      <c r="A69" s="5">
        <v>58</v>
      </c>
      <c r="B69" s="2" t="s">
        <v>32</v>
      </c>
      <c r="C69" s="15">
        <f>'Rate Design'!H23</f>
        <v>1.825</v>
      </c>
      <c r="D69" s="71">
        <f>'Monthly Forecast'!Y68</f>
        <v>36160</v>
      </c>
      <c r="E69" s="71">
        <f>'Monthly Forecast'!Z68</f>
        <v>35373</v>
      </c>
      <c r="F69" s="71">
        <f>'Monthly Forecast'!AA68</f>
        <v>34587</v>
      </c>
      <c r="G69" s="71">
        <f>'Monthly Forecast'!AB68</f>
        <v>34058</v>
      </c>
      <c r="H69" s="71">
        <f>'Monthly Forecast'!AC68</f>
        <v>34020</v>
      </c>
      <c r="I69" s="71">
        <f>'Monthly Forecast'!AD68</f>
        <v>34597</v>
      </c>
      <c r="J69" s="71">
        <f>'Monthly Forecast'!AE68</f>
        <v>35639</v>
      </c>
      <c r="K69" s="71">
        <f>'Monthly Forecast'!AF68</f>
        <v>36965</v>
      </c>
      <c r="L69" s="71">
        <f>'Monthly Forecast'!AG68</f>
        <v>37500</v>
      </c>
      <c r="M69" s="71">
        <f>'Monthly Forecast'!AH68</f>
        <v>37314</v>
      </c>
      <c r="N69" s="71">
        <f>'Monthly Forecast'!AI68</f>
        <v>37440</v>
      </c>
      <c r="O69" s="71">
        <f>'Monthly Forecast'!AJ68</f>
        <v>37200</v>
      </c>
      <c r="P69" s="7">
        <f t="shared" si="25"/>
        <v>430853</v>
      </c>
      <c r="Q69" s="71">
        <f t="shared" ref="Q69:Q71" si="26">ROUND(P69*C69,0)</f>
        <v>786307</v>
      </c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</row>
    <row r="70" spans="1:91" x14ac:dyDescent="0.2">
      <c r="A70" s="5">
        <v>59</v>
      </c>
      <c r="B70" s="2" t="s">
        <v>33</v>
      </c>
      <c r="C70" s="15">
        <f>'Rate Design'!H24</f>
        <v>1.1850000000000001</v>
      </c>
      <c r="D70" s="71">
        <f>'Monthly Forecast'!Y69</f>
        <v>409696.70966173004</v>
      </c>
      <c r="E70" s="71">
        <f>'Monthly Forecast'!Z69</f>
        <v>411957.8846158387</v>
      </c>
      <c r="F70" s="71">
        <f>'Monthly Forecast'!AA69</f>
        <v>388789.40476348629</v>
      </c>
      <c r="G70" s="71">
        <f>'Monthly Forecast'!AB69</f>
        <v>355836.45679195208</v>
      </c>
      <c r="H70" s="71">
        <f>'Monthly Forecast'!AC69</f>
        <v>384301.70747560309</v>
      </c>
      <c r="I70" s="71">
        <f>'Monthly Forecast'!AD69</f>
        <v>391368.24314657244</v>
      </c>
      <c r="J70" s="71">
        <f>'Monthly Forecast'!AE69</f>
        <v>425415.89438444393</v>
      </c>
      <c r="K70" s="71">
        <f>'Monthly Forecast'!AF69</f>
        <v>489287.42285561224</v>
      </c>
      <c r="L70" s="71">
        <f>'Monthly Forecast'!AG69</f>
        <v>582420.15965042147</v>
      </c>
      <c r="M70" s="71">
        <f>'Monthly Forecast'!AH69</f>
        <v>583961.23380762443</v>
      </c>
      <c r="N70" s="71">
        <f>'Monthly Forecast'!AI69</f>
        <v>498167.27621914505</v>
      </c>
      <c r="O70" s="71">
        <f>'Monthly Forecast'!AJ69</f>
        <v>519504.07397711946</v>
      </c>
      <c r="P70" s="7">
        <f t="shared" si="25"/>
        <v>5440706.4673495488</v>
      </c>
      <c r="Q70" s="71">
        <f t="shared" si="26"/>
        <v>6447237</v>
      </c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</row>
    <row r="71" spans="1:91" x14ac:dyDescent="0.2">
      <c r="A71" s="5">
        <v>60</v>
      </c>
      <c r="B71" s="2" t="s">
        <v>34</v>
      </c>
      <c r="C71" s="15">
        <f>'Rate Design'!H25</f>
        <v>0.9</v>
      </c>
      <c r="D71" s="71">
        <f>'Monthly Forecast'!Y70</f>
        <v>70792.783260996584</v>
      </c>
      <c r="E71" s="71">
        <f>'Monthly Forecast'!Z70</f>
        <v>79054.205953515673</v>
      </c>
      <c r="F71" s="71">
        <f>'Monthly Forecast'!AA70</f>
        <v>91644.72687116309</v>
      </c>
      <c r="G71" s="71">
        <f>'Monthly Forecast'!AB70</f>
        <v>57209.261041065962</v>
      </c>
      <c r="H71" s="71">
        <f>'Monthly Forecast'!AC70</f>
        <v>80379.669197537602</v>
      </c>
      <c r="I71" s="71">
        <f>'Monthly Forecast'!AD70</f>
        <v>70462.388523738744</v>
      </c>
      <c r="J71" s="71">
        <f>'Monthly Forecast'!AE70</f>
        <v>69759.34101491842</v>
      </c>
      <c r="K71" s="71">
        <f>'Monthly Forecast'!AF70</f>
        <v>94194.925863570068</v>
      </c>
      <c r="L71" s="71">
        <f>'Monthly Forecast'!AG70</f>
        <v>144848.1057307116</v>
      </c>
      <c r="M71" s="71">
        <f>'Monthly Forecast'!AH70</f>
        <v>142732.62181301892</v>
      </c>
      <c r="N71" s="71">
        <f>'Monthly Forecast'!AI70</f>
        <v>114807.53477834206</v>
      </c>
      <c r="O71" s="71">
        <f>'Monthly Forecast'!AJ70</f>
        <v>140156.96860187192</v>
      </c>
      <c r="P71" s="7">
        <f t="shared" si="25"/>
        <v>1156042.5326504507</v>
      </c>
      <c r="Q71" s="71">
        <f t="shared" si="26"/>
        <v>1040438</v>
      </c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</row>
    <row r="72" spans="1:91" x14ac:dyDescent="0.2">
      <c r="A72" s="5">
        <v>61</v>
      </c>
      <c r="B72" s="33" t="s">
        <v>79</v>
      </c>
      <c r="C72" s="33"/>
      <c r="D72" s="32">
        <f t="shared" ref="D72:O72" si="27">D69+D70+D71</f>
        <v>516649.49292272661</v>
      </c>
      <c r="E72" s="32">
        <f t="shared" si="27"/>
        <v>526385.09056935436</v>
      </c>
      <c r="F72" s="32">
        <f t="shared" si="27"/>
        <v>515021.13163464935</v>
      </c>
      <c r="G72" s="32">
        <f t="shared" si="27"/>
        <v>447103.71783301805</v>
      </c>
      <c r="H72" s="32">
        <f t="shared" si="27"/>
        <v>498701.37667314068</v>
      </c>
      <c r="I72" s="32">
        <f t="shared" si="27"/>
        <v>496427.63167031121</v>
      </c>
      <c r="J72" s="32">
        <f t="shared" si="27"/>
        <v>530814.2353993624</v>
      </c>
      <c r="K72" s="32">
        <f t="shared" si="27"/>
        <v>620447.34871918231</v>
      </c>
      <c r="L72" s="32">
        <f t="shared" si="27"/>
        <v>764768.26538113307</v>
      </c>
      <c r="M72" s="32">
        <f t="shared" si="27"/>
        <v>764007.85562064336</v>
      </c>
      <c r="N72" s="32">
        <f t="shared" si="27"/>
        <v>650414.81099748705</v>
      </c>
      <c r="O72" s="32">
        <f t="shared" si="27"/>
        <v>696861.0425789915</v>
      </c>
      <c r="P72" s="92">
        <f>SUM(C72:O72)</f>
        <v>7027602</v>
      </c>
      <c r="Q72" s="32">
        <f>SUM(Q65:Q71)</f>
        <v>9025788.5999999996</v>
      </c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</row>
    <row r="73" spans="1:91" x14ac:dyDescent="0.2">
      <c r="A73" s="5">
        <v>62</v>
      </c>
      <c r="Q73" s="3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</row>
    <row r="74" spans="1:91" x14ac:dyDescent="0.2">
      <c r="A74" s="5">
        <v>63</v>
      </c>
      <c r="B74" s="172" t="s">
        <v>647</v>
      </c>
      <c r="C74" s="2"/>
      <c r="D74" s="548">
        <f>D75*$C$75+D76*$C$76+D77*$C$77</f>
        <v>9676.4249999999993</v>
      </c>
      <c r="E74" s="548">
        <f t="shared" ref="E74:O74" si="28">E75*$C$75+E76*$C$76+E77*$C$77</f>
        <v>10826.384999999998</v>
      </c>
      <c r="F74" s="548">
        <f t="shared" si="28"/>
        <v>11063.369999999999</v>
      </c>
      <c r="G74" s="548">
        <f t="shared" si="28"/>
        <v>5790.869999999999</v>
      </c>
      <c r="H74" s="548">
        <f t="shared" si="28"/>
        <v>9170.2649999999994</v>
      </c>
      <c r="I74" s="548">
        <f t="shared" si="28"/>
        <v>8351.64</v>
      </c>
      <c r="J74" s="548">
        <f t="shared" si="28"/>
        <v>8324.9999999999982</v>
      </c>
      <c r="K74" s="548">
        <f t="shared" si="28"/>
        <v>9030.4049999999988</v>
      </c>
      <c r="L74" s="548">
        <f t="shared" si="28"/>
        <v>7888.2149999999992</v>
      </c>
      <c r="M74" s="548">
        <f t="shared" si="28"/>
        <v>14037.614999999998</v>
      </c>
      <c r="N74" s="548">
        <f t="shared" si="28"/>
        <v>10100.445</v>
      </c>
      <c r="O74" s="548">
        <f t="shared" si="28"/>
        <v>13740.689999999999</v>
      </c>
      <c r="P74" s="548">
        <f>SUM(D74:O74)</f>
        <v>118001.32499999998</v>
      </c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</row>
    <row r="75" spans="1:91" x14ac:dyDescent="0.2">
      <c r="A75" s="5">
        <v>64</v>
      </c>
      <c r="B75" s="2" t="s">
        <v>32</v>
      </c>
      <c r="C75" s="511">
        <f>'Rate Design'!T23</f>
        <v>1.1505000000000001</v>
      </c>
      <c r="D75" s="71">
        <f>'Monthly Forecast'!Y74</f>
        <v>0</v>
      </c>
      <c r="E75" s="71">
        <f>'Monthly Forecast'!Z74</f>
        <v>0</v>
      </c>
      <c r="F75" s="71">
        <f>'Monthly Forecast'!AA74</f>
        <v>0</v>
      </c>
      <c r="G75" s="71">
        <f>'Monthly Forecast'!AB74</f>
        <v>0</v>
      </c>
      <c r="H75" s="71">
        <f>'Monthly Forecast'!AC74</f>
        <v>0</v>
      </c>
      <c r="I75" s="71">
        <f>'Monthly Forecast'!AD74</f>
        <v>0</v>
      </c>
      <c r="J75" s="71">
        <f>'Monthly Forecast'!AE74</f>
        <v>0</v>
      </c>
      <c r="K75" s="71">
        <f>'Monthly Forecast'!AF74</f>
        <v>0</v>
      </c>
      <c r="L75" s="71">
        <f>'Monthly Forecast'!AG74</f>
        <v>0</v>
      </c>
      <c r="M75" s="71">
        <f>'Monthly Forecast'!AH74</f>
        <v>0</v>
      </c>
      <c r="N75" s="71">
        <f>'Monthly Forecast'!AI74</f>
        <v>0</v>
      </c>
      <c r="O75" s="71">
        <f>'Monthly Forecast'!AJ74</f>
        <v>0</v>
      </c>
      <c r="P75" s="7">
        <f t="shared" ref="P75:P77" si="29">SUM(D75:O75)</f>
        <v>0</v>
      </c>
      <c r="Q75" s="71">
        <f t="shared" ref="Q75:Q77" si="30">P75*C75</f>
        <v>0</v>
      </c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</row>
    <row r="76" spans="1:91" x14ac:dyDescent="0.2">
      <c r="A76" s="5">
        <v>65</v>
      </c>
      <c r="B76" s="2" t="s">
        <v>33</v>
      </c>
      <c r="C76" s="511">
        <f>'Rate Design'!T24</f>
        <v>0.71249999999999991</v>
      </c>
      <c r="D76" s="71">
        <f>'Monthly Forecast'!Y75</f>
        <v>0</v>
      </c>
      <c r="E76" s="71">
        <f>'Monthly Forecast'!Z75</f>
        <v>0</v>
      </c>
      <c r="F76" s="71">
        <f>'Monthly Forecast'!AA75</f>
        <v>0</v>
      </c>
      <c r="G76" s="71">
        <f>'Monthly Forecast'!AB75</f>
        <v>0</v>
      </c>
      <c r="H76" s="71">
        <f>'Monthly Forecast'!AC75</f>
        <v>0</v>
      </c>
      <c r="I76" s="71">
        <f>'Monthly Forecast'!AD75</f>
        <v>0</v>
      </c>
      <c r="J76" s="71">
        <f>'Monthly Forecast'!AE75</f>
        <v>0</v>
      </c>
      <c r="K76" s="71">
        <f>'Monthly Forecast'!AF75</f>
        <v>0</v>
      </c>
      <c r="L76" s="71">
        <f>'Monthly Forecast'!AG75</f>
        <v>0</v>
      </c>
      <c r="M76" s="71">
        <f>'Monthly Forecast'!AH75</f>
        <v>0</v>
      </c>
      <c r="N76" s="71">
        <f>'Monthly Forecast'!AI75</f>
        <v>0</v>
      </c>
      <c r="O76" s="71">
        <f>'Monthly Forecast'!AJ75</f>
        <v>0</v>
      </c>
      <c r="P76" s="7">
        <f t="shared" si="29"/>
        <v>0</v>
      </c>
      <c r="Q76" s="71">
        <f t="shared" si="30"/>
        <v>0</v>
      </c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</row>
    <row r="77" spans="1:91" x14ac:dyDescent="0.2">
      <c r="A77" s="5">
        <v>66</v>
      </c>
      <c r="B77" s="2" t="s">
        <v>645</v>
      </c>
      <c r="C77" s="511">
        <f>'Rate Design'!T25</f>
        <v>0.55499999999999994</v>
      </c>
      <c r="D77" s="71">
        <f>'Monthly Forecast'!Y76</f>
        <v>17435</v>
      </c>
      <c r="E77" s="71">
        <f>'Monthly Forecast'!Z76</f>
        <v>19507</v>
      </c>
      <c r="F77" s="71">
        <f>'Monthly Forecast'!AA76</f>
        <v>19934</v>
      </c>
      <c r="G77" s="71">
        <f>'Monthly Forecast'!AB76</f>
        <v>10434</v>
      </c>
      <c r="H77" s="71">
        <f>'Monthly Forecast'!AC76</f>
        <v>16523</v>
      </c>
      <c r="I77" s="71">
        <f>'Monthly Forecast'!AD76</f>
        <v>15048</v>
      </c>
      <c r="J77" s="71">
        <f>'Monthly Forecast'!AE76</f>
        <v>15000</v>
      </c>
      <c r="K77" s="71">
        <f>'Monthly Forecast'!AF76</f>
        <v>16271</v>
      </c>
      <c r="L77" s="71">
        <f>'Monthly Forecast'!AG76</f>
        <v>14213</v>
      </c>
      <c r="M77" s="71">
        <f>'Monthly Forecast'!AH76</f>
        <v>25293</v>
      </c>
      <c r="N77" s="71">
        <f>'Monthly Forecast'!AI76</f>
        <v>18199</v>
      </c>
      <c r="O77" s="71">
        <f>'Monthly Forecast'!AJ76</f>
        <v>24758</v>
      </c>
      <c r="P77" s="7">
        <f t="shared" si="29"/>
        <v>212615</v>
      </c>
      <c r="Q77" s="71">
        <f t="shared" si="30"/>
        <v>118001.32499999998</v>
      </c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</row>
    <row r="78" spans="1:91" x14ac:dyDescent="0.2">
      <c r="A78" s="5">
        <v>67</v>
      </c>
      <c r="B78" s="33" t="s">
        <v>79</v>
      </c>
      <c r="C78" s="32"/>
      <c r="D78" s="32">
        <f t="shared" ref="D78:Q78" si="31">D75+D76+D77</f>
        <v>17435</v>
      </c>
      <c r="E78" s="32">
        <f t="shared" si="31"/>
        <v>19507</v>
      </c>
      <c r="F78" s="32">
        <f t="shared" si="31"/>
        <v>19934</v>
      </c>
      <c r="G78" s="32">
        <f t="shared" si="31"/>
        <v>10434</v>
      </c>
      <c r="H78" s="32">
        <f t="shared" si="31"/>
        <v>16523</v>
      </c>
      <c r="I78" s="32">
        <f t="shared" si="31"/>
        <v>15048</v>
      </c>
      <c r="J78" s="32">
        <f t="shared" si="31"/>
        <v>15000</v>
      </c>
      <c r="K78" s="32">
        <f t="shared" si="31"/>
        <v>16271</v>
      </c>
      <c r="L78" s="32">
        <f t="shared" si="31"/>
        <v>14213</v>
      </c>
      <c r="M78" s="32">
        <f t="shared" si="31"/>
        <v>25293</v>
      </c>
      <c r="N78" s="32">
        <f t="shared" si="31"/>
        <v>18199</v>
      </c>
      <c r="O78" s="32">
        <f t="shared" si="31"/>
        <v>24758</v>
      </c>
      <c r="P78" s="32">
        <f t="shared" si="31"/>
        <v>212615</v>
      </c>
      <c r="Q78" s="32">
        <f t="shared" si="31"/>
        <v>118001.32499999998</v>
      </c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</row>
    <row r="79" spans="1:91" x14ac:dyDescent="0.2">
      <c r="A79" s="5">
        <v>68</v>
      </c>
      <c r="B79" s="2"/>
      <c r="C79" s="2"/>
      <c r="D79" s="46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95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</row>
    <row r="80" spans="1:91" x14ac:dyDescent="0.2">
      <c r="A80" s="5">
        <v>69</v>
      </c>
      <c r="B80" s="172" t="s">
        <v>89</v>
      </c>
      <c r="C80" s="2"/>
      <c r="D80" s="103">
        <f t="shared" ref="D80:O80" si="32">D81*$C$81+D85*$C$85+D86*$C$86+D82+D83+D84</f>
        <v>669977.24869286804</v>
      </c>
      <c r="E80" s="103">
        <f t="shared" si="32"/>
        <v>688825.39406552271</v>
      </c>
      <c r="F80" s="103">
        <f t="shared" si="32"/>
        <v>649028.14372886659</v>
      </c>
      <c r="G80" s="103">
        <f t="shared" si="32"/>
        <v>575641.55053567817</v>
      </c>
      <c r="H80" s="103">
        <f t="shared" si="32"/>
        <v>626392.89535551902</v>
      </c>
      <c r="I80" s="103">
        <f t="shared" si="32"/>
        <v>640164.42767326743</v>
      </c>
      <c r="J80" s="103">
        <f t="shared" si="32"/>
        <v>691861.71676794509</v>
      </c>
      <c r="K80" s="103">
        <f t="shared" si="32"/>
        <v>727511.06294123409</v>
      </c>
      <c r="L80" s="103">
        <f t="shared" si="32"/>
        <v>768656.50778812671</v>
      </c>
      <c r="M80" s="103">
        <f t="shared" si="32"/>
        <v>783302.82403830998</v>
      </c>
      <c r="N80" s="103">
        <f t="shared" si="32"/>
        <v>695020.98943398986</v>
      </c>
      <c r="O80" s="103">
        <f t="shared" si="32"/>
        <v>754586.93734291894</v>
      </c>
      <c r="P80" s="104">
        <f t="shared" ref="P80:P86" si="33">SUM(C80:O80)</f>
        <v>8270969.6983642466</v>
      </c>
      <c r="Q80" s="103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</row>
    <row r="81" spans="1:91" x14ac:dyDescent="0.2">
      <c r="A81" s="5">
        <v>70</v>
      </c>
      <c r="B81" s="2" t="s">
        <v>87</v>
      </c>
      <c r="C81" s="101">
        <f>'Rate Design'!H16</f>
        <v>400</v>
      </c>
      <c r="D81" s="71">
        <f>'Monthly Forecast'!Y80</f>
        <v>71</v>
      </c>
      <c r="E81" s="71">
        <f>'Monthly Forecast'!Z80</f>
        <v>71</v>
      </c>
      <c r="F81" s="71">
        <f>'Monthly Forecast'!AA80</f>
        <v>71</v>
      </c>
      <c r="G81" s="71">
        <f>'Monthly Forecast'!AB80</f>
        <v>71</v>
      </c>
      <c r="H81" s="71">
        <f>'Monthly Forecast'!AC80</f>
        <v>71</v>
      </c>
      <c r="I81" s="71">
        <f>'Monthly Forecast'!AD80</f>
        <v>71</v>
      </c>
      <c r="J81" s="71">
        <f>'Monthly Forecast'!AE80</f>
        <v>71</v>
      </c>
      <c r="K81" s="71">
        <f>'Monthly Forecast'!AF80</f>
        <v>71</v>
      </c>
      <c r="L81" s="71">
        <f>'Monthly Forecast'!AG80</f>
        <v>71</v>
      </c>
      <c r="M81" s="71">
        <f>'Monthly Forecast'!AH80</f>
        <v>71</v>
      </c>
      <c r="N81" s="71">
        <f>'Monthly Forecast'!AI80</f>
        <v>71</v>
      </c>
      <c r="O81" s="71">
        <f>'Monthly Forecast'!AJ80</f>
        <v>71</v>
      </c>
      <c r="P81" s="7">
        <f>SUM(D81:O81)</f>
        <v>852</v>
      </c>
      <c r="Q81" s="71">
        <f>ROUND(P81*C81,0)</f>
        <v>340800</v>
      </c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</row>
    <row r="82" spans="1:91" x14ac:dyDescent="0.2">
      <c r="A82" s="5">
        <v>71</v>
      </c>
      <c r="B82" s="2" t="s">
        <v>1</v>
      </c>
      <c r="C82" s="2"/>
      <c r="D82" s="71">
        <f>'Monthly Forecast'!Y81</f>
        <v>3550</v>
      </c>
      <c r="E82" s="71">
        <f>'Monthly Forecast'!Z81</f>
        <v>3550</v>
      </c>
      <c r="F82" s="71">
        <f>'Monthly Forecast'!AA81</f>
        <v>3550</v>
      </c>
      <c r="G82" s="71">
        <f>'Monthly Forecast'!AB81</f>
        <v>3550</v>
      </c>
      <c r="H82" s="71">
        <f>'Monthly Forecast'!AC81</f>
        <v>3550</v>
      </c>
      <c r="I82" s="71">
        <f>'Monthly Forecast'!AD81</f>
        <v>3550</v>
      </c>
      <c r="J82" s="71">
        <f>'Monthly Forecast'!AE81</f>
        <v>3550</v>
      </c>
      <c r="K82" s="71">
        <f>'Monthly Forecast'!AF81</f>
        <v>3550</v>
      </c>
      <c r="L82" s="71">
        <f>'Monthly Forecast'!AG81</f>
        <v>3550</v>
      </c>
      <c r="M82" s="71">
        <f>'Monthly Forecast'!AH81</f>
        <v>3550</v>
      </c>
      <c r="N82" s="71">
        <f>'Monthly Forecast'!AI81</f>
        <v>3550</v>
      </c>
      <c r="O82" s="71">
        <f>'Monthly Forecast'!AJ81</f>
        <v>3550</v>
      </c>
      <c r="P82" s="4">
        <f t="shared" si="33"/>
        <v>42600</v>
      </c>
      <c r="Q82" s="71">
        <f>P82</f>
        <v>42600</v>
      </c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</row>
    <row r="83" spans="1:91" x14ac:dyDescent="0.2">
      <c r="A83" s="5">
        <v>72</v>
      </c>
      <c r="B83" s="2" t="s">
        <v>62</v>
      </c>
      <c r="C83" s="2"/>
      <c r="D83" s="71">
        <f>'Monthly Forecast'!Y82</f>
        <v>3725</v>
      </c>
      <c r="E83" s="71">
        <f>'Monthly Forecast'!Z82</f>
        <v>3725</v>
      </c>
      <c r="F83" s="71">
        <f>'Monthly Forecast'!AA82</f>
        <v>3725</v>
      </c>
      <c r="G83" s="71">
        <f>'Monthly Forecast'!AB82</f>
        <v>3675</v>
      </c>
      <c r="H83" s="71">
        <f>'Monthly Forecast'!AC82</f>
        <v>3675</v>
      </c>
      <c r="I83" s="71">
        <f>'Monthly Forecast'!AD82</f>
        <v>3675</v>
      </c>
      <c r="J83" s="71">
        <f>'Monthly Forecast'!AE82</f>
        <v>3700</v>
      </c>
      <c r="K83" s="71">
        <f>'Monthly Forecast'!AF82</f>
        <v>3700</v>
      </c>
      <c r="L83" s="71">
        <f>'Monthly Forecast'!AG82</f>
        <v>3700</v>
      </c>
      <c r="M83" s="71">
        <f>'Monthly Forecast'!AH82</f>
        <v>3700</v>
      </c>
      <c r="N83" s="71">
        <f>'Monthly Forecast'!AI82</f>
        <v>3725</v>
      </c>
      <c r="O83" s="71">
        <f>'Monthly Forecast'!AJ82</f>
        <v>3725</v>
      </c>
      <c r="P83" s="4">
        <f t="shared" si="33"/>
        <v>44450</v>
      </c>
      <c r="Q83" s="71">
        <f>P83</f>
        <v>44450</v>
      </c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8"/>
      <c r="BM83" s="128"/>
      <c r="BN83" s="128"/>
      <c r="BO83" s="128"/>
      <c r="BP83" s="128"/>
      <c r="BQ83" s="128"/>
      <c r="BR83" s="128"/>
      <c r="BS83" s="128"/>
      <c r="BT83" s="128"/>
      <c r="BU83" s="128"/>
      <c r="BV83" s="128"/>
      <c r="BW83" s="128"/>
      <c r="BX83" s="128"/>
      <c r="BY83" s="128"/>
      <c r="BZ83" s="128"/>
      <c r="CA83" s="128"/>
      <c r="CB83" s="128"/>
      <c r="CC83" s="128"/>
      <c r="CD83" s="128"/>
      <c r="CE83" s="128"/>
      <c r="CF83" s="128"/>
      <c r="CG83" s="128"/>
      <c r="CH83" s="128"/>
      <c r="CI83" s="128"/>
      <c r="CJ83" s="128"/>
      <c r="CK83" s="128"/>
      <c r="CL83" s="128"/>
      <c r="CM83" s="128"/>
    </row>
    <row r="84" spans="1:91" x14ac:dyDescent="0.2">
      <c r="A84" s="5">
        <v>73</v>
      </c>
      <c r="B84" s="2" t="s">
        <v>2</v>
      </c>
      <c r="C84" s="2"/>
      <c r="D84" s="71">
        <f>'Monthly Forecast'!Y83</f>
        <v>344.3</v>
      </c>
      <c r="E84" s="71">
        <f>'Monthly Forecast'!Z83</f>
        <v>381</v>
      </c>
      <c r="F84" s="71">
        <f>'Monthly Forecast'!AA83</f>
        <v>382.1</v>
      </c>
      <c r="G84" s="71">
        <f>'Monthly Forecast'!AB83</f>
        <v>137.5</v>
      </c>
      <c r="H84" s="71">
        <f>'Monthly Forecast'!AC83</f>
        <v>263.2</v>
      </c>
      <c r="I84" s="71">
        <f>'Monthly Forecast'!AD83</f>
        <v>349.4</v>
      </c>
      <c r="J84" s="71">
        <f>'Monthly Forecast'!AE83</f>
        <v>305.7</v>
      </c>
      <c r="K84" s="71">
        <f>'Monthly Forecast'!AF83</f>
        <v>445.5</v>
      </c>
      <c r="L84" s="71">
        <f>'Monthly Forecast'!AG83</f>
        <v>409.8</v>
      </c>
      <c r="M84" s="71">
        <f>'Monthly Forecast'!AH83</f>
        <v>233.2</v>
      </c>
      <c r="N84" s="71">
        <f>'Monthly Forecast'!AI83</f>
        <v>234.2</v>
      </c>
      <c r="O84" s="71">
        <f>'Monthly Forecast'!AJ83</f>
        <v>287</v>
      </c>
      <c r="P84" s="4">
        <f t="shared" si="33"/>
        <v>3772.8999999999996</v>
      </c>
      <c r="Q84" s="71">
        <f>P84</f>
        <v>3772.8999999999996</v>
      </c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28"/>
      <c r="BM84" s="128"/>
      <c r="BN84" s="128"/>
      <c r="BO84" s="128"/>
      <c r="BP84" s="128"/>
      <c r="BQ84" s="128"/>
      <c r="BR84" s="128"/>
      <c r="BS84" s="128"/>
      <c r="BT84" s="128"/>
      <c r="BU84" s="128"/>
      <c r="BV84" s="128"/>
      <c r="BW84" s="128"/>
      <c r="BX84" s="128"/>
      <c r="BY84" s="128"/>
      <c r="BZ84" s="128"/>
      <c r="CA84" s="128"/>
      <c r="CB84" s="128"/>
      <c r="CC84" s="128"/>
      <c r="CD84" s="128"/>
      <c r="CE84" s="128"/>
      <c r="CF84" s="128"/>
      <c r="CG84" s="128"/>
      <c r="CH84" s="128"/>
      <c r="CI84" s="128"/>
      <c r="CJ84" s="128"/>
      <c r="CK84" s="128"/>
      <c r="CL84" s="128"/>
      <c r="CM84" s="128"/>
    </row>
    <row r="85" spans="1:91" x14ac:dyDescent="0.2">
      <c r="A85" s="5">
        <v>74</v>
      </c>
      <c r="B85" s="2" t="s">
        <v>46</v>
      </c>
      <c r="C85" s="102">
        <f>'Rate Design'!H30</f>
        <v>1.0449999999999999</v>
      </c>
      <c r="D85" s="71">
        <f>'Monthly Forecast'!Y84</f>
        <v>442263.13024342671</v>
      </c>
      <c r="E85" s="71">
        <f>'Monthly Forecast'!Z84</f>
        <v>455145.42651233543</v>
      </c>
      <c r="F85" s="71">
        <f>'Monthly Forecast'!AA84</f>
        <v>420178.1547644657</v>
      </c>
      <c r="G85" s="71">
        <f>'Monthly Forecast'!AB84</f>
        <v>381934.1804169169</v>
      </c>
      <c r="H85" s="71">
        <f>'Monthly Forecast'!AC84</f>
        <v>409163.96876126231</v>
      </c>
      <c r="I85" s="71">
        <f>'Monthly Forecast'!AD84</f>
        <v>427012.13365862914</v>
      </c>
      <c r="J85" s="71">
        <f>'Monthly Forecast'!AE84</f>
        <v>445673.23864350957</v>
      </c>
      <c r="K85" s="71">
        <f>'Monthly Forecast'!AF84</f>
        <v>475363.93966524623</v>
      </c>
      <c r="L85" s="71">
        <f>'Monthly Forecast'!AG84</f>
        <v>500663.36286887596</v>
      </c>
      <c r="M85" s="71">
        <f>'Monthly Forecast'!AH84</f>
        <v>495070.88538146246</v>
      </c>
      <c r="N85" s="71">
        <f>'Monthly Forecast'!AI84</f>
        <v>453480.78331464756</v>
      </c>
      <c r="O85" s="71">
        <f>'Monthly Forecast'!AJ84</f>
        <v>483453.96432526212</v>
      </c>
      <c r="P85" s="7">
        <f t="shared" si="33"/>
        <v>5389404.2135560391</v>
      </c>
      <c r="Q85" s="71">
        <f t="shared" ref="Q85:Q86" si="34">ROUND(P85*C85,0)</f>
        <v>5631927</v>
      </c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</row>
    <row r="86" spans="1:91" x14ac:dyDescent="0.2">
      <c r="A86" s="5">
        <v>75</v>
      </c>
      <c r="B86" s="2" t="s">
        <v>47</v>
      </c>
      <c r="C86" s="102">
        <f>'Rate Design'!H31</f>
        <v>0.76400000000000001</v>
      </c>
      <c r="D86" s="71">
        <f>'Monthly Forecast'!Y85</f>
        <v>224859.91830953804</v>
      </c>
      <c r="E86" s="71">
        <f>'Monthly Forecast'!Z85</f>
        <v>231861.81068080134</v>
      </c>
      <c r="F86" s="71">
        <f>'Monthly Forecast'!AA85</f>
        <v>227598</v>
      </c>
      <c r="G86" s="71">
        <f>'Monthly Forecast'!AB85</f>
        <v>184238</v>
      </c>
      <c r="H86" s="71">
        <f>'Monthly Forecast'!AC85</f>
        <v>213257</v>
      </c>
      <c r="I86" s="71">
        <f>'Monthly Forecast'!AD85</f>
        <v>206757</v>
      </c>
      <c r="J86" s="71">
        <f>'Monthly Forecast'!AE85</f>
        <v>248923.40626371434</v>
      </c>
      <c r="K86" s="71">
        <f>'Monthly Forecast'!AF85</f>
        <v>254790.89789404691</v>
      </c>
      <c r="L86" s="71">
        <f>'Monthly Forecast'!AG85</f>
        <v>274088.34239548602</v>
      </c>
      <c r="M86" s="71">
        <f>'Monthly Forecast'!AH85</f>
        <v>301139.46179932175</v>
      </c>
      <c r="N86" s="71">
        <f>'Monthly Forecast'!AI85</f>
        <v>242440.27600809323</v>
      </c>
      <c r="O86" s="71">
        <f>'Monthly Forecast'!AJ85</f>
        <v>279339.71809295833</v>
      </c>
      <c r="P86" s="7">
        <f t="shared" si="33"/>
        <v>2889294.5954439603</v>
      </c>
      <c r="Q86" s="71">
        <f t="shared" si="34"/>
        <v>2207421</v>
      </c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</row>
    <row r="87" spans="1:91" x14ac:dyDescent="0.2">
      <c r="A87" s="5">
        <v>76</v>
      </c>
      <c r="B87" s="33" t="s">
        <v>79</v>
      </c>
      <c r="C87" s="33"/>
      <c r="D87" s="32">
        <f t="shared" ref="D87:P87" si="35">D85+D86</f>
        <v>667123.04855296481</v>
      </c>
      <c r="E87" s="32">
        <f t="shared" si="35"/>
        <v>687007.23719313671</v>
      </c>
      <c r="F87" s="32">
        <f t="shared" si="35"/>
        <v>647776.15476446575</v>
      </c>
      <c r="G87" s="32">
        <f t="shared" si="35"/>
        <v>566172.18041691696</v>
      </c>
      <c r="H87" s="32">
        <f t="shared" si="35"/>
        <v>622420.96876126225</v>
      </c>
      <c r="I87" s="32">
        <f t="shared" si="35"/>
        <v>633769.13365862914</v>
      </c>
      <c r="J87" s="32">
        <f t="shared" si="35"/>
        <v>694596.64490722388</v>
      </c>
      <c r="K87" s="32">
        <f t="shared" si="35"/>
        <v>730154.83755929314</v>
      </c>
      <c r="L87" s="32">
        <f t="shared" si="35"/>
        <v>774751.70526436204</v>
      </c>
      <c r="M87" s="32">
        <f t="shared" si="35"/>
        <v>796210.34718078421</v>
      </c>
      <c r="N87" s="32">
        <f t="shared" si="35"/>
        <v>695921.05932274077</v>
      </c>
      <c r="O87" s="32">
        <f t="shared" si="35"/>
        <v>762793.68241822044</v>
      </c>
      <c r="P87" s="32">
        <f t="shared" si="35"/>
        <v>8278698.8089999994</v>
      </c>
      <c r="Q87" s="32">
        <f>SUM(Q81:Q86)</f>
        <v>8270970.9000000004</v>
      </c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8"/>
      <c r="BX87" s="128"/>
      <c r="BY87" s="128"/>
      <c r="BZ87" s="128"/>
      <c r="CA87" s="128"/>
      <c r="CB87" s="128"/>
      <c r="CC87" s="128"/>
      <c r="CD87" s="128"/>
      <c r="CE87" s="128"/>
      <c r="CF87" s="128"/>
      <c r="CG87" s="128"/>
      <c r="CH87" s="128"/>
      <c r="CI87" s="128"/>
      <c r="CJ87" s="128"/>
      <c r="CK87" s="128"/>
      <c r="CL87" s="128"/>
      <c r="CM87" s="128"/>
    </row>
    <row r="88" spans="1:91" x14ac:dyDescent="0.2">
      <c r="A88" s="5">
        <v>77</v>
      </c>
      <c r="B88" s="2"/>
      <c r="C88" s="2"/>
      <c r="D88" s="46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8"/>
      <c r="BM88" s="128"/>
      <c r="BN88" s="128"/>
      <c r="BO88" s="128"/>
      <c r="BP88" s="128"/>
      <c r="BQ88" s="128"/>
      <c r="BR88" s="128"/>
      <c r="BS88" s="128"/>
      <c r="BT88" s="128"/>
      <c r="BU88" s="128"/>
      <c r="BV88" s="128"/>
      <c r="BW88" s="128"/>
      <c r="BX88" s="128"/>
      <c r="BY88" s="128"/>
      <c r="BZ88" s="128"/>
      <c r="CA88" s="128"/>
      <c r="CB88" s="128"/>
      <c r="CC88" s="128"/>
      <c r="CD88" s="128"/>
      <c r="CE88" s="128"/>
      <c r="CF88" s="128"/>
      <c r="CG88" s="128"/>
      <c r="CH88" s="128"/>
      <c r="CI88" s="128"/>
      <c r="CJ88" s="128"/>
      <c r="CK88" s="128"/>
      <c r="CL88" s="128"/>
      <c r="CM88" s="128"/>
    </row>
    <row r="89" spans="1:91" x14ac:dyDescent="0.2">
      <c r="A89" s="5">
        <v>78</v>
      </c>
      <c r="B89" s="172" t="s">
        <v>90</v>
      </c>
      <c r="C89" s="2"/>
      <c r="D89" s="103">
        <f t="shared" ref="D89:O89" si="36">D90*$C$90+D91+D92+D93+D95</f>
        <v>174643.87153331196</v>
      </c>
      <c r="E89" s="103">
        <f t="shared" si="36"/>
        <v>170439.53524474136</v>
      </c>
      <c r="F89" s="103">
        <f t="shared" si="36"/>
        <v>149118.70479717723</v>
      </c>
      <c r="G89" s="103">
        <f t="shared" si="36"/>
        <v>183286.57023593987</v>
      </c>
      <c r="H89" s="103">
        <f t="shared" si="36"/>
        <v>180802.14429106572</v>
      </c>
      <c r="I89" s="103">
        <f t="shared" si="36"/>
        <v>183627.60898165885</v>
      </c>
      <c r="J89" s="103">
        <f t="shared" si="36"/>
        <v>198676.93726818013</v>
      </c>
      <c r="K89" s="103">
        <f t="shared" si="36"/>
        <v>196958.77298331514</v>
      </c>
      <c r="L89" s="103">
        <f t="shared" si="36"/>
        <v>230122.0238050755</v>
      </c>
      <c r="M89" s="103">
        <f t="shared" si="36"/>
        <v>221910.06617049334</v>
      </c>
      <c r="N89" s="103">
        <f t="shared" si="36"/>
        <v>186721.56078293792</v>
      </c>
      <c r="O89" s="103">
        <f t="shared" si="36"/>
        <v>197751.86418905575</v>
      </c>
      <c r="P89" s="104">
        <f t="shared" ref="P89:P95" si="37">SUM(C89:O89)</f>
        <v>2274059.6602829527</v>
      </c>
      <c r="Q89" s="103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8"/>
      <c r="CA89" s="128"/>
      <c r="CB89" s="128"/>
      <c r="CC89" s="128"/>
      <c r="CD89" s="128"/>
      <c r="CE89" s="128"/>
      <c r="CF89" s="128"/>
      <c r="CG89" s="128"/>
      <c r="CH89" s="128"/>
      <c r="CI89" s="128"/>
      <c r="CJ89" s="128"/>
      <c r="CK89" s="128"/>
      <c r="CL89" s="128"/>
      <c r="CM89" s="128"/>
    </row>
    <row r="90" spans="1:91" x14ac:dyDescent="0.2">
      <c r="A90" s="5">
        <v>79</v>
      </c>
      <c r="B90" s="2" t="s">
        <v>87</v>
      </c>
      <c r="C90" s="101">
        <f>'Rate Design'!G17</f>
        <v>375</v>
      </c>
      <c r="D90" s="71">
        <f>'Monthly Forecast'!Y89</f>
        <v>13.866666666666667</v>
      </c>
      <c r="E90" s="71">
        <f>'Monthly Forecast'!Z89</f>
        <v>13.866666666666667</v>
      </c>
      <c r="F90" s="71">
        <f>'Monthly Forecast'!AA89</f>
        <v>13.8</v>
      </c>
      <c r="G90" s="71">
        <f>'Monthly Forecast'!AB89</f>
        <v>14</v>
      </c>
      <c r="H90" s="71">
        <f>'Monthly Forecast'!AC89</f>
        <v>14</v>
      </c>
      <c r="I90" s="71">
        <f>'Monthly Forecast'!AD89</f>
        <v>13.866666666666667</v>
      </c>
      <c r="J90" s="71">
        <f>'Monthly Forecast'!AE89</f>
        <v>13.866666666666667</v>
      </c>
      <c r="K90" s="71">
        <f>'Monthly Forecast'!AF89</f>
        <v>13.866666666666667</v>
      </c>
      <c r="L90" s="71">
        <f>'Monthly Forecast'!AG89</f>
        <v>13.866666666666667</v>
      </c>
      <c r="M90" s="71">
        <f>'Monthly Forecast'!AH89</f>
        <v>13.866666666666667</v>
      </c>
      <c r="N90" s="71">
        <f>'Monthly Forecast'!AI89</f>
        <v>13.866666666666667</v>
      </c>
      <c r="O90" s="71">
        <f>'Monthly Forecast'!AJ89</f>
        <v>13.866666666666667</v>
      </c>
      <c r="P90" s="7">
        <f>SUM(D90:O90)</f>
        <v>166.60000000000005</v>
      </c>
      <c r="Q90" s="71">
        <f>ROUND(P90*C90,0)</f>
        <v>62475</v>
      </c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8"/>
      <c r="CA90" s="128"/>
      <c r="CB90" s="128"/>
      <c r="CC90" s="128"/>
      <c r="CD90" s="128"/>
      <c r="CE90" s="128"/>
      <c r="CF90" s="128"/>
      <c r="CG90" s="128"/>
      <c r="CH90" s="128"/>
      <c r="CI90" s="128"/>
      <c r="CJ90" s="128"/>
      <c r="CK90" s="128"/>
      <c r="CL90" s="128"/>
      <c r="CM90" s="128"/>
    </row>
    <row r="91" spans="1:91" x14ac:dyDescent="0.2">
      <c r="A91" s="5">
        <v>80</v>
      </c>
      <c r="B91" s="2" t="s">
        <v>1</v>
      </c>
      <c r="C91" s="2"/>
      <c r="D91" s="71">
        <f>'Monthly Forecast'!Y90</f>
        <v>650</v>
      </c>
      <c r="E91" s="71">
        <f>'Monthly Forecast'!Z90</f>
        <v>650</v>
      </c>
      <c r="F91" s="71">
        <f>'Monthly Forecast'!AA90</f>
        <v>650</v>
      </c>
      <c r="G91" s="71">
        <f>'Monthly Forecast'!AB90</f>
        <v>650</v>
      </c>
      <c r="H91" s="71">
        <f>'Monthly Forecast'!AC90</f>
        <v>650</v>
      </c>
      <c r="I91" s="71">
        <f>'Monthly Forecast'!AD90</f>
        <v>650</v>
      </c>
      <c r="J91" s="71">
        <f>'Monthly Forecast'!AE90</f>
        <v>650</v>
      </c>
      <c r="K91" s="71">
        <f>'Monthly Forecast'!AF90</f>
        <v>650</v>
      </c>
      <c r="L91" s="71">
        <f>'Monthly Forecast'!AG90</f>
        <v>650</v>
      </c>
      <c r="M91" s="71">
        <f>'Monthly Forecast'!AH90</f>
        <v>650</v>
      </c>
      <c r="N91" s="71">
        <f>'Monthly Forecast'!AI90</f>
        <v>650</v>
      </c>
      <c r="O91" s="71">
        <f>'Monthly Forecast'!AJ90</f>
        <v>650</v>
      </c>
      <c r="P91" s="4">
        <f t="shared" si="37"/>
        <v>7800</v>
      </c>
      <c r="Q91" s="71">
        <f>P91</f>
        <v>7800</v>
      </c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28"/>
      <c r="BM91" s="128"/>
      <c r="BN91" s="128"/>
      <c r="BO91" s="128"/>
      <c r="BP91" s="128"/>
      <c r="BQ91" s="128"/>
      <c r="BR91" s="128"/>
      <c r="BS91" s="128"/>
      <c r="BT91" s="128"/>
      <c r="BU91" s="128"/>
      <c r="BV91" s="128"/>
      <c r="BW91" s="128"/>
      <c r="BX91" s="128"/>
      <c r="BY91" s="128"/>
      <c r="BZ91" s="128"/>
      <c r="CA91" s="128"/>
      <c r="CB91" s="128"/>
      <c r="CC91" s="128"/>
      <c r="CD91" s="128"/>
      <c r="CE91" s="128"/>
      <c r="CF91" s="128"/>
      <c r="CG91" s="128"/>
      <c r="CH91" s="128"/>
      <c r="CI91" s="128"/>
      <c r="CJ91" s="128"/>
      <c r="CK91" s="128"/>
      <c r="CL91" s="128"/>
      <c r="CM91" s="128"/>
    </row>
    <row r="92" spans="1:91" x14ac:dyDescent="0.2">
      <c r="A92" s="5">
        <v>81</v>
      </c>
      <c r="B92" s="2" t="s">
        <v>62</v>
      </c>
      <c r="C92" s="2"/>
      <c r="D92" s="71">
        <f>'Monthly Forecast'!Y91</f>
        <v>775</v>
      </c>
      <c r="E92" s="71">
        <f>'Monthly Forecast'!Z91</f>
        <v>775</v>
      </c>
      <c r="F92" s="71">
        <f>'Monthly Forecast'!AA91</f>
        <v>775</v>
      </c>
      <c r="G92" s="71">
        <f>'Monthly Forecast'!AB91</f>
        <v>650</v>
      </c>
      <c r="H92" s="71">
        <f>'Monthly Forecast'!AC91</f>
        <v>650</v>
      </c>
      <c r="I92" s="71">
        <f>'Monthly Forecast'!AD91</f>
        <v>650</v>
      </c>
      <c r="J92" s="71">
        <f>'Monthly Forecast'!AE91</f>
        <v>650</v>
      </c>
      <c r="K92" s="71">
        <f>'Monthly Forecast'!AF91</f>
        <v>800</v>
      </c>
      <c r="L92" s="71">
        <f>'Monthly Forecast'!AG91</f>
        <v>800</v>
      </c>
      <c r="M92" s="71">
        <f>'Monthly Forecast'!AH91</f>
        <v>800</v>
      </c>
      <c r="N92" s="71">
        <f>'Monthly Forecast'!AI91</f>
        <v>775</v>
      </c>
      <c r="O92" s="71">
        <f>'Monthly Forecast'!AJ91</f>
        <v>775</v>
      </c>
      <c r="P92" s="4">
        <f t="shared" si="37"/>
        <v>8875</v>
      </c>
      <c r="Q92" s="71">
        <f>P92</f>
        <v>8875</v>
      </c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</row>
    <row r="93" spans="1:91" x14ac:dyDescent="0.2">
      <c r="A93" s="5">
        <v>82</v>
      </c>
      <c r="B93" s="2" t="s">
        <v>2</v>
      </c>
      <c r="C93" s="2"/>
      <c r="D93" s="71">
        <f>'Monthly Forecast'!Y92</f>
        <v>8223</v>
      </c>
      <c r="E93" s="71">
        <f>'Monthly Forecast'!Z92</f>
        <v>4727.3</v>
      </c>
      <c r="F93" s="71">
        <f>'Monthly Forecast'!AA92</f>
        <v>4258</v>
      </c>
      <c r="G93" s="71">
        <f>'Monthly Forecast'!AB92</f>
        <v>2029.4</v>
      </c>
      <c r="H93" s="71">
        <f>'Monthly Forecast'!AC92</f>
        <v>2635.4000000000005</v>
      </c>
      <c r="I93" s="71">
        <f>'Monthly Forecast'!AD92</f>
        <v>2262.2999999999997</v>
      </c>
      <c r="J93" s="71">
        <f>'Monthly Forecast'!AE92</f>
        <v>4988.5</v>
      </c>
      <c r="K93" s="71">
        <f>'Monthly Forecast'!AF92</f>
        <v>4624.2</v>
      </c>
      <c r="L93" s="71">
        <f>'Monthly Forecast'!AG92</f>
        <v>15795.399999999998</v>
      </c>
      <c r="M93" s="71">
        <f>'Monthly Forecast'!AH92</f>
        <v>6225.5000000000009</v>
      </c>
      <c r="N93" s="71">
        <f>'Monthly Forecast'!AI92</f>
        <v>6311.7999999999993</v>
      </c>
      <c r="O93" s="71">
        <f>'Monthly Forecast'!AJ92</f>
        <v>7403.4000000000005</v>
      </c>
      <c r="P93" s="4">
        <f t="shared" si="37"/>
        <v>69484.2</v>
      </c>
      <c r="Q93" s="71">
        <f>P93</f>
        <v>69484.2</v>
      </c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28"/>
      <c r="BM93" s="128"/>
      <c r="BN93" s="128"/>
      <c r="BO93" s="128"/>
      <c r="BP93" s="128"/>
      <c r="BQ93" s="128"/>
      <c r="BR93" s="128"/>
      <c r="BS93" s="128"/>
      <c r="BT93" s="128"/>
      <c r="BU93" s="128"/>
      <c r="BV93" s="128"/>
      <c r="BW93" s="128"/>
      <c r="BX93" s="128"/>
      <c r="BY93" s="128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</row>
    <row r="94" spans="1:91" x14ac:dyDescent="0.2">
      <c r="A94" s="5">
        <v>83</v>
      </c>
      <c r="B94" s="2" t="s">
        <v>91</v>
      </c>
      <c r="C94" s="70" t="s">
        <v>61</v>
      </c>
      <c r="D94" s="71">
        <f>'Monthly Forecast'!Y93</f>
        <v>1065087.9028069051</v>
      </c>
      <c r="E94" s="71">
        <f>'Monthly Forecast'!Z93</f>
        <v>1072108.3960249547</v>
      </c>
      <c r="F94" s="71">
        <f>'Monthly Forecast'!AA93</f>
        <v>879127.64366935391</v>
      </c>
      <c r="G94" s="71">
        <f>'Monthly Forecast'!AB93</f>
        <v>1136013.1839630897</v>
      </c>
      <c r="H94" s="71">
        <f>'Monthly Forecast'!AC93</f>
        <v>1116463.3515319249</v>
      </c>
      <c r="I94" s="71">
        <f>'Monthly Forecast'!AD93</f>
        <v>1115726.1656929413</v>
      </c>
      <c r="J94" s="71">
        <f>'Monthly Forecast'!AE93</f>
        <v>1185805.4856220009</v>
      </c>
      <c r="K94" s="71">
        <f>'Monthly Forecast'!AF93</f>
        <v>1201011.3578069217</v>
      </c>
      <c r="L94" s="71">
        <f>'Monthly Forecast'!AG93</f>
        <v>1343897.0463425026</v>
      </c>
      <c r="M94" s="71">
        <f>'Monthly Forecast'!AH93</f>
        <v>1361392.9403710174</v>
      </c>
      <c r="N94" s="71">
        <f>'Monthly Forecast'!AI93</f>
        <v>1137557.662015463</v>
      </c>
      <c r="O94" s="71">
        <f>'Monthly Forecast'!AJ93</f>
        <v>1208821.8641529251</v>
      </c>
      <c r="P94" s="7">
        <f t="shared" si="37"/>
        <v>13823013</v>
      </c>
      <c r="Q94" s="71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8"/>
      <c r="BM94" s="128"/>
      <c r="BN94" s="128"/>
      <c r="BO94" s="128"/>
      <c r="BP94" s="128"/>
      <c r="BQ94" s="128"/>
      <c r="BR94" s="128"/>
      <c r="BS94" s="128"/>
      <c r="BT94" s="128"/>
      <c r="BU94" s="128"/>
      <c r="BV94" s="128"/>
      <c r="BW94" s="128"/>
      <c r="BX94" s="128"/>
      <c r="BY94" s="128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</row>
    <row r="95" spans="1:91" x14ac:dyDescent="0.2">
      <c r="A95" s="5">
        <v>84</v>
      </c>
      <c r="B95" s="2" t="s">
        <v>92</v>
      </c>
      <c r="C95" s="70"/>
      <c r="D95" s="71">
        <f>'Monthly Forecast'!Y94</f>
        <v>159795.87153331196</v>
      </c>
      <c r="E95" s="71">
        <f>'Monthly Forecast'!Z94</f>
        <v>159087.23524474137</v>
      </c>
      <c r="F95" s="71">
        <f>'Monthly Forecast'!AA94</f>
        <v>138260.70479717723</v>
      </c>
      <c r="G95" s="71">
        <f>'Monthly Forecast'!AB94</f>
        <v>174707.17023593988</v>
      </c>
      <c r="H95" s="71">
        <f>'Monthly Forecast'!AC94</f>
        <v>171616.74429106573</v>
      </c>
      <c r="I95" s="71">
        <f>'Monthly Forecast'!AD94</f>
        <v>174865.30898165886</v>
      </c>
      <c r="J95" s="71">
        <f>'Monthly Forecast'!AE94</f>
        <v>187188.43726818013</v>
      </c>
      <c r="K95" s="71">
        <f>'Monthly Forecast'!AF94</f>
        <v>185684.57298331513</v>
      </c>
      <c r="L95" s="71">
        <f>'Monthly Forecast'!AG94</f>
        <v>207676.62380507551</v>
      </c>
      <c r="M95" s="71">
        <f>'Monthly Forecast'!AH94</f>
        <v>209034.56617049334</v>
      </c>
      <c r="N95" s="71">
        <f>'Monthly Forecast'!AI94</f>
        <v>173784.76078293793</v>
      </c>
      <c r="O95" s="71">
        <f>'Monthly Forecast'!AJ94</f>
        <v>183723.46418905575</v>
      </c>
      <c r="P95" s="4">
        <f t="shared" si="37"/>
        <v>2125425.460282953</v>
      </c>
      <c r="Q95" s="71">
        <f>P95</f>
        <v>2125425.460282953</v>
      </c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/>
      <c r="BW95" s="128"/>
      <c r="BX95" s="128"/>
      <c r="BY95" s="128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</row>
    <row r="96" spans="1:91" x14ac:dyDescent="0.2">
      <c r="A96" s="5">
        <v>85</v>
      </c>
      <c r="B96" s="33" t="s">
        <v>79</v>
      </c>
      <c r="C96" s="33"/>
      <c r="D96" s="32">
        <f t="shared" ref="D96:P96" si="38">D94</f>
        <v>1065087.9028069051</v>
      </c>
      <c r="E96" s="32">
        <f t="shared" si="38"/>
        <v>1072108.3960249547</v>
      </c>
      <c r="F96" s="32">
        <f t="shared" si="38"/>
        <v>879127.64366935391</v>
      </c>
      <c r="G96" s="32">
        <f t="shared" si="38"/>
        <v>1136013.1839630897</v>
      </c>
      <c r="H96" s="32">
        <f t="shared" si="38"/>
        <v>1116463.3515319249</v>
      </c>
      <c r="I96" s="32">
        <f t="shared" si="38"/>
        <v>1115726.1656929413</v>
      </c>
      <c r="J96" s="32">
        <f t="shared" si="38"/>
        <v>1185805.4856220009</v>
      </c>
      <c r="K96" s="32">
        <f t="shared" si="38"/>
        <v>1201011.3578069217</v>
      </c>
      <c r="L96" s="32">
        <f t="shared" si="38"/>
        <v>1343897.0463425026</v>
      </c>
      <c r="M96" s="32">
        <f t="shared" si="38"/>
        <v>1361392.9403710174</v>
      </c>
      <c r="N96" s="32">
        <f t="shared" si="38"/>
        <v>1137557.662015463</v>
      </c>
      <c r="O96" s="32">
        <f t="shared" si="38"/>
        <v>1208821.8641529251</v>
      </c>
      <c r="P96" s="32">
        <f t="shared" si="38"/>
        <v>13823013</v>
      </c>
      <c r="Q96" s="32">
        <f>SUM(Q90:Q95)</f>
        <v>2274059.6602829532</v>
      </c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28"/>
      <c r="BM96" s="128"/>
      <c r="BN96" s="128"/>
      <c r="BO96" s="128"/>
      <c r="BP96" s="128"/>
      <c r="BQ96" s="128"/>
      <c r="BR96" s="128"/>
      <c r="BS96" s="128"/>
      <c r="BT96" s="128"/>
      <c r="BU96" s="128"/>
      <c r="BV96" s="128"/>
      <c r="BW96" s="128"/>
      <c r="BX96" s="128"/>
      <c r="BY96" s="128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</row>
    <row r="97" spans="1:91" x14ac:dyDescent="0.2">
      <c r="A97" s="5">
        <v>86</v>
      </c>
      <c r="B97" s="2"/>
      <c r="C97" s="2"/>
      <c r="D97" s="474"/>
      <c r="E97" s="474"/>
      <c r="F97" s="474"/>
      <c r="G97" s="474"/>
      <c r="H97" s="474"/>
      <c r="I97" s="474"/>
      <c r="J97" s="474"/>
      <c r="K97" s="474"/>
      <c r="L97" s="474"/>
      <c r="M97" s="474"/>
      <c r="N97" s="474"/>
      <c r="O97" s="474"/>
      <c r="P97" s="2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28"/>
      <c r="BM97" s="128"/>
      <c r="BN97" s="128"/>
      <c r="BO97" s="128"/>
      <c r="BP97" s="128"/>
      <c r="BQ97" s="128"/>
      <c r="BR97" s="128"/>
      <c r="BS97" s="128"/>
      <c r="BT97" s="128"/>
      <c r="BU97" s="128"/>
      <c r="BV97" s="128"/>
      <c r="BW97" s="128"/>
      <c r="BX97" s="128"/>
      <c r="BY97" s="128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</row>
    <row r="98" spans="1:91" x14ac:dyDescent="0.2">
      <c r="A98" s="5">
        <v>87</v>
      </c>
      <c r="B98" s="2" t="s">
        <v>310</v>
      </c>
      <c r="C98" s="2"/>
      <c r="D98" s="6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8"/>
      <c r="BM98" s="128"/>
      <c r="BN98" s="128"/>
      <c r="BO98" s="128"/>
      <c r="BP98" s="128"/>
      <c r="BQ98" s="128"/>
      <c r="BR98" s="128"/>
      <c r="BS98" s="128"/>
      <c r="BT98" s="128"/>
      <c r="BU98" s="128"/>
      <c r="BV98" s="128"/>
      <c r="BW98" s="128"/>
      <c r="BX98" s="128"/>
      <c r="BY98" s="128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</row>
    <row r="99" spans="1:91" x14ac:dyDescent="0.2">
      <c r="A99" s="5">
        <v>88</v>
      </c>
      <c r="B99" s="2" t="s">
        <v>311</v>
      </c>
      <c r="C99" s="2"/>
      <c r="D99" s="61">
        <f>'Monthly Forecast'!Y98</f>
        <v>49919</v>
      </c>
      <c r="E99" s="61">
        <f>'Monthly Forecast'!Z98</f>
        <v>53628</v>
      </c>
      <c r="F99" s="61">
        <f>'Monthly Forecast'!AA98</f>
        <v>55397</v>
      </c>
      <c r="G99" s="61">
        <f>'Monthly Forecast'!AB98</f>
        <v>45327</v>
      </c>
      <c r="H99" s="61">
        <f>'Monthly Forecast'!AC98</f>
        <v>57173</v>
      </c>
      <c r="I99" s="61">
        <f>'Monthly Forecast'!AD98</f>
        <v>55395</v>
      </c>
      <c r="J99" s="61">
        <f>'Monthly Forecast'!AE98</f>
        <v>88176</v>
      </c>
      <c r="K99" s="61">
        <f>'Monthly Forecast'!AF98</f>
        <v>126545</v>
      </c>
      <c r="L99" s="61">
        <f>'Monthly Forecast'!AG98</f>
        <v>87101</v>
      </c>
      <c r="M99" s="61">
        <f>'Monthly Forecast'!AH98</f>
        <v>58133</v>
      </c>
      <c r="N99" s="61">
        <f>'Monthly Forecast'!AI98</f>
        <v>54439</v>
      </c>
      <c r="O99" s="61">
        <f>'Monthly Forecast'!AJ98</f>
        <v>74821</v>
      </c>
      <c r="P99" s="61">
        <f>SUM(D99:O99)</f>
        <v>806054</v>
      </c>
      <c r="Q99" s="61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/>
      <c r="BW99" s="128"/>
      <c r="BX99" s="128"/>
      <c r="BY99" s="128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</row>
    <row r="100" spans="1:91" x14ac:dyDescent="0.2">
      <c r="A100" s="5">
        <v>89</v>
      </c>
      <c r="B100" s="2" t="s">
        <v>99</v>
      </c>
      <c r="C100" s="2"/>
      <c r="D100" s="61">
        <f>'Monthly Forecast'!Y99+D112*'Other Revenue'!$B$64</f>
        <v>160779.81457350083</v>
      </c>
      <c r="E100" s="61">
        <f>'Monthly Forecast'!Z99+E112*'Other Revenue'!$B$64</f>
        <v>115521.98164529653</v>
      </c>
      <c r="F100" s="61">
        <f>'Monthly Forecast'!AA99+F112*'Other Revenue'!$B$64</f>
        <v>79617.151055333074</v>
      </c>
      <c r="G100" s="61">
        <f>'Monthly Forecast'!AB99+G112*'Other Revenue'!$B$64</f>
        <v>61537.547213964535</v>
      </c>
      <c r="H100" s="61">
        <f>'Monthly Forecast'!AC99+H112*'Other Revenue'!$B$64</f>
        <v>57014.385468980283</v>
      </c>
      <c r="I100" s="61">
        <f>'Monthly Forecast'!AD99+I112*'Other Revenue'!$B$64</f>
        <v>57325.355585771591</v>
      </c>
      <c r="J100" s="61">
        <f>'Monthly Forecast'!AE99+J112*'Other Revenue'!$B$64</f>
        <v>57379.080231893924</v>
      </c>
      <c r="K100" s="61">
        <f>'Monthly Forecast'!AF99+K112*'Other Revenue'!$B$64</f>
        <v>73441.529083836882</v>
      </c>
      <c r="L100" s="61">
        <f>'Monthly Forecast'!AG99+L112*'Other Revenue'!$B$64</f>
        <v>119357.21664589792</v>
      </c>
      <c r="M100" s="61">
        <f>'Monthly Forecast'!AH99+M112*'Other Revenue'!$B$64</f>
        <v>172970.8687095551</v>
      </c>
      <c r="N100" s="61">
        <f>'Monthly Forecast'!AI99+N112*'Other Revenue'!$B$64</f>
        <v>205389.44210389612</v>
      </c>
      <c r="O100" s="61">
        <f>'Monthly Forecast'!AJ99+O112*'Other Revenue'!$B$64</f>
        <v>208162.04726934849</v>
      </c>
      <c r="P100" s="61">
        <f>SUM(D100:O100)</f>
        <v>1368496.4195872755</v>
      </c>
      <c r="Q100" s="61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</row>
    <row r="101" spans="1:91" x14ac:dyDescent="0.2">
      <c r="A101" s="5">
        <v>90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28"/>
      <c r="BM101" s="128"/>
      <c r="BN101" s="128"/>
      <c r="BO101" s="128"/>
      <c r="BP101" s="128"/>
      <c r="BQ101" s="128"/>
      <c r="BR101" s="128"/>
      <c r="BS101" s="128"/>
      <c r="BT101" s="128"/>
      <c r="BU101" s="128"/>
      <c r="BV101" s="128"/>
      <c r="BW101" s="128"/>
      <c r="BX101" s="128"/>
      <c r="BY101" s="128"/>
      <c r="BZ101" s="128"/>
      <c r="CA101" s="128"/>
      <c r="CB101" s="128"/>
      <c r="CC101" s="128"/>
      <c r="CD101" s="128"/>
      <c r="CE101" s="128"/>
      <c r="CF101" s="128"/>
      <c r="CG101" s="128"/>
      <c r="CH101" s="128"/>
      <c r="CI101" s="128"/>
      <c r="CJ101" s="128"/>
      <c r="CK101" s="128"/>
      <c r="CL101" s="128"/>
      <c r="CM101" s="128"/>
    </row>
    <row r="102" spans="1:91" x14ac:dyDescent="0.2">
      <c r="A102" s="5">
        <v>91</v>
      </c>
      <c r="B102" s="173" t="s">
        <v>312</v>
      </c>
      <c r="C102" s="2"/>
      <c r="D102" s="61">
        <f>D108+D99+D100</f>
        <v>8568725.7206678297</v>
      </c>
      <c r="E102" s="61">
        <f t="shared" ref="E102:O102" si="39">E108+E99+E100</f>
        <v>7386859.0909796776</v>
      </c>
      <c r="F102" s="61">
        <f t="shared" si="39"/>
        <v>6634885.1681958055</v>
      </c>
      <c r="G102" s="61">
        <f t="shared" si="39"/>
        <v>6317330.9387917463</v>
      </c>
      <c r="H102" s="61">
        <f t="shared" si="39"/>
        <v>6446979.4408431789</v>
      </c>
      <c r="I102" s="61">
        <f t="shared" si="39"/>
        <v>6400714.1048482293</v>
      </c>
      <c r="J102" s="61">
        <f t="shared" si="39"/>
        <v>6959123.943454355</v>
      </c>
      <c r="K102" s="61">
        <f t="shared" si="39"/>
        <v>8683854.722597111</v>
      </c>
      <c r="L102" s="61">
        <f t="shared" si="39"/>
        <v>10753281.940807043</v>
      </c>
      <c r="M102" s="61">
        <f t="shared" si="39"/>
        <v>11910664.388323244</v>
      </c>
      <c r="N102" s="61">
        <f t="shared" si="39"/>
        <v>11875933.117906824</v>
      </c>
      <c r="O102" s="61">
        <f t="shared" si="39"/>
        <v>10497827.249137083</v>
      </c>
      <c r="P102" s="61">
        <f>SUM(D102:O102)</f>
        <v>102436179.82655214</v>
      </c>
      <c r="Q102" s="71"/>
      <c r="R102" s="434">
        <f>P102-'Test Year Revenue Proposed'!P44</f>
        <v>-25513.053318083286</v>
      </c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  <c r="BP102" s="128"/>
      <c r="BQ102" s="128"/>
      <c r="BR102" s="128"/>
      <c r="BS102" s="128"/>
      <c r="BT102" s="128"/>
      <c r="BU102" s="128"/>
      <c r="BV102" s="128"/>
      <c r="BW102" s="128"/>
      <c r="BX102" s="128"/>
      <c r="BY102" s="128"/>
      <c r="BZ102" s="128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28"/>
      <c r="CK102" s="128"/>
      <c r="CL102" s="128"/>
      <c r="CM102" s="128"/>
    </row>
    <row r="103" spans="1:91" x14ac:dyDescent="0.2">
      <c r="A103" s="5">
        <v>92</v>
      </c>
      <c r="B103" s="2" t="s">
        <v>218</v>
      </c>
      <c r="C103" s="2"/>
      <c r="D103" s="61">
        <f t="shared" ref="D103:O103" si="40">D62+D54+D46+D37+D28+D19</f>
        <v>6700952.852855457</v>
      </c>
      <c r="E103" s="61">
        <f t="shared" si="40"/>
        <v>3731374.7120792209</v>
      </c>
      <c r="F103" s="61">
        <f t="shared" si="40"/>
        <v>2186009.8161111251</v>
      </c>
      <c r="G103" s="61">
        <f t="shared" si="40"/>
        <v>1935979.8486930118</v>
      </c>
      <c r="H103" s="61">
        <f t="shared" si="40"/>
        <v>1873147.9046377917</v>
      </c>
      <c r="I103" s="61">
        <f t="shared" si="40"/>
        <v>1898721.8071433725</v>
      </c>
      <c r="J103" s="61">
        <f t="shared" si="40"/>
        <v>3055635.1216434315</v>
      </c>
      <c r="K103" s="61">
        <f t="shared" si="40"/>
        <v>6703385.0372818261</v>
      </c>
      <c r="L103" s="61">
        <f t="shared" si="40"/>
        <v>11375060.005554482</v>
      </c>
      <c r="M103" s="61">
        <f t="shared" si="40"/>
        <v>14342541.727350224</v>
      </c>
      <c r="N103" s="61">
        <f t="shared" si="40"/>
        <v>14428180.684907267</v>
      </c>
      <c r="O103" s="61">
        <f t="shared" si="40"/>
        <v>10478127.724551832</v>
      </c>
      <c r="P103" s="61">
        <f>SUM(D103:O103)</f>
        <v>78709117.242809042</v>
      </c>
      <c r="Q103" s="71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28"/>
      <c r="BM103" s="128"/>
      <c r="BN103" s="128"/>
      <c r="BO103" s="128"/>
      <c r="BP103" s="128"/>
      <c r="BQ103" s="128"/>
      <c r="BR103" s="128"/>
      <c r="BS103" s="128"/>
      <c r="BT103" s="128"/>
      <c r="BU103" s="128"/>
      <c r="BV103" s="128"/>
      <c r="BW103" s="128"/>
      <c r="BX103" s="128"/>
      <c r="BY103" s="128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</row>
    <row r="104" spans="1:91" x14ac:dyDescent="0.2">
      <c r="A104" s="5">
        <v>93</v>
      </c>
      <c r="B104" s="173" t="s">
        <v>313</v>
      </c>
      <c r="C104" s="2"/>
      <c r="D104" s="61">
        <f>D102+D103</f>
        <v>15269678.573523287</v>
      </c>
      <c r="E104" s="61">
        <f t="shared" ref="E104:O104" si="41">E102+E103</f>
        <v>11118233.803058898</v>
      </c>
      <c r="F104" s="61">
        <f t="shared" si="41"/>
        <v>8820894.9843069315</v>
      </c>
      <c r="G104" s="61">
        <f t="shared" si="41"/>
        <v>8253310.7874847576</v>
      </c>
      <c r="H104" s="61">
        <f t="shared" si="41"/>
        <v>8320127.345480971</v>
      </c>
      <c r="I104" s="61">
        <f t="shared" si="41"/>
        <v>8299435.9119916018</v>
      </c>
      <c r="J104" s="61">
        <f t="shared" si="41"/>
        <v>10014759.065097786</v>
      </c>
      <c r="K104" s="61">
        <f t="shared" si="41"/>
        <v>15387239.759878937</v>
      </c>
      <c r="L104" s="61">
        <f t="shared" si="41"/>
        <v>22128341.946361527</v>
      </c>
      <c r="M104" s="61">
        <f t="shared" si="41"/>
        <v>26253206.115673468</v>
      </c>
      <c r="N104" s="61">
        <f t="shared" si="41"/>
        <v>26304113.802814089</v>
      </c>
      <c r="O104" s="61">
        <f t="shared" si="41"/>
        <v>20975954.973688915</v>
      </c>
      <c r="P104" s="61">
        <f>SUM(D104:O104)</f>
        <v>181145297.06936115</v>
      </c>
      <c r="Q104" s="71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  <c r="BK104" s="129"/>
      <c r="BL104" s="128"/>
      <c r="BM104" s="128"/>
      <c r="BN104" s="128"/>
      <c r="BO104" s="128"/>
      <c r="BP104" s="128"/>
      <c r="BQ104" s="128"/>
      <c r="BR104" s="128"/>
      <c r="BS104" s="128"/>
      <c r="BT104" s="128"/>
      <c r="BU104" s="128"/>
      <c r="BV104" s="128"/>
      <c r="BW104" s="128"/>
      <c r="BX104" s="128"/>
      <c r="BY104" s="128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</row>
    <row r="105" spans="1:91" x14ac:dyDescent="0.2">
      <c r="Q105" s="71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28"/>
      <c r="BM105" s="128"/>
      <c r="BN105" s="128"/>
      <c r="BO105" s="128"/>
      <c r="BP105" s="128"/>
      <c r="BQ105" s="128"/>
      <c r="BR105" s="128"/>
      <c r="BS105" s="128"/>
      <c r="BT105" s="128"/>
      <c r="BU105" s="128"/>
      <c r="BV105" s="128"/>
      <c r="BW105" s="128"/>
      <c r="BX105" s="128"/>
      <c r="BY105" s="128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</row>
    <row r="106" spans="1:91" x14ac:dyDescent="0.2">
      <c r="A106" s="5"/>
      <c r="Q106" s="71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</row>
    <row r="107" spans="1:91" x14ac:dyDescent="0.2">
      <c r="A107" s="5"/>
      <c r="D107" s="44">
        <f t="shared" ref="D107:P107" si="42">D17+D26+D35+D44+D52+D60+D72+D87+D96</f>
        <v>3695315.8499816963</v>
      </c>
      <c r="E107" s="44">
        <f t="shared" si="42"/>
        <v>3057494.1891254815</v>
      </c>
      <c r="F107" s="44">
        <f t="shared" si="42"/>
        <v>2494711.7538955808</v>
      </c>
      <c r="G107" s="44">
        <f t="shared" si="42"/>
        <v>2559346.2445171755</v>
      </c>
      <c r="H107" s="44">
        <f t="shared" si="42"/>
        <v>2630766.4157748492</v>
      </c>
      <c r="I107" s="44">
        <f t="shared" si="42"/>
        <v>2645848.2041674</v>
      </c>
      <c r="J107" s="44">
        <f t="shared" si="42"/>
        <v>3044470.5039745411</v>
      </c>
      <c r="K107" s="44">
        <f t="shared" si="42"/>
        <v>3985615.2448344054</v>
      </c>
      <c r="L107" s="44">
        <f t="shared" si="42"/>
        <v>5319463.4698927812</v>
      </c>
      <c r="M107" s="44">
        <f t="shared" si="42"/>
        <v>5992469.7909192331</v>
      </c>
      <c r="N107" s="44">
        <f t="shared" si="42"/>
        <v>5617382.5165831316</v>
      </c>
      <c r="O107" s="44">
        <f t="shared" si="42"/>
        <v>4944422.5590277724</v>
      </c>
      <c r="P107" s="44">
        <f t="shared" si="42"/>
        <v>45987312.169694051</v>
      </c>
      <c r="Q107" s="71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28"/>
      <c r="BM107" s="128"/>
      <c r="BN107" s="128"/>
      <c r="BO107" s="128"/>
      <c r="BP107" s="128"/>
      <c r="BQ107" s="128"/>
      <c r="BR107" s="128"/>
      <c r="BS107" s="128"/>
      <c r="BT107" s="128"/>
      <c r="BU107" s="128"/>
      <c r="BV107" s="128"/>
      <c r="BW107" s="128"/>
      <c r="BX107" s="128"/>
      <c r="BY107" s="128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8"/>
      <c r="CJ107" s="128"/>
      <c r="CK107" s="128"/>
      <c r="CL107" s="128"/>
      <c r="CM107" s="128"/>
    </row>
    <row r="108" spans="1:91" x14ac:dyDescent="0.2">
      <c r="A108" s="5"/>
      <c r="C108" s="44"/>
      <c r="D108" s="76">
        <f>D89+D80+D64+D56+D48+D39+D30+D21+D12+D74</f>
        <v>8358026.9060943294</v>
      </c>
      <c r="E108" s="76">
        <f t="shared" ref="E108:O108" si="43">E89+E80+E64+E56+E48+E39+E30+E21+E12+E74</f>
        <v>7217709.1093343813</v>
      </c>
      <c r="F108" s="76">
        <f t="shared" si="43"/>
        <v>6499871.0171404723</v>
      </c>
      <c r="G108" s="76">
        <f t="shared" si="43"/>
        <v>6210466.3915777821</v>
      </c>
      <c r="H108" s="76">
        <f t="shared" si="43"/>
        <v>6332792.0553741986</v>
      </c>
      <c r="I108" s="76">
        <f t="shared" si="43"/>
        <v>6287993.7492624577</v>
      </c>
      <c r="J108" s="76">
        <f t="shared" si="43"/>
        <v>6813568.8632224612</v>
      </c>
      <c r="K108" s="76">
        <f t="shared" si="43"/>
        <v>8483868.1935132742</v>
      </c>
      <c r="L108" s="76">
        <f t="shared" si="43"/>
        <v>10546823.724161144</v>
      </c>
      <c r="M108" s="76">
        <f t="shared" si="43"/>
        <v>11679560.519613689</v>
      </c>
      <c r="N108" s="76">
        <f t="shared" si="43"/>
        <v>11616104.675802927</v>
      </c>
      <c r="O108" s="76">
        <f t="shared" si="43"/>
        <v>10214844.201867735</v>
      </c>
      <c r="P108" s="76">
        <f>P89+P80+P64+P56+P48+P39+P30+P21+P12</f>
        <v>100143628.08196485</v>
      </c>
      <c r="Q108" s="71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129"/>
      <c r="BL108" s="128"/>
      <c r="BM108" s="128"/>
      <c r="BN108" s="128"/>
      <c r="BO108" s="128"/>
      <c r="BP108" s="128"/>
      <c r="BQ108" s="128"/>
      <c r="BR108" s="128"/>
      <c r="BS108" s="128"/>
      <c r="BT108" s="128"/>
      <c r="BU108" s="128"/>
      <c r="BV108" s="128"/>
      <c r="BW108" s="128"/>
      <c r="BX108" s="128"/>
      <c r="BY108" s="128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  <c r="CJ108" s="128"/>
      <c r="CK108" s="128"/>
      <c r="CL108" s="128"/>
      <c r="CM108" s="128"/>
    </row>
    <row r="109" spans="1:91" x14ac:dyDescent="0.2">
      <c r="A109" s="5"/>
      <c r="C109" s="44"/>
      <c r="D109" s="76">
        <f>D62+D54+D46+D37+D28+D19</f>
        <v>6700952.852855457</v>
      </c>
      <c r="E109" s="76">
        <f>E62+E54+E46+E37+E28+E19</f>
        <v>3731374.7120792209</v>
      </c>
      <c r="F109" s="76">
        <f>F62+F54+F46+F37+F28+F19</f>
        <v>2186009.8161111251</v>
      </c>
      <c r="G109" s="76">
        <f>G62+G54+G46+G37+G28+G19</f>
        <v>1935979.8486930118</v>
      </c>
      <c r="H109" s="76">
        <f t="shared" ref="H109:P109" si="44">H62+H54+H46+H37+H28+H19</f>
        <v>1873147.9046377917</v>
      </c>
      <c r="I109" s="76">
        <f t="shared" si="44"/>
        <v>1898721.8071433725</v>
      </c>
      <c r="J109" s="76">
        <f t="shared" si="44"/>
        <v>3055635.1216434315</v>
      </c>
      <c r="K109" s="76">
        <f t="shared" si="44"/>
        <v>6703385.0372818261</v>
      </c>
      <c r="L109" s="76">
        <f t="shared" si="44"/>
        <v>11375060.005554482</v>
      </c>
      <c r="M109" s="76">
        <f t="shared" si="44"/>
        <v>14342541.727350224</v>
      </c>
      <c r="N109" s="76">
        <f t="shared" si="44"/>
        <v>14428180.684907267</v>
      </c>
      <c r="O109" s="76">
        <f t="shared" si="44"/>
        <v>10478127.724551832</v>
      </c>
      <c r="P109" s="76">
        <f t="shared" si="44"/>
        <v>78709117.242809042</v>
      </c>
      <c r="Q109" s="71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8"/>
      <c r="BM109" s="128"/>
      <c r="BN109" s="128"/>
      <c r="BO109" s="128"/>
      <c r="BP109" s="128"/>
      <c r="BQ109" s="128"/>
      <c r="BR109" s="128"/>
      <c r="BS109" s="128"/>
      <c r="BT109" s="128"/>
      <c r="BU109" s="128"/>
      <c r="BV109" s="128"/>
      <c r="BW109" s="128"/>
      <c r="BX109" s="128"/>
      <c r="BY109" s="128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</row>
    <row r="110" spans="1:91" x14ac:dyDescent="0.2">
      <c r="A110" s="5"/>
      <c r="D110" s="76"/>
      <c r="O110" s="18"/>
      <c r="P110" s="18"/>
      <c r="Q110" s="71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</row>
    <row r="111" spans="1:91" x14ac:dyDescent="0.2">
      <c r="A111" s="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27"/>
      <c r="P111" s="27"/>
      <c r="Q111" s="84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</row>
    <row r="112" spans="1:91" x14ac:dyDescent="0.2">
      <c r="A112" s="5"/>
      <c r="B112" s="3" t="s">
        <v>649</v>
      </c>
      <c r="D112" s="71">
        <f>(D12+D21+D39)-('Test Year Monthly - (Pres)'!D12+'Test Year Monthly - (Pres)'!D21+'Test Year Monthly - (Pres)'!D39)</f>
        <v>679999.23805030622</v>
      </c>
      <c r="E112" s="71">
        <f>(E12+E21+E39)-('Test Year Monthly - (Pres)'!E12+'Test Year Monthly - (Pres)'!E21+'Test Year Monthly - (Pres)'!E39)</f>
        <v>488601.26591769978</v>
      </c>
      <c r="F112" s="71">
        <f>(F12+F21+F39)-('Test Year Monthly - (Pres)'!F12+'Test Year Monthly - (Pres)'!F21+'Test Year Monthly - (Pres)'!F39)</f>
        <v>396441.50288670883</v>
      </c>
      <c r="G112" s="71">
        <f>(G12+G21+G39)-('Test Year Monthly - (Pres)'!G12+'Test Year Monthly - (Pres)'!G21+'Test Year Monthly - (Pres)'!G39)</f>
        <v>371525.27528250404</v>
      </c>
      <c r="H112" s="71">
        <f>(H12+H21+H39)-('Test Year Monthly - (Pres)'!H12+'Test Year Monthly - (Pres)'!H21+'Test Year Monthly - (Pres)'!H39)</f>
        <v>374156.14742902759</v>
      </c>
      <c r="I112" s="71">
        <f>(I12+I21+I39)-('Test Year Monthly - (Pres)'!I12+'Test Year Monthly - (Pres)'!I21+'Test Year Monthly - (Pres)'!I39)</f>
        <v>369735.98465141002</v>
      </c>
      <c r="J112" s="71">
        <f>(J12+J21+J39)-('Test Year Monthly - (Pres)'!J12+'Test Year Monthly - (Pres)'!J21+'Test Year Monthly - (Pres)'!J39)</f>
        <v>440276.46676788572</v>
      </c>
      <c r="K112" s="71">
        <f>(K12+K21+K39)-('Test Year Monthly - (Pres)'!K12+'Test Year Monthly - (Pres)'!K21+'Test Year Monthly - (Pres)'!K39)</f>
        <v>674948.12320035417</v>
      </c>
      <c r="L112" s="71">
        <f>(L12+L21+L39)-('Test Year Monthly - (Pres)'!L12+'Test Year Monthly - (Pres)'!L21+'Test Year Monthly - (Pres)'!L39)</f>
        <v>948489.16428341623</v>
      </c>
      <c r="M112" s="71">
        <f>(M12+M21+M39)-('Test Year Monthly - (Pres)'!M12+'Test Year Monthly - (Pres)'!M21+'Test Year Monthly - (Pres)'!M39)</f>
        <v>1115449.4823678089</v>
      </c>
      <c r="N112" s="71">
        <f>(N12+N21+N39)-('Test Year Monthly - (Pres)'!N12+'Test Year Monthly - (Pres)'!N21+'Test Year Monthly - (Pres)'!N39)</f>
        <v>1153179.0798143335</v>
      </c>
      <c r="O112" s="71">
        <f>(O12+O21+O39)-('Test Year Monthly - (Pres)'!O12+'Test Year Monthly - (Pres)'!O21+'Test Year Monthly - (Pres)'!O39)</f>
        <v>912169.04346186947</v>
      </c>
      <c r="P112" s="38"/>
      <c r="Q112" s="17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</row>
    <row r="113" spans="1:91" x14ac:dyDescent="0.2">
      <c r="A113" s="5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38"/>
      <c r="P113" s="38"/>
      <c r="Q113" s="17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</row>
    <row r="114" spans="1:91" x14ac:dyDescent="0.2">
      <c r="A114" s="5"/>
      <c r="B114" s="3" t="s">
        <v>403</v>
      </c>
      <c r="D114" s="44">
        <f>D17+D26+D35+D44</f>
        <v>1427674.5456991</v>
      </c>
      <c r="E114" s="44">
        <f t="shared" ref="E114:O114" si="45">E17+E26+E35+E44</f>
        <v>747111.90533803555</v>
      </c>
      <c r="F114" s="44">
        <f t="shared" si="45"/>
        <v>436240.93382711161</v>
      </c>
      <c r="G114" s="44">
        <f t="shared" si="45"/>
        <v>360952.1323041509</v>
      </c>
      <c r="H114" s="44">
        <f t="shared" si="45"/>
        <v>365301.37880852114</v>
      </c>
      <c r="I114" s="44">
        <f t="shared" si="45"/>
        <v>366451.60314551846</v>
      </c>
      <c r="J114" s="44">
        <f t="shared" si="45"/>
        <v>618587.79804595397</v>
      </c>
      <c r="K114" s="44">
        <f t="shared" si="45"/>
        <v>1407466.730749008</v>
      </c>
      <c r="L114" s="44">
        <f t="shared" si="45"/>
        <v>2381216.8629047833</v>
      </c>
      <c r="M114" s="44">
        <f t="shared" si="45"/>
        <v>3004273.2877467885</v>
      </c>
      <c r="N114" s="44">
        <f t="shared" si="45"/>
        <v>3086809.5242474405</v>
      </c>
      <c r="O114" s="44">
        <f t="shared" si="45"/>
        <v>2240879.0298776357</v>
      </c>
      <c r="P114" s="27">
        <f>SUM(D114:O114)</f>
        <v>16442965.732694048</v>
      </c>
      <c r="Q114" s="17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</row>
    <row r="115" spans="1:91" x14ac:dyDescent="0.2">
      <c r="A115" s="5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</row>
    <row r="116" spans="1:91" x14ac:dyDescent="0.2">
      <c r="A116" s="5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8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</row>
    <row r="117" spans="1:91" x14ac:dyDescent="0.2">
      <c r="A117" s="5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8"/>
      <c r="BM117" s="128"/>
      <c r="BN117" s="128"/>
      <c r="BO117" s="128"/>
      <c r="BP117" s="128"/>
      <c r="BQ117" s="128"/>
      <c r="BR117" s="128"/>
      <c r="BS117" s="128"/>
      <c r="BT117" s="128"/>
      <c r="BU117" s="128"/>
      <c r="BV117" s="128"/>
      <c r="BW117" s="128"/>
      <c r="BX117" s="128"/>
      <c r="BY117" s="128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</row>
    <row r="118" spans="1:91" x14ac:dyDescent="0.2">
      <c r="A118" s="16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</row>
    <row r="119" spans="1:91" x14ac:dyDescent="0.2">
      <c r="A119" s="16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28"/>
      <c r="BM119" s="128"/>
      <c r="BN119" s="128"/>
      <c r="BO119" s="128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</row>
    <row r="120" spans="1:91" x14ac:dyDescent="0.2">
      <c r="A120" s="16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8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</row>
    <row r="121" spans="1:91" x14ac:dyDescent="0.2">
      <c r="A121" s="16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W121" s="128"/>
      <c r="BX121" s="128"/>
      <c r="BY121" s="128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</row>
    <row r="122" spans="1:91" x14ac:dyDescent="0.2">
      <c r="A122" s="16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28"/>
      <c r="BM122" s="128"/>
      <c r="BN122" s="128"/>
      <c r="BO122" s="128"/>
      <c r="BP122" s="128"/>
      <c r="BQ122" s="128"/>
      <c r="BR122" s="128"/>
      <c r="BS122" s="128"/>
      <c r="BT122" s="128"/>
      <c r="BU122" s="128"/>
      <c r="BV122" s="128"/>
      <c r="BW122" s="128"/>
      <c r="BX122" s="128"/>
      <c r="BY122" s="128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</row>
    <row r="123" spans="1:91" x14ac:dyDescent="0.2">
      <c r="A123" s="16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28"/>
      <c r="BM123" s="128"/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</row>
    <row r="124" spans="1:91" x14ac:dyDescent="0.2">
      <c r="A124" s="16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8"/>
      <c r="BZ124" s="128"/>
      <c r="CA124" s="128"/>
      <c r="CB124" s="128"/>
      <c r="CC124" s="128"/>
      <c r="CD124" s="128"/>
      <c r="CE124" s="128"/>
      <c r="CF124" s="128"/>
      <c r="CG124" s="128"/>
      <c r="CH124" s="128"/>
      <c r="CI124" s="128"/>
      <c r="CJ124" s="128"/>
      <c r="CK124" s="128"/>
      <c r="CL124" s="128"/>
      <c r="CM124" s="128"/>
    </row>
    <row r="125" spans="1:91" x14ac:dyDescent="0.2">
      <c r="A125" s="16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  <c r="BW125" s="128"/>
      <c r="BX125" s="128"/>
      <c r="BY125" s="128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</row>
    <row r="126" spans="1:91" x14ac:dyDescent="0.2">
      <c r="A126" s="16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28"/>
      <c r="BM126" s="128"/>
      <c r="BN126" s="128"/>
      <c r="BO126" s="128"/>
      <c r="BP126" s="128"/>
      <c r="BQ126" s="128"/>
      <c r="BR126" s="128"/>
      <c r="BS126" s="128"/>
      <c r="BT126" s="128"/>
      <c r="BU126" s="128"/>
      <c r="BV126" s="128"/>
      <c r="BW126" s="128"/>
      <c r="BX126" s="128"/>
      <c r="BY126" s="128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8"/>
      <c r="CJ126" s="128"/>
      <c r="CK126" s="128"/>
      <c r="CL126" s="128"/>
      <c r="CM126" s="128"/>
    </row>
    <row r="127" spans="1:91" x14ac:dyDescent="0.2">
      <c r="A127" s="16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28"/>
      <c r="BM127" s="128"/>
      <c r="BN127" s="128"/>
      <c r="BO127" s="128"/>
      <c r="BP127" s="128"/>
      <c r="BQ127" s="128"/>
      <c r="BR127" s="128"/>
      <c r="BS127" s="128"/>
      <c r="BT127" s="128"/>
      <c r="BU127" s="128"/>
      <c r="BV127" s="128"/>
      <c r="BW127" s="128"/>
      <c r="BX127" s="128"/>
      <c r="BY127" s="128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</row>
    <row r="128" spans="1:91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8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</row>
    <row r="129" spans="1:91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  <c r="BW129" s="128"/>
      <c r="BX129" s="128"/>
      <c r="BY129" s="128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</row>
    <row r="130" spans="1:91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28"/>
      <c r="BM130" s="128"/>
      <c r="BN130" s="128"/>
      <c r="BO130" s="128"/>
      <c r="BP130" s="128"/>
      <c r="BQ130" s="128"/>
      <c r="BR130" s="128"/>
      <c r="BS130" s="128"/>
      <c r="BT130" s="128"/>
      <c r="BU130" s="128"/>
      <c r="BV130" s="128"/>
      <c r="BW130" s="128"/>
      <c r="BX130" s="128"/>
      <c r="BY130" s="128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</row>
    <row r="131" spans="1:91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28"/>
      <c r="BM131" s="128"/>
      <c r="BN131" s="128"/>
      <c r="BO131" s="128"/>
      <c r="BP131" s="128"/>
      <c r="BQ131" s="128"/>
      <c r="BR131" s="128"/>
      <c r="BS131" s="128"/>
      <c r="BT131" s="128"/>
      <c r="BU131" s="128"/>
      <c r="BV131" s="128"/>
      <c r="BW131" s="128"/>
      <c r="BX131" s="128"/>
      <c r="BY131" s="128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</row>
    <row r="132" spans="1:91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8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</row>
    <row r="133" spans="1:91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</row>
    <row r="134" spans="1:91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</row>
    <row r="135" spans="1:91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</row>
    <row r="136" spans="1:91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</row>
    <row r="137" spans="1:91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</row>
    <row r="138" spans="1:91" x14ac:dyDescent="0.2">
      <c r="A138" s="17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</row>
    <row r="139" spans="1:91" x14ac:dyDescent="0.2">
      <c r="A139" s="17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</row>
    <row r="140" spans="1:91" x14ac:dyDescent="0.2">
      <c r="A140" s="17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</row>
    <row r="141" spans="1:91" x14ac:dyDescent="0.2">
      <c r="A141" s="17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</row>
    <row r="142" spans="1:91" x14ac:dyDescent="0.2">
      <c r="A142" s="17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</row>
    <row r="143" spans="1:91" x14ac:dyDescent="0.2">
      <c r="A143" s="17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</row>
    <row r="144" spans="1:91" x14ac:dyDescent="0.2">
      <c r="A144" s="17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</row>
    <row r="145" spans="1:91" x14ac:dyDescent="0.2">
      <c r="A145" s="17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128"/>
      <c r="BY145" s="128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</row>
    <row r="146" spans="1:91" x14ac:dyDescent="0.2">
      <c r="A146" s="17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  <c r="BR146" s="128"/>
      <c r="BS146" s="128"/>
      <c r="BT146" s="128"/>
      <c r="BU146" s="128"/>
      <c r="BV146" s="128"/>
      <c r="BW146" s="128"/>
      <c r="BX146" s="128"/>
      <c r="BY146" s="128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</row>
    <row r="147" spans="1:91" x14ac:dyDescent="0.2">
      <c r="A147" s="17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128"/>
      <c r="BY147" s="128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</row>
    <row r="148" spans="1:91" x14ac:dyDescent="0.2">
      <c r="A148" s="17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8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</row>
    <row r="149" spans="1:91" x14ac:dyDescent="0.2">
      <c r="A149" s="17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</row>
    <row r="150" spans="1:91" x14ac:dyDescent="0.2">
      <c r="A150" s="17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</row>
    <row r="151" spans="1:91" x14ac:dyDescent="0.2">
      <c r="A151" s="17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</row>
    <row r="152" spans="1:91" x14ac:dyDescent="0.2">
      <c r="A152" s="17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  <c r="BP152" s="128"/>
      <c r="BQ152" s="128"/>
      <c r="BR152" s="128"/>
      <c r="BS152" s="128"/>
      <c r="BT152" s="128"/>
      <c r="BU152" s="128"/>
      <c r="BV152" s="128"/>
      <c r="BW152" s="128"/>
      <c r="BX152" s="128"/>
      <c r="BY152" s="128"/>
      <c r="BZ152" s="128"/>
      <c r="CA152" s="128"/>
      <c r="CB152" s="128"/>
      <c r="CC152" s="128"/>
      <c r="CD152" s="128"/>
      <c r="CE152" s="128"/>
      <c r="CF152" s="128"/>
      <c r="CG152" s="128"/>
      <c r="CH152" s="128"/>
      <c r="CI152" s="128"/>
      <c r="CJ152" s="128"/>
      <c r="CK152" s="128"/>
      <c r="CL152" s="128"/>
      <c r="CM152" s="128"/>
    </row>
    <row r="153" spans="1:91" x14ac:dyDescent="0.2">
      <c r="A153" s="17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128"/>
      <c r="BY153" s="128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</row>
    <row r="154" spans="1:91" x14ac:dyDescent="0.2">
      <c r="A154" s="17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  <c r="BR154" s="128"/>
      <c r="BS154" s="128"/>
      <c r="BT154" s="128"/>
      <c r="BU154" s="128"/>
      <c r="BV154" s="128"/>
      <c r="BW154" s="128"/>
      <c r="BX154" s="128"/>
      <c r="BY154" s="128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</row>
    <row r="155" spans="1:91" x14ac:dyDescent="0.2">
      <c r="A155" s="17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128"/>
      <c r="BY155" s="128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</row>
    <row r="156" spans="1:91" x14ac:dyDescent="0.2">
      <c r="A156" s="17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128"/>
      <c r="BN156" s="128"/>
      <c r="BO156" s="128"/>
      <c r="BP156" s="128"/>
      <c r="BQ156" s="128"/>
      <c r="BR156" s="128"/>
      <c r="BS156" s="128"/>
      <c r="BT156" s="128"/>
      <c r="BU156" s="128"/>
      <c r="BV156" s="128"/>
      <c r="BW156" s="128"/>
      <c r="BX156" s="128"/>
      <c r="BY156" s="128"/>
      <c r="BZ156" s="128"/>
      <c r="CA156" s="128"/>
      <c r="CB156" s="128"/>
      <c r="CC156" s="128"/>
      <c r="CD156" s="128"/>
      <c r="CE156" s="128"/>
      <c r="CF156" s="128"/>
      <c r="CG156" s="128"/>
      <c r="CH156" s="128"/>
      <c r="CI156" s="128"/>
      <c r="CJ156" s="128"/>
      <c r="CK156" s="128"/>
      <c r="CL156" s="128"/>
      <c r="CM156" s="128"/>
    </row>
    <row r="157" spans="1:91" x14ac:dyDescent="0.2">
      <c r="A157" s="17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8"/>
      <c r="BY157" s="128"/>
      <c r="BZ157" s="128"/>
      <c r="CA157" s="128"/>
      <c r="CB157" s="128"/>
      <c r="CC157" s="128"/>
      <c r="CD157" s="128"/>
      <c r="CE157" s="128"/>
      <c r="CF157" s="128"/>
      <c r="CG157" s="128"/>
      <c r="CH157" s="128"/>
      <c r="CI157" s="128"/>
      <c r="CJ157" s="128"/>
      <c r="CK157" s="128"/>
      <c r="CL157" s="128"/>
      <c r="CM157" s="128"/>
    </row>
    <row r="158" spans="1:91" x14ac:dyDescent="0.2">
      <c r="A158" s="17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  <c r="BP158" s="128"/>
      <c r="BQ158" s="128"/>
      <c r="BR158" s="128"/>
      <c r="BS158" s="128"/>
      <c r="BT158" s="128"/>
      <c r="BU158" s="128"/>
      <c r="BV158" s="128"/>
      <c r="BW158" s="128"/>
      <c r="BX158" s="128"/>
      <c r="BY158" s="128"/>
      <c r="BZ158" s="128"/>
      <c r="CA158" s="128"/>
      <c r="CB158" s="128"/>
      <c r="CC158" s="128"/>
      <c r="CD158" s="128"/>
      <c r="CE158" s="128"/>
      <c r="CF158" s="128"/>
      <c r="CG158" s="128"/>
      <c r="CH158" s="128"/>
      <c r="CI158" s="128"/>
      <c r="CJ158" s="128"/>
      <c r="CK158" s="128"/>
      <c r="CL158" s="128"/>
      <c r="CM158" s="128"/>
    </row>
    <row r="159" spans="1:91" x14ac:dyDescent="0.2">
      <c r="A159" s="17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  <c r="BR159" s="128"/>
      <c r="BS159" s="128"/>
      <c r="BT159" s="128"/>
      <c r="BU159" s="128"/>
      <c r="BV159" s="128"/>
      <c r="BW159" s="128"/>
      <c r="BX159" s="128"/>
      <c r="BY159" s="128"/>
      <c r="BZ159" s="128"/>
      <c r="CA159" s="128"/>
      <c r="CB159" s="128"/>
      <c r="CC159" s="128"/>
      <c r="CD159" s="128"/>
      <c r="CE159" s="128"/>
      <c r="CF159" s="128"/>
      <c r="CG159" s="128"/>
      <c r="CH159" s="128"/>
      <c r="CI159" s="128"/>
      <c r="CJ159" s="128"/>
      <c r="CK159" s="128"/>
      <c r="CL159" s="128"/>
      <c r="CM159" s="128"/>
    </row>
    <row r="160" spans="1:91" x14ac:dyDescent="0.2">
      <c r="A160" s="17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  <c r="BR160" s="128"/>
      <c r="BS160" s="128"/>
      <c r="BT160" s="128"/>
      <c r="BU160" s="128"/>
      <c r="BV160" s="128"/>
      <c r="BW160" s="128"/>
      <c r="BX160" s="128"/>
      <c r="BY160" s="128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</row>
    <row r="161" spans="1:91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  <c r="BR161" s="128"/>
      <c r="BS161" s="128"/>
      <c r="BT161" s="128"/>
      <c r="BU161" s="128"/>
      <c r="BV161" s="128"/>
      <c r="BW161" s="128"/>
      <c r="BX161" s="128"/>
      <c r="BY161" s="128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</row>
    <row r="162" spans="1:91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  <c r="BR162" s="128"/>
      <c r="BS162" s="128"/>
      <c r="BT162" s="128"/>
      <c r="BU162" s="128"/>
      <c r="BV162" s="128"/>
      <c r="BW162" s="128"/>
      <c r="BX162" s="128"/>
      <c r="BY162" s="128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</row>
    <row r="163" spans="1:91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</row>
    <row r="164" spans="1:91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  <c r="BR164" s="128"/>
      <c r="BS164" s="128"/>
      <c r="BT164" s="128"/>
      <c r="BU164" s="128"/>
      <c r="BV164" s="128"/>
      <c r="BW164" s="128"/>
      <c r="BX164" s="128"/>
      <c r="BY164" s="128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</row>
    <row r="165" spans="1:91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  <c r="BQ165" s="128"/>
      <c r="BR165" s="128"/>
      <c r="BS165" s="128"/>
      <c r="BT165" s="128"/>
      <c r="BU165" s="128"/>
      <c r="BV165" s="128"/>
      <c r="BW165" s="128"/>
      <c r="BX165" s="128"/>
      <c r="BY165" s="128"/>
      <c r="BZ165" s="128"/>
      <c r="CA165" s="128"/>
      <c r="CB165" s="128"/>
      <c r="CC165" s="128"/>
      <c r="CD165" s="128"/>
      <c r="CE165" s="128"/>
      <c r="CF165" s="128"/>
      <c r="CG165" s="128"/>
      <c r="CH165" s="128"/>
      <c r="CI165" s="128"/>
      <c r="CJ165" s="128"/>
      <c r="CK165" s="128"/>
      <c r="CL165" s="128"/>
      <c r="CM165" s="128"/>
    </row>
    <row r="166" spans="1:91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128"/>
      <c r="BY166" s="128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</row>
    <row r="167" spans="1:91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128"/>
      <c r="BN167" s="128"/>
      <c r="BO167" s="128"/>
      <c r="BP167" s="128"/>
      <c r="BQ167" s="128"/>
      <c r="BR167" s="128"/>
      <c r="BS167" s="128"/>
      <c r="BT167" s="128"/>
      <c r="BU167" s="128"/>
      <c r="BV167" s="128"/>
      <c r="BW167" s="128"/>
      <c r="BX167" s="128"/>
      <c r="BY167" s="128"/>
      <c r="BZ167" s="128"/>
      <c r="CA167" s="128"/>
      <c r="CB167" s="128"/>
      <c r="CC167" s="128"/>
      <c r="CD167" s="128"/>
      <c r="CE167" s="128"/>
      <c r="CF167" s="128"/>
      <c r="CG167" s="128"/>
      <c r="CH167" s="128"/>
      <c r="CI167" s="128"/>
      <c r="CJ167" s="128"/>
      <c r="CK167" s="128"/>
      <c r="CL167" s="128"/>
      <c r="CM167" s="128"/>
    </row>
    <row r="168" spans="1:91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128"/>
      <c r="BN168" s="128"/>
      <c r="BO168" s="128"/>
      <c r="BP168" s="128"/>
      <c r="BQ168" s="128"/>
      <c r="BR168" s="128"/>
      <c r="BS168" s="128"/>
      <c r="BT168" s="128"/>
      <c r="BU168" s="128"/>
      <c r="BV168" s="128"/>
      <c r="BW168" s="128"/>
      <c r="BX168" s="128"/>
      <c r="BY168" s="128"/>
      <c r="BZ168" s="128"/>
      <c r="CA168" s="128"/>
      <c r="CB168" s="128"/>
      <c r="CC168" s="128"/>
      <c r="CD168" s="128"/>
      <c r="CE168" s="128"/>
      <c r="CF168" s="128"/>
      <c r="CG168" s="128"/>
      <c r="CH168" s="128"/>
      <c r="CI168" s="128"/>
      <c r="CJ168" s="128"/>
      <c r="CK168" s="128"/>
      <c r="CL168" s="128"/>
      <c r="CM168" s="128"/>
    </row>
    <row r="169" spans="1:91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128"/>
      <c r="BN169" s="128"/>
      <c r="BO169" s="128"/>
      <c r="BP169" s="128"/>
      <c r="BQ169" s="128"/>
      <c r="BR169" s="128"/>
      <c r="BS169" s="128"/>
      <c r="BT169" s="128"/>
      <c r="BU169" s="128"/>
      <c r="BV169" s="128"/>
      <c r="BW169" s="128"/>
      <c r="BX169" s="128"/>
      <c r="BY169" s="128"/>
      <c r="BZ169" s="128"/>
      <c r="CA169" s="128"/>
      <c r="CB169" s="128"/>
      <c r="CC169" s="128"/>
      <c r="CD169" s="128"/>
      <c r="CE169" s="128"/>
      <c r="CF169" s="128"/>
      <c r="CG169" s="128"/>
      <c r="CH169" s="128"/>
      <c r="CI169" s="128"/>
      <c r="CJ169" s="128"/>
      <c r="CK169" s="128"/>
      <c r="CL169" s="128"/>
      <c r="CM169" s="128"/>
    </row>
    <row r="170" spans="1:91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128"/>
      <c r="BN170" s="128"/>
      <c r="BO170" s="128"/>
      <c r="BP170" s="128"/>
      <c r="BQ170" s="128"/>
      <c r="BR170" s="128"/>
      <c r="BS170" s="128"/>
      <c r="BT170" s="128"/>
      <c r="BU170" s="128"/>
      <c r="BV170" s="128"/>
      <c r="BW170" s="128"/>
      <c r="BX170" s="128"/>
      <c r="BY170" s="128"/>
      <c r="BZ170" s="128"/>
      <c r="CA170" s="128"/>
      <c r="CB170" s="128"/>
      <c r="CC170" s="128"/>
      <c r="CD170" s="128"/>
      <c r="CE170" s="128"/>
      <c r="CF170" s="128"/>
      <c r="CG170" s="128"/>
      <c r="CH170" s="128"/>
      <c r="CI170" s="128"/>
      <c r="CJ170" s="128"/>
      <c r="CK170" s="128"/>
      <c r="CL170" s="128"/>
      <c r="CM170" s="128"/>
    </row>
    <row r="171" spans="1:91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  <c r="BR171" s="128"/>
      <c r="BS171" s="128"/>
      <c r="BT171" s="128"/>
      <c r="BU171" s="128"/>
      <c r="BV171" s="128"/>
      <c r="BW171" s="128"/>
      <c r="BX171" s="128"/>
      <c r="BY171" s="128"/>
      <c r="BZ171" s="128"/>
      <c r="CA171" s="128"/>
      <c r="CB171" s="128"/>
      <c r="CC171" s="128"/>
      <c r="CD171" s="128"/>
      <c r="CE171" s="128"/>
      <c r="CF171" s="128"/>
      <c r="CG171" s="128"/>
      <c r="CH171" s="128"/>
      <c r="CI171" s="128"/>
      <c r="CJ171" s="128"/>
      <c r="CK171" s="128"/>
      <c r="CL171" s="128"/>
      <c r="CM171" s="128"/>
    </row>
    <row r="172" spans="1:91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8"/>
      <c r="BX172" s="128"/>
      <c r="BY172" s="128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</row>
    <row r="173" spans="1:91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28"/>
      <c r="CD173" s="128"/>
      <c r="CE173" s="128"/>
      <c r="CF173" s="128"/>
      <c r="CG173" s="128"/>
      <c r="CH173" s="128"/>
      <c r="CI173" s="128"/>
      <c r="CJ173" s="128"/>
      <c r="CK173" s="128"/>
      <c r="CL173" s="128"/>
      <c r="CM173" s="128"/>
    </row>
    <row r="174" spans="1:91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128"/>
      <c r="BY174" s="128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</row>
    <row r="175" spans="1:91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</row>
    <row r="176" spans="1:91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  <c r="BP176" s="128"/>
      <c r="BQ176" s="128"/>
      <c r="BR176" s="128"/>
      <c r="BS176" s="128"/>
      <c r="BT176" s="128"/>
      <c r="BU176" s="128"/>
      <c r="BV176" s="128"/>
      <c r="BW176" s="128"/>
      <c r="BX176" s="128"/>
      <c r="BY176" s="128"/>
      <c r="BZ176" s="128"/>
      <c r="CA176" s="128"/>
      <c r="CB176" s="128"/>
      <c r="CC176" s="128"/>
      <c r="CD176" s="128"/>
      <c r="CE176" s="128"/>
      <c r="CF176" s="128"/>
      <c r="CG176" s="128"/>
      <c r="CH176" s="128"/>
      <c r="CI176" s="128"/>
      <c r="CJ176" s="128"/>
      <c r="CK176" s="128"/>
      <c r="CL176" s="128"/>
      <c r="CM176" s="128"/>
    </row>
    <row r="177" spans="1:91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128"/>
      <c r="BN177" s="128"/>
      <c r="BO177" s="128"/>
      <c r="BP177" s="128"/>
      <c r="BQ177" s="128"/>
      <c r="BR177" s="128"/>
      <c r="BS177" s="128"/>
      <c r="BT177" s="128"/>
      <c r="BU177" s="128"/>
      <c r="BV177" s="128"/>
      <c r="BW177" s="128"/>
      <c r="BX177" s="128"/>
      <c r="BY177" s="128"/>
      <c r="BZ177" s="128"/>
      <c r="CA177" s="128"/>
      <c r="CB177" s="128"/>
      <c r="CC177" s="128"/>
      <c r="CD177" s="128"/>
      <c r="CE177" s="128"/>
      <c r="CF177" s="128"/>
      <c r="CG177" s="128"/>
      <c r="CH177" s="128"/>
      <c r="CI177" s="128"/>
      <c r="CJ177" s="128"/>
      <c r="CK177" s="128"/>
      <c r="CL177" s="128"/>
      <c r="CM177" s="128"/>
    </row>
    <row r="178" spans="1:91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  <c r="BP178" s="128"/>
      <c r="BQ178" s="128"/>
      <c r="BR178" s="128"/>
      <c r="BS178" s="128"/>
      <c r="BT178" s="128"/>
      <c r="BU178" s="128"/>
      <c r="BV178" s="128"/>
      <c r="BW178" s="128"/>
      <c r="BX178" s="128"/>
      <c r="BY178" s="128"/>
      <c r="BZ178" s="128"/>
      <c r="CA178" s="128"/>
      <c r="CB178" s="128"/>
      <c r="CC178" s="128"/>
      <c r="CD178" s="128"/>
      <c r="CE178" s="128"/>
      <c r="CF178" s="128"/>
      <c r="CG178" s="128"/>
      <c r="CH178" s="128"/>
      <c r="CI178" s="128"/>
      <c r="CJ178" s="128"/>
      <c r="CK178" s="128"/>
      <c r="CL178" s="128"/>
      <c r="CM178" s="128"/>
    </row>
    <row r="179" spans="1:91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8"/>
      <c r="BX179" s="128"/>
      <c r="BY179" s="128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</row>
    <row r="180" spans="1:91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  <c r="BR180" s="128"/>
      <c r="BS180" s="128"/>
      <c r="BT180" s="128"/>
      <c r="BU180" s="128"/>
      <c r="BV180" s="128"/>
      <c r="BW180" s="128"/>
      <c r="BX180" s="128"/>
      <c r="BY180" s="128"/>
      <c r="BZ180" s="128"/>
      <c r="CA180" s="128"/>
      <c r="CB180" s="128"/>
      <c r="CC180" s="128"/>
      <c r="CD180" s="128"/>
      <c r="CE180" s="128"/>
      <c r="CF180" s="128"/>
      <c r="CG180" s="128"/>
      <c r="CH180" s="128"/>
      <c r="CI180" s="128"/>
      <c r="CJ180" s="128"/>
      <c r="CK180" s="128"/>
      <c r="CL180" s="128"/>
      <c r="CM180" s="128"/>
    </row>
    <row r="181" spans="1:91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8"/>
      <c r="BX181" s="128"/>
      <c r="BY181" s="128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</row>
    <row r="182" spans="1:91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  <c r="BR182" s="128"/>
      <c r="BS182" s="128"/>
      <c r="BT182" s="128"/>
      <c r="BU182" s="128"/>
      <c r="BV182" s="128"/>
      <c r="BW182" s="128"/>
      <c r="BX182" s="128"/>
      <c r="BY182" s="128"/>
      <c r="BZ182" s="128"/>
      <c r="CA182" s="128"/>
      <c r="CB182" s="128"/>
      <c r="CC182" s="128"/>
      <c r="CD182" s="128"/>
      <c r="CE182" s="128"/>
      <c r="CF182" s="128"/>
      <c r="CG182" s="128"/>
      <c r="CH182" s="128"/>
      <c r="CI182" s="128"/>
      <c r="CJ182" s="128"/>
      <c r="CK182" s="128"/>
      <c r="CL182" s="128"/>
      <c r="CM182" s="128"/>
    </row>
    <row r="183" spans="1:91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  <c r="BR183" s="128"/>
      <c r="BS183" s="128"/>
      <c r="BT183" s="128"/>
      <c r="BU183" s="128"/>
      <c r="BV183" s="128"/>
      <c r="BW183" s="128"/>
      <c r="BX183" s="128"/>
      <c r="BY183" s="128"/>
      <c r="BZ183" s="128"/>
      <c r="CA183" s="128"/>
      <c r="CB183" s="128"/>
      <c r="CC183" s="128"/>
      <c r="CD183" s="128"/>
      <c r="CE183" s="128"/>
      <c r="CF183" s="128"/>
      <c r="CG183" s="128"/>
      <c r="CH183" s="128"/>
      <c r="CI183" s="128"/>
      <c r="CJ183" s="128"/>
      <c r="CK183" s="128"/>
      <c r="CL183" s="128"/>
      <c r="CM183" s="128"/>
    </row>
    <row r="184" spans="1:91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  <c r="BP184" s="128"/>
      <c r="BQ184" s="128"/>
      <c r="BR184" s="128"/>
      <c r="BS184" s="128"/>
      <c r="BT184" s="128"/>
      <c r="BU184" s="128"/>
      <c r="BV184" s="128"/>
      <c r="BW184" s="128"/>
      <c r="BX184" s="128"/>
      <c r="BY184" s="128"/>
      <c r="BZ184" s="128"/>
      <c r="CA184" s="128"/>
      <c r="CB184" s="128"/>
      <c r="CC184" s="128"/>
      <c r="CD184" s="128"/>
      <c r="CE184" s="128"/>
      <c r="CF184" s="128"/>
      <c r="CG184" s="128"/>
      <c r="CH184" s="128"/>
      <c r="CI184" s="128"/>
      <c r="CJ184" s="128"/>
      <c r="CK184" s="128"/>
      <c r="CL184" s="128"/>
      <c r="CM184" s="128"/>
    </row>
    <row r="185" spans="1:91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  <c r="BQ185" s="128"/>
      <c r="BR185" s="128"/>
      <c r="BS185" s="128"/>
      <c r="BT185" s="128"/>
      <c r="BU185" s="128"/>
      <c r="BV185" s="128"/>
      <c r="BW185" s="128"/>
      <c r="BX185" s="128"/>
      <c r="BY185" s="128"/>
      <c r="BZ185" s="128"/>
      <c r="CA185" s="128"/>
      <c r="CB185" s="128"/>
      <c r="CC185" s="128"/>
      <c r="CD185" s="128"/>
      <c r="CE185" s="128"/>
      <c r="CF185" s="128"/>
      <c r="CG185" s="128"/>
      <c r="CH185" s="128"/>
      <c r="CI185" s="128"/>
      <c r="CJ185" s="128"/>
      <c r="CK185" s="128"/>
      <c r="CL185" s="128"/>
      <c r="CM185" s="128"/>
    </row>
    <row r="186" spans="1:91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  <c r="BQ186" s="128"/>
      <c r="BR186" s="128"/>
      <c r="BS186" s="128"/>
      <c r="BT186" s="128"/>
      <c r="BU186" s="128"/>
      <c r="BV186" s="128"/>
      <c r="BW186" s="128"/>
      <c r="BX186" s="128"/>
      <c r="BY186" s="128"/>
      <c r="BZ186" s="128"/>
      <c r="CA186" s="128"/>
      <c r="CB186" s="128"/>
      <c r="CC186" s="128"/>
      <c r="CD186" s="128"/>
      <c r="CE186" s="128"/>
      <c r="CF186" s="128"/>
      <c r="CG186" s="128"/>
      <c r="CH186" s="128"/>
      <c r="CI186" s="128"/>
      <c r="CJ186" s="128"/>
      <c r="CK186" s="128"/>
      <c r="CL186" s="128"/>
      <c r="CM186" s="128"/>
    </row>
    <row r="187" spans="1:91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  <c r="BR187" s="128"/>
      <c r="BS187" s="128"/>
      <c r="BT187" s="128"/>
      <c r="BU187" s="128"/>
      <c r="BV187" s="128"/>
      <c r="BW187" s="128"/>
      <c r="BX187" s="128"/>
      <c r="BY187" s="128"/>
      <c r="BZ187" s="128"/>
      <c r="CA187" s="128"/>
      <c r="CB187" s="128"/>
      <c r="CC187" s="128"/>
      <c r="CD187" s="128"/>
      <c r="CE187" s="128"/>
      <c r="CF187" s="128"/>
      <c r="CG187" s="128"/>
      <c r="CH187" s="128"/>
      <c r="CI187" s="128"/>
      <c r="CJ187" s="128"/>
      <c r="CK187" s="128"/>
      <c r="CL187" s="128"/>
      <c r="CM187" s="128"/>
    </row>
    <row r="188" spans="1:91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  <c r="BP188" s="128"/>
      <c r="BQ188" s="128"/>
      <c r="BR188" s="128"/>
      <c r="BS188" s="128"/>
      <c r="BT188" s="128"/>
      <c r="BU188" s="128"/>
      <c r="BV188" s="128"/>
      <c r="BW188" s="128"/>
      <c r="BX188" s="128"/>
      <c r="BY188" s="128"/>
      <c r="BZ188" s="128"/>
      <c r="CA188" s="128"/>
      <c r="CB188" s="128"/>
      <c r="CC188" s="128"/>
      <c r="CD188" s="128"/>
      <c r="CE188" s="128"/>
      <c r="CF188" s="128"/>
      <c r="CG188" s="128"/>
      <c r="CH188" s="128"/>
      <c r="CI188" s="128"/>
      <c r="CJ188" s="128"/>
      <c r="CK188" s="128"/>
      <c r="CL188" s="128"/>
      <c r="CM188" s="128"/>
    </row>
    <row r="189" spans="1:91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  <c r="BR189" s="128"/>
      <c r="BS189" s="128"/>
      <c r="BT189" s="128"/>
      <c r="BU189" s="128"/>
      <c r="BV189" s="128"/>
      <c r="BW189" s="128"/>
      <c r="BX189" s="128"/>
      <c r="BY189" s="128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</row>
    <row r="190" spans="1:91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  <c r="BR190" s="128"/>
      <c r="BS190" s="128"/>
      <c r="BT190" s="128"/>
      <c r="BU190" s="128"/>
      <c r="BV190" s="128"/>
      <c r="BW190" s="128"/>
      <c r="BX190" s="128"/>
      <c r="BY190" s="128"/>
      <c r="BZ190" s="128"/>
      <c r="CA190" s="128"/>
      <c r="CB190" s="128"/>
      <c r="CC190" s="128"/>
      <c r="CD190" s="128"/>
      <c r="CE190" s="128"/>
      <c r="CF190" s="128"/>
      <c r="CG190" s="128"/>
      <c r="CH190" s="128"/>
      <c r="CI190" s="128"/>
      <c r="CJ190" s="128"/>
      <c r="CK190" s="128"/>
      <c r="CL190" s="128"/>
      <c r="CM190" s="128"/>
    </row>
    <row r="191" spans="1:91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8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128"/>
      <c r="BN191" s="128"/>
      <c r="BO191" s="128"/>
      <c r="BP191" s="128"/>
      <c r="BQ191" s="128"/>
      <c r="BR191" s="128"/>
      <c r="BS191" s="128"/>
      <c r="BT191" s="128"/>
      <c r="BU191" s="128"/>
      <c r="BV191" s="128"/>
      <c r="BW191" s="128"/>
      <c r="BX191" s="128"/>
      <c r="BY191" s="128"/>
      <c r="BZ191" s="128"/>
      <c r="CA191" s="128"/>
      <c r="CB191" s="128"/>
      <c r="CC191" s="128"/>
      <c r="CD191" s="128"/>
      <c r="CE191" s="128"/>
      <c r="CF191" s="128"/>
      <c r="CG191" s="128"/>
      <c r="CH191" s="128"/>
      <c r="CI191" s="128"/>
      <c r="CJ191" s="128"/>
      <c r="CK191" s="128"/>
      <c r="CL191" s="128"/>
      <c r="CM191" s="128"/>
    </row>
    <row r="192" spans="1:91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128"/>
      <c r="BY192" s="128"/>
      <c r="BZ192" s="128"/>
      <c r="CA192" s="128"/>
      <c r="CB192" s="128"/>
      <c r="CC192" s="128"/>
      <c r="CD192" s="128"/>
      <c r="CE192" s="128"/>
      <c r="CF192" s="128"/>
      <c r="CG192" s="128"/>
      <c r="CH192" s="128"/>
      <c r="CI192" s="128"/>
      <c r="CJ192" s="128"/>
      <c r="CK192" s="128"/>
      <c r="CL192" s="128"/>
      <c r="CM192" s="128"/>
    </row>
    <row r="193" spans="1:91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128"/>
      <c r="BN193" s="128"/>
      <c r="BO193" s="128"/>
      <c r="BP193" s="128"/>
      <c r="BQ193" s="128"/>
      <c r="BR193" s="128"/>
      <c r="BS193" s="128"/>
      <c r="BT193" s="128"/>
      <c r="BU193" s="128"/>
      <c r="BV193" s="128"/>
      <c r="BW193" s="128"/>
      <c r="BX193" s="128"/>
      <c r="BY193" s="128"/>
      <c r="BZ193" s="128"/>
      <c r="CA193" s="128"/>
      <c r="CB193" s="128"/>
      <c r="CC193" s="128"/>
      <c r="CD193" s="128"/>
      <c r="CE193" s="128"/>
      <c r="CF193" s="128"/>
      <c r="CG193" s="128"/>
      <c r="CH193" s="128"/>
      <c r="CI193" s="128"/>
      <c r="CJ193" s="128"/>
      <c r="CK193" s="128"/>
      <c r="CL193" s="128"/>
      <c r="CM193" s="128"/>
    </row>
    <row r="194" spans="1:91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  <c r="BP194" s="128"/>
      <c r="BQ194" s="128"/>
      <c r="BR194" s="128"/>
      <c r="BS194" s="128"/>
      <c r="BT194" s="128"/>
      <c r="BU194" s="128"/>
      <c r="BV194" s="128"/>
      <c r="BW194" s="128"/>
      <c r="BX194" s="128"/>
      <c r="BY194" s="128"/>
      <c r="BZ194" s="128"/>
      <c r="CA194" s="128"/>
      <c r="CB194" s="128"/>
      <c r="CC194" s="128"/>
      <c r="CD194" s="128"/>
      <c r="CE194" s="128"/>
      <c r="CF194" s="128"/>
      <c r="CG194" s="128"/>
      <c r="CH194" s="128"/>
      <c r="CI194" s="128"/>
      <c r="CJ194" s="128"/>
      <c r="CK194" s="128"/>
      <c r="CL194" s="128"/>
      <c r="CM194" s="128"/>
    </row>
    <row r="195" spans="1:91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  <c r="BR195" s="128"/>
      <c r="BS195" s="128"/>
      <c r="BT195" s="128"/>
      <c r="BU195" s="128"/>
      <c r="BV195" s="128"/>
      <c r="BW195" s="128"/>
      <c r="BX195" s="128"/>
      <c r="BY195" s="128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</row>
    <row r="196" spans="1:91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128"/>
      <c r="BN196" s="128"/>
      <c r="BO196" s="128"/>
      <c r="BP196" s="128"/>
      <c r="BQ196" s="128"/>
      <c r="BR196" s="128"/>
      <c r="BS196" s="128"/>
      <c r="BT196" s="128"/>
      <c r="BU196" s="128"/>
      <c r="BV196" s="128"/>
      <c r="BW196" s="128"/>
      <c r="BX196" s="128"/>
      <c r="BY196" s="128"/>
      <c r="BZ196" s="128"/>
      <c r="CA196" s="128"/>
      <c r="CB196" s="128"/>
      <c r="CC196" s="128"/>
      <c r="CD196" s="128"/>
      <c r="CE196" s="128"/>
      <c r="CF196" s="128"/>
      <c r="CG196" s="128"/>
      <c r="CH196" s="128"/>
      <c r="CI196" s="128"/>
      <c r="CJ196" s="128"/>
      <c r="CK196" s="128"/>
      <c r="CL196" s="128"/>
      <c r="CM196" s="128"/>
    </row>
    <row r="197" spans="1:91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AD197" s="128"/>
      <c r="AE197" s="128"/>
      <c r="AF197" s="128"/>
      <c r="AG197" s="12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  <c r="BR197" s="128"/>
      <c r="BS197" s="128"/>
      <c r="BT197" s="128"/>
      <c r="BU197" s="128"/>
      <c r="BV197" s="128"/>
      <c r="BW197" s="128"/>
      <c r="BX197" s="128"/>
      <c r="BY197" s="128"/>
      <c r="BZ197" s="128"/>
      <c r="CA197" s="128"/>
      <c r="CB197" s="128"/>
      <c r="CC197" s="128"/>
      <c r="CD197" s="128"/>
      <c r="CE197" s="128"/>
      <c r="CF197" s="128"/>
      <c r="CG197" s="128"/>
      <c r="CH197" s="128"/>
      <c r="CI197" s="128"/>
      <c r="CJ197" s="128"/>
      <c r="CK197" s="128"/>
      <c r="CL197" s="128"/>
      <c r="CM197" s="128"/>
    </row>
    <row r="198" spans="1:91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128"/>
      <c r="BN198" s="128"/>
      <c r="BO198" s="128"/>
      <c r="BP198" s="128"/>
      <c r="BQ198" s="128"/>
      <c r="BR198" s="128"/>
      <c r="BS198" s="128"/>
      <c r="BT198" s="128"/>
      <c r="BU198" s="128"/>
      <c r="BV198" s="128"/>
      <c r="BW198" s="128"/>
      <c r="BX198" s="128"/>
      <c r="BY198" s="128"/>
      <c r="BZ198" s="128"/>
      <c r="CA198" s="128"/>
      <c r="CB198" s="128"/>
      <c r="CC198" s="128"/>
      <c r="CD198" s="128"/>
      <c r="CE198" s="128"/>
      <c r="CF198" s="128"/>
      <c r="CG198" s="128"/>
      <c r="CH198" s="128"/>
      <c r="CI198" s="128"/>
      <c r="CJ198" s="128"/>
      <c r="CK198" s="128"/>
      <c r="CL198" s="128"/>
      <c r="CM198" s="128"/>
    </row>
    <row r="199" spans="1:91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  <c r="BP199" s="128"/>
      <c r="BQ199" s="128"/>
      <c r="BR199" s="128"/>
      <c r="BS199" s="128"/>
      <c r="BT199" s="128"/>
      <c r="BU199" s="128"/>
      <c r="BV199" s="128"/>
      <c r="BW199" s="128"/>
      <c r="BX199" s="128"/>
      <c r="BY199" s="128"/>
      <c r="BZ199" s="128"/>
      <c r="CA199" s="128"/>
      <c r="CB199" s="128"/>
      <c r="CC199" s="128"/>
      <c r="CD199" s="128"/>
      <c r="CE199" s="128"/>
      <c r="CF199" s="128"/>
      <c r="CG199" s="128"/>
      <c r="CH199" s="128"/>
      <c r="CI199" s="128"/>
      <c r="CJ199" s="128"/>
      <c r="CK199" s="128"/>
      <c r="CL199" s="128"/>
      <c r="CM199" s="128"/>
    </row>
    <row r="200" spans="1:91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128"/>
      <c r="BN200" s="128"/>
      <c r="BO200" s="128"/>
      <c r="BP200" s="128"/>
      <c r="BQ200" s="128"/>
      <c r="BR200" s="128"/>
      <c r="BS200" s="128"/>
      <c r="BT200" s="128"/>
      <c r="BU200" s="128"/>
      <c r="BV200" s="128"/>
      <c r="BW200" s="128"/>
      <c r="BX200" s="128"/>
      <c r="BY200" s="128"/>
      <c r="BZ200" s="128"/>
      <c r="CA200" s="128"/>
      <c r="CB200" s="128"/>
      <c r="CC200" s="128"/>
      <c r="CD200" s="128"/>
      <c r="CE200" s="128"/>
      <c r="CF200" s="128"/>
      <c r="CG200" s="128"/>
      <c r="CH200" s="128"/>
      <c r="CI200" s="128"/>
      <c r="CJ200" s="128"/>
      <c r="CK200" s="128"/>
      <c r="CL200" s="128"/>
      <c r="CM200" s="128"/>
    </row>
    <row r="201" spans="1:91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8"/>
      <c r="BR201" s="128"/>
      <c r="BS201" s="128"/>
      <c r="BT201" s="128"/>
      <c r="BU201" s="128"/>
      <c r="BV201" s="128"/>
      <c r="BW201" s="128"/>
      <c r="BX201" s="128"/>
      <c r="BY201" s="128"/>
      <c r="BZ201" s="128"/>
      <c r="CA201" s="128"/>
      <c r="CB201" s="128"/>
      <c r="CC201" s="128"/>
      <c r="CD201" s="128"/>
      <c r="CE201" s="128"/>
      <c r="CF201" s="128"/>
      <c r="CG201" s="128"/>
      <c r="CH201" s="128"/>
      <c r="CI201" s="128"/>
      <c r="CJ201" s="128"/>
      <c r="CK201" s="128"/>
      <c r="CL201" s="128"/>
      <c r="CM201" s="128"/>
    </row>
    <row r="202" spans="1:91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  <c r="BP202" s="128"/>
      <c r="BQ202" s="128"/>
      <c r="BR202" s="128"/>
      <c r="BS202" s="128"/>
      <c r="BT202" s="128"/>
      <c r="BU202" s="128"/>
      <c r="BV202" s="128"/>
      <c r="BW202" s="128"/>
      <c r="BX202" s="128"/>
      <c r="BY202" s="128"/>
      <c r="BZ202" s="128"/>
      <c r="CA202" s="128"/>
      <c r="CB202" s="128"/>
      <c r="CC202" s="128"/>
      <c r="CD202" s="128"/>
      <c r="CE202" s="128"/>
      <c r="CF202" s="128"/>
      <c r="CG202" s="128"/>
      <c r="CH202" s="128"/>
      <c r="CI202" s="128"/>
      <c r="CJ202" s="128"/>
      <c r="CK202" s="128"/>
      <c r="CL202" s="128"/>
      <c r="CM202" s="128"/>
    </row>
    <row r="203" spans="1:91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  <c r="BR203" s="128"/>
      <c r="BS203" s="128"/>
      <c r="BT203" s="128"/>
      <c r="BU203" s="128"/>
      <c r="BV203" s="128"/>
      <c r="BW203" s="128"/>
      <c r="BX203" s="128"/>
      <c r="BY203" s="128"/>
      <c r="BZ203" s="128"/>
      <c r="CA203" s="128"/>
      <c r="CB203" s="128"/>
      <c r="CC203" s="128"/>
      <c r="CD203" s="128"/>
      <c r="CE203" s="128"/>
      <c r="CF203" s="128"/>
      <c r="CG203" s="128"/>
      <c r="CH203" s="128"/>
      <c r="CI203" s="128"/>
      <c r="CJ203" s="128"/>
      <c r="CK203" s="128"/>
      <c r="CL203" s="128"/>
      <c r="CM203" s="128"/>
    </row>
    <row r="204" spans="1:91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128"/>
      <c r="BN204" s="128"/>
      <c r="BO204" s="128"/>
      <c r="BP204" s="128"/>
      <c r="BQ204" s="128"/>
      <c r="BR204" s="128"/>
      <c r="BS204" s="128"/>
      <c r="BT204" s="128"/>
      <c r="BU204" s="128"/>
      <c r="BV204" s="128"/>
      <c r="BW204" s="128"/>
      <c r="BX204" s="128"/>
      <c r="BY204" s="128"/>
      <c r="BZ204" s="128"/>
      <c r="CA204" s="128"/>
      <c r="CB204" s="128"/>
      <c r="CC204" s="128"/>
      <c r="CD204" s="128"/>
      <c r="CE204" s="128"/>
      <c r="CF204" s="128"/>
      <c r="CG204" s="128"/>
      <c r="CH204" s="128"/>
      <c r="CI204" s="128"/>
      <c r="CJ204" s="128"/>
      <c r="CK204" s="128"/>
      <c r="CL204" s="128"/>
      <c r="CM204" s="128"/>
    </row>
    <row r="205" spans="1:91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  <c r="BP205" s="128"/>
      <c r="BQ205" s="128"/>
      <c r="BR205" s="128"/>
      <c r="BS205" s="128"/>
      <c r="BT205" s="128"/>
      <c r="BU205" s="128"/>
      <c r="BV205" s="128"/>
      <c r="BW205" s="128"/>
      <c r="BX205" s="128"/>
      <c r="BY205" s="128"/>
      <c r="BZ205" s="128"/>
      <c r="CA205" s="128"/>
      <c r="CB205" s="128"/>
      <c r="CC205" s="128"/>
      <c r="CD205" s="128"/>
      <c r="CE205" s="128"/>
      <c r="CF205" s="128"/>
      <c r="CG205" s="128"/>
      <c r="CH205" s="128"/>
      <c r="CI205" s="128"/>
      <c r="CJ205" s="128"/>
      <c r="CK205" s="128"/>
      <c r="CL205" s="128"/>
      <c r="CM205" s="128"/>
    </row>
    <row r="206" spans="1:91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  <c r="BP206" s="128"/>
      <c r="BQ206" s="128"/>
      <c r="BR206" s="128"/>
      <c r="BS206" s="128"/>
      <c r="BT206" s="128"/>
      <c r="BU206" s="128"/>
      <c r="BV206" s="128"/>
      <c r="BW206" s="128"/>
      <c r="BX206" s="128"/>
      <c r="BY206" s="128"/>
      <c r="BZ206" s="128"/>
      <c r="CA206" s="128"/>
      <c r="CB206" s="128"/>
      <c r="CC206" s="128"/>
      <c r="CD206" s="128"/>
      <c r="CE206" s="128"/>
      <c r="CF206" s="128"/>
      <c r="CG206" s="128"/>
      <c r="CH206" s="128"/>
      <c r="CI206" s="128"/>
      <c r="CJ206" s="128"/>
      <c r="CK206" s="128"/>
      <c r="CL206" s="128"/>
      <c r="CM206" s="128"/>
    </row>
    <row r="207" spans="1:91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128"/>
      <c r="BN207" s="128"/>
      <c r="BO207" s="128"/>
      <c r="BP207" s="128"/>
      <c r="BQ207" s="128"/>
      <c r="BR207" s="128"/>
      <c r="BS207" s="128"/>
      <c r="BT207" s="128"/>
      <c r="BU207" s="128"/>
      <c r="BV207" s="128"/>
      <c r="BW207" s="128"/>
      <c r="BX207" s="128"/>
      <c r="BY207" s="128"/>
      <c r="BZ207" s="128"/>
      <c r="CA207" s="128"/>
      <c r="CB207" s="128"/>
      <c r="CC207" s="128"/>
      <c r="CD207" s="128"/>
      <c r="CE207" s="128"/>
      <c r="CF207" s="128"/>
      <c r="CG207" s="128"/>
      <c r="CH207" s="128"/>
      <c r="CI207" s="128"/>
      <c r="CJ207" s="128"/>
      <c r="CK207" s="128"/>
      <c r="CL207" s="128"/>
      <c r="CM207" s="128"/>
    </row>
    <row r="208" spans="1:91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128"/>
      <c r="BN208" s="128"/>
      <c r="BO208" s="128"/>
      <c r="BP208" s="128"/>
      <c r="BQ208" s="128"/>
      <c r="BR208" s="128"/>
      <c r="BS208" s="128"/>
      <c r="BT208" s="128"/>
      <c r="BU208" s="128"/>
      <c r="BV208" s="128"/>
      <c r="BW208" s="128"/>
      <c r="BX208" s="128"/>
      <c r="BY208" s="128"/>
      <c r="BZ208" s="128"/>
      <c r="CA208" s="128"/>
      <c r="CB208" s="128"/>
      <c r="CC208" s="128"/>
      <c r="CD208" s="128"/>
      <c r="CE208" s="128"/>
      <c r="CF208" s="128"/>
      <c r="CG208" s="128"/>
      <c r="CH208" s="128"/>
      <c r="CI208" s="128"/>
      <c r="CJ208" s="128"/>
      <c r="CK208" s="128"/>
      <c r="CL208" s="128"/>
      <c r="CM208" s="128"/>
    </row>
    <row r="209" spans="1:91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  <c r="BR209" s="128"/>
      <c r="BS209" s="128"/>
      <c r="BT209" s="128"/>
      <c r="BU209" s="128"/>
      <c r="BV209" s="128"/>
      <c r="BW209" s="128"/>
      <c r="BX209" s="128"/>
      <c r="BY209" s="128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</row>
    <row r="210" spans="1:91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128"/>
      <c r="BN210" s="128"/>
      <c r="BO210" s="128"/>
      <c r="BP210" s="128"/>
      <c r="BQ210" s="128"/>
      <c r="BR210" s="128"/>
      <c r="BS210" s="128"/>
      <c r="BT210" s="128"/>
      <c r="BU210" s="128"/>
      <c r="BV210" s="128"/>
      <c r="BW210" s="128"/>
      <c r="BX210" s="128"/>
      <c r="BY210" s="128"/>
      <c r="BZ210" s="128"/>
      <c r="CA210" s="128"/>
      <c r="CB210" s="128"/>
      <c r="CC210" s="128"/>
      <c r="CD210" s="128"/>
      <c r="CE210" s="128"/>
      <c r="CF210" s="128"/>
      <c r="CG210" s="128"/>
      <c r="CH210" s="128"/>
      <c r="CI210" s="128"/>
      <c r="CJ210" s="128"/>
      <c r="CK210" s="128"/>
      <c r="CL210" s="128"/>
      <c r="CM210" s="128"/>
    </row>
    <row r="211" spans="1:91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  <c r="BR211" s="128"/>
      <c r="BS211" s="128"/>
      <c r="BT211" s="128"/>
      <c r="BU211" s="128"/>
      <c r="BV211" s="128"/>
      <c r="BW211" s="128"/>
      <c r="BX211" s="128"/>
      <c r="BY211" s="128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</row>
    <row r="212" spans="1:91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  <c r="BR212" s="128"/>
      <c r="BS212" s="128"/>
      <c r="BT212" s="128"/>
      <c r="BU212" s="128"/>
      <c r="BV212" s="128"/>
      <c r="BW212" s="128"/>
      <c r="BX212" s="128"/>
      <c r="BY212" s="128"/>
      <c r="BZ212" s="128"/>
      <c r="CA212" s="128"/>
      <c r="CB212" s="128"/>
      <c r="CC212" s="128"/>
      <c r="CD212" s="128"/>
      <c r="CE212" s="128"/>
      <c r="CF212" s="128"/>
      <c r="CG212" s="128"/>
      <c r="CH212" s="128"/>
      <c r="CI212" s="128"/>
      <c r="CJ212" s="128"/>
      <c r="CK212" s="128"/>
      <c r="CL212" s="128"/>
      <c r="CM212" s="128"/>
    </row>
    <row r="213" spans="1:91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128"/>
      <c r="BN213" s="128"/>
      <c r="BO213" s="128"/>
      <c r="BP213" s="128"/>
      <c r="BQ213" s="128"/>
      <c r="BR213" s="128"/>
      <c r="BS213" s="128"/>
      <c r="BT213" s="128"/>
      <c r="BU213" s="128"/>
      <c r="BV213" s="128"/>
      <c r="BW213" s="128"/>
      <c r="BX213" s="128"/>
      <c r="BY213" s="128"/>
      <c r="BZ213" s="128"/>
      <c r="CA213" s="128"/>
      <c r="CB213" s="128"/>
      <c r="CC213" s="128"/>
      <c r="CD213" s="128"/>
      <c r="CE213" s="128"/>
      <c r="CF213" s="128"/>
      <c r="CG213" s="128"/>
      <c r="CH213" s="128"/>
      <c r="CI213" s="128"/>
      <c r="CJ213" s="128"/>
      <c r="CK213" s="128"/>
      <c r="CL213" s="128"/>
      <c r="CM213" s="128"/>
    </row>
    <row r="214" spans="1:91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128"/>
      <c r="BN214" s="128"/>
      <c r="BO214" s="128"/>
      <c r="BP214" s="128"/>
      <c r="BQ214" s="128"/>
      <c r="BR214" s="128"/>
      <c r="BS214" s="128"/>
      <c r="BT214" s="128"/>
      <c r="BU214" s="128"/>
      <c r="BV214" s="128"/>
      <c r="BW214" s="128"/>
      <c r="BX214" s="128"/>
      <c r="BY214" s="128"/>
      <c r="BZ214" s="128"/>
      <c r="CA214" s="128"/>
      <c r="CB214" s="128"/>
      <c r="CC214" s="128"/>
      <c r="CD214" s="128"/>
      <c r="CE214" s="128"/>
      <c r="CF214" s="128"/>
      <c r="CG214" s="128"/>
      <c r="CH214" s="128"/>
      <c r="CI214" s="128"/>
      <c r="CJ214" s="128"/>
      <c r="CK214" s="128"/>
      <c r="CL214" s="128"/>
      <c r="CM214" s="128"/>
    </row>
    <row r="215" spans="1:91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  <c r="BR215" s="128"/>
      <c r="BS215" s="128"/>
      <c r="BT215" s="128"/>
      <c r="BU215" s="128"/>
      <c r="BV215" s="128"/>
      <c r="BW215" s="128"/>
      <c r="BX215" s="128"/>
      <c r="BY215" s="128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</row>
    <row r="216" spans="1:91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  <c r="BW216" s="128"/>
      <c r="BX216" s="128"/>
      <c r="BY216" s="128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</row>
    <row r="217" spans="1:91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  <c r="BP217" s="128"/>
      <c r="BQ217" s="128"/>
      <c r="BR217" s="128"/>
      <c r="BS217" s="128"/>
      <c r="BT217" s="128"/>
      <c r="BU217" s="128"/>
      <c r="BV217" s="128"/>
      <c r="BW217" s="128"/>
      <c r="BX217" s="128"/>
      <c r="BY217" s="128"/>
      <c r="BZ217" s="128"/>
      <c r="CA217" s="128"/>
      <c r="CB217" s="128"/>
      <c r="CC217" s="128"/>
      <c r="CD217" s="128"/>
      <c r="CE217" s="128"/>
      <c r="CF217" s="128"/>
      <c r="CG217" s="128"/>
      <c r="CH217" s="128"/>
      <c r="CI217" s="128"/>
      <c r="CJ217" s="128"/>
      <c r="CK217" s="128"/>
      <c r="CL217" s="128"/>
      <c r="CM217" s="128"/>
    </row>
    <row r="218" spans="1:91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  <c r="BR218" s="128"/>
      <c r="BS218" s="128"/>
      <c r="BT218" s="128"/>
      <c r="BU218" s="128"/>
      <c r="BV218" s="128"/>
      <c r="BW218" s="128"/>
      <c r="BX218" s="128"/>
      <c r="BY218" s="128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8"/>
      <c r="CJ218" s="128"/>
      <c r="CK218" s="128"/>
      <c r="CL218" s="128"/>
      <c r="CM218" s="128"/>
    </row>
    <row r="219" spans="1:91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  <c r="BP219" s="128"/>
      <c r="BQ219" s="128"/>
      <c r="BR219" s="128"/>
      <c r="BS219" s="128"/>
      <c r="BT219" s="128"/>
      <c r="BU219" s="128"/>
      <c r="BV219" s="128"/>
      <c r="BW219" s="128"/>
      <c r="BX219" s="128"/>
      <c r="BY219" s="128"/>
      <c r="BZ219" s="128"/>
      <c r="CA219" s="128"/>
      <c r="CB219" s="128"/>
      <c r="CC219" s="128"/>
      <c r="CD219" s="128"/>
      <c r="CE219" s="128"/>
      <c r="CF219" s="128"/>
      <c r="CG219" s="128"/>
      <c r="CH219" s="128"/>
      <c r="CI219" s="128"/>
      <c r="CJ219" s="128"/>
      <c r="CK219" s="128"/>
      <c r="CL219" s="128"/>
      <c r="CM219" s="128"/>
    </row>
    <row r="220" spans="1:91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  <c r="BR220" s="128"/>
      <c r="BS220" s="128"/>
      <c r="BT220" s="128"/>
      <c r="BU220" s="128"/>
      <c r="BV220" s="128"/>
      <c r="BW220" s="128"/>
      <c r="BX220" s="128"/>
      <c r="BY220" s="128"/>
      <c r="BZ220" s="128"/>
      <c r="CA220" s="128"/>
      <c r="CB220" s="128"/>
      <c r="CC220" s="128"/>
      <c r="CD220" s="128"/>
      <c r="CE220" s="128"/>
      <c r="CF220" s="128"/>
      <c r="CG220" s="128"/>
      <c r="CH220" s="128"/>
      <c r="CI220" s="128"/>
      <c r="CJ220" s="128"/>
      <c r="CK220" s="128"/>
      <c r="CL220" s="128"/>
      <c r="CM220" s="128"/>
    </row>
    <row r="221" spans="1:91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/>
      <c r="BS221" s="128"/>
      <c r="BT221" s="128"/>
      <c r="BU221" s="128"/>
      <c r="BV221" s="128"/>
      <c r="BW221" s="128"/>
      <c r="BX221" s="128"/>
      <c r="BY221" s="128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</row>
    <row r="222" spans="1:91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</row>
    <row r="223" spans="1:91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</row>
    <row r="224" spans="1:91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  <c r="BR224" s="128"/>
      <c r="BS224" s="128"/>
      <c r="BT224" s="128"/>
      <c r="BU224" s="128"/>
      <c r="BV224" s="128"/>
      <c r="BW224" s="128"/>
      <c r="BX224" s="128"/>
      <c r="BY224" s="128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</row>
    <row r="225" spans="1:91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  <c r="BR225" s="128"/>
      <c r="BS225" s="128"/>
      <c r="BT225" s="128"/>
      <c r="BU225" s="128"/>
      <c r="BV225" s="128"/>
      <c r="BW225" s="128"/>
      <c r="BX225" s="128"/>
      <c r="BY225" s="128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</row>
    <row r="226" spans="1:91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  <c r="BR226" s="128"/>
      <c r="BS226" s="128"/>
      <c r="BT226" s="128"/>
      <c r="BU226" s="128"/>
      <c r="BV226" s="128"/>
      <c r="BW226" s="128"/>
      <c r="BX226" s="128"/>
      <c r="BY226" s="128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</row>
    <row r="227" spans="1:91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  <c r="BR227" s="128"/>
      <c r="BS227" s="128"/>
      <c r="BT227" s="128"/>
      <c r="BU227" s="128"/>
      <c r="BV227" s="128"/>
      <c r="BW227" s="128"/>
      <c r="BX227" s="128"/>
      <c r="BY227" s="128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</row>
    <row r="228" spans="1:91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  <c r="BR228" s="128"/>
      <c r="BS228" s="128"/>
      <c r="BT228" s="128"/>
      <c r="BU228" s="128"/>
      <c r="BV228" s="128"/>
      <c r="BW228" s="128"/>
      <c r="BX228" s="128"/>
      <c r="BY228" s="128"/>
      <c r="BZ228" s="128"/>
      <c r="CA228" s="128"/>
      <c r="CB228" s="128"/>
      <c r="CC228" s="128"/>
      <c r="CD228" s="128"/>
      <c r="CE228" s="128"/>
      <c r="CF228" s="128"/>
      <c r="CG228" s="128"/>
      <c r="CH228" s="128"/>
      <c r="CI228" s="128"/>
      <c r="CJ228" s="128"/>
      <c r="CK228" s="128"/>
      <c r="CL228" s="128"/>
      <c r="CM228" s="128"/>
    </row>
    <row r="229" spans="1:91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  <c r="BR229" s="128"/>
      <c r="BS229" s="128"/>
      <c r="BT229" s="128"/>
      <c r="BU229" s="128"/>
      <c r="BV229" s="128"/>
      <c r="BW229" s="128"/>
      <c r="BX229" s="128"/>
      <c r="BY229" s="128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</row>
    <row r="230" spans="1:91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8"/>
      <c r="BO230" s="128"/>
      <c r="BP230" s="128"/>
      <c r="BQ230" s="128"/>
      <c r="BR230" s="128"/>
      <c r="BS230" s="128"/>
      <c r="BT230" s="128"/>
      <c r="BU230" s="128"/>
      <c r="BV230" s="128"/>
      <c r="BW230" s="128"/>
      <c r="BX230" s="128"/>
      <c r="BY230" s="128"/>
      <c r="BZ230" s="128"/>
      <c r="CA230" s="128"/>
      <c r="CB230" s="128"/>
      <c r="CC230" s="128"/>
      <c r="CD230" s="128"/>
      <c r="CE230" s="128"/>
      <c r="CF230" s="128"/>
      <c r="CG230" s="128"/>
      <c r="CH230" s="128"/>
      <c r="CI230" s="128"/>
      <c r="CJ230" s="128"/>
      <c r="CK230" s="128"/>
      <c r="CL230" s="128"/>
      <c r="CM230" s="128"/>
    </row>
    <row r="231" spans="1:91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  <c r="BR231" s="128"/>
      <c r="BS231" s="128"/>
      <c r="BT231" s="128"/>
      <c r="BU231" s="128"/>
      <c r="BV231" s="128"/>
      <c r="BW231" s="128"/>
      <c r="BX231" s="128"/>
      <c r="BY231" s="128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</row>
    <row r="232" spans="1:91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8"/>
      <c r="BR232" s="128"/>
      <c r="BS232" s="128"/>
      <c r="BT232" s="128"/>
      <c r="BU232" s="128"/>
      <c r="BV232" s="128"/>
      <c r="BW232" s="128"/>
      <c r="BX232" s="128"/>
      <c r="BY232" s="128"/>
      <c r="BZ232" s="128"/>
      <c r="CA232" s="128"/>
      <c r="CB232" s="128"/>
      <c r="CC232" s="128"/>
      <c r="CD232" s="128"/>
      <c r="CE232" s="128"/>
      <c r="CF232" s="128"/>
      <c r="CG232" s="128"/>
      <c r="CH232" s="128"/>
      <c r="CI232" s="128"/>
      <c r="CJ232" s="128"/>
      <c r="CK232" s="128"/>
      <c r="CL232" s="128"/>
      <c r="CM232" s="128"/>
    </row>
    <row r="233" spans="1:91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  <c r="BR233" s="128"/>
      <c r="BS233" s="128"/>
      <c r="BT233" s="128"/>
      <c r="BU233" s="128"/>
      <c r="BV233" s="128"/>
      <c r="BW233" s="128"/>
      <c r="BX233" s="128"/>
      <c r="BY233" s="128"/>
      <c r="BZ233" s="128"/>
      <c r="CA233" s="128"/>
      <c r="CB233" s="128"/>
      <c r="CC233" s="128"/>
      <c r="CD233" s="128"/>
      <c r="CE233" s="128"/>
      <c r="CF233" s="128"/>
      <c r="CG233" s="128"/>
      <c r="CH233" s="128"/>
      <c r="CI233" s="128"/>
      <c r="CJ233" s="128"/>
      <c r="CK233" s="128"/>
      <c r="CL233" s="128"/>
      <c r="CM233" s="128"/>
    </row>
    <row r="234" spans="1:91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/>
      <c r="BR234" s="128"/>
      <c r="BS234" s="128"/>
      <c r="BT234" s="128"/>
      <c r="BU234" s="128"/>
      <c r="BV234" s="128"/>
      <c r="BW234" s="128"/>
      <c r="BX234" s="128"/>
      <c r="BY234" s="128"/>
      <c r="BZ234" s="128"/>
      <c r="CA234" s="128"/>
      <c r="CB234" s="128"/>
      <c r="CC234" s="128"/>
      <c r="CD234" s="128"/>
      <c r="CE234" s="128"/>
      <c r="CF234" s="128"/>
      <c r="CG234" s="128"/>
      <c r="CH234" s="128"/>
      <c r="CI234" s="128"/>
      <c r="CJ234" s="128"/>
      <c r="CK234" s="128"/>
      <c r="CL234" s="128"/>
      <c r="CM234" s="128"/>
    </row>
    <row r="235" spans="1:91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/>
      <c r="BP235" s="128"/>
      <c r="BQ235" s="128"/>
      <c r="BR235" s="128"/>
      <c r="BS235" s="128"/>
      <c r="BT235" s="128"/>
      <c r="BU235" s="128"/>
      <c r="BV235" s="128"/>
      <c r="BW235" s="128"/>
      <c r="BX235" s="128"/>
      <c r="BY235" s="128"/>
      <c r="BZ235" s="128"/>
      <c r="CA235" s="128"/>
      <c r="CB235" s="128"/>
      <c r="CC235" s="128"/>
      <c r="CD235" s="128"/>
      <c r="CE235" s="128"/>
      <c r="CF235" s="128"/>
      <c r="CG235" s="128"/>
      <c r="CH235" s="128"/>
      <c r="CI235" s="128"/>
      <c r="CJ235" s="128"/>
      <c r="CK235" s="128"/>
      <c r="CL235" s="128"/>
      <c r="CM235" s="128"/>
    </row>
    <row r="236" spans="1:91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128"/>
      <c r="BN236" s="128"/>
      <c r="BO236" s="128"/>
      <c r="BP236" s="128"/>
      <c r="BQ236" s="128"/>
      <c r="BR236" s="128"/>
      <c r="BS236" s="128"/>
      <c r="BT236" s="128"/>
      <c r="BU236" s="128"/>
      <c r="BV236" s="128"/>
      <c r="BW236" s="128"/>
      <c r="BX236" s="128"/>
      <c r="BY236" s="128"/>
      <c r="BZ236" s="128"/>
      <c r="CA236" s="128"/>
      <c r="CB236" s="128"/>
      <c r="CC236" s="128"/>
      <c r="CD236" s="128"/>
      <c r="CE236" s="128"/>
      <c r="CF236" s="128"/>
      <c r="CG236" s="128"/>
      <c r="CH236" s="128"/>
      <c r="CI236" s="128"/>
      <c r="CJ236" s="128"/>
      <c r="CK236" s="128"/>
      <c r="CL236" s="128"/>
      <c r="CM236" s="128"/>
    </row>
    <row r="237" spans="1:91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8"/>
      <c r="BP237" s="128"/>
      <c r="BQ237" s="128"/>
      <c r="BR237" s="128"/>
      <c r="BS237" s="128"/>
      <c r="BT237" s="128"/>
      <c r="BU237" s="128"/>
      <c r="BV237" s="128"/>
      <c r="BW237" s="128"/>
      <c r="BX237" s="128"/>
      <c r="BY237" s="128"/>
      <c r="BZ237" s="128"/>
      <c r="CA237" s="128"/>
      <c r="CB237" s="128"/>
      <c r="CC237" s="128"/>
      <c r="CD237" s="128"/>
      <c r="CE237" s="128"/>
      <c r="CF237" s="128"/>
      <c r="CG237" s="128"/>
      <c r="CH237" s="128"/>
      <c r="CI237" s="128"/>
      <c r="CJ237" s="128"/>
      <c r="CK237" s="128"/>
      <c r="CL237" s="128"/>
      <c r="CM237" s="128"/>
    </row>
    <row r="238" spans="1:91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  <c r="BR238" s="128"/>
      <c r="BS238" s="128"/>
      <c r="BT238" s="128"/>
      <c r="BU238" s="128"/>
      <c r="BV238" s="128"/>
      <c r="BW238" s="128"/>
      <c r="BX238" s="128"/>
      <c r="BY238" s="128"/>
      <c r="BZ238" s="128"/>
      <c r="CA238" s="128"/>
      <c r="CB238" s="128"/>
      <c r="CC238" s="128"/>
      <c r="CD238" s="128"/>
      <c r="CE238" s="128"/>
      <c r="CF238" s="128"/>
      <c r="CG238" s="128"/>
      <c r="CH238" s="128"/>
      <c r="CI238" s="128"/>
      <c r="CJ238" s="128"/>
      <c r="CK238" s="128"/>
      <c r="CL238" s="128"/>
      <c r="CM238" s="128"/>
    </row>
    <row r="239" spans="1:91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/>
      <c r="BS239" s="128"/>
      <c r="BT239" s="128"/>
      <c r="BU239" s="128"/>
      <c r="BV239" s="128"/>
      <c r="BW239" s="128"/>
      <c r="BX239" s="128"/>
      <c r="BY239" s="128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</row>
    <row r="240" spans="1:91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8"/>
      <c r="CA240" s="128"/>
      <c r="CB240" s="128"/>
      <c r="CC240" s="128"/>
      <c r="CD240" s="128"/>
      <c r="CE240" s="128"/>
      <c r="CF240" s="128"/>
      <c r="CG240" s="128"/>
      <c r="CH240" s="128"/>
      <c r="CI240" s="128"/>
      <c r="CJ240" s="128"/>
      <c r="CK240" s="128"/>
      <c r="CL240" s="128"/>
      <c r="CM240" s="128"/>
    </row>
    <row r="241" spans="1:91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  <c r="BR241" s="128"/>
      <c r="BS241" s="128"/>
      <c r="BT241" s="128"/>
      <c r="BU241" s="128"/>
      <c r="BV241" s="128"/>
      <c r="BW241" s="128"/>
      <c r="BX241" s="128"/>
      <c r="BY241" s="128"/>
      <c r="BZ241" s="128"/>
      <c r="CA241" s="128"/>
      <c r="CB241" s="128"/>
      <c r="CC241" s="128"/>
      <c r="CD241" s="128"/>
      <c r="CE241" s="128"/>
      <c r="CF241" s="128"/>
      <c r="CG241" s="128"/>
      <c r="CH241" s="128"/>
      <c r="CI241" s="128"/>
      <c r="CJ241" s="128"/>
      <c r="CK241" s="128"/>
      <c r="CL241" s="128"/>
      <c r="CM241" s="128"/>
    </row>
    <row r="242" spans="1:91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128"/>
      <c r="BN242" s="128"/>
      <c r="BO242" s="128"/>
      <c r="BP242" s="128"/>
      <c r="BQ242" s="128"/>
      <c r="BR242" s="128"/>
      <c r="BS242" s="128"/>
      <c r="BT242" s="128"/>
      <c r="BU242" s="128"/>
      <c r="BV242" s="128"/>
      <c r="BW242" s="128"/>
      <c r="BX242" s="128"/>
      <c r="BY242" s="128"/>
      <c r="BZ242" s="128"/>
      <c r="CA242" s="128"/>
      <c r="CB242" s="128"/>
      <c r="CC242" s="128"/>
      <c r="CD242" s="128"/>
      <c r="CE242" s="128"/>
      <c r="CF242" s="128"/>
      <c r="CG242" s="128"/>
      <c r="CH242" s="128"/>
      <c r="CI242" s="128"/>
      <c r="CJ242" s="128"/>
      <c r="CK242" s="128"/>
      <c r="CL242" s="128"/>
      <c r="CM242" s="128"/>
    </row>
    <row r="243" spans="1:91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</row>
    <row r="244" spans="1:91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  <c r="BR244" s="128"/>
      <c r="BS244" s="128"/>
      <c r="BT244" s="128"/>
      <c r="BU244" s="128"/>
      <c r="BV244" s="128"/>
      <c r="BW244" s="128"/>
      <c r="BX244" s="128"/>
      <c r="BY244" s="128"/>
      <c r="BZ244" s="128"/>
      <c r="CA244" s="128"/>
      <c r="CB244" s="128"/>
      <c r="CC244" s="128"/>
      <c r="CD244" s="128"/>
      <c r="CE244" s="128"/>
      <c r="CF244" s="128"/>
      <c r="CG244" s="128"/>
      <c r="CH244" s="128"/>
      <c r="CI244" s="128"/>
      <c r="CJ244" s="128"/>
      <c r="CK244" s="128"/>
      <c r="CL244" s="128"/>
      <c r="CM244" s="128"/>
    </row>
    <row r="245" spans="1:91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  <c r="BP245" s="128"/>
      <c r="BQ245" s="128"/>
      <c r="BR245" s="128"/>
      <c r="BS245" s="128"/>
      <c r="BT245" s="128"/>
      <c r="BU245" s="128"/>
      <c r="BV245" s="128"/>
      <c r="BW245" s="128"/>
      <c r="BX245" s="128"/>
      <c r="BY245" s="128"/>
      <c r="BZ245" s="128"/>
      <c r="CA245" s="128"/>
      <c r="CB245" s="128"/>
      <c r="CC245" s="128"/>
      <c r="CD245" s="128"/>
      <c r="CE245" s="128"/>
      <c r="CF245" s="128"/>
      <c r="CG245" s="128"/>
      <c r="CH245" s="128"/>
      <c r="CI245" s="128"/>
      <c r="CJ245" s="128"/>
      <c r="CK245" s="128"/>
      <c r="CL245" s="128"/>
      <c r="CM245" s="128"/>
    </row>
    <row r="246" spans="1:91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  <c r="BQ246" s="128"/>
      <c r="BR246" s="128"/>
      <c r="BS246" s="128"/>
      <c r="BT246" s="128"/>
      <c r="BU246" s="128"/>
      <c r="BV246" s="128"/>
      <c r="BW246" s="128"/>
      <c r="BX246" s="128"/>
      <c r="BY246" s="128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8"/>
      <c r="CK246" s="128"/>
      <c r="CL246" s="128"/>
      <c r="CM246" s="128"/>
    </row>
    <row r="247" spans="1:91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  <c r="BB247" s="128"/>
      <c r="BC247" s="128"/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128"/>
      <c r="BN247" s="128"/>
      <c r="BO247" s="128"/>
      <c r="BP247" s="128"/>
      <c r="BQ247" s="128"/>
      <c r="BR247" s="128"/>
      <c r="BS247" s="128"/>
      <c r="BT247" s="128"/>
      <c r="BU247" s="128"/>
      <c r="BV247" s="128"/>
      <c r="BW247" s="128"/>
      <c r="BX247" s="128"/>
      <c r="BY247" s="128"/>
      <c r="BZ247" s="128"/>
      <c r="CA247" s="128"/>
      <c r="CB247" s="128"/>
      <c r="CC247" s="128"/>
      <c r="CD247" s="128"/>
      <c r="CE247" s="128"/>
      <c r="CF247" s="128"/>
      <c r="CG247" s="128"/>
      <c r="CH247" s="128"/>
      <c r="CI247" s="128"/>
      <c r="CJ247" s="128"/>
      <c r="CK247" s="128"/>
      <c r="CL247" s="128"/>
      <c r="CM247" s="128"/>
    </row>
    <row r="248" spans="1:91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8"/>
      <c r="AZ248" s="128"/>
      <c r="BA248" s="128"/>
      <c r="BB248" s="128"/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</row>
    <row r="249" spans="1:91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8"/>
      <c r="CA249" s="128"/>
      <c r="CB249" s="128"/>
      <c r="CC249" s="128"/>
      <c r="CD249" s="128"/>
      <c r="CE249" s="128"/>
      <c r="CF249" s="128"/>
      <c r="CG249" s="128"/>
      <c r="CH249" s="128"/>
      <c r="CI249" s="128"/>
      <c r="CJ249" s="128"/>
      <c r="CK249" s="128"/>
      <c r="CL249" s="128"/>
      <c r="CM249" s="128"/>
    </row>
    <row r="250" spans="1:91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8"/>
      <c r="CA250" s="128"/>
      <c r="CB250" s="128"/>
      <c r="CC250" s="128"/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</row>
    <row r="251" spans="1:91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  <c r="BR251" s="128"/>
      <c r="BS251" s="128"/>
      <c r="BT251" s="128"/>
      <c r="BU251" s="128"/>
      <c r="BV251" s="128"/>
      <c r="BW251" s="128"/>
      <c r="BX251" s="128"/>
      <c r="BY251" s="128"/>
      <c r="BZ251" s="128"/>
      <c r="CA251" s="128"/>
      <c r="CB251" s="128"/>
      <c r="CC251" s="128"/>
      <c r="CD251" s="128"/>
      <c r="CE251" s="128"/>
      <c r="CF251" s="128"/>
      <c r="CG251" s="128"/>
      <c r="CH251" s="128"/>
      <c r="CI251" s="128"/>
      <c r="CJ251" s="128"/>
      <c r="CK251" s="128"/>
      <c r="CL251" s="128"/>
      <c r="CM251" s="128"/>
    </row>
    <row r="252" spans="1:91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/>
      <c r="BS252" s="128"/>
      <c r="BT252" s="128"/>
      <c r="BU252" s="128"/>
      <c r="BV252" s="128"/>
      <c r="BW252" s="128"/>
      <c r="BX252" s="128"/>
      <c r="BY252" s="128"/>
      <c r="BZ252" s="128"/>
      <c r="CA252" s="128"/>
      <c r="CB252" s="128"/>
      <c r="CC252" s="128"/>
      <c r="CD252" s="128"/>
      <c r="CE252" s="128"/>
      <c r="CF252" s="128"/>
      <c r="CG252" s="128"/>
      <c r="CH252" s="128"/>
      <c r="CI252" s="128"/>
      <c r="CJ252" s="128"/>
      <c r="CK252" s="128"/>
      <c r="CL252" s="128"/>
      <c r="CM252" s="128"/>
    </row>
    <row r="253" spans="1:91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8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BM253" s="128"/>
      <c r="BN253" s="128"/>
      <c r="BO253" s="128"/>
      <c r="BP253" s="128"/>
      <c r="BQ253" s="128"/>
      <c r="BR253" s="128"/>
      <c r="BS253" s="128"/>
      <c r="BT253" s="128"/>
      <c r="BU253" s="128"/>
      <c r="BV253" s="128"/>
      <c r="BW253" s="128"/>
      <c r="BX253" s="128"/>
      <c r="BY253" s="128"/>
      <c r="BZ253" s="128"/>
      <c r="CA253" s="128"/>
      <c r="CB253" s="128"/>
      <c r="CC253" s="128"/>
      <c r="CD253" s="128"/>
      <c r="CE253" s="128"/>
      <c r="CF253" s="128"/>
      <c r="CG253" s="128"/>
      <c r="CH253" s="128"/>
      <c r="CI253" s="128"/>
      <c r="CJ253" s="128"/>
      <c r="CK253" s="128"/>
      <c r="CL253" s="128"/>
      <c r="CM253" s="128"/>
    </row>
    <row r="254" spans="1:91" x14ac:dyDescent="0.2">
      <c r="A254" s="18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8"/>
      <c r="AZ254" s="128"/>
      <c r="BA254" s="128"/>
      <c r="BB254" s="128"/>
      <c r="BC254" s="128"/>
      <c r="BD254" s="128"/>
      <c r="BE254" s="128"/>
      <c r="BF254" s="128"/>
      <c r="BG254" s="128"/>
      <c r="BH254" s="128"/>
      <c r="BI254" s="128"/>
      <c r="BJ254" s="128"/>
      <c r="BK254" s="128"/>
      <c r="BL254" s="128"/>
      <c r="BM254" s="128"/>
      <c r="BN254" s="128"/>
      <c r="BO254" s="128"/>
      <c r="BP254" s="128"/>
      <c r="BQ254" s="128"/>
      <c r="BR254" s="128"/>
      <c r="BS254" s="128"/>
      <c r="BT254" s="128"/>
      <c r="BU254" s="128"/>
      <c r="BV254" s="128"/>
      <c r="BW254" s="128"/>
      <c r="BX254" s="128"/>
      <c r="BY254" s="128"/>
      <c r="BZ254" s="128"/>
      <c r="CA254" s="128"/>
      <c r="CB254" s="128"/>
      <c r="CC254" s="128"/>
      <c r="CD254" s="128"/>
      <c r="CE254" s="128"/>
      <c r="CF254" s="128"/>
      <c r="CG254" s="128"/>
      <c r="CH254" s="128"/>
      <c r="CI254" s="128"/>
      <c r="CJ254" s="128"/>
      <c r="CK254" s="128"/>
      <c r="CL254" s="128"/>
      <c r="CM254" s="128"/>
    </row>
    <row r="255" spans="1:91" x14ac:dyDescent="0.2">
      <c r="A255" s="18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8"/>
      <c r="AZ255" s="128"/>
      <c r="BA255" s="128"/>
      <c r="BB255" s="128"/>
      <c r="BC255" s="128"/>
      <c r="BD255" s="128"/>
      <c r="BE255" s="128"/>
      <c r="BF255" s="128"/>
      <c r="BG255" s="128"/>
      <c r="BH255" s="128"/>
      <c r="BI255" s="128"/>
      <c r="BJ255" s="128"/>
      <c r="BK255" s="128"/>
      <c r="BL255" s="128"/>
      <c r="BM255" s="128"/>
      <c r="BN255" s="128"/>
      <c r="BO255" s="128"/>
      <c r="BP255" s="128"/>
      <c r="BQ255" s="128"/>
      <c r="BR255" s="128"/>
      <c r="BS255" s="128"/>
      <c r="BT255" s="128"/>
      <c r="BU255" s="128"/>
      <c r="BV255" s="128"/>
      <c r="BW255" s="128"/>
      <c r="BX255" s="128"/>
      <c r="BY255" s="128"/>
      <c r="BZ255" s="128"/>
      <c r="CA255" s="128"/>
      <c r="CB255" s="128"/>
      <c r="CC255" s="128"/>
      <c r="CD255" s="128"/>
      <c r="CE255" s="128"/>
      <c r="CF255" s="128"/>
      <c r="CG255" s="128"/>
      <c r="CH255" s="128"/>
      <c r="CI255" s="128"/>
      <c r="CJ255" s="128"/>
      <c r="CK255" s="128"/>
      <c r="CL255" s="128"/>
      <c r="CM255" s="128"/>
    </row>
    <row r="256" spans="1:91" x14ac:dyDescent="0.2">
      <c r="A256" s="18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128"/>
      <c r="BN256" s="128"/>
      <c r="BO256" s="128"/>
      <c r="BP256" s="128"/>
      <c r="BQ256" s="128"/>
      <c r="BR256" s="128"/>
      <c r="BS256" s="128"/>
      <c r="BT256" s="128"/>
      <c r="BU256" s="128"/>
      <c r="BV256" s="128"/>
      <c r="BW256" s="128"/>
      <c r="BX256" s="128"/>
      <c r="BY256" s="128"/>
      <c r="BZ256" s="128"/>
      <c r="CA256" s="128"/>
      <c r="CB256" s="128"/>
      <c r="CC256" s="128"/>
      <c r="CD256" s="128"/>
      <c r="CE256" s="128"/>
      <c r="CF256" s="128"/>
      <c r="CG256" s="128"/>
      <c r="CH256" s="128"/>
      <c r="CI256" s="128"/>
      <c r="CJ256" s="128"/>
      <c r="CK256" s="128"/>
      <c r="CL256" s="128"/>
      <c r="CM256" s="128"/>
    </row>
    <row r="257" spans="1:91" x14ac:dyDescent="0.2">
      <c r="A257" s="18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8"/>
      <c r="BR257" s="128"/>
      <c r="BS257" s="128"/>
      <c r="BT257" s="128"/>
      <c r="BU257" s="128"/>
      <c r="BV257" s="128"/>
      <c r="BW257" s="128"/>
      <c r="BX257" s="128"/>
      <c r="BY257" s="128"/>
      <c r="BZ257" s="128"/>
      <c r="CA257" s="128"/>
      <c r="CB257" s="128"/>
      <c r="CC257" s="128"/>
      <c r="CD257" s="128"/>
      <c r="CE257" s="128"/>
      <c r="CF257" s="128"/>
      <c r="CG257" s="128"/>
      <c r="CH257" s="128"/>
      <c r="CI257" s="128"/>
      <c r="CJ257" s="128"/>
      <c r="CK257" s="128"/>
      <c r="CL257" s="128"/>
      <c r="CM257" s="128"/>
    </row>
    <row r="258" spans="1:91" x14ac:dyDescent="0.2">
      <c r="A258" s="18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  <c r="BR258" s="128"/>
      <c r="BS258" s="128"/>
      <c r="BT258" s="128"/>
      <c r="BU258" s="128"/>
      <c r="BV258" s="128"/>
      <c r="BW258" s="128"/>
      <c r="BX258" s="128"/>
      <c r="BY258" s="128"/>
      <c r="BZ258" s="128"/>
      <c r="CA258" s="128"/>
      <c r="CB258" s="128"/>
      <c r="CC258" s="128"/>
      <c r="CD258" s="128"/>
      <c r="CE258" s="128"/>
      <c r="CF258" s="128"/>
      <c r="CG258" s="128"/>
      <c r="CH258" s="128"/>
      <c r="CI258" s="128"/>
      <c r="CJ258" s="128"/>
      <c r="CK258" s="128"/>
      <c r="CL258" s="128"/>
      <c r="CM258" s="128"/>
    </row>
    <row r="259" spans="1:91" x14ac:dyDescent="0.2">
      <c r="A259" s="18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/>
      <c r="BS259" s="128"/>
      <c r="BT259" s="128"/>
      <c r="BU259" s="128"/>
      <c r="BV259" s="128"/>
      <c r="BW259" s="128"/>
      <c r="BX259" s="128"/>
      <c r="BY259" s="128"/>
      <c r="BZ259" s="128"/>
      <c r="CA259" s="128"/>
      <c r="CB259" s="128"/>
      <c r="CC259" s="128"/>
      <c r="CD259" s="128"/>
      <c r="CE259" s="128"/>
      <c r="CF259" s="128"/>
      <c r="CG259" s="128"/>
      <c r="CH259" s="128"/>
      <c r="CI259" s="128"/>
      <c r="CJ259" s="128"/>
      <c r="CK259" s="128"/>
      <c r="CL259" s="128"/>
      <c r="CM259" s="128"/>
    </row>
    <row r="260" spans="1:91" x14ac:dyDescent="0.2">
      <c r="A260" s="18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  <c r="BR260" s="128"/>
      <c r="BS260" s="128"/>
      <c r="BT260" s="128"/>
      <c r="BU260" s="128"/>
      <c r="BV260" s="128"/>
      <c r="BW260" s="128"/>
      <c r="BX260" s="128"/>
      <c r="BY260" s="128"/>
      <c r="BZ260" s="128"/>
      <c r="CA260" s="128"/>
      <c r="CB260" s="128"/>
      <c r="CC260" s="128"/>
      <c r="CD260" s="128"/>
      <c r="CE260" s="128"/>
      <c r="CF260" s="128"/>
      <c r="CG260" s="128"/>
      <c r="CH260" s="128"/>
      <c r="CI260" s="128"/>
      <c r="CJ260" s="128"/>
      <c r="CK260" s="128"/>
      <c r="CL260" s="128"/>
      <c r="CM260" s="128"/>
    </row>
    <row r="261" spans="1:91" x14ac:dyDescent="0.2">
      <c r="A261" s="18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128"/>
      <c r="BN261" s="128"/>
      <c r="BO261" s="128"/>
      <c r="BP261" s="128"/>
      <c r="BQ261" s="128"/>
      <c r="BR261" s="128"/>
      <c r="BS261" s="128"/>
      <c r="BT261" s="128"/>
      <c r="BU261" s="128"/>
      <c r="BV261" s="128"/>
      <c r="BW261" s="128"/>
      <c r="BX261" s="128"/>
      <c r="BY261" s="128"/>
      <c r="BZ261" s="128"/>
      <c r="CA261" s="128"/>
      <c r="CB261" s="128"/>
      <c r="CC261" s="128"/>
      <c r="CD261" s="128"/>
      <c r="CE261" s="128"/>
      <c r="CF261" s="128"/>
      <c r="CG261" s="128"/>
      <c r="CH261" s="128"/>
      <c r="CI261" s="128"/>
      <c r="CJ261" s="128"/>
      <c r="CK261" s="128"/>
      <c r="CL261" s="128"/>
      <c r="CM261" s="128"/>
    </row>
    <row r="262" spans="1:91" x14ac:dyDescent="0.2">
      <c r="A262" s="18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128"/>
      <c r="BN262" s="128"/>
      <c r="BO262" s="128"/>
      <c r="BP262" s="128"/>
      <c r="BQ262" s="128"/>
      <c r="BR262" s="128"/>
      <c r="BS262" s="128"/>
      <c r="BT262" s="128"/>
      <c r="BU262" s="128"/>
      <c r="BV262" s="128"/>
      <c r="BW262" s="128"/>
      <c r="BX262" s="128"/>
      <c r="BY262" s="128"/>
      <c r="BZ262" s="128"/>
      <c r="CA262" s="128"/>
      <c r="CB262" s="128"/>
      <c r="CC262" s="128"/>
      <c r="CD262" s="128"/>
      <c r="CE262" s="128"/>
      <c r="CF262" s="128"/>
      <c r="CG262" s="128"/>
      <c r="CH262" s="128"/>
      <c r="CI262" s="128"/>
      <c r="CJ262" s="128"/>
      <c r="CK262" s="128"/>
      <c r="CL262" s="128"/>
      <c r="CM262" s="128"/>
    </row>
    <row r="263" spans="1:91" x14ac:dyDescent="0.2">
      <c r="A263" s="18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8"/>
      <c r="BR263" s="128"/>
      <c r="BS263" s="128"/>
      <c r="BT263" s="128"/>
      <c r="BU263" s="128"/>
      <c r="BV263" s="128"/>
      <c r="BW263" s="128"/>
      <c r="BX263" s="128"/>
      <c r="BY263" s="128"/>
      <c r="BZ263" s="128"/>
      <c r="CA263" s="128"/>
      <c r="CB263" s="128"/>
      <c r="CC263" s="128"/>
      <c r="CD263" s="128"/>
      <c r="CE263" s="128"/>
      <c r="CF263" s="128"/>
      <c r="CG263" s="128"/>
      <c r="CH263" s="128"/>
      <c r="CI263" s="128"/>
      <c r="CJ263" s="128"/>
      <c r="CK263" s="128"/>
      <c r="CL263" s="128"/>
      <c r="CM263" s="128"/>
    </row>
    <row r="264" spans="1:91" x14ac:dyDescent="0.2">
      <c r="A264" s="18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  <c r="BP264" s="128"/>
      <c r="BQ264" s="128"/>
      <c r="BR264" s="128"/>
      <c r="BS264" s="128"/>
      <c r="BT264" s="128"/>
      <c r="BU264" s="128"/>
      <c r="BV264" s="128"/>
      <c r="BW264" s="128"/>
      <c r="BX264" s="128"/>
      <c r="BY264" s="128"/>
      <c r="BZ264" s="128"/>
      <c r="CA264" s="128"/>
      <c r="CB264" s="128"/>
      <c r="CC264" s="128"/>
      <c r="CD264" s="128"/>
      <c r="CE264" s="128"/>
      <c r="CF264" s="128"/>
      <c r="CG264" s="128"/>
      <c r="CH264" s="128"/>
      <c r="CI264" s="128"/>
      <c r="CJ264" s="128"/>
      <c r="CK264" s="128"/>
      <c r="CL264" s="128"/>
      <c r="CM264" s="128"/>
    </row>
    <row r="265" spans="1:91" x14ac:dyDescent="0.2">
      <c r="A265" s="18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  <c r="BQ265" s="128"/>
      <c r="BR265" s="128"/>
      <c r="BS265" s="128"/>
      <c r="BT265" s="128"/>
      <c r="BU265" s="128"/>
      <c r="BV265" s="128"/>
      <c r="BW265" s="128"/>
      <c r="BX265" s="128"/>
      <c r="BY265" s="128"/>
      <c r="BZ265" s="128"/>
      <c r="CA265" s="128"/>
      <c r="CB265" s="128"/>
      <c r="CC265" s="128"/>
      <c r="CD265" s="128"/>
      <c r="CE265" s="128"/>
      <c r="CF265" s="128"/>
      <c r="CG265" s="128"/>
      <c r="CH265" s="128"/>
      <c r="CI265" s="128"/>
      <c r="CJ265" s="128"/>
      <c r="CK265" s="128"/>
      <c r="CL265" s="128"/>
      <c r="CM265" s="128"/>
    </row>
    <row r="266" spans="1:91" x14ac:dyDescent="0.2">
      <c r="A266" s="18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  <c r="BQ266" s="128"/>
      <c r="BR266" s="128"/>
      <c r="BS266" s="128"/>
      <c r="BT266" s="128"/>
      <c r="BU266" s="128"/>
      <c r="BV266" s="128"/>
      <c r="BW266" s="128"/>
      <c r="BX266" s="128"/>
      <c r="BY266" s="128"/>
      <c r="BZ266" s="128"/>
      <c r="CA266" s="128"/>
      <c r="CB266" s="128"/>
      <c r="CC266" s="128"/>
      <c r="CD266" s="128"/>
      <c r="CE266" s="128"/>
      <c r="CF266" s="128"/>
      <c r="CG266" s="128"/>
      <c r="CH266" s="128"/>
      <c r="CI266" s="128"/>
      <c r="CJ266" s="128"/>
      <c r="CK266" s="128"/>
      <c r="CL266" s="128"/>
      <c r="CM266" s="128"/>
    </row>
    <row r="267" spans="1:91" x14ac:dyDescent="0.2">
      <c r="A267" s="18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8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128"/>
      <c r="BN267" s="128"/>
      <c r="BO267" s="128"/>
      <c r="BP267" s="128"/>
      <c r="BQ267" s="128"/>
      <c r="BR267" s="128"/>
      <c r="BS267" s="128"/>
      <c r="BT267" s="128"/>
      <c r="BU267" s="128"/>
      <c r="BV267" s="128"/>
      <c r="BW267" s="128"/>
      <c r="BX267" s="128"/>
      <c r="BY267" s="128"/>
      <c r="BZ267" s="128"/>
      <c r="CA267" s="128"/>
      <c r="CB267" s="128"/>
      <c r="CC267" s="128"/>
      <c r="CD267" s="128"/>
      <c r="CE267" s="128"/>
      <c r="CF267" s="128"/>
      <c r="CG267" s="128"/>
      <c r="CH267" s="128"/>
      <c r="CI267" s="128"/>
      <c r="CJ267" s="128"/>
      <c r="CK267" s="128"/>
      <c r="CL267" s="128"/>
      <c r="CM267" s="128"/>
    </row>
    <row r="268" spans="1:91" x14ac:dyDescent="0.2">
      <c r="A268" s="18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128"/>
      <c r="BN268" s="128"/>
      <c r="BO268" s="128"/>
      <c r="BP268" s="128"/>
      <c r="BQ268" s="128"/>
      <c r="BR268" s="128"/>
      <c r="BS268" s="128"/>
      <c r="BT268" s="128"/>
      <c r="BU268" s="128"/>
      <c r="BV268" s="128"/>
      <c r="BW268" s="128"/>
      <c r="BX268" s="128"/>
      <c r="BY268" s="128"/>
      <c r="BZ268" s="128"/>
      <c r="CA268" s="128"/>
      <c r="CB268" s="128"/>
      <c r="CC268" s="128"/>
      <c r="CD268" s="128"/>
      <c r="CE268" s="128"/>
      <c r="CF268" s="128"/>
      <c r="CG268" s="128"/>
      <c r="CH268" s="128"/>
      <c r="CI268" s="128"/>
      <c r="CJ268" s="128"/>
      <c r="CK268" s="128"/>
      <c r="CL268" s="128"/>
      <c r="CM268" s="128"/>
    </row>
    <row r="269" spans="1:91" x14ac:dyDescent="0.2">
      <c r="A269" s="18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8"/>
      <c r="AZ269" s="128"/>
      <c r="BA269" s="128"/>
      <c r="BB269" s="128"/>
      <c r="BC269" s="128"/>
      <c r="BD269" s="128"/>
      <c r="BE269" s="128"/>
      <c r="BF269" s="128"/>
      <c r="BG269" s="128"/>
      <c r="BH269" s="128"/>
      <c r="BI269" s="128"/>
      <c r="BJ269" s="128"/>
      <c r="BK269" s="128"/>
      <c r="BL269" s="128"/>
      <c r="BM269" s="128"/>
      <c r="BN269" s="128"/>
      <c r="BO269" s="128"/>
      <c r="BP269" s="128"/>
      <c r="BQ269" s="128"/>
      <c r="BR269" s="128"/>
      <c r="BS269" s="128"/>
      <c r="BT269" s="128"/>
      <c r="BU269" s="128"/>
      <c r="BV269" s="128"/>
      <c r="BW269" s="128"/>
      <c r="BX269" s="128"/>
      <c r="BY269" s="128"/>
      <c r="BZ269" s="128"/>
      <c r="CA269" s="128"/>
      <c r="CB269" s="128"/>
      <c r="CC269" s="128"/>
      <c r="CD269" s="128"/>
      <c r="CE269" s="128"/>
      <c r="CF269" s="128"/>
      <c r="CG269" s="128"/>
      <c r="CH269" s="128"/>
      <c r="CI269" s="128"/>
      <c r="CJ269" s="128"/>
      <c r="CK269" s="128"/>
      <c r="CL269" s="128"/>
      <c r="CM269" s="128"/>
    </row>
    <row r="270" spans="1:91" x14ac:dyDescent="0.2">
      <c r="A270" s="18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8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128"/>
      <c r="BN270" s="128"/>
      <c r="BO270" s="128"/>
      <c r="BP270" s="128"/>
      <c r="BQ270" s="128"/>
      <c r="BR270" s="128"/>
      <c r="BS270" s="128"/>
      <c r="BT270" s="128"/>
      <c r="BU270" s="128"/>
      <c r="BV270" s="128"/>
      <c r="BW270" s="128"/>
      <c r="BX270" s="128"/>
      <c r="BY270" s="128"/>
      <c r="BZ270" s="128"/>
      <c r="CA270" s="128"/>
      <c r="CB270" s="128"/>
      <c r="CC270" s="128"/>
      <c r="CD270" s="128"/>
      <c r="CE270" s="128"/>
      <c r="CF270" s="128"/>
      <c r="CG270" s="128"/>
      <c r="CH270" s="128"/>
      <c r="CI270" s="128"/>
      <c r="CJ270" s="128"/>
      <c r="CK270" s="128"/>
      <c r="CL270" s="128"/>
      <c r="CM270" s="128"/>
    </row>
    <row r="271" spans="1:91" x14ac:dyDescent="0.2">
      <c r="A271" s="18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AD271" s="128"/>
      <c r="AE271" s="128"/>
      <c r="AF271" s="128"/>
      <c r="AG271" s="128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B271" s="128"/>
      <c r="BC271" s="128"/>
      <c r="BD271" s="128"/>
      <c r="BE271" s="128"/>
      <c r="BF271" s="128"/>
      <c r="BG271" s="128"/>
      <c r="BH271" s="128"/>
      <c r="BI271" s="128"/>
      <c r="BJ271" s="128"/>
      <c r="BK271" s="128"/>
      <c r="BL271" s="128"/>
      <c r="BM271" s="128"/>
      <c r="BN271" s="128"/>
      <c r="BO271" s="128"/>
      <c r="BP271" s="128"/>
      <c r="BQ271" s="128"/>
      <c r="BR271" s="128"/>
      <c r="BS271" s="128"/>
      <c r="BT271" s="128"/>
      <c r="BU271" s="128"/>
      <c r="BV271" s="128"/>
      <c r="BW271" s="128"/>
      <c r="BX271" s="128"/>
      <c r="BY271" s="128"/>
      <c r="BZ271" s="128"/>
      <c r="CA271" s="128"/>
      <c r="CB271" s="128"/>
      <c r="CC271" s="128"/>
      <c r="CD271" s="128"/>
      <c r="CE271" s="128"/>
      <c r="CF271" s="128"/>
      <c r="CG271" s="128"/>
      <c r="CH271" s="128"/>
      <c r="CI271" s="128"/>
      <c r="CJ271" s="128"/>
      <c r="CK271" s="128"/>
      <c r="CL271" s="128"/>
      <c r="CM271" s="128"/>
    </row>
    <row r="272" spans="1:91" x14ac:dyDescent="0.2">
      <c r="A272" s="18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AD272" s="128"/>
      <c r="AE272" s="128"/>
      <c r="AF272" s="128"/>
      <c r="AG272" s="12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8"/>
      <c r="AZ272" s="128"/>
      <c r="BA272" s="128"/>
      <c r="BB272" s="128"/>
      <c r="BC272" s="128"/>
      <c r="BD272" s="128"/>
      <c r="BE272" s="128"/>
      <c r="BF272" s="128"/>
      <c r="BG272" s="128"/>
      <c r="BH272" s="128"/>
      <c r="BI272" s="128"/>
      <c r="BJ272" s="128"/>
      <c r="BK272" s="128"/>
      <c r="BL272" s="128"/>
      <c r="BM272" s="128"/>
      <c r="BN272" s="128"/>
      <c r="BO272" s="128"/>
      <c r="BP272" s="128"/>
      <c r="BQ272" s="128"/>
      <c r="BR272" s="128"/>
      <c r="BS272" s="128"/>
      <c r="BT272" s="128"/>
      <c r="BU272" s="128"/>
      <c r="BV272" s="128"/>
      <c r="BW272" s="128"/>
      <c r="BX272" s="128"/>
      <c r="BY272" s="128"/>
      <c r="BZ272" s="128"/>
      <c r="CA272" s="128"/>
      <c r="CB272" s="128"/>
      <c r="CC272" s="128"/>
      <c r="CD272" s="128"/>
      <c r="CE272" s="128"/>
      <c r="CF272" s="128"/>
      <c r="CG272" s="128"/>
      <c r="CH272" s="128"/>
      <c r="CI272" s="128"/>
      <c r="CJ272" s="128"/>
      <c r="CK272" s="128"/>
      <c r="CL272" s="128"/>
      <c r="CM272" s="128"/>
    </row>
    <row r="273" spans="1:91" x14ac:dyDescent="0.2">
      <c r="A273" s="18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128"/>
      <c r="BN273" s="128"/>
      <c r="BO273" s="128"/>
      <c r="BP273" s="128"/>
      <c r="BQ273" s="128"/>
      <c r="BR273" s="128"/>
      <c r="BS273" s="128"/>
      <c r="BT273" s="128"/>
      <c r="BU273" s="128"/>
      <c r="BV273" s="128"/>
      <c r="BW273" s="128"/>
      <c r="BX273" s="128"/>
      <c r="BY273" s="128"/>
      <c r="BZ273" s="128"/>
      <c r="CA273" s="128"/>
      <c r="CB273" s="128"/>
      <c r="CC273" s="128"/>
      <c r="CD273" s="128"/>
      <c r="CE273" s="128"/>
      <c r="CF273" s="128"/>
      <c r="CG273" s="128"/>
      <c r="CH273" s="128"/>
      <c r="CI273" s="128"/>
      <c r="CJ273" s="128"/>
      <c r="CK273" s="128"/>
      <c r="CL273" s="128"/>
      <c r="CM273" s="128"/>
    </row>
    <row r="274" spans="1:91" x14ac:dyDescent="0.2">
      <c r="A274" s="18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128"/>
      <c r="BN274" s="128"/>
      <c r="BO274" s="128"/>
      <c r="BP274" s="128"/>
      <c r="BQ274" s="128"/>
      <c r="BR274" s="128"/>
      <c r="BS274" s="128"/>
      <c r="BT274" s="128"/>
      <c r="BU274" s="128"/>
      <c r="BV274" s="128"/>
      <c r="BW274" s="128"/>
      <c r="BX274" s="128"/>
      <c r="BY274" s="128"/>
      <c r="BZ274" s="128"/>
      <c r="CA274" s="128"/>
      <c r="CB274" s="128"/>
      <c r="CC274" s="128"/>
      <c r="CD274" s="128"/>
      <c r="CE274" s="128"/>
      <c r="CF274" s="128"/>
      <c r="CG274" s="128"/>
      <c r="CH274" s="128"/>
      <c r="CI274" s="128"/>
      <c r="CJ274" s="128"/>
      <c r="CK274" s="128"/>
      <c r="CL274" s="128"/>
      <c r="CM274" s="128"/>
    </row>
    <row r="275" spans="1:91" x14ac:dyDescent="0.2">
      <c r="A275" s="18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AD275" s="128"/>
      <c r="AE275" s="128"/>
      <c r="AF275" s="128"/>
      <c r="AG275" s="12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8"/>
      <c r="AZ275" s="128"/>
      <c r="BA275" s="128"/>
      <c r="BB275" s="128"/>
      <c r="BC275" s="128"/>
      <c r="BD275" s="128"/>
      <c r="BE275" s="128"/>
      <c r="BF275" s="128"/>
      <c r="BG275" s="128"/>
      <c r="BH275" s="128"/>
      <c r="BI275" s="128"/>
      <c r="BJ275" s="128"/>
      <c r="BK275" s="128"/>
      <c r="BL275" s="128"/>
      <c r="BM275" s="128"/>
      <c r="BN275" s="128"/>
      <c r="BO275" s="128"/>
      <c r="BP275" s="128"/>
      <c r="BQ275" s="128"/>
      <c r="BR275" s="128"/>
      <c r="BS275" s="128"/>
      <c r="BT275" s="128"/>
      <c r="BU275" s="128"/>
      <c r="BV275" s="128"/>
      <c r="BW275" s="128"/>
      <c r="BX275" s="128"/>
      <c r="BY275" s="128"/>
      <c r="BZ275" s="128"/>
      <c r="CA275" s="128"/>
      <c r="CB275" s="128"/>
      <c r="CC275" s="128"/>
      <c r="CD275" s="128"/>
      <c r="CE275" s="128"/>
      <c r="CF275" s="128"/>
      <c r="CG275" s="128"/>
      <c r="CH275" s="128"/>
      <c r="CI275" s="128"/>
      <c r="CJ275" s="128"/>
      <c r="CK275" s="128"/>
      <c r="CL275" s="128"/>
      <c r="CM275" s="128"/>
    </row>
    <row r="276" spans="1:91" x14ac:dyDescent="0.2">
      <c r="A276" s="18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/>
      <c r="BC276" s="128"/>
      <c r="BD276" s="128"/>
      <c r="BE276" s="128"/>
      <c r="BF276" s="128"/>
      <c r="BG276" s="128"/>
      <c r="BH276" s="128"/>
      <c r="BI276" s="128"/>
      <c r="BJ276" s="128"/>
      <c r="BK276" s="128"/>
      <c r="BL276" s="128"/>
      <c r="BM276" s="128"/>
      <c r="BN276" s="128"/>
      <c r="BO276" s="128"/>
      <c r="BP276" s="128"/>
      <c r="BQ276" s="128"/>
      <c r="BR276" s="128"/>
      <c r="BS276" s="128"/>
      <c r="BT276" s="128"/>
      <c r="BU276" s="128"/>
      <c r="BV276" s="128"/>
      <c r="BW276" s="128"/>
      <c r="BX276" s="128"/>
      <c r="BY276" s="128"/>
      <c r="BZ276" s="128"/>
      <c r="CA276" s="128"/>
      <c r="CB276" s="128"/>
      <c r="CC276" s="128"/>
      <c r="CD276" s="128"/>
      <c r="CE276" s="128"/>
      <c r="CF276" s="128"/>
      <c r="CG276" s="128"/>
      <c r="CH276" s="128"/>
      <c r="CI276" s="128"/>
      <c r="CJ276" s="128"/>
      <c r="CK276" s="128"/>
      <c r="CL276" s="128"/>
      <c r="CM276" s="128"/>
    </row>
    <row r="277" spans="1:91" x14ac:dyDescent="0.2">
      <c r="A277" s="18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B277" s="128"/>
      <c r="BC277" s="128"/>
      <c r="BD277" s="128"/>
      <c r="BE277" s="128"/>
      <c r="BF277" s="128"/>
      <c r="BG277" s="128"/>
      <c r="BH277" s="128"/>
      <c r="BI277" s="128"/>
      <c r="BJ277" s="128"/>
      <c r="BK277" s="128"/>
      <c r="BL277" s="128"/>
      <c r="BM277" s="128"/>
      <c r="BN277" s="128"/>
      <c r="BO277" s="128"/>
      <c r="BP277" s="128"/>
      <c r="BQ277" s="128"/>
      <c r="BR277" s="128"/>
      <c r="BS277" s="128"/>
      <c r="BT277" s="128"/>
      <c r="BU277" s="128"/>
      <c r="BV277" s="128"/>
      <c r="BW277" s="128"/>
      <c r="BX277" s="128"/>
      <c r="BY277" s="128"/>
      <c r="BZ277" s="128"/>
      <c r="CA277" s="128"/>
      <c r="CB277" s="128"/>
      <c r="CC277" s="128"/>
      <c r="CD277" s="128"/>
      <c r="CE277" s="128"/>
      <c r="CF277" s="128"/>
      <c r="CG277" s="128"/>
      <c r="CH277" s="128"/>
      <c r="CI277" s="128"/>
      <c r="CJ277" s="128"/>
      <c r="CK277" s="128"/>
      <c r="CL277" s="128"/>
      <c r="CM277" s="128"/>
    </row>
    <row r="278" spans="1:91" x14ac:dyDescent="0.2">
      <c r="A278" s="18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AD278" s="128"/>
      <c r="AE278" s="128"/>
      <c r="AF278" s="128"/>
      <c r="AG278" s="12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8"/>
      <c r="AW278" s="128"/>
      <c r="AX278" s="128"/>
      <c r="AY278" s="128"/>
      <c r="AZ278" s="128"/>
      <c r="BA278" s="128"/>
      <c r="BB278" s="128"/>
      <c r="BC278" s="128"/>
      <c r="BD278" s="128"/>
      <c r="BE278" s="128"/>
      <c r="BF278" s="128"/>
      <c r="BG278" s="128"/>
      <c r="BH278" s="128"/>
      <c r="BI278" s="128"/>
      <c r="BJ278" s="128"/>
      <c r="BK278" s="128"/>
      <c r="BL278" s="128"/>
      <c r="BM278" s="128"/>
      <c r="BN278" s="128"/>
      <c r="BO278" s="128"/>
      <c r="BP278" s="128"/>
      <c r="BQ278" s="128"/>
      <c r="BR278" s="128"/>
      <c r="BS278" s="128"/>
      <c r="BT278" s="128"/>
      <c r="BU278" s="128"/>
      <c r="BV278" s="128"/>
      <c r="BW278" s="128"/>
      <c r="BX278" s="128"/>
      <c r="BY278" s="128"/>
      <c r="BZ278" s="128"/>
      <c r="CA278" s="128"/>
      <c r="CB278" s="128"/>
      <c r="CC278" s="128"/>
      <c r="CD278" s="128"/>
      <c r="CE278" s="128"/>
      <c r="CF278" s="128"/>
      <c r="CG278" s="128"/>
      <c r="CH278" s="128"/>
      <c r="CI278" s="128"/>
      <c r="CJ278" s="128"/>
      <c r="CK278" s="128"/>
      <c r="CL278" s="128"/>
      <c r="CM278" s="128"/>
    </row>
    <row r="279" spans="1:91" x14ac:dyDescent="0.2">
      <c r="A279" s="18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AD279" s="128"/>
      <c r="AE279" s="128"/>
      <c r="AF279" s="128"/>
      <c r="AG279" s="12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8"/>
      <c r="AW279" s="128"/>
      <c r="AX279" s="128"/>
      <c r="AY279" s="128"/>
      <c r="AZ279" s="128"/>
      <c r="BA279" s="128"/>
      <c r="BB279" s="128"/>
      <c r="BC279" s="128"/>
      <c r="BD279" s="128"/>
      <c r="BE279" s="128"/>
      <c r="BF279" s="128"/>
      <c r="BG279" s="128"/>
      <c r="BH279" s="128"/>
      <c r="BI279" s="128"/>
      <c r="BJ279" s="128"/>
      <c r="BK279" s="128"/>
      <c r="BL279" s="128"/>
      <c r="BM279" s="128"/>
      <c r="BN279" s="128"/>
      <c r="BO279" s="128"/>
      <c r="BP279" s="128"/>
      <c r="BQ279" s="128"/>
      <c r="BR279" s="128"/>
      <c r="BS279" s="128"/>
      <c r="BT279" s="128"/>
      <c r="BU279" s="128"/>
      <c r="BV279" s="128"/>
      <c r="BW279" s="128"/>
      <c r="BX279" s="128"/>
      <c r="BY279" s="128"/>
      <c r="BZ279" s="128"/>
      <c r="CA279" s="128"/>
      <c r="CB279" s="128"/>
      <c r="CC279" s="128"/>
      <c r="CD279" s="128"/>
      <c r="CE279" s="128"/>
      <c r="CF279" s="128"/>
      <c r="CG279" s="128"/>
      <c r="CH279" s="128"/>
      <c r="CI279" s="128"/>
      <c r="CJ279" s="128"/>
      <c r="CK279" s="128"/>
      <c r="CL279" s="128"/>
      <c r="CM279" s="128"/>
    </row>
    <row r="280" spans="1:91" x14ac:dyDescent="0.2">
      <c r="A280" s="18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AD280" s="128"/>
      <c r="AE280" s="128"/>
      <c r="AF280" s="128"/>
      <c r="AG280" s="12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8"/>
      <c r="AS280" s="128"/>
      <c r="AT280" s="128"/>
      <c r="AU280" s="128"/>
      <c r="AV280" s="128"/>
      <c r="AW280" s="128"/>
      <c r="AX280" s="128"/>
      <c r="AY280" s="128"/>
      <c r="AZ280" s="128"/>
      <c r="BA280" s="128"/>
      <c r="BB280" s="128"/>
      <c r="BC280" s="128"/>
      <c r="BD280" s="128"/>
      <c r="BE280" s="128"/>
      <c r="BF280" s="128"/>
      <c r="BG280" s="128"/>
      <c r="BH280" s="128"/>
      <c r="BI280" s="128"/>
      <c r="BJ280" s="128"/>
      <c r="BK280" s="128"/>
      <c r="BL280" s="128"/>
      <c r="BM280" s="128"/>
      <c r="BN280" s="128"/>
      <c r="BO280" s="128"/>
      <c r="BP280" s="128"/>
      <c r="BQ280" s="128"/>
      <c r="BR280" s="128"/>
      <c r="BS280" s="128"/>
      <c r="BT280" s="128"/>
      <c r="BU280" s="128"/>
      <c r="BV280" s="128"/>
      <c r="BW280" s="128"/>
      <c r="BX280" s="128"/>
      <c r="BY280" s="128"/>
      <c r="BZ280" s="128"/>
      <c r="CA280" s="128"/>
      <c r="CB280" s="128"/>
      <c r="CC280" s="128"/>
      <c r="CD280" s="128"/>
      <c r="CE280" s="128"/>
      <c r="CF280" s="128"/>
      <c r="CG280" s="128"/>
      <c r="CH280" s="128"/>
      <c r="CI280" s="128"/>
      <c r="CJ280" s="128"/>
      <c r="CK280" s="128"/>
      <c r="CL280" s="128"/>
      <c r="CM280" s="128"/>
    </row>
    <row r="281" spans="1:91" x14ac:dyDescent="0.2">
      <c r="A281" s="18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  <c r="BD281" s="128"/>
      <c r="BE281" s="128"/>
      <c r="BF281" s="128"/>
      <c r="BG281" s="128"/>
      <c r="BH281" s="128"/>
      <c r="BI281" s="128"/>
      <c r="BJ281" s="128"/>
      <c r="BK281" s="128"/>
      <c r="BL281" s="128"/>
      <c r="BM281" s="128"/>
      <c r="BN281" s="128"/>
      <c r="BO281" s="128"/>
      <c r="BP281" s="128"/>
      <c r="BQ281" s="128"/>
      <c r="BR281" s="128"/>
      <c r="BS281" s="128"/>
      <c r="BT281" s="128"/>
      <c r="BU281" s="128"/>
      <c r="BV281" s="128"/>
      <c r="BW281" s="128"/>
      <c r="BX281" s="128"/>
      <c r="BY281" s="128"/>
      <c r="BZ281" s="128"/>
      <c r="CA281" s="128"/>
      <c r="CB281" s="128"/>
      <c r="CC281" s="128"/>
      <c r="CD281" s="128"/>
      <c r="CE281" s="128"/>
      <c r="CF281" s="128"/>
      <c r="CG281" s="128"/>
      <c r="CH281" s="128"/>
      <c r="CI281" s="128"/>
      <c r="CJ281" s="128"/>
      <c r="CK281" s="128"/>
      <c r="CL281" s="128"/>
      <c r="CM281" s="128"/>
    </row>
    <row r="282" spans="1:91" x14ac:dyDescent="0.2">
      <c r="A282" s="18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  <c r="BE282" s="128"/>
      <c r="BF282" s="128"/>
      <c r="BG282" s="128"/>
      <c r="BH282" s="128"/>
      <c r="BI282" s="128"/>
      <c r="BJ282" s="128"/>
      <c r="BK282" s="128"/>
      <c r="BL282" s="128"/>
      <c r="BM282" s="128"/>
      <c r="BN282" s="128"/>
      <c r="BO282" s="128"/>
      <c r="BP282" s="128"/>
      <c r="BQ282" s="128"/>
      <c r="BR282" s="128"/>
      <c r="BS282" s="128"/>
      <c r="BT282" s="128"/>
      <c r="BU282" s="128"/>
      <c r="BV282" s="128"/>
      <c r="BW282" s="128"/>
      <c r="BX282" s="128"/>
      <c r="BY282" s="128"/>
      <c r="BZ282" s="128"/>
      <c r="CA282" s="128"/>
      <c r="CB282" s="128"/>
      <c r="CC282" s="128"/>
      <c r="CD282" s="128"/>
      <c r="CE282" s="128"/>
      <c r="CF282" s="128"/>
      <c r="CG282" s="128"/>
      <c r="CH282" s="128"/>
      <c r="CI282" s="128"/>
      <c r="CJ282" s="128"/>
      <c r="CK282" s="128"/>
      <c r="CL282" s="128"/>
      <c r="CM282" s="128"/>
    </row>
    <row r="283" spans="1:91" x14ac:dyDescent="0.2">
      <c r="A283" s="18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  <c r="BD283" s="128"/>
      <c r="BE283" s="128"/>
      <c r="BF283" s="128"/>
      <c r="BG283" s="128"/>
      <c r="BH283" s="128"/>
      <c r="BI283" s="128"/>
      <c r="BJ283" s="128"/>
      <c r="BK283" s="128"/>
      <c r="BL283" s="128"/>
      <c r="BM283" s="128"/>
      <c r="BN283" s="128"/>
      <c r="BO283" s="128"/>
      <c r="BP283" s="128"/>
      <c r="BQ283" s="128"/>
      <c r="BR283" s="128"/>
      <c r="BS283" s="128"/>
      <c r="BT283" s="128"/>
      <c r="BU283" s="128"/>
      <c r="BV283" s="128"/>
      <c r="BW283" s="128"/>
      <c r="BX283" s="128"/>
      <c r="BY283" s="128"/>
      <c r="BZ283" s="128"/>
      <c r="CA283" s="128"/>
      <c r="CB283" s="128"/>
      <c r="CC283" s="128"/>
      <c r="CD283" s="128"/>
      <c r="CE283" s="128"/>
      <c r="CF283" s="128"/>
      <c r="CG283" s="128"/>
      <c r="CH283" s="128"/>
      <c r="CI283" s="128"/>
      <c r="CJ283" s="128"/>
      <c r="CK283" s="128"/>
      <c r="CL283" s="128"/>
      <c r="CM283" s="128"/>
    </row>
    <row r="284" spans="1:91" x14ac:dyDescent="0.2">
      <c r="A284" s="18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128"/>
      <c r="BN284" s="128"/>
      <c r="BO284" s="128"/>
      <c r="BP284" s="128"/>
      <c r="BQ284" s="128"/>
      <c r="BR284" s="128"/>
      <c r="BS284" s="128"/>
      <c r="BT284" s="128"/>
      <c r="BU284" s="128"/>
      <c r="BV284" s="128"/>
      <c r="BW284" s="128"/>
      <c r="BX284" s="128"/>
      <c r="BY284" s="128"/>
      <c r="BZ284" s="128"/>
      <c r="CA284" s="128"/>
      <c r="CB284" s="128"/>
      <c r="CC284" s="128"/>
      <c r="CD284" s="128"/>
      <c r="CE284" s="128"/>
      <c r="CF284" s="128"/>
      <c r="CG284" s="128"/>
      <c r="CH284" s="128"/>
      <c r="CI284" s="128"/>
      <c r="CJ284" s="128"/>
      <c r="CK284" s="128"/>
      <c r="CL284" s="128"/>
      <c r="CM284" s="128"/>
    </row>
    <row r="285" spans="1:91" x14ac:dyDescent="0.2">
      <c r="A285" s="18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128"/>
      <c r="BN285" s="128"/>
      <c r="BO285" s="128"/>
      <c r="BP285" s="128"/>
      <c r="BQ285" s="128"/>
      <c r="BR285" s="128"/>
      <c r="BS285" s="128"/>
      <c r="BT285" s="128"/>
      <c r="BU285" s="128"/>
      <c r="BV285" s="128"/>
      <c r="BW285" s="128"/>
      <c r="BX285" s="128"/>
      <c r="BY285" s="128"/>
      <c r="BZ285" s="128"/>
      <c r="CA285" s="128"/>
      <c r="CB285" s="128"/>
      <c r="CC285" s="128"/>
      <c r="CD285" s="128"/>
      <c r="CE285" s="128"/>
      <c r="CF285" s="128"/>
      <c r="CG285" s="128"/>
      <c r="CH285" s="128"/>
      <c r="CI285" s="128"/>
      <c r="CJ285" s="128"/>
      <c r="CK285" s="128"/>
      <c r="CL285" s="128"/>
      <c r="CM285" s="128"/>
    </row>
    <row r="286" spans="1:91" x14ac:dyDescent="0.2">
      <c r="A286" s="18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  <c r="BD286" s="128"/>
      <c r="BE286" s="128"/>
      <c r="BF286" s="128"/>
      <c r="BG286" s="128"/>
      <c r="BH286" s="128"/>
      <c r="BI286" s="128"/>
      <c r="BJ286" s="128"/>
      <c r="BK286" s="128"/>
      <c r="BL286" s="128"/>
      <c r="BM286" s="128"/>
      <c r="BN286" s="128"/>
      <c r="BO286" s="128"/>
      <c r="BP286" s="128"/>
      <c r="BQ286" s="128"/>
      <c r="BR286" s="128"/>
      <c r="BS286" s="128"/>
      <c r="BT286" s="128"/>
      <c r="BU286" s="128"/>
      <c r="BV286" s="128"/>
      <c r="BW286" s="128"/>
      <c r="BX286" s="128"/>
      <c r="BY286" s="128"/>
      <c r="BZ286" s="128"/>
      <c r="CA286" s="128"/>
      <c r="CB286" s="128"/>
      <c r="CC286" s="128"/>
      <c r="CD286" s="128"/>
      <c r="CE286" s="128"/>
      <c r="CF286" s="128"/>
      <c r="CG286" s="128"/>
      <c r="CH286" s="128"/>
      <c r="CI286" s="128"/>
      <c r="CJ286" s="128"/>
      <c r="CK286" s="128"/>
      <c r="CL286" s="128"/>
      <c r="CM286" s="128"/>
    </row>
    <row r="287" spans="1:91" x14ac:dyDescent="0.2">
      <c r="A287" s="18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AD287" s="128"/>
      <c r="AE287" s="128"/>
      <c r="AF287" s="128"/>
      <c r="AG287" s="128"/>
      <c r="AH287" s="128"/>
      <c r="AI287" s="128"/>
      <c r="AJ287" s="128"/>
      <c r="AK287" s="128"/>
      <c r="AL287" s="128"/>
      <c r="AM287" s="128"/>
      <c r="AN287" s="128"/>
      <c r="AO287" s="128"/>
      <c r="AP287" s="128"/>
      <c r="AQ287" s="128"/>
      <c r="AR287" s="128"/>
      <c r="AS287" s="128"/>
      <c r="AT287" s="128"/>
      <c r="AU287" s="128"/>
      <c r="AV287" s="128"/>
      <c r="AW287" s="128"/>
      <c r="AX287" s="128"/>
      <c r="AY287" s="128"/>
      <c r="AZ287" s="128"/>
      <c r="BA287" s="128"/>
      <c r="BB287" s="128"/>
      <c r="BC287" s="128"/>
      <c r="BD287" s="128"/>
      <c r="BE287" s="128"/>
      <c r="BF287" s="128"/>
      <c r="BG287" s="128"/>
      <c r="BH287" s="128"/>
      <c r="BI287" s="128"/>
      <c r="BJ287" s="128"/>
      <c r="BK287" s="128"/>
      <c r="BL287" s="128"/>
      <c r="BM287" s="128"/>
      <c r="BN287" s="128"/>
      <c r="BO287" s="128"/>
      <c r="BP287" s="128"/>
      <c r="BQ287" s="128"/>
      <c r="BR287" s="128"/>
      <c r="BS287" s="128"/>
      <c r="BT287" s="128"/>
      <c r="BU287" s="128"/>
      <c r="BV287" s="128"/>
      <c r="BW287" s="128"/>
      <c r="BX287" s="128"/>
      <c r="BY287" s="128"/>
      <c r="BZ287" s="128"/>
      <c r="CA287" s="128"/>
      <c r="CB287" s="128"/>
      <c r="CC287" s="128"/>
      <c r="CD287" s="128"/>
      <c r="CE287" s="128"/>
      <c r="CF287" s="128"/>
      <c r="CG287" s="128"/>
      <c r="CH287" s="128"/>
      <c r="CI287" s="128"/>
      <c r="CJ287" s="128"/>
      <c r="CK287" s="128"/>
      <c r="CL287" s="128"/>
      <c r="CM287" s="128"/>
    </row>
    <row r="288" spans="1:91" x14ac:dyDescent="0.2">
      <c r="A288" s="18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AD288" s="128"/>
      <c r="AE288" s="128"/>
      <c r="AF288" s="128"/>
      <c r="AG288" s="12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8"/>
      <c r="BR288" s="128"/>
      <c r="BS288" s="128"/>
      <c r="BT288" s="128"/>
      <c r="BU288" s="128"/>
      <c r="BV288" s="128"/>
      <c r="BW288" s="128"/>
      <c r="BX288" s="128"/>
      <c r="BY288" s="128"/>
      <c r="BZ288" s="128"/>
      <c r="CA288" s="128"/>
      <c r="CB288" s="128"/>
      <c r="CC288" s="128"/>
      <c r="CD288" s="128"/>
      <c r="CE288" s="128"/>
      <c r="CF288" s="128"/>
      <c r="CG288" s="128"/>
      <c r="CH288" s="128"/>
      <c r="CI288" s="128"/>
      <c r="CJ288" s="128"/>
      <c r="CK288" s="128"/>
      <c r="CL288" s="128"/>
      <c r="CM288" s="128"/>
    </row>
    <row r="289" spans="1:91" x14ac:dyDescent="0.2">
      <c r="A289" s="18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AD289" s="128"/>
      <c r="AE289" s="128"/>
      <c r="AF289" s="128"/>
      <c r="AG289" s="12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8"/>
      <c r="AW289" s="128"/>
      <c r="AX289" s="128"/>
      <c r="AY289" s="128"/>
      <c r="AZ289" s="128"/>
      <c r="BA289" s="128"/>
      <c r="BB289" s="128"/>
      <c r="BC289" s="128"/>
      <c r="BD289" s="128"/>
      <c r="BE289" s="128"/>
      <c r="BF289" s="128"/>
      <c r="BG289" s="128"/>
      <c r="BH289" s="128"/>
      <c r="BI289" s="128"/>
      <c r="BJ289" s="128"/>
      <c r="BK289" s="128"/>
      <c r="BL289" s="128"/>
      <c r="BM289" s="128"/>
      <c r="BN289" s="128"/>
      <c r="BO289" s="128"/>
      <c r="BP289" s="128"/>
      <c r="BQ289" s="128"/>
      <c r="BR289" s="128"/>
      <c r="BS289" s="128"/>
      <c r="BT289" s="128"/>
      <c r="BU289" s="128"/>
      <c r="BV289" s="128"/>
      <c r="BW289" s="128"/>
      <c r="BX289" s="128"/>
      <c r="BY289" s="128"/>
      <c r="BZ289" s="128"/>
      <c r="CA289" s="128"/>
      <c r="CB289" s="128"/>
      <c r="CC289" s="128"/>
      <c r="CD289" s="128"/>
      <c r="CE289" s="128"/>
      <c r="CF289" s="128"/>
      <c r="CG289" s="128"/>
      <c r="CH289" s="128"/>
      <c r="CI289" s="128"/>
      <c r="CJ289" s="128"/>
      <c r="CK289" s="128"/>
      <c r="CL289" s="128"/>
      <c r="CM289" s="128"/>
    </row>
    <row r="290" spans="1:91" x14ac:dyDescent="0.2">
      <c r="A290" s="18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AD290" s="128"/>
      <c r="AE290" s="128"/>
      <c r="AF290" s="128"/>
      <c r="AG290" s="128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/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128"/>
      <c r="BN290" s="128"/>
      <c r="BO290" s="128"/>
      <c r="BP290" s="128"/>
      <c r="BQ290" s="128"/>
      <c r="BR290" s="128"/>
      <c r="BS290" s="128"/>
      <c r="BT290" s="128"/>
      <c r="BU290" s="128"/>
      <c r="BV290" s="128"/>
      <c r="BW290" s="128"/>
      <c r="BX290" s="128"/>
      <c r="BY290" s="128"/>
      <c r="BZ290" s="128"/>
      <c r="CA290" s="128"/>
      <c r="CB290" s="128"/>
      <c r="CC290" s="128"/>
      <c r="CD290" s="128"/>
      <c r="CE290" s="128"/>
      <c r="CF290" s="128"/>
      <c r="CG290" s="128"/>
      <c r="CH290" s="128"/>
      <c r="CI290" s="128"/>
      <c r="CJ290" s="128"/>
      <c r="CK290" s="128"/>
      <c r="CL290" s="128"/>
      <c r="CM290" s="128"/>
    </row>
    <row r="291" spans="1:91" x14ac:dyDescent="0.2">
      <c r="A291" s="18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AD291" s="128"/>
      <c r="AE291" s="128"/>
      <c r="AF291" s="128"/>
      <c r="AG291" s="12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28"/>
      <c r="AW291" s="128"/>
      <c r="AX291" s="128"/>
      <c r="AY291" s="128"/>
      <c r="AZ291" s="128"/>
      <c r="BA291" s="128"/>
      <c r="BB291" s="128"/>
      <c r="BC291" s="128"/>
      <c r="BD291" s="128"/>
      <c r="BE291" s="128"/>
      <c r="BF291" s="128"/>
      <c r="BG291" s="128"/>
      <c r="BH291" s="128"/>
      <c r="BI291" s="128"/>
      <c r="BJ291" s="128"/>
      <c r="BK291" s="128"/>
      <c r="BL291" s="128"/>
      <c r="BM291" s="128"/>
      <c r="BN291" s="128"/>
      <c r="BO291" s="128"/>
      <c r="BP291" s="128"/>
      <c r="BQ291" s="128"/>
      <c r="BR291" s="128"/>
      <c r="BS291" s="128"/>
      <c r="BT291" s="128"/>
      <c r="BU291" s="128"/>
      <c r="BV291" s="128"/>
      <c r="BW291" s="128"/>
      <c r="BX291" s="128"/>
      <c r="BY291" s="128"/>
      <c r="BZ291" s="128"/>
      <c r="CA291" s="128"/>
      <c r="CB291" s="128"/>
      <c r="CC291" s="128"/>
      <c r="CD291" s="128"/>
      <c r="CE291" s="128"/>
      <c r="CF291" s="128"/>
      <c r="CG291" s="128"/>
      <c r="CH291" s="128"/>
      <c r="CI291" s="128"/>
      <c r="CJ291" s="128"/>
      <c r="CK291" s="128"/>
      <c r="CL291" s="128"/>
      <c r="CM291" s="128"/>
    </row>
    <row r="292" spans="1:91" x14ac:dyDescent="0.2">
      <c r="A292" s="18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AD292" s="128"/>
      <c r="AE292" s="128"/>
      <c r="AF292" s="128"/>
      <c r="AG292" s="12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128"/>
      <c r="BN292" s="128"/>
      <c r="BO292" s="128"/>
      <c r="BP292" s="128"/>
      <c r="BQ292" s="128"/>
      <c r="BR292" s="128"/>
      <c r="BS292" s="128"/>
      <c r="BT292" s="128"/>
      <c r="BU292" s="128"/>
      <c r="BV292" s="128"/>
      <c r="BW292" s="128"/>
      <c r="BX292" s="128"/>
      <c r="BY292" s="128"/>
      <c r="BZ292" s="128"/>
      <c r="CA292" s="128"/>
      <c r="CB292" s="128"/>
      <c r="CC292" s="128"/>
      <c r="CD292" s="128"/>
      <c r="CE292" s="128"/>
      <c r="CF292" s="128"/>
      <c r="CG292" s="128"/>
      <c r="CH292" s="128"/>
      <c r="CI292" s="128"/>
      <c r="CJ292" s="128"/>
      <c r="CK292" s="128"/>
      <c r="CL292" s="128"/>
      <c r="CM292" s="128"/>
    </row>
    <row r="293" spans="1:91" x14ac:dyDescent="0.2">
      <c r="A293" s="18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AD293" s="128"/>
      <c r="AE293" s="128"/>
      <c r="AF293" s="128"/>
      <c r="AG293" s="128"/>
      <c r="AH293" s="128"/>
      <c r="AI293" s="128"/>
      <c r="AJ293" s="128"/>
      <c r="AK293" s="128"/>
      <c r="AL293" s="128"/>
      <c r="AM293" s="128"/>
      <c r="AN293" s="128"/>
      <c r="AO293" s="128"/>
      <c r="AP293" s="128"/>
      <c r="AQ293" s="128"/>
      <c r="AR293" s="128"/>
      <c r="AS293" s="128"/>
      <c r="AT293" s="128"/>
      <c r="AU293" s="128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/>
      <c r="BH293" s="128"/>
      <c r="BI293" s="128"/>
      <c r="BJ293" s="128"/>
      <c r="BK293" s="128"/>
      <c r="BL293" s="128"/>
      <c r="BM293" s="128"/>
      <c r="BN293" s="128"/>
      <c r="BO293" s="128"/>
      <c r="BP293" s="128"/>
      <c r="BQ293" s="128"/>
      <c r="BR293" s="128"/>
      <c r="BS293" s="128"/>
      <c r="BT293" s="128"/>
      <c r="BU293" s="128"/>
      <c r="BV293" s="128"/>
      <c r="BW293" s="128"/>
      <c r="BX293" s="128"/>
      <c r="BY293" s="128"/>
      <c r="BZ293" s="128"/>
      <c r="CA293" s="128"/>
      <c r="CB293" s="128"/>
      <c r="CC293" s="128"/>
      <c r="CD293" s="128"/>
      <c r="CE293" s="128"/>
      <c r="CF293" s="128"/>
      <c r="CG293" s="128"/>
      <c r="CH293" s="128"/>
      <c r="CI293" s="128"/>
      <c r="CJ293" s="128"/>
      <c r="CK293" s="128"/>
      <c r="CL293" s="128"/>
      <c r="CM293" s="128"/>
    </row>
    <row r="294" spans="1:91" x14ac:dyDescent="0.2">
      <c r="A294" s="18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AD294" s="128"/>
      <c r="AE294" s="128"/>
      <c r="AF294" s="128"/>
      <c r="AG294" s="128"/>
      <c r="AH294" s="128"/>
      <c r="AI294" s="128"/>
      <c r="AJ294" s="128"/>
      <c r="AK294" s="128"/>
      <c r="AL294" s="128"/>
      <c r="AM294" s="128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8"/>
      <c r="BR294" s="128"/>
      <c r="BS294" s="128"/>
      <c r="BT294" s="128"/>
      <c r="BU294" s="128"/>
      <c r="BV294" s="128"/>
      <c r="BW294" s="128"/>
      <c r="BX294" s="128"/>
      <c r="BY294" s="128"/>
      <c r="BZ294" s="128"/>
      <c r="CA294" s="128"/>
      <c r="CB294" s="128"/>
      <c r="CC294" s="128"/>
      <c r="CD294" s="128"/>
      <c r="CE294" s="128"/>
      <c r="CF294" s="128"/>
      <c r="CG294" s="128"/>
      <c r="CH294" s="128"/>
      <c r="CI294" s="128"/>
      <c r="CJ294" s="128"/>
      <c r="CK294" s="128"/>
      <c r="CL294" s="128"/>
      <c r="CM294" s="128"/>
    </row>
    <row r="295" spans="1:91" x14ac:dyDescent="0.2">
      <c r="A295" s="18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AD295" s="128"/>
      <c r="AE295" s="128"/>
      <c r="AF295" s="128"/>
      <c r="AG295" s="128"/>
      <c r="AH295" s="128"/>
      <c r="AI295" s="128"/>
      <c r="AJ295" s="128"/>
      <c r="AK295" s="128"/>
      <c r="AL295" s="128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28"/>
      <c r="AW295" s="128"/>
      <c r="AX295" s="128"/>
      <c r="AY295" s="128"/>
      <c r="AZ295" s="128"/>
      <c r="BA295" s="128"/>
      <c r="BB295" s="128"/>
      <c r="BC295" s="128"/>
      <c r="BD295" s="128"/>
      <c r="BE295" s="128"/>
      <c r="BF295" s="128"/>
      <c r="BG295" s="128"/>
      <c r="BH295" s="128"/>
      <c r="BI295" s="128"/>
      <c r="BJ295" s="128"/>
      <c r="BK295" s="128"/>
      <c r="BL295" s="128"/>
      <c r="BM295" s="128"/>
      <c r="BN295" s="128"/>
      <c r="BO295" s="128"/>
      <c r="BP295" s="128"/>
      <c r="BQ295" s="128"/>
      <c r="BR295" s="128"/>
      <c r="BS295" s="128"/>
      <c r="BT295" s="128"/>
      <c r="BU295" s="128"/>
      <c r="BV295" s="128"/>
      <c r="BW295" s="128"/>
      <c r="BX295" s="128"/>
      <c r="BY295" s="128"/>
      <c r="BZ295" s="128"/>
      <c r="CA295" s="128"/>
      <c r="CB295" s="128"/>
      <c r="CC295" s="128"/>
      <c r="CD295" s="128"/>
      <c r="CE295" s="128"/>
      <c r="CF295" s="128"/>
      <c r="CG295" s="128"/>
      <c r="CH295" s="128"/>
      <c r="CI295" s="128"/>
      <c r="CJ295" s="128"/>
      <c r="CK295" s="128"/>
      <c r="CL295" s="128"/>
      <c r="CM295" s="128"/>
    </row>
    <row r="296" spans="1:91" x14ac:dyDescent="0.2">
      <c r="A296" s="18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AD296" s="128"/>
      <c r="AE296" s="128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8"/>
      <c r="AS296" s="128"/>
      <c r="AT296" s="128"/>
      <c r="AU296" s="128"/>
      <c r="AV296" s="128"/>
      <c r="AW296" s="128"/>
      <c r="AX296" s="128"/>
      <c r="AY296" s="128"/>
      <c r="AZ296" s="128"/>
      <c r="BA296" s="128"/>
      <c r="BB296" s="128"/>
      <c r="BC296" s="128"/>
      <c r="BD296" s="128"/>
      <c r="BE296" s="128"/>
      <c r="BF296" s="128"/>
      <c r="BG296" s="128"/>
      <c r="BH296" s="128"/>
      <c r="BI296" s="128"/>
      <c r="BJ296" s="128"/>
      <c r="BK296" s="128"/>
      <c r="BL296" s="128"/>
      <c r="BM296" s="128"/>
      <c r="BN296" s="128"/>
      <c r="BO296" s="128"/>
      <c r="BP296" s="128"/>
      <c r="BQ296" s="128"/>
      <c r="BR296" s="128"/>
      <c r="BS296" s="128"/>
      <c r="BT296" s="128"/>
      <c r="BU296" s="128"/>
      <c r="BV296" s="128"/>
      <c r="BW296" s="128"/>
      <c r="BX296" s="128"/>
      <c r="BY296" s="128"/>
      <c r="BZ296" s="128"/>
      <c r="CA296" s="128"/>
      <c r="CB296" s="128"/>
      <c r="CC296" s="128"/>
      <c r="CD296" s="128"/>
      <c r="CE296" s="128"/>
      <c r="CF296" s="128"/>
      <c r="CG296" s="128"/>
      <c r="CH296" s="128"/>
      <c r="CI296" s="128"/>
      <c r="CJ296" s="128"/>
      <c r="CK296" s="128"/>
      <c r="CL296" s="128"/>
      <c r="CM296" s="128"/>
    </row>
    <row r="297" spans="1:91" x14ac:dyDescent="0.2">
      <c r="A297" s="18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8"/>
      <c r="AW297" s="128"/>
      <c r="AX297" s="128"/>
      <c r="AY297" s="128"/>
      <c r="AZ297" s="128"/>
      <c r="BA297" s="128"/>
      <c r="BB297" s="128"/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128"/>
      <c r="BN297" s="128"/>
      <c r="BO297" s="128"/>
      <c r="BP297" s="128"/>
      <c r="BQ297" s="128"/>
      <c r="BR297" s="128"/>
      <c r="BS297" s="128"/>
      <c r="BT297" s="128"/>
      <c r="BU297" s="128"/>
      <c r="BV297" s="128"/>
      <c r="BW297" s="128"/>
      <c r="BX297" s="128"/>
      <c r="BY297" s="128"/>
      <c r="BZ297" s="128"/>
      <c r="CA297" s="128"/>
      <c r="CB297" s="128"/>
      <c r="CC297" s="128"/>
      <c r="CD297" s="128"/>
      <c r="CE297" s="128"/>
      <c r="CF297" s="128"/>
      <c r="CG297" s="128"/>
      <c r="CH297" s="128"/>
      <c r="CI297" s="128"/>
      <c r="CJ297" s="128"/>
      <c r="CK297" s="128"/>
      <c r="CL297" s="128"/>
      <c r="CM297" s="128"/>
    </row>
    <row r="298" spans="1:91" x14ac:dyDescent="0.2">
      <c r="A298" s="18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AD298" s="128"/>
      <c r="AE298" s="128"/>
      <c r="AF298" s="128"/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28"/>
      <c r="AR298" s="128"/>
      <c r="AS298" s="128"/>
      <c r="AT298" s="128"/>
      <c r="AU298" s="128"/>
      <c r="AV298" s="128"/>
      <c r="AW298" s="128"/>
      <c r="AX298" s="128"/>
      <c r="AY298" s="128"/>
      <c r="AZ298" s="128"/>
      <c r="BA298" s="128"/>
      <c r="BB298" s="128"/>
      <c r="BC298" s="128"/>
      <c r="BD298" s="128"/>
      <c r="BE298" s="128"/>
      <c r="BF298" s="128"/>
      <c r="BG298" s="128"/>
      <c r="BH298" s="128"/>
      <c r="BI298" s="128"/>
      <c r="BJ298" s="128"/>
      <c r="BK298" s="128"/>
      <c r="BL298" s="128"/>
      <c r="BM298" s="128"/>
      <c r="BN298" s="128"/>
      <c r="BO298" s="128"/>
      <c r="BP298" s="128"/>
      <c r="BQ298" s="128"/>
      <c r="BR298" s="128"/>
      <c r="BS298" s="128"/>
      <c r="BT298" s="128"/>
      <c r="BU298" s="128"/>
      <c r="BV298" s="128"/>
      <c r="BW298" s="128"/>
      <c r="BX298" s="128"/>
      <c r="BY298" s="128"/>
      <c r="BZ298" s="128"/>
      <c r="CA298" s="128"/>
      <c r="CB298" s="128"/>
      <c r="CC298" s="128"/>
      <c r="CD298" s="128"/>
      <c r="CE298" s="128"/>
      <c r="CF298" s="128"/>
      <c r="CG298" s="128"/>
      <c r="CH298" s="128"/>
      <c r="CI298" s="128"/>
      <c r="CJ298" s="128"/>
      <c r="CK298" s="128"/>
      <c r="CL298" s="128"/>
      <c r="CM298" s="128"/>
    </row>
    <row r="299" spans="1:91" x14ac:dyDescent="0.2">
      <c r="A299" s="18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AD299" s="128"/>
      <c r="AE299" s="128"/>
      <c r="AF299" s="128"/>
      <c r="AG299" s="128"/>
      <c r="AH299" s="128"/>
      <c r="AI299" s="128"/>
      <c r="AJ299" s="128"/>
      <c r="AK299" s="128"/>
      <c r="AL299" s="128"/>
      <c r="AM299" s="128"/>
      <c r="AN299" s="128"/>
      <c r="AO299" s="128"/>
      <c r="AP299" s="128"/>
      <c r="AQ299" s="128"/>
      <c r="AR299" s="128"/>
      <c r="AS299" s="128"/>
      <c r="AT299" s="128"/>
      <c r="AU299" s="128"/>
      <c r="AV299" s="128"/>
      <c r="AW299" s="128"/>
      <c r="AX299" s="128"/>
      <c r="AY299" s="128"/>
      <c r="AZ299" s="128"/>
      <c r="BA299" s="128"/>
      <c r="BB299" s="128"/>
      <c r="BC299" s="128"/>
      <c r="BD299" s="128"/>
      <c r="BE299" s="128"/>
      <c r="BF299" s="128"/>
      <c r="BG299" s="128"/>
      <c r="BH299" s="128"/>
      <c r="BI299" s="128"/>
      <c r="BJ299" s="128"/>
      <c r="BK299" s="128"/>
      <c r="BL299" s="128"/>
      <c r="BM299" s="128"/>
      <c r="BN299" s="128"/>
      <c r="BO299" s="128"/>
      <c r="BP299" s="128"/>
      <c r="BQ299" s="128"/>
      <c r="BR299" s="128"/>
      <c r="BS299" s="128"/>
      <c r="BT299" s="128"/>
      <c r="BU299" s="128"/>
      <c r="BV299" s="128"/>
      <c r="BW299" s="128"/>
      <c r="BX299" s="128"/>
      <c r="BY299" s="128"/>
      <c r="BZ299" s="128"/>
      <c r="CA299" s="128"/>
      <c r="CB299" s="128"/>
      <c r="CC299" s="128"/>
      <c r="CD299" s="128"/>
      <c r="CE299" s="128"/>
      <c r="CF299" s="128"/>
      <c r="CG299" s="128"/>
      <c r="CH299" s="128"/>
      <c r="CI299" s="128"/>
      <c r="CJ299" s="128"/>
      <c r="CK299" s="128"/>
      <c r="CL299" s="128"/>
      <c r="CM299" s="128"/>
    </row>
    <row r="300" spans="1:91" x14ac:dyDescent="0.2">
      <c r="A300" s="18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AD300" s="128"/>
      <c r="AE300" s="128"/>
      <c r="AF300" s="128"/>
      <c r="AG300" s="12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28"/>
      <c r="AR300" s="128"/>
      <c r="AS300" s="128"/>
      <c r="AT300" s="128"/>
      <c r="AU300" s="128"/>
      <c r="AV300" s="128"/>
      <c r="AW300" s="128"/>
      <c r="AX300" s="128"/>
      <c r="AY300" s="128"/>
      <c r="AZ300" s="128"/>
      <c r="BA300" s="128"/>
      <c r="BB300" s="128"/>
      <c r="BC300" s="128"/>
      <c r="BD300" s="128"/>
      <c r="BE300" s="128"/>
      <c r="BF300" s="128"/>
      <c r="BG300" s="128"/>
      <c r="BH300" s="128"/>
      <c r="BI300" s="128"/>
      <c r="BJ300" s="128"/>
      <c r="BK300" s="128"/>
      <c r="BL300" s="128"/>
      <c r="BM300" s="128"/>
      <c r="BN300" s="128"/>
      <c r="BO300" s="128"/>
      <c r="BP300" s="128"/>
      <c r="BQ300" s="128"/>
      <c r="BR300" s="128"/>
      <c r="BS300" s="128"/>
      <c r="BT300" s="128"/>
      <c r="BU300" s="128"/>
      <c r="BV300" s="128"/>
      <c r="BW300" s="128"/>
      <c r="BX300" s="128"/>
      <c r="BY300" s="128"/>
      <c r="BZ300" s="128"/>
      <c r="CA300" s="128"/>
      <c r="CB300" s="128"/>
      <c r="CC300" s="128"/>
      <c r="CD300" s="128"/>
      <c r="CE300" s="128"/>
      <c r="CF300" s="128"/>
      <c r="CG300" s="128"/>
      <c r="CH300" s="128"/>
      <c r="CI300" s="128"/>
      <c r="CJ300" s="128"/>
      <c r="CK300" s="128"/>
      <c r="CL300" s="128"/>
      <c r="CM300" s="128"/>
    </row>
    <row r="301" spans="1:91" x14ac:dyDescent="0.2">
      <c r="A301" s="18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AD301" s="128"/>
      <c r="AE301" s="128"/>
      <c r="AF301" s="128"/>
      <c r="AG301" s="12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8"/>
      <c r="AS301" s="128"/>
      <c r="AT301" s="128"/>
      <c r="AU301" s="128"/>
      <c r="AV301" s="128"/>
      <c r="AW301" s="128"/>
      <c r="AX301" s="128"/>
      <c r="AY301" s="128"/>
      <c r="AZ301" s="128"/>
      <c r="BA301" s="128"/>
      <c r="BB301" s="128"/>
      <c r="BC301" s="128"/>
      <c r="BD301" s="128"/>
      <c r="BE301" s="128"/>
      <c r="BF301" s="128"/>
      <c r="BG301" s="128"/>
      <c r="BH301" s="128"/>
      <c r="BI301" s="128"/>
      <c r="BJ301" s="128"/>
      <c r="BK301" s="128"/>
      <c r="BL301" s="128"/>
      <c r="BM301" s="128"/>
      <c r="BN301" s="128"/>
      <c r="BO301" s="128"/>
      <c r="BP301" s="128"/>
      <c r="BQ301" s="128"/>
      <c r="BR301" s="128"/>
      <c r="BS301" s="128"/>
      <c r="BT301" s="128"/>
      <c r="BU301" s="128"/>
      <c r="BV301" s="128"/>
      <c r="BW301" s="128"/>
      <c r="BX301" s="128"/>
      <c r="BY301" s="128"/>
      <c r="BZ301" s="128"/>
      <c r="CA301" s="128"/>
      <c r="CB301" s="128"/>
      <c r="CC301" s="128"/>
      <c r="CD301" s="128"/>
      <c r="CE301" s="128"/>
      <c r="CF301" s="128"/>
      <c r="CG301" s="128"/>
      <c r="CH301" s="128"/>
      <c r="CI301" s="128"/>
      <c r="CJ301" s="128"/>
      <c r="CK301" s="128"/>
      <c r="CL301" s="128"/>
      <c r="CM301" s="128"/>
    </row>
    <row r="302" spans="1:91" x14ac:dyDescent="0.2">
      <c r="A302" s="18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AD302" s="128"/>
      <c r="AE302" s="128"/>
      <c r="AF302" s="128"/>
      <c r="AG302" s="128"/>
      <c r="AH302" s="128"/>
      <c r="AI302" s="128"/>
      <c r="AJ302" s="128"/>
      <c r="AK302" s="128"/>
      <c r="AL302" s="128"/>
      <c r="AM302" s="128"/>
      <c r="AN302" s="128"/>
      <c r="AO302" s="128"/>
      <c r="AP302" s="128"/>
      <c r="AQ302" s="128"/>
      <c r="AR302" s="128"/>
      <c r="AS302" s="128"/>
      <c r="AT302" s="128"/>
      <c r="AU302" s="128"/>
      <c r="AV302" s="128"/>
      <c r="AW302" s="128"/>
      <c r="AX302" s="128"/>
      <c r="AY302" s="128"/>
      <c r="AZ302" s="128"/>
      <c r="BA302" s="128"/>
      <c r="BB302" s="128"/>
      <c r="BC302" s="128"/>
      <c r="BD302" s="128"/>
      <c r="BE302" s="128"/>
      <c r="BF302" s="128"/>
      <c r="BG302" s="128"/>
      <c r="BH302" s="128"/>
      <c r="BI302" s="128"/>
      <c r="BJ302" s="128"/>
      <c r="BK302" s="128"/>
      <c r="BL302" s="128"/>
      <c r="BM302" s="128"/>
      <c r="BN302" s="128"/>
      <c r="BO302" s="128"/>
      <c r="BP302" s="128"/>
      <c r="BQ302" s="128"/>
      <c r="BR302" s="128"/>
      <c r="BS302" s="128"/>
      <c r="BT302" s="128"/>
      <c r="BU302" s="128"/>
      <c r="BV302" s="128"/>
      <c r="BW302" s="128"/>
      <c r="BX302" s="128"/>
      <c r="BY302" s="128"/>
      <c r="BZ302" s="128"/>
      <c r="CA302" s="128"/>
      <c r="CB302" s="128"/>
      <c r="CC302" s="128"/>
      <c r="CD302" s="128"/>
      <c r="CE302" s="128"/>
      <c r="CF302" s="128"/>
      <c r="CG302" s="128"/>
      <c r="CH302" s="128"/>
      <c r="CI302" s="128"/>
      <c r="CJ302" s="128"/>
      <c r="CK302" s="128"/>
      <c r="CL302" s="128"/>
      <c r="CM302" s="128"/>
    </row>
    <row r="303" spans="1:91" x14ac:dyDescent="0.2">
      <c r="A303" s="18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AD303" s="128"/>
      <c r="AE303" s="128"/>
      <c r="AF303" s="128"/>
      <c r="AG303" s="128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28"/>
      <c r="AR303" s="128"/>
      <c r="AS303" s="128"/>
      <c r="AT303" s="128"/>
      <c r="AU303" s="128"/>
      <c r="AV303" s="128"/>
      <c r="AW303" s="128"/>
      <c r="AX303" s="128"/>
      <c r="AY303" s="128"/>
      <c r="AZ303" s="128"/>
      <c r="BA303" s="128"/>
      <c r="BB303" s="128"/>
      <c r="BC303" s="128"/>
      <c r="BD303" s="128"/>
      <c r="BE303" s="128"/>
      <c r="BF303" s="128"/>
      <c r="BG303" s="128"/>
      <c r="BH303" s="128"/>
      <c r="BI303" s="128"/>
      <c r="BJ303" s="128"/>
      <c r="BK303" s="128"/>
      <c r="BL303" s="128"/>
      <c r="BM303" s="128"/>
      <c r="BN303" s="128"/>
      <c r="BO303" s="128"/>
      <c r="BP303" s="128"/>
      <c r="BQ303" s="128"/>
      <c r="BR303" s="128"/>
      <c r="BS303" s="128"/>
      <c r="BT303" s="128"/>
      <c r="BU303" s="128"/>
      <c r="BV303" s="128"/>
      <c r="BW303" s="128"/>
      <c r="BX303" s="128"/>
      <c r="BY303" s="128"/>
      <c r="BZ303" s="128"/>
      <c r="CA303" s="128"/>
      <c r="CB303" s="128"/>
      <c r="CC303" s="128"/>
      <c r="CD303" s="128"/>
      <c r="CE303" s="128"/>
      <c r="CF303" s="128"/>
      <c r="CG303" s="128"/>
      <c r="CH303" s="128"/>
      <c r="CI303" s="128"/>
      <c r="CJ303" s="128"/>
      <c r="CK303" s="128"/>
      <c r="CL303" s="128"/>
      <c r="CM303" s="128"/>
    </row>
    <row r="304" spans="1:91" x14ac:dyDescent="0.2">
      <c r="A304" s="18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28"/>
      <c r="AW304" s="128"/>
      <c r="AX304" s="128"/>
      <c r="AY304" s="128"/>
      <c r="AZ304" s="128"/>
      <c r="BA304" s="128"/>
      <c r="BB304" s="128"/>
      <c r="BC304" s="128"/>
      <c r="BD304" s="128"/>
      <c r="BE304" s="128"/>
      <c r="BF304" s="128"/>
      <c r="BG304" s="128"/>
      <c r="BH304" s="128"/>
      <c r="BI304" s="128"/>
      <c r="BJ304" s="128"/>
      <c r="BK304" s="128"/>
      <c r="BL304" s="128"/>
      <c r="BM304" s="128"/>
      <c r="BN304" s="128"/>
      <c r="BO304" s="128"/>
      <c r="BP304" s="128"/>
      <c r="BQ304" s="128"/>
      <c r="BR304" s="128"/>
      <c r="BS304" s="128"/>
      <c r="BT304" s="128"/>
      <c r="BU304" s="128"/>
      <c r="BV304" s="128"/>
      <c r="BW304" s="128"/>
      <c r="BX304" s="128"/>
      <c r="BY304" s="128"/>
      <c r="BZ304" s="128"/>
      <c r="CA304" s="128"/>
      <c r="CB304" s="128"/>
      <c r="CC304" s="128"/>
      <c r="CD304" s="128"/>
      <c r="CE304" s="128"/>
      <c r="CF304" s="128"/>
      <c r="CG304" s="128"/>
      <c r="CH304" s="128"/>
      <c r="CI304" s="128"/>
      <c r="CJ304" s="128"/>
      <c r="CK304" s="128"/>
      <c r="CL304" s="128"/>
      <c r="CM304" s="128"/>
    </row>
    <row r="305" spans="1:91" x14ac:dyDescent="0.2">
      <c r="A305" s="18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AD305" s="128"/>
      <c r="AE305" s="128"/>
      <c r="AF305" s="128"/>
      <c r="AG305" s="128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28"/>
      <c r="AW305" s="128"/>
      <c r="AX305" s="128"/>
      <c r="AY305" s="128"/>
      <c r="AZ305" s="128"/>
      <c r="BA305" s="128"/>
      <c r="BB305" s="128"/>
      <c r="BC305" s="128"/>
      <c r="BD305" s="128"/>
      <c r="BE305" s="128"/>
      <c r="BF305" s="128"/>
      <c r="BG305" s="128"/>
      <c r="BH305" s="128"/>
      <c r="BI305" s="128"/>
      <c r="BJ305" s="128"/>
      <c r="BK305" s="128"/>
      <c r="BL305" s="128"/>
      <c r="BM305" s="128"/>
      <c r="BN305" s="128"/>
      <c r="BO305" s="128"/>
      <c r="BP305" s="128"/>
      <c r="BQ305" s="128"/>
      <c r="BR305" s="128"/>
      <c r="BS305" s="128"/>
      <c r="BT305" s="128"/>
      <c r="BU305" s="128"/>
      <c r="BV305" s="128"/>
      <c r="BW305" s="128"/>
      <c r="BX305" s="128"/>
      <c r="BY305" s="128"/>
      <c r="BZ305" s="128"/>
      <c r="CA305" s="128"/>
      <c r="CB305" s="128"/>
      <c r="CC305" s="128"/>
      <c r="CD305" s="128"/>
      <c r="CE305" s="128"/>
      <c r="CF305" s="128"/>
      <c r="CG305" s="128"/>
      <c r="CH305" s="128"/>
      <c r="CI305" s="128"/>
      <c r="CJ305" s="128"/>
      <c r="CK305" s="128"/>
      <c r="CL305" s="128"/>
      <c r="CM305" s="128"/>
    </row>
    <row r="306" spans="1:91" x14ac:dyDescent="0.2">
      <c r="A306" s="18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AD306" s="128"/>
      <c r="AE306" s="128"/>
      <c r="AF306" s="128"/>
      <c r="AG306" s="12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28"/>
      <c r="AW306" s="128"/>
      <c r="AX306" s="128"/>
      <c r="AY306" s="128"/>
      <c r="AZ306" s="128"/>
      <c r="BA306" s="128"/>
      <c r="BB306" s="128"/>
      <c r="BC306" s="128"/>
      <c r="BD306" s="128"/>
      <c r="BE306" s="128"/>
      <c r="BF306" s="128"/>
      <c r="BG306" s="128"/>
      <c r="BH306" s="128"/>
      <c r="BI306" s="128"/>
      <c r="BJ306" s="128"/>
      <c r="BK306" s="128"/>
      <c r="BL306" s="128"/>
      <c r="BM306" s="128"/>
      <c r="BN306" s="128"/>
      <c r="BO306" s="128"/>
      <c r="BP306" s="128"/>
      <c r="BQ306" s="128"/>
      <c r="BR306" s="128"/>
      <c r="BS306" s="128"/>
      <c r="BT306" s="128"/>
      <c r="BU306" s="128"/>
      <c r="BV306" s="128"/>
      <c r="BW306" s="128"/>
      <c r="BX306" s="128"/>
      <c r="BY306" s="128"/>
      <c r="BZ306" s="128"/>
      <c r="CA306" s="128"/>
      <c r="CB306" s="128"/>
      <c r="CC306" s="128"/>
      <c r="CD306" s="128"/>
      <c r="CE306" s="128"/>
      <c r="CF306" s="128"/>
      <c r="CG306" s="128"/>
      <c r="CH306" s="128"/>
      <c r="CI306" s="128"/>
      <c r="CJ306" s="128"/>
      <c r="CK306" s="128"/>
      <c r="CL306" s="128"/>
      <c r="CM306" s="128"/>
    </row>
    <row r="307" spans="1:91" x14ac:dyDescent="0.2">
      <c r="A307" s="18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AD307" s="128"/>
      <c r="AE307" s="128"/>
      <c r="AF307" s="128"/>
      <c r="AG307" s="12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8"/>
      <c r="AW307" s="128"/>
      <c r="AX307" s="128"/>
      <c r="AY307" s="128"/>
      <c r="AZ307" s="128"/>
      <c r="BA307" s="128"/>
      <c r="BB307" s="128"/>
      <c r="BC307" s="128"/>
      <c r="BD307" s="128"/>
      <c r="BE307" s="128"/>
      <c r="BF307" s="128"/>
      <c r="BG307" s="128"/>
      <c r="BH307" s="128"/>
      <c r="BI307" s="128"/>
      <c r="BJ307" s="128"/>
      <c r="BK307" s="128"/>
      <c r="BL307" s="128"/>
      <c r="BM307" s="128"/>
      <c r="BN307" s="128"/>
      <c r="BO307" s="128"/>
      <c r="BP307" s="128"/>
      <c r="BQ307" s="128"/>
      <c r="BR307" s="128"/>
      <c r="BS307" s="128"/>
      <c r="BT307" s="128"/>
      <c r="BU307" s="128"/>
      <c r="BV307" s="128"/>
      <c r="BW307" s="128"/>
      <c r="BX307" s="128"/>
      <c r="BY307" s="128"/>
      <c r="BZ307" s="128"/>
      <c r="CA307" s="128"/>
      <c r="CB307" s="128"/>
      <c r="CC307" s="128"/>
      <c r="CD307" s="128"/>
      <c r="CE307" s="128"/>
      <c r="CF307" s="128"/>
      <c r="CG307" s="128"/>
      <c r="CH307" s="128"/>
      <c r="CI307" s="128"/>
      <c r="CJ307" s="128"/>
      <c r="CK307" s="128"/>
      <c r="CL307" s="128"/>
      <c r="CM307" s="128"/>
    </row>
    <row r="308" spans="1:91" x14ac:dyDescent="0.2">
      <c r="A308" s="18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AD308" s="128"/>
      <c r="AE308" s="128"/>
      <c r="AF308" s="128"/>
      <c r="AG308" s="12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8"/>
      <c r="AV308" s="128"/>
      <c r="AW308" s="128"/>
      <c r="AX308" s="128"/>
      <c r="AY308" s="128"/>
      <c r="AZ308" s="128"/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8"/>
      <c r="BL308" s="128"/>
      <c r="BM308" s="128"/>
      <c r="BN308" s="128"/>
      <c r="BO308" s="128"/>
      <c r="BP308" s="128"/>
      <c r="BQ308" s="128"/>
      <c r="BR308" s="128"/>
      <c r="BS308" s="128"/>
      <c r="BT308" s="128"/>
      <c r="BU308" s="128"/>
      <c r="BV308" s="128"/>
      <c r="BW308" s="128"/>
      <c r="BX308" s="128"/>
      <c r="BY308" s="128"/>
      <c r="BZ308" s="128"/>
      <c r="CA308" s="128"/>
      <c r="CB308" s="128"/>
      <c r="CC308" s="128"/>
      <c r="CD308" s="128"/>
      <c r="CE308" s="128"/>
      <c r="CF308" s="128"/>
      <c r="CG308" s="128"/>
      <c r="CH308" s="128"/>
      <c r="CI308" s="128"/>
      <c r="CJ308" s="128"/>
      <c r="CK308" s="128"/>
      <c r="CL308" s="128"/>
      <c r="CM308" s="128"/>
    </row>
    <row r="309" spans="1:91" x14ac:dyDescent="0.2">
      <c r="A309" s="18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AD309" s="128"/>
      <c r="AE309" s="128"/>
      <c r="AF309" s="128"/>
      <c r="AG309" s="128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28"/>
      <c r="AW309" s="128"/>
      <c r="AX309" s="128"/>
      <c r="AY309" s="128"/>
      <c r="AZ309" s="128"/>
      <c r="BA309" s="128"/>
      <c r="BB309" s="128"/>
      <c r="BC309" s="128"/>
      <c r="BD309" s="128"/>
      <c r="BE309" s="128"/>
      <c r="BF309" s="128"/>
      <c r="BG309" s="128"/>
      <c r="BH309" s="128"/>
      <c r="BI309" s="128"/>
      <c r="BJ309" s="128"/>
      <c r="BK309" s="128"/>
      <c r="BL309" s="128"/>
      <c r="BM309" s="128"/>
      <c r="BN309" s="128"/>
      <c r="BO309" s="128"/>
      <c r="BP309" s="128"/>
      <c r="BQ309" s="128"/>
      <c r="BR309" s="128"/>
      <c r="BS309" s="128"/>
      <c r="BT309" s="128"/>
      <c r="BU309" s="128"/>
      <c r="BV309" s="128"/>
      <c r="BW309" s="128"/>
      <c r="BX309" s="128"/>
      <c r="BY309" s="128"/>
      <c r="BZ309" s="128"/>
      <c r="CA309" s="128"/>
      <c r="CB309" s="128"/>
      <c r="CC309" s="128"/>
      <c r="CD309" s="128"/>
      <c r="CE309" s="128"/>
      <c r="CF309" s="128"/>
      <c r="CG309" s="128"/>
      <c r="CH309" s="128"/>
      <c r="CI309" s="128"/>
      <c r="CJ309" s="128"/>
      <c r="CK309" s="128"/>
      <c r="CL309" s="128"/>
      <c r="CM309" s="128"/>
    </row>
    <row r="310" spans="1:91" x14ac:dyDescent="0.2">
      <c r="A310" s="18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AD310" s="128"/>
      <c r="AE310" s="128"/>
      <c r="AF310" s="128"/>
      <c r="AG310" s="128"/>
      <c r="AH310" s="128"/>
      <c r="AI310" s="128"/>
      <c r="AJ310" s="128"/>
      <c r="AK310" s="128"/>
      <c r="AL310" s="128"/>
      <c r="AM310" s="128"/>
      <c r="AN310" s="128"/>
      <c r="AO310" s="128"/>
      <c r="AP310" s="128"/>
      <c r="AQ310" s="128"/>
      <c r="AR310" s="128"/>
      <c r="AS310" s="128"/>
      <c r="AT310" s="128"/>
      <c r="AU310" s="128"/>
      <c r="AV310" s="128"/>
      <c r="AW310" s="128"/>
      <c r="AX310" s="128"/>
      <c r="AY310" s="128"/>
      <c r="AZ310" s="128"/>
      <c r="BA310" s="128"/>
      <c r="BB310" s="128"/>
      <c r="BC310" s="128"/>
      <c r="BD310" s="128"/>
      <c r="BE310" s="128"/>
      <c r="BF310" s="128"/>
      <c r="BG310" s="128"/>
      <c r="BH310" s="128"/>
      <c r="BI310" s="128"/>
      <c r="BJ310" s="128"/>
      <c r="BK310" s="128"/>
      <c r="BL310" s="128"/>
      <c r="BM310" s="128"/>
      <c r="BN310" s="128"/>
      <c r="BO310" s="128"/>
      <c r="BP310" s="128"/>
      <c r="BQ310" s="128"/>
      <c r="BR310" s="128"/>
      <c r="BS310" s="128"/>
      <c r="BT310" s="128"/>
      <c r="BU310" s="128"/>
      <c r="BV310" s="128"/>
      <c r="BW310" s="128"/>
      <c r="BX310" s="128"/>
      <c r="BY310" s="128"/>
      <c r="BZ310" s="128"/>
      <c r="CA310" s="128"/>
      <c r="CB310" s="128"/>
      <c r="CC310" s="128"/>
      <c r="CD310" s="128"/>
      <c r="CE310" s="128"/>
      <c r="CF310" s="128"/>
      <c r="CG310" s="128"/>
      <c r="CH310" s="128"/>
      <c r="CI310" s="128"/>
      <c r="CJ310" s="128"/>
      <c r="CK310" s="128"/>
      <c r="CL310" s="128"/>
      <c r="CM310" s="128"/>
    </row>
    <row r="311" spans="1:91" x14ac:dyDescent="0.2">
      <c r="A311" s="18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AD311" s="128"/>
      <c r="AE311" s="128"/>
      <c r="AF311" s="128"/>
      <c r="AG311" s="12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28"/>
      <c r="AR311" s="128"/>
      <c r="AS311" s="128"/>
      <c r="AT311" s="128"/>
      <c r="AU311" s="128"/>
      <c r="AV311" s="128"/>
      <c r="AW311" s="128"/>
      <c r="AX311" s="128"/>
      <c r="AY311" s="128"/>
      <c r="AZ311" s="128"/>
      <c r="BA311" s="128"/>
      <c r="BB311" s="128"/>
      <c r="BC311" s="128"/>
      <c r="BD311" s="128"/>
      <c r="BE311" s="128"/>
      <c r="BF311" s="128"/>
      <c r="BG311" s="128"/>
      <c r="BH311" s="128"/>
      <c r="BI311" s="128"/>
      <c r="BJ311" s="128"/>
      <c r="BK311" s="128"/>
      <c r="BL311" s="128"/>
      <c r="BM311" s="128"/>
      <c r="BN311" s="128"/>
      <c r="BO311" s="128"/>
      <c r="BP311" s="128"/>
      <c r="BQ311" s="128"/>
      <c r="BR311" s="128"/>
      <c r="BS311" s="128"/>
      <c r="BT311" s="128"/>
      <c r="BU311" s="128"/>
      <c r="BV311" s="128"/>
      <c r="BW311" s="128"/>
      <c r="BX311" s="128"/>
      <c r="BY311" s="128"/>
      <c r="BZ311" s="128"/>
      <c r="CA311" s="128"/>
      <c r="CB311" s="128"/>
      <c r="CC311" s="128"/>
      <c r="CD311" s="128"/>
      <c r="CE311" s="128"/>
      <c r="CF311" s="128"/>
      <c r="CG311" s="128"/>
      <c r="CH311" s="128"/>
      <c r="CI311" s="128"/>
      <c r="CJ311" s="128"/>
      <c r="CK311" s="128"/>
      <c r="CL311" s="128"/>
      <c r="CM311" s="128"/>
    </row>
    <row r="312" spans="1:91" x14ac:dyDescent="0.2">
      <c r="A312" s="18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AD312" s="128"/>
      <c r="AE312" s="128"/>
      <c r="AF312" s="128"/>
      <c r="AG312" s="128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28"/>
      <c r="AR312" s="128"/>
      <c r="AS312" s="128"/>
      <c r="AT312" s="128"/>
      <c r="AU312" s="128"/>
      <c r="AV312" s="128"/>
      <c r="AW312" s="128"/>
      <c r="AX312" s="128"/>
      <c r="AY312" s="128"/>
      <c r="AZ312" s="128"/>
      <c r="BA312" s="128"/>
      <c r="BB312" s="128"/>
      <c r="BC312" s="128"/>
      <c r="BD312" s="128"/>
      <c r="BE312" s="128"/>
      <c r="BF312" s="128"/>
      <c r="BG312" s="128"/>
      <c r="BH312" s="128"/>
      <c r="BI312" s="128"/>
      <c r="BJ312" s="128"/>
      <c r="BK312" s="128"/>
      <c r="BL312" s="128"/>
      <c r="BM312" s="128"/>
      <c r="BN312" s="128"/>
      <c r="BO312" s="128"/>
      <c r="BP312" s="128"/>
      <c r="BQ312" s="128"/>
      <c r="BR312" s="128"/>
      <c r="BS312" s="128"/>
      <c r="BT312" s="128"/>
      <c r="BU312" s="128"/>
      <c r="BV312" s="128"/>
      <c r="BW312" s="128"/>
      <c r="BX312" s="128"/>
      <c r="BY312" s="128"/>
      <c r="BZ312" s="128"/>
      <c r="CA312" s="128"/>
      <c r="CB312" s="128"/>
      <c r="CC312" s="128"/>
      <c r="CD312" s="128"/>
      <c r="CE312" s="128"/>
      <c r="CF312" s="128"/>
      <c r="CG312" s="128"/>
      <c r="CH312" s="128"/>
      <c r="CI312" s="128"/>
      <c r="CJ312" s="128"/>
      <c r="CK312" s="128"/>
      <c r="CL312" s="128"/>
      <c r="CM312" s="128"/>
    </row>
    <row r="313" spans="1:91" x14ac:dyDescent="0.2">
      <c r="A313" s="18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AD313" s="128"/>
      <c r="AE313" s="128"/>
      <c r="AF313" s="128"/>
      <c r="AG313" s="12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28"/>
      <c r="AR313" s="128"/>
      <c r="AS313" s="128"/>
      <c r="AT313" s="128"/>
      <c r="AU313" s="128"/>
      <c r="AV313" s="128"/>
      <c r="AW313" s="128"/>
      <c r="AX313" s="128"/>
      <c r="AY313" s="128"/>
      <c r="AZ313" s="128"/>
      <c r="BA313" s="128"/>
      <c r="BB313" s="128"/>
      <c r="BC313" s="128"/>
      <c r="BD313" s="128"/>
      <c r="BE313" s="128"/>
      <c r="BF313" s="128"/>
      <c r="BG313" s="128"/>
      <c r="BH313" s="128"/>
      <c r="BI313" s="128"/>
      <c r="BJ313" s="128"/>
      <c r="BK313" s="128"/>
      <c r="BL313" s="128"/>
      <c r="BM313" s="128"/>
      <c r="BN313" s="128"/>
      <c r="BO313" s="128"/>
      <c r="BP313" s="128"/>
      <c r="BQ313" s="128"/>
      <c r="BR313" s="128"/>
      <c r="BS313" s="128"/>
      <c r="BT313" s="128"/>
      <c r="BU313" s="128"/>
      <c r="BV313" s="128"/>
      <c r="BW313" s="128"/>
      <c r="BX313" s="128"/>
      <c r="BY313" s="128"/>
      <c r="BZ313" s="128"/>
      <c r="CA313" s="128"/>
      <c r="CB313" s="128"/>
      <c r="CC313" s="128"/>
      <c r="CD313" s="128"/>
      <c r="CE313" s="128"/>
      <c r="CF313" s="128"/>
      <c r="CG313" s="128"/>
      <c r="CH313" s="128"/>
      <c r="CI313" s="128"/>
      <c r="CJ313" s="128"/>
      <c r="CK313" s="128"/>
      <c r="CL313" s="128"/>
      <c r="CM313" s="128"/>
    </row>
    <row r="314" spans="1:91" x14ac:dyDescent="0.2">
      <c r="A314" s="18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AD314" s="128"/>
      <c r="AE314" s="128"/>
      <c r="AF314" s="128"/>
      <c r="AG314" s="12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28"/>
      <c r="AR314" s="128"/>
      <c r="AS314" s="128"/>
      <c r="AT314" s="128"/>
      <c r="AU314" s="128"/>
      <c r="AV314" s="128"/>
      <c r="AW314" s="128"/>
      <c r="AX314" s="128"/>
      <c r="AY314" s="128"/>
      <c r="AZ314" s="128"/>
      <c r="BA314" s="128"/>
      <c r="BB314" s="128"/>
      <c r="BC314" s="128"/>
      <c r="BD314" s="128"/>
      <c r="BE314" s="128"/>
      <c r="BF314" s="128"/>
      <c r="BG314" s="128"/>
      <c r="BH314" s="128"/>
      <c r="BI314" s="128"/>
      <c r="BJ314" s="128"/>
      <c r="BK314" s="128"/>
      <c r="BL314" s="128"/>
      <c r="BM314" s="128"/>
      <c r="BN314" s="128"/>
      <c r="BO314" s="128"/>
      <c r="BP314" s="128"/>
      <c r="BQ314" s="128"/>
      <c r="BR314" s="128"/>
      <c r="BS314" s="128"/>
      <c r="BT314" s="128"/>
      <c r="BU314" s="128"/>
      <c r="BV314" s="128"/>
      <c r="BW314" s="128"/>
      <c r="BX314" s="128"/>
      <c r="BY314" s="128"/>
      <c r="BZ314" s="128"/>
      <c r="CA314" s="128"/>
      <c r="CB314" s="128"/>
      <c r="CC314" s="128"/>
      <c r="CD314" s="128"/>
      <c r="CE314" s="128"/>
      <c r="CF314" s="128"/>
      <c r="CG314" s="128"/>
      <c r="CH314" s="128"/>
      <c r="CI314" s="128"/>
      <c r="CJ314" s="128"/>
      <c r="CK314" s="128"/>
      <c r="CL314" s="128"/>
      <c r="CM314" s="128"/>
    </row>
    <row r="315" spans="1:91" x14ac:dyDescent="0.2">
      <c r="A315" s="18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AD315" s="128"/>
      <c r="AE315" s="128"/>
      <c r="AF315" s="128"/>
      <c r="AG315" s="12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28"/>
      <c r="AR315" s="128"/>
      <c r="AS315" s="128"/>
      <c r="AT315" s="128"/>
      <c r="AU315" s="128"/>
      <c r="AV315" s="128"/>
      <c r="AW315" s="128"/>
      <c r="AX315" s="128"/>
      <c r="AY315" s="128"/>
      <c r="AZ315" s="128"/>
      <c r="BA315" s="128"/>
      <c r="BB315" s="128"/>
      <c r="BC315" s="128"/>
      <c r="BD315" s="128"/>
      <c r="BE315" s="128"/>
      <c r="BF315" s="128"/>
      <c r="BG315" s="128"/>
      <c r="BH315" s="128"/>
      <c r="BI315" s="128"/>
      <c r="BJ315" s="128"/>
      <c r="BK315" s="128"/>
      <c r="BL315" s="128"/>
      <c r="BM315" s="128"/>
      <c r="BN315" s="128"/>
      <c r="BO315" s="128"/>
      <c r="BP315" s="128"/>
      <c r="BQ315" s="128"/>
      <c r="BR315" s="128"/>
      <c r="BS315" s="128"/>
      <c r="BT315" s="128"/>
      <c r="BU315" s="128"/>
      <c r="BV315" s="128"/>
      <c r="BW315" s="128"/>
      <c r="BX315" s="128"/>
      <c r="BY315" s="128"/>
      <c r="BZ315" s="128"/>
      <c r="CA315" s="128"/>
      <c r="CB315" s="128"/>
      <c r="CC315" s="128"/>
      <c r="CD315" s="128"/>
      <c r="CE315" s="128"/>
      <c r="CF315" s="128"/>
      <c r="CG315" s="128"/>
      <c r="CH315" s="128"/>
      <c r="CI315" s="128"/>
      <c r="CJ315" s="128"/>
      <c r="CK315" s="128"/>
      <c r="CL315" s="128"/>
      <c r="CM315" s="128"/>
    </row>
    <row r="316" spans="1:91" x14ac:dyDescent="0.2">
      <c r="A316" s="18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8"/>
      <c r="AS316" s="128"/>
      <c r="AT316" s="128"/>
      <c r="AU316" s="128"/>
      <c r="AV316" s="128"/>
      <c r="AW316" s="128"/>
      <c r="AX316" s="128"/>
      <c r="AY316" s="128"/>
      <c r="AZ316" s="128"/>
      <c r="BA316" s="128"/>
      <c r="BB316" s="128"/>
      <c r="BC316" s="128"/>
      <c r="BD316" s="128"/>
      <c r="BE316" s="128"/>
      <c r="BF316" s="128"/>
      <c r="BG316" s="128"/>
      <c r="BH316" s="128"/>
      <c r="BI316" s="128"/>
      <c r="BJ316" s="128"/>
      <c r="BK316" s="128"/>
      <c r="BL316" s="128"/>
      <c r="BM316" s="128"/>
      <c r="BN316" s="128"/>
      <c r="BO316" s="128"/>
      <c r="BP316" s="128"/>
      <c r="BQ316" s="128"/>
      <c r="BR316" s="128"/>
      <c r="BS316" s="128"/>
      <c r="BT316" s="128"/>
      <c r="BU316" s="128"/>
      <c r="BV316" s="128"/>
      <c r="BW316" s="128"/>
      <c r="BX316" s="128"/>
      <c r="BY316" s="128"/>
      <c r="BZ316" s="128"/>
      <c r="CA316" s="128"/>
      <c r="CB316" s="128"/>
      <c r="CC316" s="128"/>
      <c r="CD316" s="128"/>
      <c r="CE316" s="128"/>
      <c r="CF316" s="128"/>
      <c r="CG316" s="128"/>
      <c r="CH316" s="128"/>
      <c r="CI316" s="128"/>
      <c r="CJ316" s="128"/>
      <c r="CK316" s="128"/>
      <c r="CL316" s="128"/>
      <c r="CM316" s="128"/>
    </row>
    <row r="317" spans="1:91" x14ac:dyDescent="0.2">
      <c r="A317" s="18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AD317" s="128"/>
      <c r="AE317" s="128"/>
      <c r="AF317" s="128"/>
      <c r="AG317" s="128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28"/>
      <c r="AY317" s="128"/>
      <c r="AZ317" s="128"/>
      <c r="BA317" s="128"/>
      <c r="BB317" s="128"/>
      <c r="BC317" s="128"/>
      <c r="BD317" s="128"/>
      <c r="BE317" s="128"/>
      <c r="BF317" s="128"/>
      <c r="BG317" s="128"/>
      <c r="BH317" s="128"/>
      <c r="BI317" s="128"/>
      <c r="BJ317" s="128"/>
      <c r="BK317" s="128"/>
      <c r="BL317" s="128"/>
      <c r="BM317" s="128"/>
      <c r="BN317" s="128"/>
      <c r="BO317" s="128"/>
      <c r="BP317" s="128"/>
      <c r="BQ317" s="128"/>
      <c r="BR317" s="128"/>
      <c r="BS317" s="128"/>
      <c r="BT317" s="128"/>
      <c r="BU317" s="128"/>
      <c r="BV317" s="128"/>
      <c r="BW317" s="128"/>
      <c r="BX317" s="128"/>
      <c r="BY317" s="128"/>
      <c r="BZ317" s="128"/>
      <c r="CA317" s="128"/>
      <c r="CB317" s="128"/>
      <c r="CC317" s="128"/>
      <c r="CD317" s="128"/>
      <c r="CE317" s="128"/>
      <c r="CF317" s="128"/>
      <c r="CG317" s="128"/>
      <c r="CH317" s="128"/>
      <c r="CI317" s="128"/>
      <c r="CJ317" s="128"/>
      <c r="CK317" s="128"/>
      <c r="CL317" s="128"/>
      <c r="CM317" s="128"/>
    </row>
    <row r="318" spans="1:91" x14ac:dyDescent="0.2">
      <c r="A318" s="18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AD318" s="128"/>
      <c r="AE318" s="128"/>
      <c r="AF318" s="128"/>
      <c r="AG318" s="12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28"/>
      <c r="AR318" s="128"/>
      <c r="AS318" s="128"/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/>
      <c r="BD318" s="128"/>
      <c r="BE318" s="128"/>
      <c r="BF318" s="128"/>
      <c r="BG318" s="128"/>
      <c r="BH318" s="128"/>
      <c r="BI318" s="128"/>
      <c r="BJ318" s="128"/>
      <c r="BK318" s="128"/>
      <c r="BL318" s="128"/>
      <c r="BM318" s="128"/>
      <c r="BN318" s="128"/>
      <c r="BO318" s="128"/>
      <c r="BP318" s="128"/>
      <c r="BQ318" s="128"/>
      <c r="BR318" s="128"/>
      <c r="BS318" s="128"/>
      <c r="BT318" s="128"/>
      <c r="BU318" s="128"/>
      <c r="BV318" s="128"/>
      <c r="BW318" s="128"/>
      <c r="BX318" s="128"/>
      <c r="BY318" s="128"/>
      <c r="BZ318" s="128"/>
      <c r="CA318" s="128"/>
      <c r="CB318" s="128"/>
      <c r="CC318" s="128"/>
      <c r="CD318" s="128"/>
      <c r="CE318" s="128"/>
      <c r="CF318" s="128"/>
      <c r="CG318" s="128"/>
      <c r="CH318" s="128"/>
      <c r="CI318" s="128"/>
      <c r="CJ318" s="128"/>
      <c r="CK318" s="128"/>
      <c r="CL318" s="128"/>
      <c r="CM318" s="128"/>
    </row>
    <row r="319" spans="1:91" x14ac:dyDescent="0.2">
      <c r="A319" s="18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AD319" s="128"/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8"/>
      <c r="BR319" s="128"/>
      <c r="BS319" s="128"/>
      <c r="BT319" s="128"/>
      <c r="BU319" s="128"/>
      <c r="BV319" s="128"/>
      <c r="BW319" s="128"/>
      <c r="BX319" s="128"/>
      <c r="BY319" s="128"/>
      <c r="BZ319" s="128"/>
      <c r="CA319" s="128"/>
      <c r="CB319" s="128"/>
      <c r="CC319" s="128"/>
      <c r="CD319" s="128"/>
      <c r="CE319" s="128"/>
      <c r="CF319" s="128"/>
      <c r="CG319" s="128"/>
      <c r="CH319" s="128"/>
      <c r="CI319" s="128"/>
      <c r="CJ319" s="128"/>
      <c r="CK319" s="128"/>
      <c r="CL319" s="128"/>
      <c r="CM319" s="128"/>
    </row>
    <row r="320" spans="1:91" x14ac:dyDescent="0.2">
      <c r="A320" s="18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AD320" s="128"/>
      <c r="AE320" s="128"/>
      <c r="AF320" s="128"/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28"/>
      <c r="AR320" s="128"/>
      <c r="AS320" s="128"/>
      <c r="AT320" s="128"/>
      <c r="AU320" s="128"/>
      <c r="AV320" s="128"/>
      <c r="AW320" s="128"/>
      <c r="AX320" s="128"/>
      <c r="AY320" s="128"/>
      <c r="AZ320" s="128"/>
      <c r="BA320" s="128"/>
      <c r="BB320" s="128"/>
      <c r="BC320" s="128"/>
      <c r="BD320" s="128"/>
      <c r="BE320" s="128"/>
      <c r="BF320" s="128"/>
      <c r="BG320" s="128"/>
      <c r="BH320" s="128"/>
      <c r="BI320" s="128"/>
      <c r="BJ320" s="128"/>
      <c r="BK320" s="128"/>
      <c r="BL320" s="128"/>
      <c r="BM320" s="128"/>
      <c r="BN320" s="128"/>
      <c r="BO320" s="128"/>
      <c r="BP320" s="128"/>
      <c r="BQ320" s="128"/>
      <c r="BR320" s="128"/>
      <c r="BS320" s="128"/>
      <c r="BT320" s="128"/>
      <c r="BU320" s="128"/>
      <c r="BV320" s="128"/>
      <c r="BW320" s="128"/>
      <c r="BX320" s="128"/>
      <c r="BY320" s="128"/>
      <c r="BZ320" s="128"/>
      <c r="CA320" s="128"/>
      <c r="CB320" s="128"/>
      <c r="CC320" s="128"/>
      <c r="CD320" s="128"/>
      <c r="CE320" s="128"/>
      <c r="CF320" s="128"/>
      <c r="CG320" s="128"/>
      <c r="CH320" s="128"/>
      <c r="CI320" s="128"/>
      <c r="CJ320" s="128"/>
      <c r="CK320" s="128"/>
      <c r="CL320" s="128"/>
      <c r="CM320" s="128"/>
    </row>
    <row r="321" spans="1:91" x14ac:dyDescent="0.2">
      <c r="A321" s="18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AD321" s="128"/>
      <c r="AE321" s="128"/>
      <c r="AF321" s="128"/>
      <c r="AG321" s="12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8"/>
      <c r="AS321" s="128"/>
      <c r="AT321" s="128"/>
      <c r="AU321" s="128"/>
      <c r="AV321" s="128"/>
      <c r="AW321" s="128"/>
      <c r="AX321" s="128"/>
      <c r="AY321" s="128"/>
      <c r="AZ321" s="128"/>
      <c r="BA321" s="128"/>
      <c r="BB321" s="128"/>
      <c r="BC321" s="128"/>
      <c r="BD321" s="128"/>
      <c r="BE321" s="128"/>
      <c r="BF321" s="128"/>
      <c r="BG321" s="128"/>
      <c r="BH321" s="128"/>
      <c r="BI321" s="128"/>
      <c r="BJ321" s="128"/>
      <c r="BK321" s="128"/>
      <c r="BL321" s="128"/>
      <c r="BM321" s="128"/>
      <c r="BN321" s="128"/>
      <c r="BO321" s="128"/>
      <c r="BP321" s="128"/>
      <c r="BQ321" s="128"/>
      <c r="BR321" s="128"/>
      <c r="BS321" s="128"/>
      <c r="BT321" s="128"/>
      <c r="BU321" s="128"/>
      <c r="BV321" s="128"/>
      <c r="BW321" s="128"/>
      <c r="BX321" s="128"/>
      <c r="BY321" s="128"/>
      <c r="BZ321" s="128"/>
      <c r="CA321" s="128"/>
      <c r="CB321" s="128"/>
      <c r="CC321" s="128"/>
      <c r="CD321" s="128"/>
      <c r="CE321" s="128"/>
      <c r="CF321" s="128"/>
      <c r="CG321" s="128"/>
      <c r="CH321" s="128"/>
      <c r="CI321" s="128"/>
      <c r="CJ321" s="128"/>
      <c r="CK321" s="128"/>
      <c r="CL321" s="128"/>
      <c r="CM321" s="128"/>
    </row>
    <row r="322" spans="1:91" x14ac:dyDescent="0.2">
      <c r="A322" s="18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AD322" s="128"/>
      <c r="AE322" s="128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8"/>
      <c r="AT322" s="128"/>
      <c r="AU322" s="128"/>
      <c r="AV322" s="128"/>
      <c r="AW322" s="128"/>
      <c r="AX322" s="128"/>
      <c r="AY322" s="128"/>
      <c r="AZ322" s="128"/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128"/>
      <c r="BN322" s="128"/>
      <c r="BO322" s="128"/>
      <c r="BP322" s="128"/>
      <c r="BQ322" s="128"/>
      <c r="BR322" s="128"/>
      <c r="BS322" s="128"/>
      <c r="BT322" s="128"/>
      <c r="BU322" s="128"/>
      <c r="BV322" s="128"/>
      <c r="BW322" s="128"/>
      <c r="BX322" s="128"/>
      <c r="BY322" s="128"/>
      <c r="BZ322" s="128"/>
      <c r="CA322" s="128"/>
      <c r="CB322" s="128"/>
      <c r="CC322" s="128"/>
      <c r="CD322" s="128"/>
      <c r="CE322" s="128"/>
      <c r="CF322" s="128"/>
      <c r="CG322" s="128"/>
      <c r="CH322" s="128"/>
      <c r="CI322" s="128"/>
      <c r="CJ322" s="128"/>
      <c r="CK322" s="128"/>
      <c r="CL322" s="128"/>
      <c r="CM322" s="128"/>
    </row>
    <row r="323" spans="1:91" x14ac:dyDescent="0.2">
      <c r="A323" s="18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AD323" s="128"/>
      <c r="AE323" s="128"/>
      <c r="AF323" s="128"/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/>
      <c r="AR323" s="128"/>
      <c r="AS323" s="128"/>
      <c r="AT323" s="128"/>
      <c r="AU323" s="128"/>
      <c r="AV323" s="128"/>
      <c r="AW323" s="128"/>
      <c r="AX323" s="128"/>
      <c r="AY323" s="128"/>
      <c r="AZ323" s="128"/>
      <c r="BA323" s="128"/>
      <c r="BB323" s="128"/>
      <c r="BC323" s="128"/>
      <c r="BD323" s="128"/>
      <c r="BE323" s="128"/>
      <c r="BF323" s="128"/>
      <c r="BG323" s="128"/>
      <c r="BH323" s="128"/>
      <c r="BI323" s="128"/>
      <c r="BJ323" s="128"/>
      <c r="BK323" s="128"/>
      <c r="BL323" s="128"/>
      <c r="BM323" s="128"/>
      <c r="BN323" s="128"/>
      <c r="BO323" s="128"/>
      <c r="BP323" s="128"/>
      <c r="BQ323" s="128"/>
      <c r="BR323" s="128"/>
      <c r="BS323" s="128"/>
      <c r="BT323" s="128"/>
      <c r="BU323" s="128"/>
      <c r="BV323" s="128"/>
      <c r="BW323" s="128"/>
      <c r="BX323" s="128"/>
      <c r="BY323" s="128"/>
      <c r="BZ323" s="128"/>
      <c r="CA323" s="128"/>
      <c r="CB323" s="128"/>
      <c r="CC323" s="128"/>
      <c r="CD323" s="128"/>
      <c r="CE323" s="128"/>
      <c r="CF323" s="128"/>
      <c r="CG323" s="128"/>
      <c r="CH323" s="128"/>
      <c r="CI323" s="128"/>
      <c r="CJ323" s="128"/>
      <c r="CK323" s="128"/>
      <c r="CL323" s="128"/>
      <c r="CM323" s="128"/>
    </row>
    <row r="324" spans="1:91" x14ac:dyDescent="0.2">
      <c r="A324" s="18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8"/>
      <c r="AW324" s="128"/>
      <c r="AX324" s="128"/>
      <c r="AY324" s="128"/>
      <c r="AZ324" s="128"/>
      <c r="BA324" s="128"/>
      <c r="BB324" s="128"/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128"/>
      <c r="BN324" s="128"/>
      <c r="BO324" s="128"/>
      <c r="BP324" s="128"/>
      <c r="BQ324" s="128"/>
      <c r="BR324" s="128"/>
      <c r="BS324" s="128"/>
      <c r="BT324" s="128"/>
      <c r="BU324" s="128"/>
      <c r="BV324" s="128"/>
      <c r="BW324" s="128"/>
      <c r="BX324" s="128"/>
      <c r="BY324" s="128"/>
      <c r="BZ324" s="128"/>
      <c r="CA324" s="128"/>
      <c r="CB324" s="128"/>
      <c r="CC324" s="128"/>
      <c r="CD324" s="128"/>
      <c r="CE324" s="128"/>
      <c r="CF324" s="128"/>
      <c r="CG324" s="128"/>
      <c r="CH324" s="128"/>
      <c r="CI324" s="128"/>
      <c r="CJ324" s="128"/>
      <c r="CK324" s="128"/>
      <c r="CL324" s="128"/>
      <c r="CM324" s="128"/>
    </row>
    <row r="325" spans="1:91" x14ac:dyDescent="0.2">
      <c r="A325" s="18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8"/>
      <c r="BR325" s="128"/>
      <c r="BS325" s="128"/>
      <c r="BT325" s="128"/>
      <c r="BU325" s="128"/>
      <c r="BV325" s="128"/>
      <c r="BW325" s="128"/>
      <c r="BX325" s="128"/>
      <c r="BY325" s="128"/>
      <c r="BZ325" s="128"/>
      <c r="CA325" s="128"/>
      <c r="CB325" s="128"/>
      <c r="CC325" s="128"/>
      <c r="CD325" s="128"/>
      <c r="CE325" s="128"/>
      <c r="CF325" s="128"/>
      <c r="CG325" s="128"/>
      <c r="CH325" s="128"/>
      <c r="CI325" s="128"/>
      <c r="CJ325" s="128"/>
      <c r="CK325" s="128"/>
      <c r="CL325" s="128"/>
      <c r="CM325" s="128"/>
    </row>
    <row r="326" spans="1:91" x14ac:dyDescent="0.2">
      <c r="A326" s="18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AD326" s="128"/>
      <c r="AE326" s="128"/>
      <c r="AF326" s="128"/>
      <c r="AG326" s="128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8"/>
      <c r="AW326" s="128"/>
      <c r="AX326" s="128"/>
      <c r="AY326" s="128"/>
      <c r="AZ326" s="128"/>
      <c r="BA326" s="128"/>
      <c r="BB326" s="128"/>
      <c r="BC326" s="128"/>
      <c r="BD326" s="128"/>
      <c r="BE326" s="128"/>
      <c r="BF326" s="128"/>
      <c r="BG326" s="128"/>
      <c r="BH326" s="128"/>
      <c r="BI326" s="128"/>
      <c r="BJ326" s="128"/>
      <c r="BK326" s="128"/>
      <c r="BL326" s="128"/>
      <c r="BM326" s="128"/>
      <c r="BN326" s="128"/>
      <c r="BO326" s="128"/>
      <c r="BP326" s="128"/>
      <c r="BQ326" s="128"/>
      <c r="BR326" s="128"/>
      <c r="BS326" s="128"/>
      <c r="BT326" s="128"/>
      <c r="BU326" s="128"/>
      <c r="BV326" s="128"/>
      <c r="BW326" s="128"/>
      <c r="BX326" s="128"/>
      <c r="BY326" s="128"/>
      <c r="BZ326" s="128"/>
      <c r="CA326" s="128"/>
      <c r="CB326" s="128"/>
      <c r="CC326" s="128"/>
      <c r="CD326" s="128"/>
      <c r="CE326" s="128"/>
      <c r="CF326" s="128"/>
      <c r="CG326" s="128"/>
      <c r="CH326" s="128"/>
      <c r="CI326" s="128"/>
      <c r="CJ326" s="128"/>
      <c r="CK326" s="128"/>
      <c r="CL326" s="128"/>
      <c r="CM326" s="128"/>
    </row>
    <row r="327" spans="1:91" x14ac:dyDescent="0.2">
      <c r="A327" s="18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8"/>
      <c r="AR327" s="128"/>
      <c r="AS327" s="128"/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8"/>
      <c r="BH327" s="128"/>
      <c r="BI327" s="128"/>
      <c r="BJ327" s="128"/>
      <c r="BK327" s="128"/>
      <c r="BL327" s="128"/>
      <c r="BM327" s="128"/>
      <c r="BN327" s="128"/>
      <c r="BO327" s="128"/>
      <c r="BP327" s="128"/>
      <c r="BQ327" s="128"/>
      <c r="BR327" s="128"/>
      <c r="BS327" s="128"/>
      <c r="BT327" s="128"/>
      <c r="BU327" s="128"/>
      <c r="BV327" s="128"/>
      <c r="BW327" s="128"/>
      <c r="BX327" s="128"/>
      <c r="BY327" s="128"/>
      <c r="BZ327" s="128"/>
      <c r="CA327" s="128"/>
      <c r="CB327" s="128"/>
      <c r="CC327" s="128"/>
      <c r="CD327" s="128"/>
      <c r="CE327" s="128"/>
      <c r="CF327" s="128"/>
      <c r="CG327" s="128"/>
      <c r="CH327" s="128"/>
      <c r="CI327" s="128"/>
      <c r="CJ327" s="128"/>
      <c r="CK327" s="128"/>
      <c r="CL327" s="128"/>
      <c r="CM327" s="128"/>
    </row>
    <row r="328" spans="1:91" x14ac:dyDescent="0.2">
      <c r="A328" s="18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AD328" s="128"/>
      <c r="AE328" s="128"/>
      <c r="AF328" s="128"/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28"/>
      <c r="AR328" s="128"/>
      <c r="AS328" s="128"/>
      <c r="AT328" s="128"/>
      <c r="AU328" s="128"/>
      <c r="AV328" s="128"/>
      <c r="AW328" s="128"/>
      <c r="AX328" s="128"/>
      <c r="AY328" s="128"/>
      <c r="AZ328" s="128"/>
      <c r="BA328" s="128"/>
      <c r="BB328" s="128"/>
      <c r="BC328" s="128"/>
      <c r="BD328" s="128"/>
      <c r="BE328" s="128"/>
      <c r="BF328" s="128"/>
      <c r="BG328" s="128"/>
      <c r="BH328" s="128"/>
      <c r="BI328" s="128"/>
      <c r="BJ328" s="128"/>
      <c r="BK328" s="128"/>
      <c r="BL328" s="128"/>
      <c r="BM328" s="128"/>
      <c r="BN328" s="128"/>
      <c r="BO328" s="128"/>
      <c r="BP328" s="128"/>
      <c r="BQ328" s="128"/>
      <c r="BR328" s="128"/>
      <c r="BS328" s="128"/>
      <c r="BT328" s="128"/>
      <c r="BU328" s="128"/>
      <c r="BV328" s="128"/>
      <c r="BW328" s="128"/>
      <c r="BX328" s="128"/>
      <c r="BY328" s="128"/>
      <c r="BZ328" s="128"/>
      <c r="CA328" s="128"/>
      <c r="CB328" s="128"/>
      <c r="CC328" s="128"/>
      <c r="CD328" s="128"/>
      <c r="CE328" s="128"/>
      <c r="CF328" s="128"/>
      <c r="CG328" s="128"/>
      <c r="CH328" s="128"/>
      <c r="CI328" s="128"/>
      <c r="CJ328" s="128"/>
      <c r="CK328" s="128"/>
      <c r="CL328" s="128"/>
      <c r="CM328" s="128"/>
    </row>
    <row r="329" spans="1:91" x14ac:dyDescent="0.2">
      <c r="A329" s="18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AD329" s="128"/>
      <c r="AE329" s="128"/>
      <c r="AF329" s="128"/>
      <c r="AG329" s="12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28"/>
      <c r="AR329" s="128"/>
      <c r="AS329" s="128"/>
      <c r="AT329" s="128"/>
      <c r="AU329" s="128"/>
      <c r="AV329" s="128"/>
      <c r="AW329" s="128"/>
      <c r="AX329" s="128"/>
      <c r="AY329" s="128"/>
      <c r="AZ329" s="128"/>
      <c r="BA329" s="128"/>
      <c r="BB329" s="128"/>
      <c r="BC329" s="128"/>
      <c r="BD329" s="128"/>
      <c r="BE329" s="128"/>
      <c r="BF329" s="128"/>
      <c r="BG329" s="128"/>
      <c r="BH329" s="128"/>
      <c r="BI329" s="128"/>
      <c r="BJ329" s="128"/>
      <c r="BK329" s="128"/>
      <c r="BL329" s="128"/>
      <c r="BM329" s="128"/>
      <c r="BN329" s="128"/>
      <c r="BO329" s="128"/>
      <c r="BP329" s="128"/>
      <c r="BQ329" s="128"/>
      <c r="BR329" s="128"/>
      <c r="BS329" s="128"/>
      <c r="BT329" s="128"/>
      <c r="BU329" s="128"/>
      <c r="BV329" s="128"/>
      <c r="BW329" s="128"/>
      <c r="BX329" s="128"/>
      <c r="BY329" s="128"/>
      <c r="BZ329" s="128"/>
      <c r="CA329" s="128"/>
      <c r="CB329" s="128"/>
      <c r="CC329" s="128"/>
      <c r="CD329" s="128"/>
      <c r="CE329" s="128"/>
      <c r="CF329" s="128"/>
      <c r="CG329" s="128"/>
      <c r="CH329" s="128"/>
      <c r="CI329" s="128"/>
      <c r="CJ329" s="128"/>
      <c r="CK329" s="128"/>
      <c r="CL329" s="128"/>
      <c r="CM329" s="128"/>
    </row>
    <row r="330" spans="1:91" x14ac:dyDescent="0.2">
      <c r="A330" s="18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AD330" s="128"/>
      <c r="AE330" s="128"/>
      <c r="AF330" s="128"/>
      <c r="AG330" s="128"/>
      <c r="AH330" s="128"/>
      <c r="AI330" s="128"/>
      <c r="AJ330" s="128"/>
      <c r="AK330" s="128"/>
      <c r="AL330" s="128"/>
      <c r="AM330" s="128"/>
      <c r="AN330" s="128"/>
      <c r="AO330" s="128"/>
      <c r="AP330" s="128"/>
      <c r="AQ330" s="128"/>
      <c r="AR330" s="128"/>
      <c r="AS330" s="128"/>
      <c r="AT330" s="128"/>
      <c r="AU330" s="128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128"/>
      <c r="BN330" s="128"/>
      <c r="BO330" s="128"/>
      <c r="BP330" s="128"/>
      <c r="BQ330" s="128"/>
      <c r="BR330" s="128"/>
      <c r="BS330" s="128"/>
      <c r="BT330" s="128"/>
      <c r="BU330" s="128"/>
      <c r="BV330" s="128"/>
      <c r="BW330" s="128"/>
      <c r="BX330" s="128"/>
      <c r="BY330" s="128"/>
      <c r="BZ330" s="128"/>
      <c r="CA330" s="128"/>
      <c r="CB330" s="128"/>
      <c r="CC330" s="128"/>
      <c r="CD330" s="128"/>
      <c r="CE330" s="128"/>
      <c r="CF330" s="128"/>
      <c r="CG330" s="128"/>
      <c r="CH330" s="128"/>
      <c r="CI330" s="128"/>
      <c r="CJ330" s="128"/>
      <c r="CK330" s="128"/>
      <c r="CL330" s="128"/>
      <c r="CM330" s="128"/>
    </row>
    <row r="331" spans="1:91" x14ac:dyDescent="0.2">
      <c r="A331" s="18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AD331" s="128"/>
      <c r="AE331" s="128"/>
      <c r="AF331" s="128"/>
      <c r="AG331" s="128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28"/>
      <c r="AR331" s="128"/>
      <c r="AS331" s="128"/>
      <c r="AT331" s="128"/>
      <c r="AU331" s="128"/>
      <c r="AV331" s="128"/>
      <c r="AW331" s="128"/>
      <c r="AX331" s="128"/>
      <c r="AY331" s="128"/>
      <c r="AZ331" s="128"/>
      <c r="BA331" s="128"/>
      <c r="BB331" s="128"/>
      <c r="BC331" s="128"/>
      <c r="BD331" s="128"/>
      <c r="BE331" s="128"/>
      <c r="BF331" s="128"/>
      <c r="BG331" s="128"/>
      <c r="BH331" s="128"/>
      <c r="BI331" s="128"/>
      <c r="BJ331" s="128"/>
      <c r="BK331" s="128"/>
      <c r="BL331" s="128"/>
      <c r="BM331" s="128"/>
      <c r="BN331" s="128"/>
      <c r="BO331" s="128"/>
      <c r="BP331" s="128"/>
      <c r="BQ331" s="128"/>
      <c r="BR331" s="128"/>
      <c r="BS331" s="128"/>
      <c r="BT331" s="128"/>
      <c r="BU331" s="128"/>
      <c r="BV331" s="128"/>
      <c r="BW331" s="128"/>
      <c r="BX331" s="128"/>
      <c r="BY331" s="128"/>
      <c r="BZ331" s="128"/>
      <c r="CA331" s="128"/>
      <c r="CB331" s="128"/>
      <c r="CC331" s="128"/>
      <c r="CD331" s="128"/>
      <c r="CE331" s="128"/>
      <c r="CF331" s="128"/>
      <c r="CG331" s="128"/>
      <c r="CH331" s="128"/>
      <c r="CI331" s="128"/>
      <c r="CJ331" s="128"/>
      <c r="CK331" s="128"/>
      <c r="CL331" s="128"/>
      <c r="CM331" s="128"/>
    </row>
    <row r="332" spans="1:91" x14ac:dyDescent="0.2">
      <c r="A332" s="18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AD332" s="128"/>
      <c r="AE332" s="128"/>
      <c r="AF332" s="128"/>
      <c r="AG332" s="128"/>
      <c r="AH332" s="128"/>
      <c r="AI332" s="128"/>
      <c r="AJ332" s="128"/>
      <c r="AK332" s="128"/>
      <c r="AL332" s="128"/>
      <c r="AM332" s="128"/>
      <c r="AN332" s="128"/>
      <c r="AO332" s="128"/>
      <c r="AP332" s="128"/>
      <c r="AQ332" s="128"/>
      <c r="AR332" s="128"/>
      <c r="AS332" s="128"/>
      <c r="AT332" s="128"/>
      <c r="AU332" s="128"/>
      <c r="AV332" s="128"/>
      <c r="AW332" s="128"/>
      <c r="AX332" s="128"/>
      <c r="AY332" s="128"/>
      <c r="AZ332" s="128"/>
      <c r="BA332" s="128"/>
      <c r="BB332" s="128"/>
      <c r="BC332" s="128"/>
      <c r="BD332" s="128"/>
      <c r="BE332" s="128"/>
      <c r="BF332" s="128"/>
      <c r="BG332" s="128"/>
      <c r="BH332" s="128"/>
      <c r="BI332" s="128"/>
      <c r="BJ332" s="128"/>
      <c r="BK332" s="128"/>
      <c r="BL332" s="128"/>
      <c r="BM332" s="128"/>
      <c r="BN332" s="128"/>
      <c r="BO332" s="128"/>
      <c r="BP332" s="128"/>
      <c r="BQ332" s="128"/>
      <c r="BR332" s="128"/>
      <c r="BS332" s="128"/>
      <c r="BT332" s="128"/>
      <c r="BU332" s="128"/>
      <c r="BV332" s="128"/>
      <c r="BW332" s="128"/>
      <c r="BX332" s="128"/>
      <c r="BY332" s="128"/>
      <c r="BZ332" s="128"/>
      <c r="CA332" s="128"/>
      <c r="CB332" s="128"/>
      <c r="CC332" s="128"/>
      <c r="CD332" s="128"/>
      <c r="CE332" s="128"/>
      <c r="CF332" s="128"/>
      <c r="CG332" s="128"/>
      <c r="CH332" s="128"/>
      <c r="CI332" s="128"/>
      <c r="CJ332" s="128"/>
      <c r="CK332" s="128"/>
      <c r="CL332" s="128"/>
      <c r="CM332" s="128"/>
    </row>
    <row r="333" spans="1:91" x14ac:dyDescent="0.2">
      <c r="A333" s="18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AD333" s="128"/>
      <c r="AE333" s="128"/>
      <c r="AF333" s="128"/>
      <c r="AG333" s="128"/>
      <c r="AH333" s="128"/>
      <c r="AI333" s="128"/>
      <c r="AJ333" s="128"/>
      <c r="AK333" s="128"/>
      <c r="AL333" s="128"/>
      <c r="AM333" s="128"/>
      <c r="AN333" s="128"/>
      <c r="AO333" s="128"/>
      <c r="AP333" s="128"/>
      <c r="AQ333" s="128"/>
      <c r="AR333" s="128"/>
      <c r="AS333" s="128"/>
      <c r="AT333" s="128"/>
      <c r="AU333" s="128"/>
      <c r="AV333" s="128"/>
      <c r="AW333" s="128"/>
      <c r="AX333" s="128"/>
      <c r="AY333" s="128"/>
      <c r="AZ333" s="128"/>
      <c r="BA333" s="128"/>
      <c r="BB333" s="128"/>
      <c r="BC333" s="128"/>
      <c r="BD333" s="128"/>
      <c r="BE333" s="128"/>
      <c r="BF333" s="128"/>
      <c r="BG333" s="128"/>
      <c r="BH333" s="128"/>
      <c r="BI333" s="128"/>
      <c r="BJ333" s="128"/>
      <c r="BK333" s="128"/>
      <c r="BL333" s="128"/>
      <c r="BM333" s="128"/>
      <c r="BN333" s="128"/>
      <c r="BO333" s="128"/>
      <c r="BP333" s="128"/>
      <c r="BQ333" s="128"/>
      <c r="BR333" s="128"/>
      <c r="BS333" s="128"/>
      <c r="BT333" s="128"/>
      <c r="BU333" s="128"/>
      <c r="BV333" s="128"/>
      <c r="BW333" s="128"/>
      <c r="BX333" s="128"/>
      <c r="BY333" s="128"/>
      <c r="BZ333" s="128"/>
      <c r="CA333" s="128"/>
      <c r="CB333" s="128"/>
      <c r="CC333" s="128"/>
      <c r="CD333" s="128"/>
      <c r="CE333" s="128"/>
      <c r="CF333" s="128"/>
      <c r="CG333" s="128"/>
      <c r="CH333" s="128"/>
      <c r="CI333" s="128"/>
      <c r="CJ333" s="128"/>
      <c r="CK333" s="128"/>
      <c r="CL333" s="128"/>
      <c r="CM333" s="128"/>
    </row>
    <row r="334" spans="1:91" x14ac:dyDescent="0.2">
      <c r="A334" s="18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AD334" s="128"/>
      <c r="AE334" s="128"/>
      <c r="AF334" s="128"/>
      <c r="AG334" s="128"/>
      <c r="AH334" s="128"/>
      <c r="AI334" s="128"/>
      <c r="AJ334" s="128"/>
      <c r="AK334" s="128"/>
      <c r="AL334" s="128"/>
      <c r="AM334" s="128"/>
      <c r="AN334" s="128"/>
      <c r="AO334" s="128"/>
      <c r="AP334" s="128"/>
      <c r="AQ334" s="128"/>
      <c r="AR334" s="128"/>
      <c r="AS334" s="128"/>
      <c r="AT334" s="128"/>
      <c r="AU334" s="128"/>
      <c r="AV334" s="128"/>
      <c r="AW334" s="128"/>
      <c r="AX334" s="128"/>
      <c r="AY334" s="128"/>
      <c r="AZ334" s="128"/>
      <c r="BA334" s="128"/>
      <c r="BB334" s="128"/>
      <c r="BC334" s="128"/>
      <c r="BD334" s="128"/>
      <c r="BE334" s="128"/>
      <c r="BF334" s="128"/>
      <c r="BG334" s="128"/>
      <c r="BH334" s="128"/>
      <c r="BI334" s="128"/>
      <c r="BJ334" s="128"/>
      <c r="BK334" s="128"/>
      <c r="BL334" s="128"/>
      <c r="BM334" s="128"/>
      <c r="BN334" s="128"/>
      <c r="BO334" s="128"/>
      <c r="BP334" s="128"/>
      <c r="BQ334" s="128"/>
      <c r="BR334" s="128"/>
      <c r="BS334" s="128"/>
      <c r="BT334" s="128"/>
      <c r="BU334" s="128"/>
      <c r="BV334" s="128"/>
      <c r="BW334" s="128"/>
      <c r="BX334" s="128"/>
      <c r="BY334" s="128"/>
      <c r="BZ334" s="128"/>
      <c r="CA334" s="128"/>
      <c r="CB334" s="128"/>
      <c r="CC334" s="128"/>
      <c r="CD334" s="128"/>
      <c r="CE334" s="128"/>
      <c r="CF334" s="128"/>
      <c r="CG334" s="128"/>
      <c r="CH334" s="128"/>
      <c r="CI334" s="128"/>
      <c r="CJ334" s="128"/>
      <c r="CK334" s="128"/>
      <c r="CL334" s="128"/>
      <c r="CM334" s="128"/>
    </row>
    <row r="335" spans="1:91" x14ac:dyDescent="0.2">
      <c r="A335" s="18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AD335" s="128"/>
      <c r="AE335" s="128"/>
      <c r="AF335" s="128"/>
      <c r="AG335" s="128"/>
      <c r="AH335" s="128"/>
      <c r="AI335" s="128"/>
      <c r="AJ335" s="128"/>
      <c r="AK335" s="128"/>
      <c r="AL335" s="128"/>
      <c r="AM335" s="128"/>
      <c r="AN335" s="128"/>
      <c r="AO335" s="128"/>
      <c r="AP335" s="128"/>
      <c r="AQ335" s="128"/>
      <c r="AR335" s="128"/>
      <c r="AS335" s="128"/>
      <c r="AT335" s="128"/>
      <c r="AU335" s="128"/>
      <c r="AV335" s="128"/>
      <c r="AW335" s="128"/>
      <c r="AX335" s="128"/>
      <c r="AY335" s="128"/>
      <c r="AZ335" s="128"/>
      <c r="BA335" s="128"/>
      <c r="BB335" s="128"/>
      <c r="BC335" s="128"/>
      <c r="BD335" s="128"/>
      <c r="BE335" s="128"/>
      <c r="BF335" s="128"/>
      <c r="BG335" s="128"/>
      <c r="BH335" s="128"/>
      <c r="BI335" s="128"/>
      <c r="BJ335" s="128"/>
      <c r="BK335" s="128"/>
      <c r="BL335" s="128"/>
      <c r="BM335" s="128"/>
      <c r="BN335" s="128"/>
      <c r="BO335" s="128"/>
      <c r="BP335" s="128"/>
      <c r="BQ335" s="128"/>
      <c r="BR335" s="128"/>
      <c r="BS335" s="128"/>
      <c r="BT335" s="128"/>
      <c r="BU335" s="128"/>
      <c r="BV335" s="128"/>
      <c r="BW335" s="128"/>
      <c r="BX335" s="128"/>
      <c r="BY335" s="128"/>
      <c r="BZ335" s="128"/>
      <c r="CA335" s="128"/>
      <c r="CB335" s="128"/>
      <c r="CC335" s="128"/>
      <c r="CD335" s="128"/>
      <c r="CE335" s="128"/>
      <c r="CF335" s="128"/>
      <c r="CG335" s="128"/>
      <c r="CH335" s="128"/>
      <c r="CI335" s="128"/>
      <c r="CJ335" s="128"/>
      <c r="CK335" s="128"/>
      <c r="CL335" s="128"/>
      <c r="CM335" s="128"/>
    </row>
    <row r="336" spans="1:91" x14ac:dyDescent="0.2">
      <c r="A336" s="18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AD336" s="128"/>
      <c r="AE336" s="128"/>
      <c r="AF336" s="128"/>
      <c r="AG336" s="128"/>
      <c r="AH336" s="128"/>
      <c r="AI336" s="128"/>
      <c r="AJ336" s="128"/>
      <c r="AK336" s="128"/>
      <c r="AL336" s="128"/>
      <c r="AM336" s="128"/>
      <c r="AN336" s="128"/>
      <c r="AO336" s="128"/>
      <c r="AP336" s="128"/>
      <c r="AQ336" s="128"/>
      <c r="AR336" s="128"/>
      <c r="AS336" s="128"/>
      <c r="AT336" s="128"/>
      <c r="AU336" s="128"/>
      <c r="AV336" s="128"/>
      <c r="AW336" s="128"/>
      <c r="AX336" s="128"/>
      <c r="AY336" s="128"/>
      <c r="AZ336" s="128"/>
      <c r="BA336" s="128"/>
      <c r="BB336" s="128"/>
      <c r="BC336" s="128"/>
      <c r="BD336" s="128"/>
      <c r="BE336" s="128"/>
      <c r="BF336" s="128"/>
      <c r="BG336" s="128"/>
      <c r="BH336" s="128"/>
      <c r="BI336" s="128"/>
      <c r="BJ336" s="128"/>
      <c r="BK336" s="128"/>
      <c r="BL336" s="128"/>
      <c r="BM336" s="128"/>
      <c r="BN336" s="128"/>
      <c r="BO336" s="128"/>
      <c r="BP336" s="128"/>
      <c r="BQ336" s="128"/>
      <c r="BR336" s="128"/>
      <c r="BS336" s="128"/>
      <c r="BT336" s="128"/>
      <c r="BU336" s="128"/>
      <c r="BV336" s="128"/>
      <c r="BW336" s="128"/>
      <c r="BX336" s="128"/>
      <c r="BY336" s="128"/>
      <c r="BZ336" s="128"/>
      <c r="CA336" s="128"/>
      <c r="CB336" s="128"/>
      <c r="CC336" s="128"/>
      <c r="CD336" s="128"/>
      <c r="CE336" s="128"/>
      <c r="CF336" s="128"/>
      <c r="CG336" s="128"/>
      <c r="CH336" s="128"/>
      <c r="CI336" s="128"/>
      <c r="CJ336" s="128"/>
      <c r="CK336" s="128"/>
      <c r="CL336" s="128"/>
      <c r="CM336" s="128"/>
    </row>
    <row r="337" spans="1:91" x14ac:dyDescent="0.2">
      <c r="A337" s="18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AD337" s="128"/>
      <c r="AE337" s="128"/>
      <c r="AF337" s="128"/>
      <c r="AG337" s="128"/>
      <c r="AH337" s="128"/>
      <c r="AI337" s="128"/>
      <c r="AJ337" s="128"/>
      <c r="AK337" s="128"/>
      <c r="AL337" s="128"/>
      <c r="AM337" s="128"/>
      <c r="AN337" s="128"/>
      <c r="AO337" s="128"/>
      <c r="AP337" s="128"/>
      <c r="AQ337" s="128"/>
      <c r="AR337" s="128"/>
      <c r="AS337" s="128"/>
      <c r="AT337" s="128"/>
      <c r="AU337" s="128"/>
      <c r="AV337" s="128"/>
      <c r="AW337" s="128"/>
      <c r="AX337" s="128"/>
      <c r="AY337" s="128"/>
      <c r="AZ337" s="128"/>
      <c r="BA337" s="128"/>
      <c r="BB337" s="128"/>
      <c r="BC337" s="128"/>
      <c r="BD337" s="128"/>
      <c r="BE337" s="128"/>
      <c r="BF337" s="128"/>
      <c r="BG337" s="128"/>
      <c r="BH337" s="128"/>
      <c r="BI337" s="128"/>
      <c r="BJ337" s="128"/>
      <c r="BK337" s="128"/>
      <c r="BL337" s="128"/>
      <c r="BM337" s="128"/>
      <c r="BN337" s="128"/>
      <c r="BO337" s="128"/>
      <c r="BP337" s="128"/>
      <c r="BQ337" s="128"/>
      <c r="BR337" s="128"/>
      <c r="BS337" s="128"/>
      <c r="BT337" s="128"/>
      <c r="BU337" s="128"/>
      <c r="BV337" s="128"/>
      <c r="BW337" s="128"/>
      <c r="BX337" s="128"/>
      <c r="BY337" s="128"/>
      <c r="BZ337" s="128"/>
      <c r="CA337" s="128"/>
      <c r="CB337" s="128"/>
      <c r="CC337" s="128"/>
      <c r="CD337" s="128"/>
      <c r="CE337" s="128"/>
      <c r="CF337" s="128"/>
      <c r="CG337" s="128"/>
      <c r="CH337" s="128"/>
      <c r="CI337" s="128"/>
      <c r="CJ337" s="128"/>
      <c r="CK337" s="128"/>
      <c r="CL337" s="128"/>
      <c r="CM337" s="128"/>
    </row>
    <row r="338" spans="1:91" x14ac:dyDescent="0.2">
      <c r="A338" s="18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AD338" s="128"/>
      <c r="AE338" s="128"/>
      <c r="AF338" s="128"/>
      <c r="AG338" s="128"/>
      <c r="AH338" s="128"/>
      <c r="AI338" s="128"/>
      <c r="AJ338" s="128"/>
      <c r="AK338" s="128"/>
      <c r="AL338" s="128"/>
      <c r="AM338" s="128"/>
      <c r="AN338" s="128"/>
      <c r="AO338" s="128"/>
      <c r="AP338" s="128"/>
      <c r="AQ338" s="128"/>
      <c r="AR338" s="128"/>
      <c r="AS338" s="128"/>
      <c r="AT338" s="128"/>
      <c r="AU338" s="128"/>
      <c r="AV338" s="128"/>
      <c r="AW338" s="128"/>
      <c r="AX338" s="128"/>
      <c r="AY338" s="128"/>
      <c r="AZ338" s="128"/>
      <c r="BA338" s="128"/>
      <c r="BB338" s="128"/>
      <c r="BC338" s="128"/>
      <c r="BD338" s="128"/>
      <c r="BE338" s="128"/>
      <c r="BF338" s="128"/>
      <c r="BG338" s="128"/>
      <c r="BH338" s="128"/>
      <c r="BI338" s="128"/>
      <c r="BJ338" s="128"/>
      <c r="BK338" s="128"/>
      <c r="BL338" s="128"/>
      <c r="BM338" s="128"/>
      <c r="BN338" s="128"/>
      <c r="BO338" s="128"/>
      <c r="BP338" s="128"/>
      <c r="BQ338" s="128"/>
      <c r="BR338" s="128"/>
      <c r="BS338" s="128"/>
      <c r="BT338" s="128"/>
      <c r="BU338" s="128"/>
      <c r="BV338" s="128"/>
      <c r="BW338" s="128"/>
      <c r="BX338" s="128"/>
      <c r="BY338" s="128"/>
      <c r="BZ338" s="128"/>
      <c r="CA338" s="128"/>
      <c r="CB338" s="128"/>
      <c r="CC338" s="128"/>
      <c r="CD338" s="128"/>
      <c r="CE338" s="128"/>
      <c r="CF338" s="128"/>
      <c r="CG338" s="128"/>
      <c r="CH338" s="128"/>
      <c r="CI338" s="128"/>
      <c r="CJ338" s="128"/>
      <c r="CK338" s="128"/>
      <c r="CL338" s="128"/>
      <c r="CM338" s="128"/>
    </row>
    <row r="339" spans="1:91" x14ac:dyDescent="0.2">
      <c r="A339" s="18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AD339" s="128"/>
      <c r="AE339" s="128"/>
      <c r="AF339" s="128"/>
      <c r="AG339" s="128"/>
      <c r="AH339" s="128"/>
      <c r="AI339" s="128"/>
      <c r="AJ339" s="128"/>
      <c r="AK339" s="128"/>
      <c r="AL339" s="128"/>
      <c r="AM339" s="128"/>
      <c r="AN339" s="128"/>
      <c r="AO339" s="128"/>
      <c r="AP339" s="128"/>
      <c r="AQ339" s="128"/>
      <c r="AR339" s="128"/>
      <c r="AS339" s="128"/>
      <c r="AT339" s="128"/>
      <c r="AU339" s="128"/>
      <c r="AV339" s="128"/>
      <c r="AW339" s="128"/>
      <c r="AX339" s="128"/>
      <c r="AY339" s="128"/>
      <c r="AZ339" s="128"/>
      <c r="BA339" s="128"/>
      <c r="BB339" s="128"/>
      <c r="BC339" s="128"/>
      <c r="BD339" s="128"/>
      <c r="BE339" s="128"/>
      <c r="BF339" s="128"/>
      <c r="BG339" s="128"/>
      <c r="BH339" s="128"/>
      <c r="BI339" s="128"/>
      <c r="BJ339" s="128"/>
      <c r="BK339" s="128"/>
      <c r="BL339" s="128"/>
      <c r="BM339" s="128"/>
      <c r="BN339" s="128"/>
      <c r="BO339" s="128"/>
      <c r="BP339" s="128"/>
      <c r="BQ339" s="128"/>
      <c r="BR339" s="128"/>
      <c r="BS339" s="128"/>
      <c r="BT339" s="128"/>
      <c r="BU339" s="128"/>
      <c r="BV339" s="128"/>
      <c r="BW339" s="128"/>
      <c r="BX339" s="128"/>
      <c r="BY339" s="128"/>
      <c r="BZ339" s="128"/>
      <c r="CA339" s="128"/>
      <c r="CB339" s="128"/>
      <c r="CC339" s="128"/>
      <c r="CD339" s="128"/>
      <c r="CE339" s="128"/>
      <c r="CF339" s="128"/>
      <c r="CG339" s="128"/>
      <c r="CH339" s="128"/>
      <c r="CI339" s="128"/>
      <c r="CJ339" s="128"/>
      <c r="CK339" s="128"/>
      <c r="CL339" s="128"/>
      <c r="CM339" s="128"/>
    </row>
    <row r="340" spans="1:91" x14ac:dyDescent="0.2">
      <c r="A340" s="18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AD340" s="128"/>
      <c r="AE340" s="128"/>
      <c r="AF340" s="128"/>
      <c r="AG340" s="128"/>
      <c r="AH340" s="128"/>
      <c r="AI340" s="128"/>
      <c r="AJ340" s="128"/>
      <c r="AK340" s="128"/>
      <c r="AL340" s="128"/>
      <c r="AM340" s="128"/>
      <c r="AN340" s="128"/>
      <c r="AO340" s="128"/>
      <c r="AP340" s="128"/>
      <c r="AQ340" s="128"/>
      <c r="AR340" s="128"/>
      <c r="AS340" s="128"/>
      <c r="AT340" s="128"/>
      <c r="AU340" s="128"/>
      <c r="AV340" s="128"/>
      <c r="AW340" s="128"/>
      <c r="AX340" s="128"/>
      <c r="AY340" s="128"/>
      <c r="AZ340" s="128"/>
      <c r="BA340" s="128"/>
      <c r="BB340" s="128"/>
      <c r="BC340" s="128"/>
      <c r="BD340" s="128"/>
      <c r="BE340" s="128"/>
      <c r="BF340" s="128"/>
      <c r="BG340" s="128"/>
      <c r="BH340" s="128"/>
      <c r="BI340" s="128"/>
      <c r="BJ340" s="128"/>
      <c r="BK340" s="128"/>
      <c r="BL340" s="128"/>
      <c r="BM340" s="128"/>
      <c r="BN340" s="128"/>
      <c r="BO340" s="128"/>
      <c r="BP340" s="128"/>
      <c r="BQ340" s="128"/>
      <c r="BR340" s="128"/>
      <c r="BS340" s="128"/>
      <c r="BT340" s="128"/>
      <c r="BU340" s="128"/>
      <c r="BV340" s="128"/>
      <c r="BW340" s="128"/>
      <c r="BX340" s="128"/>
      <c r="BY340" s="128"/>
      <c r="BZ340" s="128"/>
      <c r="CA340" s="128"/>
      <c r="CB340" s="128"/>
      <c r="CC340" s="128"/>
      <c r="CD340" s="128"/>
      <c r="CE340" s="128"/>
      <c r="CF340" s="128"/>
      <c r="CG340" s="128"/>
      <c r="CH340" s="128"/>
      <c r="CI340" s="128"/>
      <c r="CJ340" s="128"/>
      <c r="CK340" s="128"/>
      <c r="CL340" s="128"/>
      <c r="CM340" s="128"/>
    </row>
    <row r="341" spans="1:91" x14ac:dyDescent="0.2">
      <c r="A341" s="18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AD341" s="128"/>
      <c r="AE341" s="128"/>
      <c r="AF341" s="128"/>
      <c r="AG341" s="128"/>
      <c r="AH341" s="128"/>
      <c r="AI341" s="128"/>
      <c r="AJ341" s="128"/>
      <c r="AK341" s="128"/>
      <c r="AL341" s="128"/>
      <c r="AM341" s="128"/>
      <c r="AN341" s="128"/>
      <c r="AO341" s="128"/>
      <c r="AP341" s="128"/>
      <c r="AQ341" s="128"/>
      <c r="AR341" s="128"/>
      <c r="AS341" s="128"/>
      <c r="AT341" s="128"/>
      <c r="AU341" s="128"/>
      <c r="AV341" s="128"/>
      <c r="AW341" s="128"/>
      <c r="AX341" s="128"/>
      <c r="AY341" s="128"/>
      <c r="AZ341" s="128"/>
      <c r="BA341" s="128"/>
      <c r="BB341" s="128"/>
      <c r="BC341" s="128"/>
      <c r="BD341" s="128"/>
      <c r="BE341" s="128"/>
      <c r="BF341" s="128"/>
      <c r="BG341" s="128"/>
      <c r="BH341" s="128"/>
      <c r="BI341" s="128"/>
      <c r="BJ341" s="128"/>
      <c r="BK341" s="128"/>
      <c r="BL341" s="128"/>
      <c r="BM341" s="128"/>
      <c r="BN341" s="128"/>
      <c r="BO341" s="128"/>
      <c r="BP341" s="128"/>
      <c r="BQ341" s="128"/>
      <c r="BR341" s="128"/>
      <c r="BS341" s="128"/>
      <c r="BT341" s="128"/>
      <c r="BU341" s="128"/>
      <c r="BV341" s="128"/>
      <c r="BW341" s="128"/>
      <c r="BX341" s="128"/>
      <c r="BY341" s="128"/>
      <c r="BZ341" s="128"/>
      <c r="CA341" s="128"/>
      <c r="CB341" s="128"/>
      <c r="CC341" s="128"/>
      <c r="CD341" s="128"/>
      <c r="CE341" s="128"/>
      <c r="CF341" s="128"/>
      <c r="CG341" s="128"/>
      <c r="CH341" s="128"/>
      <c r="CI341" s="128"/>
      <c r="CJ341" s="128"/>
      <c r="CK341" s="128"/>
      <c r="CL341" s="128"/>
      <c r="CM341" s="128"/>
    </row>
    <row r="342" spans="1:91" x14ac:dyDescent="0.2">
      <c r="A342" s="18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AD342" s="128"/>
      <c r="AE342" s="128"/>
      <c r="AF342" s="128"/>
      <c r="AG342" s="128"/>
      <c r="AH342" s="128"/>
      <c r="AI342" s="128"/>
      <c r="AJ342" s="128"/>
      <c r="AK342" s="128"/>
      <c r="AL342" s="128"/>
      <c r="AM342" s="128"/>
      <c r="AN342" s="128"/>
      <c r="AO342" s="128"/>
      <c r="AP342" s="128"/>
      <c r="AQ342" s="128"/>
      <c r="AR342" s="128"/>
      <c r="AS342" s="128"/>
      <c r="AT342" s="128"/>
      <c r="AU342" s="128"/>
      <c r="AV342" s="128"/>
      <c r="AW342" s="128"/>
      <c r="AX342" s="128"/>
      <c r="AY342" s="128"/>
      <c r="AZ342" s="128"/>
      <c r="BA342" s="128"/>
      <c r="BB342" s="128"/>
      <c r="BC342" s="128"/>
      <c r="BD342" s="128"/>
      <c r="BE342" s="128"/>
      <c r="BF342" s="128"/>
      <c r="BG342" s="128"/>
      <c r="BH342" s="128"/>
      <c r="BI342" s="128"/>
      <c r="BJ342" s="128"/>
      <c r="BK342" s="128"/>
      <c r="BL342" s="128"/>
      <c r="BM342" s="128"/>
      <c r="BN342" s="128"/>
      <c r="BO342" s="128"/>
      <c r="BP342" s="128"/>
      <c r="BQ342" s="128"/>
      <c r="BR342" s="128"/>
      <c r="BS342" s="128"/>
      <c r="BT342" s="128"/>
      <c r="BU342" s="128"/>
      <c r="BV342" s="128"/>
      <c r="BW342" s="128"/>
      <c r="BX342" s="128"/>
      <c r="BY342" s="128"/>
      <c r="BZ342" s="128"/>
      <c r="CA342" s="128"/>
      <c r="CB342" s="128"/>
      <c r="CC342" s="128"/>
      <c r="CD342" s="128"/>
      <c r="CE342" s="128"/>
      <c r="CF342" s="128"/>
      <c r="CG342" s="128"/>
      <c r="CH342" s="128"/>
      <c r="CI342" s="128"/>
      <c r="CJ342" s="128"/>
      <c r="CK342" s="128"/>
      <c r="CL342" s="128"/>
      <c r="CM342" s="128"/>
    </row>
    <row r="343" spans="1:91" x14ac:dyDescent="0.2">
      <c r="A343" s="18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AD343" s="128"/>
      <c r="AE343" s="128"/>
      <c r="AF343" s="128"/>
      <c r="AG343" s="128"/>
      <c r="AH343" s="128"/>
      <c r="AI343" s="128"/>
      <c r="AJ343" s="128"/>
      <c r="AK343" s="128"/>
      <c r="AL343" s="128"/>
      <c r="AM343" s="128"/>
      <c r="AN343" s="128"/>
      <c r="AO343" s="128"/>
      <c r="AP343" s="128"/>
      <c r="AQ343" s="128"/>
      <c r="AR343" s="128"/>
      <c r="AS343" s="128"/>
      <c r="AT343" s="128"/>
      <c r="AU343" s="128"/>
      <c r="AV343" s="128"/>
      <c r="AW343" s="128"/>
      <c r="AX343" s="128"/>
      <c r="AY343" s="128"/>
      <c r="AZ343" s="128"/>
      <c r="BA343" s="128"/>
      <c r="BB343" s="128"/>
      <c r="BC343" s="128"/>
      <c r="BD343" s="128"/>
      <c r="BE343" s="128"/>
      <c r="BF343" s="128"/>
      <c r="BG343" s="128"/>
      <c r="BH343" s="128"/>
      <c r="BI343" s="128"/>
      <c r="BJ343" s="128"/>
      <c r="BK343" s="128"/>
      <c r="BL343" s="128"/>
      <c r="BM343" s="128"/>
      <c r="BN343" s="128"/>
      <c r="BO343" s="128"/>
      <c r="BP343" s="128"/>
      <c r="BQ343" s="128"/>
      <c r="BR343" s="128"/>
      <c r="BS343" s="128"/>
      <c r="BT343" s="128"/>
      <c r="BU343" s="128"/>
      <c r="BV343" s="128"/>
      <c r="BW343" s="128"/>
      <c r="BX343" s="128"/>
      <c r="BY343" s="128"/>
      <c r="BZ343" s="128"/>
      <c r="CA343" s="128"/>
      <c r="CB343" s="128"/>
      <c r="CC343" s="128"/>
      <c r="CD343" s="128"/>
      <c r="CE343" s="128"/>
      <c r="CF343" s="128"/>
      <c r="CG343" s="128"/>
      <c r="CH343" s="128"/>
      <c r="CI343" s="128"/>
      <c r="CJ343" s="128"/>
      <c r="CK343" s="128"/>
      <c r="CL343" s="128"/>
      <c r="CM343" s="128"/>
    </row>
    <row r="344" spans="1:91" x14ac:dyDescent="0.2">
      <c r="A344" s="18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AD344" s="128"/>
      <c r="AE344" s="128"/>
      <c r="AF344" s="128"/>
      <c r="AG344" s="128"/>
      <c r="AH344" s="128"/>
      <c r="AI344" s="128"/>
      <c r="AJ344" s="128"/>
      <c r="AK344" s="128"/>
      <c r="AL344" s="128"/>
      <c r="AM344" s="128"/>
      <c r="AN344" s="128"/>
      <c r="AO344" s="128"/>
      <c r="AP344" s="128"/>
      <c r="AQ344" s="128"/>
      <c r="AR344" s="128"/>
      <c r="AS344" s="128"/>
      <c r="AT344" s="128"/>
      <c r="AU344" s="128"/>
      <c r="AV344" s="128"/>
      <c r="AW344" s="128"/>
      <c r="AX344" s="128"/>
      <c r="AY344" s="128"/>
      <c r="AZ344" s="128"/>
      <c r="BA344" s="128"/>
      <c r="BB344" s="128"/>
      <c r="BC344" s="128"/>
      <c r="BD344" s="128"/>
      <c r="BE344" s="128"/>
      <c r="BF344" s="128"/>
      <c r="BG344" s="128"/>
      <c r="BH344" s="128"/>
      <c r="BI344" s="128"/>
      <c r="BJ344" s="128"/>
      <c r="BK344" s="128"/>
      <c r="BL344" s="128"/>
      <c r="BM344" s="128"/>
      <c r="BN344" s="128"/>
      <c r="BO344" s="128"/>
      <c r="BP344" s="128"/>
      <c r="BQ344" s="128"/>
      <c r="BR344" s="128"/>
      <c r="BS344" s="128"/>
      <c r="BT344" s="128"/>
      <c r="BU344" s="128"/>
      <c r="BV344" s="128"/>
      <c r="BW344" s="128"/>
      <c r="BX344" s="128"/>
      <c r="BY344" s="128"/>
      <c r="BZ344" s="128"/>
      <c r="CA344" s="128"/>
      <c r="CB344" s="128"/>
      <c r="CC344" s="128"/>
      <c r="CD344" s="128"/>
      <c r="CE344" s="128"/>
      <c r="CF344" s="128"/>
      <c r="CG344" s="128"/>
      <c r="CH344" s="128"/>
      <c r="CI344" s="128"/>
      <c r="CJ344" s="128"/>
      <c r="CK344" s="128"/>
      <c r="CL344" s="128"/>
      <c r="CM344" s="128"/>
    </row>
    <row r="345" spans="1:91" x14ac:dyDescent="0.2">
      <c r="A345" s="18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AD345" s="128"/>
      <c r="AE345" s="128"/>
      <c r="AF345" s="128"/>
      <c r="AG345" s="128"/>
      <c r="AH345" s="128"/>
      <c r="AI345" s="128"/>
      <c r="AJ345" s="128"/>
      <c r="AK345" s="128"/>
      <c r="AL345" s="128"/>
      <c r="AM345" s="128"/>
      <c r="AN345" s="128"/>
      <c r="AO345" s="128"/>
      <c r="AP345" s="128"/>
      <c r="AQ345" s="128"/>
      <c r="AR345" s="128"/>
      <c r="AS345" s="128"/>
      <c r="AT345" s="128"/>
      <c r="AU345" s="128"/>
      <c r="AV345" s="128"/>
      <c r="AW345" s="128"/>
      <c r="AX345" s="128"/>
      <c r="AY345" s="128"/>
      <c r="AZ345" s="128"/>
      <c r="BA345" s="128"/>
      <c r="BB345" s="128"/>
      <c r="BC345" s="128"/>
      <c r="BD345" s="128"/>
      <c r="BE345" s="128"/>
      <c r="BF345" s="128"/>
      <c r="BG345" s="128"/>
      <c r="BH345" s="128"/>
      <c r="BI345" s="128"/>
      <c r="BJ345" s="128"/>
      <c r="BK345" s="128"/>
      <c r="BL345" s="128"/>
      <c r="BM345" s="128"/>
      <c r="BN345" s="128"/>
      <c r="BO345" s="128"/>
      <c r="BP345" s="128"/>
      <c r="BQ345" s="128"/>
      <c r="BR345" s="128"/>
      <c r="BS345" s="128"/>
      <c r="BT345" s="128"/>
      <c r="BU345" s="128"/>
      <c r="BV345" s="128"/>
      <c r="BW345" s="128"/>
      <c r="BX345" s="128"/>
      <c r="BY345" s="128"/>
      <c r="BZ345" s="128"/>
      <c r="CA345" s="128"/>
      <c r="CB345" s="128"/>
      <c r="CC345" s="128"/>
      <c r="CD345" s="128"/>
      <c r="CE345" s="128"/>
      <c r="CF345" s="128"/>
      <c r="CG345" s="128"/>
      <c r="CH345" s="128"/>
      <c r="CI345" s="128"/>
      <c r="CJ345" s="128"/>
      <c r="CK345" s="128"/>
      <c r="CL345" s="128"/>
      <c r="CM345" s="128"/>
    </row>
    <row r="346" spans="1:91" x14ac:dyDescent="0.2">
      <c r="A346" s="18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AD346" s="128"/>
      <c r="AE346" s="128"/>
      <c r="AF346" s="128"/>
      <c r="AG346" s="128"/>
      <c r="AH346" s="128"/>
      <c r="AI346" s="128"/>
      <c r="AJ346" s="128"/>
      <c r="AK346" s="128"/>
      <c r="AL346" s="128"/>
      <c r="AM346" s="128"/>
      <c r="AN346" s="128"/>
      <c r="AO346" s="128"/>
      <c r="AP346" s="128"/>
      <c r="AQ346" s="128"/>
      <c r="AR346" s="128"/>
      <c r="AS346" s="128"/>
      <c r="AT346" s="128"/>
      <c r="AU346" s="128"/>
      <c r="AV346" s="128"/>
      <c r="AW346" s="128"/>
      <c r="AX346" s="128"/>
      <c r="AY346" s="128"/>
      <c r="AZ346" s="128"/>
      <c r="BA346" s="128"/>
      <c r="BB346" s="128"/>
      <c r="BC346" s="128"/>
      <c r="BD346" s="128"/>
      <c r="BE346" s="128"/>
      <c r="BF346" s="128"/>
      <c r="BG346" s="128"/>
      <c r="BH346" s="128"/>
      <c r="BI346" s="128"/>
      <c r="BJ346" s="128"/>
      <c r="BK346" s="128"/>
      <c r="BL346" s="128"/>
      <c r="BM346" s="128"/>
      <c r="BN346" s="128"/>
      <c r="BO346" s="128"/>
      <c r="BP346" s="128"/>
      <c r="BQ346" s="128"/>
      <c r="BR346" s="128"/>
      <c r="BS346" s="128"/>
      <c r="BT346" s="128"/>
      <c r="BU346" s="128"/>
      <c r="BV346" s="128"/>
      <c r="BW346" s="128"/>
      <c r="BX346" s="128"/>
      <c r="BY346" s="128"/>
      <c r="BZ346" s="128"/>
      <c r="CA346" s="128"/>
      <c r="CB346" s="128"/>
      <c r="CC346" s="128"/>
      <c r="CD346" s="128"/>
      <c r="CE346" s="128"/>
      <c r="CF346" s="128"/>
      <c r="CG346" s="128"/>
      <c r="CH346" s="128"/>
      <c r="CI346" s="128"/>
      <c r="CJ346" s="128"/>
      <c r="CK346" s="128"/>
      <c r="CL346" s="128"/>
      <c r="CM346" s="128"/>
    </row>
    <row r="347" spans="1:91" x14ac:dyDescent="0.2">
      <c r="A347" s="18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AD347" s="128"/>
      <c r="AE347" s="128"/>
      <c r="AF347" s="128"/>
      <c r="AG347" s="128"/>
      <c r="AH347" s="128"/>
      <c r="AI347" s="128"/>
      <c r="AJ347" s="128"/>
      <c r="AK347" s="128"/>
      <c r="AL347" s="128"/>
      <c r="AM347" s="128"/>
      <c r="AN347" s="128"/>
      <c r="AO347" s="128"/>
      <c r="AP347" s="128"/>
      <c r="AQ347" s="128"/>
      <c r="AR347" s="128"/>
      <c r="AS347" s="128"/>
      <c r="AT347" s="128"/>
      <c r="AU347" s="128"/>
      <c r="AV347" s="128"/>
      <c r="AW347" s="128"/>
      <c r="AX347" s="128"/>
      <c r="AY347" s="128"/>
      <c r="AZ347" s="128"/>
      <c r="BA347" s="128"/>
      <c r="BB347" s="128"/>
      <c r="BC347" s="128"/>
      <c r="BD347" s="128"/>
      <c r="BE347" s="128"/>
      <c r="BF347" s="128"/>
      <c r="BG347" s="128"/>
      <c r="BH347" s="128"/>
      <c r="BI347" s="128"/>
      <c r="BJ347" s="128"/>
      <c r="BK347" s="128"/>
      <c r="BL347" s="128"/>
      <c r="BM347" s="128"/>
      <c r="BN347" s="128"/>
      <c r="BO347" s="128"/>
      <c r="BP347" s="128"/>
      <c r="BQ347" s="128"/>
      <c r="BR347" s="128"/>
      <c r="BS347" s="128"/>
      <c r="BT347" s="128"/>
      <c r="BU347" s="128"/>
      <c r="BV347" s="128"/>
      <c r="BW347" s="128"/>
      <c r="BX347" s="128"/>
      <c r="BY347" s="128"/>
      <c r="BZ347" s="128"/>
      <c r="CA347" s="128"/>
      <c r="CB347" s="128"/>
      <c r="CC347" s="128"/>
      <c r="CD347" s="128"/>
      <c r="CE347" s="128"/>
      <c r="CF347" s="128"/>
      <c r="CG347" s="128"/>
      <c r="CH347" s="128"/>
      <c r="CI347" s="128"/>
      <c r="CJ347" s="128"/>
      <c r="CK347" s="128"/>
      <c r="CL347" s="128"/>
      <c r="CM347" s="128"/>
    </row>
    <row r="348" spans="1:91" x14ac:dyDescent="0.2">
      <c r="A348" s="18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AD348" s="128"/>
      <c r="AE348" s="128"/>
      <c r="AF348" s="128"/>
      <c r="AG348" s="128"/>
      <c r="AH348" s="128"/>
      <c r="AI348" s="128"/>
      <c r="AJ348" s="128"/>
      <c r="AK348" s="128"/>
      <c r="AL348" s="128"/>
      <c r="AM348" s="128"/>
      <c r="AN348" s="128"/>
      <c r="AO348" s="128"/>
      <c r="AP348" s="128"/>
      <c r="AQ348" s="128"/>
      <c r="AR348" s="128"/>
      <c r="AS348" s="128"/>
      <c r="AT348" s="128"/>
      <c r="AU348" s="128"/>
      <c r="AV348" s="128"/>
      <c r="AW348" s="128"/>
      <c r="AX348" s="128"/>
      <c r="AY348" s="128"/>
      <c r="AZ348" s="128"/>
      <c r="BA348" s="128"/>
      <c r="BB348" s="128"/>
      <c r="BC348" s="128"/>
      <c r="BD348" s="128"/>
      <c r="BE348" s="128"/>
      <c r="BF348" s="128"/>
      <c r="BG348" s="128"/>
      <c r="BH348" s="128"/>
      <c r="BI348" s="128"/>
      <c r="BJ348" s="128"/>
      <c r="BK348" s="128"/>
      <c r="BL348" s="128"/>
      <c r="BM348" s="128"/>
      <c r="BN348" s="128"/>
      <c r="BO348" s="128"/>
      <c r="BP348" s="128"/>
      <c r="BQ348" s="128"/>
      <c r="BR348" s="128"/>
      <c r="BS348" s="128"/>
      <c r="BT348" s="128"/>
      <c r="BU348" s="128"/>
      <c r="BV348" s="128"/>
      <c r="BW348" s="128"/>
      <c r="BX348" s="128"/>
      <c r="BY348" s="128"/>
      <c r="BZ348" s="128"/>
      <c r="CA348" s="128"/>
      <c r="CB348" s="128"/>
      <c r="CC348" s="128"/>
      <c r="CD348" s="128"/>
      <c r="CE348" s="128"/>
      <c r="CF348" s="128"/>
      <c r="CG348" s="128"/>
      <c r="CH348" s="128"/>
      <c r="CI348" s="128"/>
      <c r="CJ348" s="128"/>
      <c r="CK348" s="128"/>
      <c r="CL348" s="128"/>
      <c r="CM348" s="128"/>
    </row>
    <row r="349" spans="1:91" x14ac:dyDescent="0.2">
      <c r="A349" s="18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AD349" s="128"/>
      <c r="AE349" s="128"/>
      <c r="AF349" s="128"/>
      <c r="AG349" s="128"/>
      <c r="AH349" s="128"/>
      <c r="AI349" s="128"/>
      <c r="AJ349" s="128"/>
      <c r="AK349" s="128"/>
      <c r="AL349" s="128"/>
      <c r="AM349" s="128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8"/>
      <c r="BR349" s="128"/>
      <c r="BS349" s="128"/>
      <c r="BT349" s="128"/>
      <c r="BU349" s="128"/>
      <c r="BV349" s="128"/>
      <c r="BW349" s="128"/>
      <c r="BX349" s="128"/>
      <c r="BY349" s="128"/>
      <c r="BZ349" s="128"/>
      <c r="CA349" s="128"/>
      <c r="CB349" s="128"/>
      <c r="CC349" s="128"/>
      <c r="CD349" s="128"/>
      <c r="CE349" s="128"/>
      <c r="CF349" s="128"/>
      <c r="CG349" s="128"/>
      <c r="CH349" s="128"/>
      <c r="CI349" s="128"/>
      <c r="CJ349" s="128"/>
      <c r="CK349" s="128"/>
      <c r="CL349" s="128"/>
      <c r="CM349" s="128"/>
    </row>
    <row r="350" spans="1:91" x14ac:dyDescent="0.2">
      <c r="A350" s="18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AD350" s="128"/>
      <c r="AE350" s="128"/>
      <c r="AF350" s="128"/>
      <c r="AG350" s="128"/>
      <c r="AH350" s="128"/>
      <c r="AI350" s="128"/>
      <c r="AJ350" s="128"/>
      <c r="AK350" s="128"/>
      <c r="AL350" s="128"/>
      <c r="AM350" s="128"/>
      <c r="AN350" s="128"/>
      <c r="AO350" s="128"/>
      <c r="AP350" s="128"/>
      <c r="AQ350" s="128"/>
      <c r="AR350" s="128"/>
      <c r="AS350" s="128"/>
      <c r="AT350" s="128"/>
      <c r="AU350" s="128"/>
      <c r="AV350" s="128"/>
      <c r="AW350" s="128"/>
      <c r="AX350" s="128"/>
      <c r="AY350" s="128"/>
      <c r="AZ350" s="128"/>
      <c r="BA350" s="128"/>
      <c r="BB350" s="128"/>
      <c r="BC350" s="128"/>
      <c r="BD350" s="128"/>
      <c r="BE350" s="128"/>
      <c r="BF350" s="128"/>
      <c r="BG350" s="128"/>
      <c r="BH350" s="128"/>
      <c r="BI350" s="128"/>
      <c r="BJ350" s="128"/>
      <c r="BK350" s="128"/>
      <c r="BL350" s="128"/>
      <c r="BM350" s="128"/>
      <c r="BN350" s="128"/>
      <c r="BO350" s="128"/>
      <c r="BP350" s="128"/>
      <c r="BQ350" s="128"/>
      <c r="BR350" s="128"/>
      <c r="BS350" s="128"/>
      <c r="BT350" s="128"/>
      <c r="BU350" s="128"/>
      <c r="BV350" s="128"/>
      <c r="BW350" s="128"/>
      <c r="BX350" s="128"/>
      <c r="BY350" s="128"/>
      <c r="BZ350" s="128"/>
      <c r="CA350" s="128"/>
      <c r="CB350" s="128"/>
      <c r="CC350" s="128"/>
      <c r="CD350" s="128"/>
      <c r="CE350" s="128"/>
      <c r="CF350" s="128"/>
      <c r="CG350" s="128"/>
      <c r="CH350" s="128"/>
      <c r="CI350" s="128"/>
      <c r="CJ350" s="128"/>
      <c r="CK350" s="128"/>
      <c r="CL350" s="128"/>
      <c r="CM350" s="128"/>
    </row>
    <row r="351" spans="1:91" x14ac:dyDescent="0.2">
      <c r="A351" s="18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AD351" s="128"/>
      <c r="AE351" s="128"/>
      <c r="AF351" s="128"/>
      <c r="AG351" s="128"/>
      <c r="AH351" s="128"/>
      <c r="AI351" s="128"/>
      <c r="AJ351" s="128"/>
      <c r="AK351" s="128"/>
      <c r="AL351" s="128"/>
      <c r="AM351" s="128"/>
      <c r="AN351" s="128"/>
      <c r="AO351" s="128"/>
      <c r="AP351" s="128"/>
      <c r="AQ351" s="128"/>
      <c r="AR351" s="128"/>
      <c r="AS351" s="128"/>
      <c r="AT351" s="128"/>
      <c r="AU351" s="128"/>
      <c r="AV351" s="128"/>
      <c r="AW351" s="128"/>
      <c r="AX351" s="128"/>
      <c r="AY351" s="128"/>
      <c r="AZ351" s="128"/>
      <c r="BA351" s="128"/>
      <c r="BB351" s="128"/>
      <c r="BC351" s="128"/>
      <c r="BD351" s="128"/>
      <c r="BE351" s="128"/>
      <c r="BF351" s="128"/>
      <c r="BG351" s="128"/>
      <c r="BH351" s="128"/>
      <c r="BI351" s="128"/>
      <c r="BJ351" s="128"/>
      <c r="BK351" s="128"/>
      <c r="BL351" s="128"/>
      <c r="BM351" s="128"/>
      <c r="BN351" s="128"/>
      <c r="BO351" s="128"/>
      <c r="BP351" s="128"/>
      <c r="BQ351" s="128"/>
      <c r="BR351" s="128"/>
      <c r="BS351" s="128"/>
      <c r="BT351" s="128"/>
      <c r="BU351" s="128"/>
      <c r="BV351" s="128"/>
      <c r="BW351" s="128"/>
      <c r="BX351" s="128"/>
      <c r="BY351" s="128"/>
      <c r="BZ351" s="128"/>
      <c r="CA351" s="128"/>
      <c r="CB351" s="128"/>
      <c r="CC351" s="128"/>
      <c r="CD351" s="128"/>
      <c r="CE351" s="128"/>
      <c r="CF351" s="128"/>
      <c r="CG351" s="128"/>
      <c r="CH351" s="128"/>
      <c r="CI351" s="128"/>
      <c r="CJ351" s="128"/>
      <c r="CK351" s="128"/>
      <c r="CL351" s="128"/>
      <c r="CM351" s="128"/>
    </row>
    <row r="352" spans="1:91" x14ac:dyDescent="0.2">
      <c r="A352" s="18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AD352" s="128"/>
      <c r="AE352" s="128"/>
      <c r="AF352" s="128"/>
      <c r="AG352" s="128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28"/>
      <c r="AR352" s="128"/>
      <c r="AS352" s="128"/>
      <c r="AT352" s="128"/>
      <c r="AU352" s="128"/>
      <c r="AV352" s="128"/>
      <c r="AW352" s="128"/>
      <c r="AX352" s="128"/>
      <c r="AY352" s="128"/>
      <c r="AZ352" s="128"/>
      <c r="BA352" s="128"/>
      <c r="BB352" s="128"/>
      <c r="BC352" s="128"/>
      <c r="BD352" s="128"/>
      <c r="BE352" s="128"/>
      <c r="BF352" s="128"/>
      <c r="BG352" s="128"/>
      <c r="BH352" s="128"/>
      <c r="BI352" s="128"/>
      <c r="BJ352" s="128"/>
      <c r="BK352" s="128"/>
      <c r="BL352" s="128"/>
      <c r="BM352" s="128"/>
      <c r="BN352" s="128"/>
      <c r="BO352" s="128"/>
      <c r="BP352" s="128"/>
      <c r="BQ352" s="128"/>
      <c r="BR352" s="128"/>
      <c r="BS352" s="128"/>
      <c r="BT352" s="128"/>
      <c r="BU352" s="128"/>
      <c r="BV352" s="128"/>
      <c r="BW352" s="128"/>
      <c r="BX352" s="128"/>
      <c r="BY352" s="128"/>
      <c r="BZ352" s="128"/>
      <c r="CA352" s="128"/>
      <c r="CB352" s="128"/>
      <c r="CC352" s="128"/>
      <c r="CD352" s="128"/>
      <c r="CE352" s="128"/>
      <c r="CF352" s="128"/>
      <c r="CG352" s="128"/>
      <c r="CH352" s="128"/>
      <c r="CI352" s="128"/>
      <c r="CJ352" s="128"/>
      <c r="CK352" s="128"/>
      <c r="CL352" s="128"/>
      <c r="CM352" s="128"/>
    </row>
    <row r="353" spans="1:91" x14ac:dyDescent="0.2">
      <c r="A353" s="18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AD353" s="128"/>
      <c r="AE353" s="128"/>
      <c r="AF353" s="128"/>
      <c r="AG353" s="128"/>
      <c r="AH353" s="128"/>
      <c r="AI353" s="128"/>
      <c r="AJ353" s="128"/>
      <c r="AK353" s="128"/>
      <c r="AL353" s="128"/>
      <c r="AM353" s="128"/>
      <c r="AN353" s="128"/>
      <c r="AO353" s="128"/>
      <c r="AP353" s="128"/>
      <c r="AQ353" s="128"/>
      <c r="AR353" s="128"/>
      <c r="AS353" s="128"/>
      <c r="AT353" s="128"/>
      <c r="AU353" s="128"/>
      <c r="AV353" s="128"/>
      <c r="AW353" s="128"/>
      <c r="AX353" s="128"/>
      <c r="AY353" s="128"/>
      <c r="AZ353" s="128"/>
      <c r="BA353" s="128"/>
      <c r="BB353" s="128"/>
      <c r="BC353" s="128"/>
      <c r="BD353" s="128"/>
      <c r="BE353" s="128"/>
      <c r="BF353" s="128"/>
      <c r="BG353" s="128"/>
      <c r="BH353" s="128"/>
      <c r="BI353" s="128"/>
      <c r="BJ353" s="128"/>
      <c r="BK353" s="128"/>
      <c r="BL353" s="128"/>
      <c r="BM353" s="128"/>
      <c r="BN353" s="128"/>
      <c r="BO353" s="128"/>
      <c r="BP353" s="128"/>
      <c r="BQ353" s="128"/>
      <c r="BR353" s="128"/>
      <c r="BS353" s="128"/>
      <c r="BT353" s="128"/>
      <c r="BU353" s="128"/>
      <c r="BV353" s="128"/>
      <c r="BW353" s="128"/>
      <c r="BX353" s="128"/>
      <c r="BY353" s="128"/>
      <c r="BZ353" s="128"/>
      <c r="CA353" s="128"/>
      <c r="CB353" s="128"/>
      <c r="CC353" s="128"/>
      <c r="CD353" s="128"/>
      <c r="CE353" s="128"/>
      <c r="CF353" s="128"/>
      <c r="CG353" s="128"/>
      <c r="CH353" s="128"/>
      <c r="CI353" s="128"/>
      <c r="CJ353" s="128"/>
      <c r="CK353" s="128"/>
      <c r="CL353" s="128"/>
      <c r="CM353" s="128"/>
    </row>
    <row r="354" spans="1:91" x14ac:dyDescent="0.2">
      <c r="A354" s="18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AD354" s="128"/>
      <c r="AE354" s="128"/>
      <c r="AF354" s="128"/>
      <c r="AG354" s="128"/>
      <c r="AH354" s="128"/>
      <c r="AI354" s="128"/>
      <c r="AJ354" s="128"/>
      <c r="AK354" s="128"/>
      <c r="AL354" s="128"/>
      <c r="AM354" s="128"/>
      <c r="AN354" s="128"/>
      <c r="AO354" s="128"/>
      <c r="AP354" s="128"/>
      <c r="AQ354" s="128"/>
      <c r="AR354" s="128"/>
      <c r="AS354" s="128"/>
      <c r="AT354" s="128"/>
      <c r="AU354" s="128"/>
      <c r="AV354" s="128"/>
      <c r="AW354" s="128"/>
      <c r="AX354" s="128"/>
      <c r="AY354" s="128"/>
      <c r="AZ354" s="128"/>
      <c r="BA354" s="128"/>
      <c r="BB354" s="128"/>
      <c r="BC354" s="128"/>
      <c r="BD354" s="128"/>
      <c r="BE354" s="128"/>
      <c r="BF354" s="128"/>
      <c r="BG354" s="128"/>
      <c r="BH354" s="128"/>
      <c r="BI354" s="128"/>
      <c r="BJ354" s="128"/>
      <c r="BK354" s="128"/>
      <c r="BL354" s="128"/>
      <c r="BM354" s="128"/>
      <c r="BN354" s="128"/>
      <c r="BO354" s="128"/>
      <c r="BP354" s="128"/>
      <c r="BQ354" s="128"/>
      <c r="BR354" s="128"/>
      <c r="BS354" s="128"/>
      <c r="BT354" s="128"/>
      <c r="BU354" s="128"/>
      <c r="BV354" s="128"/>
      <c r="BW354" s="128"/>
      <c r="BX354" s="128"/>
      <c r="BY354" s="128"/>
      <c r="BZ354" s="128"/>
      <c r="CA354" s="128"/>
      <c r="CB354" s="128"/>
      <c r="CC354" s="128"/>
      <c r="CD354" s="128"/>
      <c r="CE354" s="128"/>
      <c r="CF354" s="128"/>
      <c r="CG354" s="128"/>
      <c r="CH354" s="128"/>
      <c r="CI354" s="128"/>
      <c r="CJ354" s="128"/>
      <c r="CK354" s="128"/>
      <c r="CL354" s="128"/>
      <c r="CM354" s="128"/>
    </row>
    <row r="355" spans="1:91" x14ac:dyDescent="0.2">
      <c r="A355" s="18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8"/>
      <c r="BR355" s="128"/>
      <c r="BS355" s="128"/>
      <c r="BT355" s="128"/>
      <c r="BU355" s="128"/>
      <c r="BV355" s="128"/>
      <c r="BW355" s="128"/>
      <c r="BX355" s="128"/>
      <c r="BY355" s="128"/>
      <c r="BZ355" s="128"/>
      <c r="CA355" s="128"/>
      <c r="CB355" s="128"/>
      <c r="CC355" s="128"/>
      <c r="CD355" s="128"/>
      <c r="CE355" s="128"/>
      <c r="CF355" s="128"/>
      <c r="CG355" s="128"/>
      <c r="CH355" s="128"/>
      <c r="CI355" s="128"/>
      <c r="CJ355" s="128"/>
      <c r="CK355" s="128"/>
      <c r="CL355" s="128"/>
      <c r="CM355" s="128"/>
    </row>
    <row r="356" spans="1:91" x14ac:dyDescent="0.2">
      <c r="A356" s="18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AD356" s="128"/>
      <c r="AE356" s="128"/>
      <c r="AF356" s="128"/>
      <c r="AG356" s="128"/>
      <c r="AH356" s="128"/>
      <c r="AI356" s="128"/>
      <c r="AJ356" s="128"/>
      <c r="AK356" s="128"/>
      <c r="AL356" s="128"/>
      <c r="AM356" s="128"/>
      <c r="AN356" s="128"/>
      <c r="AO356" s="128"/>
      <c r="AP356" s="128"/>
      <c r="AQ356" s="128"/>
      <c r="AR356" s="128"/>
      <c r="AS356" s="128"/>
      <c r="AT356" s="128"/>
      <c r="AU356" s="128"/>
      <c r="AV356" s="128"/>
      <c r="AW356" s="128"/>
      <c r="AX356" s="128"/>
      <c r="AY356" s="128"/>
      <c r="AZ356" s="128"/>
      <c r="BA356" s="128"/>
      <c r="BB356" s="128"/>
      <c r="BC356" s="128"/>
      <c r="BD356" s="128"/>
      <c r="BE356" s="128"/>
      <c r="BF356" s="128"/>
      <c r="BG356" s="128"/>
      <c r="BH356" s="128"/>
      <c r="BI356" s="128"/>
      <c r="BJ356" s="128"/>
      <c r="BK356" s="128"/>
      <c r="BL356" s="128"/>
      <c r="BM356" s="128"/>
      <c r="BN356" s="128"/>
      <c r="BO356" s="128"/>
      <c r="BP356" s="128"/>
      <c r="BQ356" s="128"/>
      <c r="BR356" s="128"/>
      <c r="BS356" s="128"/>
      <c r="BT356" s="128"/>
      <c r="BU356" s="128"/>
      <c r="BV356" s="128"/>
      <c r="BW356" s="128"/>
      <c r="BX356" s="128"/>
      <c r="BY356" s="128"/>
      <c r="BZ356" s="128"/>
      <c r="CA356" s="128"/>
      <c r="CB356" s="128"/>
      <c r="CC356" s="128"/>
      <c r="CD356" s="128"/>
      <c r="CE356" s="128"/>
      <c r="CF356" s="128"/>
      <c r="CG356" s="128"/>
      <c r="CH356" s="128"/>
      <c r="CI356" s="128"/>
      <c r="CJ356" s="128"/>
      <c r="CK356" s="128"/>
      <c r="CL356" s="128"/>
      <c r="CM356" s="128"/>
    </row>
    <row r="357" spans="1:91" x14ac:dyDescent="0.2">
      <c r="A357" s="18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AD357" s="128"/>
      <c r="AE357" s="128"/>
      <c r="AF357" s="128"/>
      <c r="AG357" s="128"/>
      <c r="AH357" s="128"/>
      <c r="AI357" s="128"/>
      <c r="AJ357" s="128"/>
      <c r="AK357" s="128"/>
      <c r="AL357" s="128"/>
      <c r="AM357" s="128"/>
      <c r="AN357" s="128"/>
      <c r="AO357" s="128"/>
      <c r="AP357" s="128"/>
      <c r="AQ357" s="128"/>
      <c r="AR357" s="128"/>
      <c r="AS357" s="128"/>
      <c r="AT357" s="128"/>
      <c r="AU357" s="128"/>
      <c r="AV357" s="128"/>
      <c r="AW357" s="128"/>
      <c r="AX357" s="128"/>
      <c r="AY357" s="128"/>
      <c r="AZ357" s="128"/>
      <c r="BA357" s="128"/>
      <c r="BB357" s="128"/>
      <c r="BC357" s="128"/>
      <c r="BD357" s="128"/>
      <c r="BE357" s="128"/>
      <c r="BF357" s="128"/>
      <c r="BG357" s="128"/>
      <c r="BH357" s="128"/>
      <c r="BI357" s="128"/>
      <c r="BJ357" s="128"/>
      <c r="BK357" s="128"/>
      <c r="BL357" s="128"/>
      <c r="BM357" s="128"/>
      <c r="BN357" s="128"/>
      <c r="BO357" s="128"/>
      <c r="BP357" s="128"/>
      <c r="BQ357" s="128"/>
      <c r="BR357" s="128"/>
      <c r="BS357" s="128"/>
      <c r="BT357" s="128"/>
      <c r="BU357" s="128"/>
      <c r="BV357" s="128"/>
      <c r="BW357" s="128"/>
      <c r="BX357" s="128"/>
      <c r="BY357" s="128"/>
      <c r="BZ357" s="128"/>
      <c r="CA357" s="128"/>
      <c r="CB357" s="128"/>
      <c r="CC357" s="128"/>
      <c r="CD357" s="128"/>
      <c r="CE357" s="128"/>
      <c r="CF357" s="128"/>
      <c r="CG357" s="128"/>
      <c r="CH357" s="128"/>
      <c r="CI357" s="128"/>
      <c r="CJ357" s="128"/>
      <c r="CK357" s="128"/>
      <c r="CL357" s="128"/>
      <c r="CM357" s="128"/>
    </row>
    <row r="358" spans="1:91" x14ac:dyDescent="0.2">
      <c r="A358" s="18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AD358" s="128"/>
      <c r="AE358" s="128"/>
      <c r="AF358" s="128"/>
      <c r="AG358" s="128"/>
      <c r="AH358" s="128"/>
      <c r="AI358" s="128"/>
      <c r="AJ358" s="128"/>
      <c r="AK358" s="128"/>
      <c r="AL358" s="128"/>
      <c r="AM358" s="128"/>
      <c r="AN358" s="128"/>
      <c r="AO358" s="128"/>
      <c r="AP358" s="128"/>
      <c r="AQ358" s="128"/>
      <c r="AR358" s="128"/>
      <c r="AS358" s="128"/>
      <c r="AT358" s="128"/>
      <c r="AU358" s="128"/>
      <c r="AV358" s="128"/>
      <c r="AW358" s="128"/>
      <c r="AX358" s="128"/>
      <c r="AY358" s="128"/>
      <c r="AZ358" s="128"/>
      <c r="BA358" s="128"/>
      <c r="BB358" s="128"/>
      <c r="BC358" s="128"/>
      <c r="BD358" s="128"/>
      <c r="BE358" s="128"/>
      <c r="BF358" s="128"/>
      <c r="BG358" s="128"/>
      <c r="BH358" s="128"/>
      <c r="BI358" s="128"/>
      <c r="BJ358" s="128"/>
      <c r="BK358" s="128"/>
      <c r="BL358" s="128"/>
      <c r="BM358" s="128"/>
      <c r="BN358" s="128"/>
      <c r="BO358" s="128"/>
      <c r="BP358" s="128"/>
      <c r="BQ358" s="128"/>
      <c r="BR358" s="128"/>
      <c r="BS358" s="128"/>
      <c r="BT358" s="128"/>
      <c r="BU358" s="128"/>
      <c r="BV358" s="128"/>
      <c r="BW358" s="128"/>
      <c r="BX358" s="128"/>
      <c r="BY358" s="128"/>
      <c r="BZ358" s="128"/>
      <c r="CA358" s="128"/>
      <c r="CB358" s="128"/>
      <c r="CC358" s="128"/>
      <c r="CD358" s="128"/>
      <c r="CE358" s="128"/>
      <c r="CF358" s="128"/>
      <c r="CG358" s="128"/>
      <c r="CH358" s="128"/>
      <c r="CI358" s="128"/>
      <c r="CJ358" s="128"/>
      <c r="CK358" s="128"/>
      <c r="CL358" s="128"/>
      <c r="CM358" s="128"/>
    </row>
    <row r="359" spans="1:91" x14ac:dyDescent="0.2">
      <c r="A359" s="18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AD359" s="128"/>
      <c r="AE359" s="128"/>
      <c r="AF359" s="128"/>
      <c r="AG359" s="12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  <c r="BD359" s="128"/>
      <c r="BE359" s="128"/>
      <c r="BF359" s="128"/>
      <c r="BG359" s="128"/>
      <c r="BH359" s="128"/>
      <c r="BI359" s="128"/>
      <c r="BJ359" s="128"/>
      <c r="BK359" s="128"/>
      <c r="BL359" s="128"/>
      <c r="BM359" s="128"/>
      <c r="BN359" s="128"/>
      <c r="BO359" s="128"/>
      <c r="BP359" s="128"/>
      <c r="BQ359" s="128"/>
      <c r="BR359" s="128"/>
      <c r="BS359" s="128"/>
      <c r="BT359" s="128"/>
      <c r="BU359" s="128"/>
      <c r="BV359" s="128"/>
      <c r="BW359" s="128"/>
      <c r="BX359" s="128"/>
      <c r="BY359" s="128"/>
      <c r="BZ359" s="128"/>
      <c r="CA359" s="128"/>
      <c r="CB359" s="128"/>
      <c r="CC359" s="128"/>
      <c r="CD359" s="128"/>
      <c r="CE359" s="128"/>
      <c r="CF359" s="128"/>
      <c r="CG359" s="128"/>
      <c r="CH359" s="128"/>
      <c r="CI359" s="128"/>
      <c r="CJ359" s="128"/>
      <c r="CK359" s="128"/>
      <c r="CL359" s="128"/>
      <c r="CM359" s="128"/>
    </row>
    <row r="360" spans="1:91" x14ac:dyDescent="0.2">
      <c r="A360" s="18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AD360" s="128"/>
      <c r="AE360" s="128"/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  <c r="BD360" s="128"/>
      <c r="BE360" s="128"/>
      <c r="BF360" s="128"/>
      <c r="BG360" s="128"/>
      <c r="BH360" s="128"/>
      <c r="BI360" s="128"/>
      <c r="BJ360" s="128"/>
      <c r="BK360" s="128"/>
      <c r="BL360" s="128"/>
      <c r="BM360" s="128"/>
      <c r="BN360" s="128"/>
      <c r="BO360" s="128"/>
      <c r="BP360" s="128"/>
      <c r="BQ360" s="128"/>
      <c r="BR360" s="128"/>
      <c r="BS360" s="128"/>
      <c r="BT360" s="128"/>
      <c r="BU360" s="128"/>
      <c r="BV360" s="128"/>
      <c r="BW360" s="128"/>
      <c r="BX360" s="128"/>
      <c r="BY360" s="128"/>
      <c r="BZ360" s="128"/>
      <c r="CA360" s="128"/>
      <c r="CB360" s="128"/>
      <c r="CC360" s="128"/>
      <c r="CD360" s="128"/>
      <c r="CE360" s="128"/>
      <c r="CF360" s="128"/>
      <c r="CG360" s="128"/>
      <c r="CH360" s="128"/>
      <c r="CI360" s="128"/>
      <c r="CJ360" s="128"/>
      <c r="CK360" s="128"/>
      <c r="CL360" s="128"/>
      <c r="CM360" s="128"/>
    </row>
    <row r="361" spans="1:91" x14ac:dyDescent="0.2">
      <c r="A361" s="18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AD361" s="128"/>
      <c r="AE361" s="128"/>
      <c r="AF361" s="128"/>
      <c r="AG361" s="128"/>
      <c r="AH361" s="128"/>
      <c r="AI361" s="128"/>
      <c r="AJ361" s="128"/>
      <c r="AK361" s="128"/>
      <c r="AL361" s="128"/>
      <c r="AM361" s="128"/>
      <c r="AN361" s="128"/>
      <c r="AO361" s="128"/>
      <c r="AP361" s="128"/>
      <c r="AQ361" s="128"/>
      <c r="AR361" s="128"/>
      <c r="AS361" s="128"/>
      <c r="AT361" s="128"/>
      <c r="AU361" s="128"/>
      <c r="AV361" s="128"/>
      <c r="AW361" s="128"/>
      <c r="AX361" s="128"/>
      <c r="AY361" s="128"/>
      <c r="AZ361" s="128"/>
      <c r="BA361" s="128"/>
      <c r="BB361" s="128"/>
      <c r="BC361" s="128"/>
      <c r="BD361" s="128"/>
      <c r="BE361" s="128"/>
      <c r="BF361" s="128"/>
      <c r="BG361" s="128"/>
      <c r="BH361" s="128"/>
      <c r="BI361" s="128"/>
      <c r="BJ361" s="128"/>
      <c r="BK361" s="128"/>
      <c r="BL361" s="128"/>
      <c r="BM361" s="128"/>
      <c r="BN361" s="128"/>
      <c r="BO361" s="128"/>
      <c r="BP361" s="128"/>
      <c r="BQ361" s="128"/>
      <c r="BR361" s="128"/>
      <c r="BS361" s="128"/>
      <c r="BT361" s="128"/>
      <c r="BU361" s="128"/>
      <c r="BV361" s="128"/>
      <c r="BW361" s="128"/>
      <c r="BX361" s="128"/>
      <c r="BY361" s="128"/>
      <c r="BZ361" s="128"/>
      <c r="CA361" s="128"/>
      <c r="CB361" s="128"/>
      <c r="CC361" s="128"/>
      <c r="CD361" s="128"/>
      <c r="CE361" s="128"/>
      <c r="CF361" s="128"/>
      <c r="CG361" s="128"/>
      <c r="CH361" s="128"/>
      <c r="CI361" s="128"/>
      <c r="CJ361" s="128"/>
      <c r="CK361" s="128"/>
      <c r="CL361" s="128"/>
      <c r="CM361" s="128"/>
    </row>
    <row r="362" spans="1:91" x14ac:dyDescent="0.2">
      <c r="A362" s="18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AD362" s="128"/>
      <c r="AE362" s="128"/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/>
      <c r="AY362" s="128"/>
      <c r="AZ362" s="128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/>
      <c r="BQ362" s="128"/>
      <c r="BR362" s="128"/>
      <c r="BS362" s="128"/>
      <c r="BT362" s="128"/>
      <c r="BU362" s="128"/>
      <c r="BV362" s="128"/>
      <c r="BW362" s="128"/>
      <c r="BX362" s="128"/>
      <c r="BY362" s="128"/>
      <c r="BZ362" s="128"/>
      <c r="CA362" s="128"/>
      <c r="CB362" s="128"/>
      <c r="CC362" s="128"/>
      <c r="CD362" s="128"/>
      <c r="CE362" s="128"/>
      <c r="CF362" s="128"/>
      <c r="CG362" s="128"/>
      <c r="CH362" s="128"/>
      <c r="CI362" s="128"/>
      <c r="CJ362" s="128"/>
      <c r="CK362" s="128"/>
      <c r="CL362" s="128"/>
      <c r="CM362" s="128"/>
    </row>
    <row r="363" spans="1:91" x14ac:dyDescent="0.2">
      <c r="A363" s="18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AD363" s="128"/>
      <c r="AE363" s="128"/>
      <c r="AF363" s="128"/>
      <c r="AG363" s="128"/>
      <c r="AH363" s="128"/>
      <c r="AI363" s="128"/>
      <c r="AJ363" s="128"/>
      <c r="AK363" s="128"/>
      <c r="AL363" s="128"/>
      <c r="AM363" s="128"/>
      <c r="AN363" s="128"/>
      <c r="AO363" s="128"/>
      <c r="AP363" s="128"/>
      <c r="AQ363" s="128"/>
      <c r="AR363" s="128"/>
      <c r="AS363" s="128"/>
      <c r="AT363" s="128"/>
      <c r="AU363" s="128"/>
      <c r="AV363" s="128"/>
      <c r="AW363" s="128"/>
      <c r="AX363" s="128"/>
      <c r="AY363" s="128"/>
      <c r="AZ363" s="128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28"/>
      <c r="BL363" s="128"/>
      <c r="BM363" s="128"/>
      <c r="BN363" s="128"/>
      <c r="BO363" s="128"/>
      <c r="BP363" s="128"/>
      <c r="BQ363" s="128"/>
      <c r="BR363" s="128"/>
      <c r="BS363" s="128"/>
      <c r="BT363" s="128"/>
      <c r="BU363" s="128"/>
      <c r="BV363" s="128"/>
      <c r="BW363" s="128"/>
      <c r="BX363" s="128"/>
      <c r="BY363" s="128"/>
      <c r="BZ363" s="128"/>
      <c r="CA363" s="128"/>
      <c r="CB363" s="128"/>
      <c r="CC363" s="128"/>
      <c r="CD363" s="128"/>
      <c r="CE363" s="128"/>
      <c r="CF363" s="128"/>
      <c r="CG363" s="128"/>
      <c r="CH363" s="128"/>
      <c r="CI363" s="128"/>
      <c r="CJ363" s="128"/>
      <c r="CK363" s="128"/>
      <c r="CL363" s="128"/>
      <c r="CM363" s="128"/>
    </row>
    <row r="364" spans="1:91" x14ac:dyDescent="0.2">
      <c r="A364" s="18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AD364" s="128"/>
      <c r="AE364" s="128"/>
      <c r="AF364" s="128"/>
      <c r="AG364" s="128"/>
      <c r="AH364" s="128"/>
      <c r="AI364" s="128"/>
      <c r="AJ364" s="128"/>
      <c r="AK364" s="128"/>
      <c r="AL364" s="128"/>
      <c r="AM364" s="128"/>
      <c r="AN364" s="128"/>
      <c r="AO364" s="128"/>
      <c r="AP364" s="128"/>
      <c r="AQ364" s="128"/>
      <c r="AR364" s="128"/>
      <c r="AS364" s="128"/>
      <c r="AT364" s="128"/>
      <c r="AU364" s="128"/>
      <c r="AV364" s="128"/>
      <c r="AW364" s="128"/>
      <c r="AX364" s="128"/>
      <c r="AY364" s="128"/>
      <c r="AZ364" s="128"/>
      <c r="BA364" s="128"/>
      <c r="BB364" s="128"/>
      <c r="BC364" s="128"/>
      <c r="BD364" s="128"/>
      <c r="BE364" s="128"/>
      <c r="BF364" s="128"/>
      <c r="BG364" s="128"/>
      <c r="BH364" s="128"/>
      <c r="BI364" s="128"/>
      <c r="BJ364" s="128"/>
      <c r="BK364" s="128"/>
      <c r="BL364" s="128"/>
      <c r="BM364" s="128"/>
      <c r="BN364" s="128"/>
      <c r="BO364" s="128"/>
      <c r="BP364" s="128"/>
      <c r="BQ364" s="128"/>
      <c r="BR364" s="128"/>
      <c r="BS364" s="128"/>
      <c r="BT364" s="128"/>
      <c r="BU364" s="128"/>
      <c r="BV364" s="128"/>
      <c r="BW364" s="128"/>
      <c r="BX364" s="128"/>
      <c r="BY364" s="128"/>
      <c r="BZ364" s="128"/>
      <c r="CA364" s="128"/>
      <c r="CB364" s="128"/>
      <c r="CC364" s="128"/>
      <c r="CD364" s="128"/>
      <c r="CE364" s="128"/>
      <c r="CF364" s="128"/>
      <c r="CG364" s="128"/>
      <c r="CH364" s="128"/>
      <c r="CI364" s="128"/>
      <c r="CJ364" s="128"/>
      <c r="CK364" s="128"/>
      <c r="CL364" s="128"/>
      <c r="CM364" s="128"/>
    </row>
    <row r="365" spans="1:91" x14ac:dyDescent="0.2">
      <c r="A365" s="18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AD365" s="128"/>
      <c r="AE365" s="128"/>
      <c r="AF365" s="128"/>
      <c r="AG365" s="128"/>
      <c r="AH365" s="128"/>
      <c r="AI365" s="128"/>
      <c r="AJ365" s="128"/>
      <c r="AK365" s="128"/>
      <c r="AL365" s="128"/>
      <c r="AM365" s="128"/>
      <c r="AN365" s="128"/>
      <c r="AO365" s="128"/>
      <c r="AP365" s="128"/>
      <c r="AQ365" s="128"/>
      <c r="AR365" s="128"/>
      <c r="AS365" s="128"/>
      <c r="AT365" s="128"/>
      <c r="AU365" s="128"/>
      <c r="AV365" s="128"/>
      <c r="AW365" s="128"/>
      <c r="AX365" s="128"/>
      <c r="AY365" s="128"/>
      <c r="AZ365" s="128"/>
      <c r="BA365" s="128"/>
      <c r="BB365" s="128"/>
      <c r="BC365" s="128"/>
      <c r="BD365" s="128"/>
      <c r="BE365" s="128"/>
      <c r="BF365" s="128"/>
      <c r="BG365" s="128"/>
      <c r="BH365" s="128"/>
      <c r="BI365" s="128"/>
      <c r="BJ365" s="128"/>
      <c r="BK365" s="128"/>
      <c r="BL365" s="128"/>
      <c r="BM365" s="128"/>
      <c r="BN365" s="128"/>
      <c r="BO365" s="128"/>
      <c r="BP365" s="128"/>
      <c r="BQ365" s="128"/>
      <c r="BR365" s="128"/>
      <c r="BS365" s="128"/>
      <c r="BT365" s="128"/>
      <c r="BU365" s="128"/>
      <c r="BV365" s="128"/>
      <c r="BW365" s="128"/>
      <c r="BX365" s="128"/>
      <c r="BY365" s="128"/>
      <c r="BZ365" s="128"/>
      <c r="CA365" s="128"/>
      <c r="CB365" s="128"/>
      <c r="CC365" s="128"/>
      <c r="CD365" s="128"/>
      <c r="CE365" s="128"/>
      <c r="CF365" s="128"/>
      <c r="CG365" s="128"/>
      <c r="CH365" s="128"/>
      <c r="CI365" s="128"/>
      <c r="CJ365" s="128"/>
      <c r="CK365" s="128"/>
      <c r="CL365" s="128"/>
      <c r="CM365" s="128"/>
    </row>
    <row r="366" spans="1:91" x14ac:dyDescent="0.2">
      <c r="A366" s="18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AD366" s="128"/>
      <c r="AE366" s="128"/>
      <c r="AF366" s="128"/>
      <c r="AG366" s="128"/>
      <c r="AH366" s="128"/>
      <c r="AI366" s="128"/>
      <c r="AJ366" s="128"/>
      <c r="AK366" s="128"/>
      <c r="AL366" s="128"/>
      <c r="AM366" s="128"/>
      <c r="AN366" s="128"/>
      <c r="AO366" s="128"/>
      <c r="AP366" s="128"/>
      <c r="AQ366" s="128"/>
      <c r="AR366" s="128"/>
      <c r="AS366" s="128"/>
      <c r="AT366" s="128"/>
      <c r="AU366" s="128"/>
      <c r="AV366" s="128"/>
      <c r="AW366" s="128"/>
      <c r="AX366" s="128"/>
      <c r="AY366" s="128"/>
      <c r="AZ366" s="128"/>
      <c r="BA366" s="128"/>
      <c r="BB366" s="128"/>
      <c r="BC366" s="128"/>
      <c r="BD366" s="128"/>
      <c r="BE366" s="128"/>
      <c r="BF366" s="128"/>
      <c r="BG366" s="128"/>
      <c r="BH366" s="128"/>
      <c r="BI366" s="128"/>
      <c r="BJ366" s="128"/>
      <c r="BK366" s="128"/>
      <c r="BL366" s="128"/>
      <c r="BM366" s="128"/>
      <c r="BN366" s="128"/>
      <c r="BO366" s="128"/>
      <c r="BP366" s="128"/>
      <c r="BQ366" s="128"/>
      <c r="BR366" s="128"/>
      <c r="BS366" s="128"/>
      <c r="BT366" s="128"/>
      <c r="BU366" s="128"/>
      <c r="BV366" s="128"/>
      <c r="BW366" s="128"/>
      <c r="BX366" s="128"/>
      <c r="BY366" s="128"/>
      <c r="BZ366" s="128"/>
      <c r="CA366" s="128"/>
      <c r="CB366" s="128"/>
      <c r="CC366" s="128"/>
      <c r="CD366" s="128"/>
      <c r="CE366" s="128"/>
      <c r="CF366" s="128"/>
      <c r="CG366" s="128"/>
      <c r="CH366" s="128"/>
      <c r="CI366" s="128"/>
      <c r="CJ366" s="128"/>
      <c r="CK366" s="128"/>
      <c r="CL366" s="128"/>
      <c r="CM366" s="128"/>
    </row>
    <row r="367" spans="1:91" x14ac:dyDescent="0.2">
      <c r="A367" s="18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AD367" s="128"/>
      <c r="AE367" s="128"/>
      <c r="AF367" s="128"/>
      <c r="AG367" s="128"/>
      <c r="AH367" s="128"/>
      <c r="AI367" s="128"/>
      <c r="AJ367" s="128"/>
      <c r="AK367" s="128"/>
      <c r="AL367" s="128"/>
      <c r="AM367" s="128"/>
      <c r="AN367" s="128"/>
      <c r="AO367" s="128"/>
      <c r="AP367" s="128"/>
      <c r="AQ367" s="128"/>
      <c r="AR367" s="128"/>
      <c r="AS367" s="128"/>
      <c r="AT367" s="128"/>
      <c r="AU367" s="128"/>
      <c r="AV367" s="128"/>
      <c r="AW367" s="128"/>
      <c r="AX367" s="128"/>
      <c r="AY367" s="128"/>
      <c r="AZ367" s="128"/>
      <c r="BA367" s="128"/>
      <c r="BB367" s="128"/>
      <c r="BC367" s="128"/>
      <c r="BD367" s="128"/>
      <c r="BE367" s="128"/>
      <c r="BF367" s="128"/>
      <c r="BG367" s="128"/>
      <c r="BH367" s="128"/>
      <c r="BI367" s="128"/>
      <c r="BJ367" s="128"/>
      <c r="BK367" s="128"/>
      <c r="BL367" s="128"/>
      <c r="BM367" s="128"/>
      <c r="BN367" s="128"/>
      <c r="BO367" s="128"/>
      <c r="BP367" s="128"/>
      <c r="BQ367" s="128"/>
      <c r="BR367" s="128"/>
      <c r="BS367" s="128"/>
      <c r="BT367" s="128"/>
      <c r="BU367" s="128"/>
      <c r="BV367" s="128"/>
      <c r="BW367" s="128"/>
      <c r="BX367" s="128"/>
      <c r="BY367" s="128"/>
      <c r="BZ367" s="128"/>
      <c r="CA367" s="128"/>
      <c r="CB367" s="128"/>
      <c r="CC367" s="128"/>
      <c r="CD367" s="128"/>
      <c r="CE367" s="128"/>
      <c r="CF367" s="128"/>
      <c r="CG367" s="128"/>
      <c r="CH367" s="128"/>
      <c r="CI367" s="128"/>
      <c r="CJ367" s="128"/>
      <c r="CK367" s="128"/>
      <c r="CL367" s="128"/>
      <c r="CM367" s="128"/>
    </row>
    <row r="368" spans="1:91" x14ac:dyDescent="0.2">
      <c r="A368" s="18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AD368" s="128"/>
      <c r="AE368" s="128"/>
      <c r="AF368" s="128"/>
      <c r="AG368" s="128"/>
      <c r="AH368" s="128"/>
      <c r="AI368" s="128"/>
      <c r="AJ368" s="128"/>
      <c r="AK368" s="128"/>
      <c r="AL368" s="128"/>
      <c r="AM368" s="128"/>
      <c r="AN368" s="128"/>
      <c r="AO368" s="128"/>
      <c r="AP368" s="128"/>
      <c r="AQ368" s="128"/>
      <c r="AR368" s="128"/>
      <c r="AS368" s="128"/>
      <c r="AT368" s="128"/>
      <c r="AU368" s="128"/>
      <c r="AV368" s="128"/>
      <c r="AW368" s="128"/>
      <c r="AX368" s="128"/>
      <c r="AY368" s="128"/>
      <c r="AZ368" s="128"/>
      <c r="BA368" s="128"/>
      <c r="BB368" s="128"/>
      <c r="BC368" s="128"/>
      <c r="BD368" s="128"/>
      <c r="BE368" s="128"/>
      <c r="BF368" s="128"/>
      <c r="BG368" s="128"/>
      <c r="BH368" s="128"/>
      <c r="BI368" s="128"/>
      <c r="BJ368" s="128"/>
      <c r="BK368" s="128"/>
      <c r="BL368" s="128"/>
      <c r="BM368" s="128"/>
      <c r="BN368" s="128"/>
      <c r="BO368" s="128"/>
      <c r="BP368" s="128"/>
      <c r="BQ368" s="128"/>
      <c r="BR368" s="128"/>
      <c r="BS368" s="128"/>
      <c r="BT368" s="128"/>
      <c r="BU368" s="128"/>
      <c r="BV368" s="128"/>
      <c r="BW368" s="128"/>
      <c r="BX368" s="128"/>
      <c r="BY368" s="128"/>
      <c r="BZ368" s="128"/>
      <c r="CA368" s="128"/>
      <c r="CB368" s="128"/>
      <c r="CC368" s="128"/>
      <c r="CD368" s="128"/>
      <c r="CE368" s="128"/>
      <c r="CF368" s="128"/>
      <c r="CG368" s="128"/>
      <c r="CH368" s="128"/>
      <c r="CI368" s="128"/>
      <c r="CJ368" s="128"/>
      <c r="CK368" s="128"/>
      <c r="CL368" s="128"/>
      <c r="CM368" s="128"/>
    </row>
    <row r="369" spans="1:91" x14ac:dyDescent="0.2">
      <c r="A369" s="18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AD369" s="128"/>
      <c r="AE369" s="128"/>
      <c r="AF369" s="128"/>
      <c r="AG369" s="128"/>
      <c r="AH369" s="128"/>
      <c r="AI369" s="128"/>
      <c r="AJ369" s="128"/>
      <c r="AK369" s="128"/>
      <c r="AL369" s="128"/>
      <c r="AM369" s="128"/>
      <c r="AN369" s="128"/>
      <c r="AO369" s="128"/>
      <c r="AP369" s="128"/>
      <c r="AQ369" s="128"/>
      <c r="AR369" s="128"/>
      <c r="AS369" s="128"/>
      <c r="AT369" s="128"/>
      <c r="AU369" s="128"/>
      <c r="AV369" s="128"/>
      <c r="AW369" s="128"/>
      <c r="AX369" s="128"/>
      <c r="AY369" s="128"/>
      <c r="AZ369" s="128"/>
      <c r="BA369" s="128"/>
      <c r="BB369" s="128"/>
      <c r="BC369" s="128"/>
      <c r="BD369" s="128"/>
      <c r="BE369" s="128"/>
      <c r="BF369" s="128"/>
      <c r="BG369" s="128"/>
      <c r="BH369" s="128"/>
      <c r="BI369" s="128"/>
      <c r="BJ369" s="128"/>
      <c r="BK369" s="128"/>
      <c r="BL369" s="128"/>
      <c r="BM369" s="128"/>
      <c r="BN369" s="128"/>
      <c r="BO369" s="128"/>
      <c r="BP369" s="128"/>
      <c r="BQ369" s="128"/>
      <c r="BR369" s="128"/>
      <c r="BS369" s="128"/>
      <c r="BT369" s="128"/>
      <c r="BU369" s="128"/>
      <c r="BV369" s="128"/>
      <c r="BW369" s="128"/>
      <c r="BX369" s="128"/>
      <c r="BY369" s="128"/>
      <c r="BZ369" s="128"/>
      <c r="CA369" s="128"/>
      <c r="CB369" s="128"/>
      <c r="CC369" s="128"/>
      <c r="CD369" s="128"/>
      <c r="CE369" s="128"/>
      <c r="CF369" s="128"/>
      <c r="CG369" s="128"/>
      <c r="CH369" s="128"/>
      <c r="CI369" s="128"/>
      <c r="CJ369" s="128"/>
      <c r="CK369" s="128"/>
      <c r="CL369" s="128"/>
      <c r="CM369" s="128"/>
    </row>
    <row r="370" spans="1:91" x14ac:dyDescent="0.2">
      <c r="A370" s="18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AD370" s="128"/>
      <c r="AE370" s="128"/>
      <c r="AF370" s="128"/>
      <c r="AG370" s="12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  <c r="AS370" s="128"/>
      <c r="AT370" s="128"/>
      <c r="AU370" s="128"/>
      <c r="AV370" s="128"/>
      <c r="AW370" s="128"/>
      <c r="AX370" s="128"/>
      <c r="AY370" s="128"/>
      <c r="AZ370" s="128"/>
      <c r="BA370" s="128"/>
      <c r="BB370" s="128"/>
      <c r="BC370" s="128"/>
      <c r="BD370" s="128"/>
      <c r="BE370" s="128"/>
      <c r="BF370" s="128"/>
      <c r="BG370" s="128"/>
      <c r="BH370" s="128"/>
      <c r="BI370" s="128"/>
      <c r="BJ370" s="128"/>
      <c r="BK370" s="128"/>
      <c r="BL370" s="128"/>
      <c r="BM370" s="128"/>
      <c r="BN370" s="128"/>
      <c r="BO370" s="128"/>
      <c r="BP370" s="128"/>
      <c r="BQ370" s="128"/>
      <c r="BR370" s="128"/>
      <c r="BS370" s="128"/>
      <c r="BT370" s="128"/>
      <c r="BU370" s="128"/>
      <c r="BV370" s="128"/>
      <c r="BW370" s="128"/>
      <c r="BX370" s="128"/>
      <c r="BY370" s="128"/>
      <c r="BZ370" s="128"/>
      <c r="CA370" s="128"/>
      <c r="CB370" s="128"/>
      <c r="CC370" s="128"/>
      <c r="CD370" s="128"/>
      <c r="CE370" s="128"/>
      <c r="CF370" s="128"/>
      <c r="CG370" s="128"/>
      <c r="CH370" s="128"/>
      <c r="CI370" s="128"/>
      <c r="CJ370" s="128"/>
      <c r="CK370" s="128"/>
      <c r="CL370" s="128"/>
      <c r="CM370" s="128"/>
    </row>
    <row r="371" spans="1:91" x14ac:dyDescent="0.2">
      <c r="A371" s="18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AD371" s="128"/>
      <c r="AE371" s="128"/>
      <c r="AF371" s="128"/>
      <c r="AG371" s="128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8"/>
      <c r="AS371" s="128"/>
      <c r="AT371" s="128"/>
      <c r="AU371" s="128"/>
      <c r="AV371" s="128"/>
      <c r="AW371" s="128"/>
      <c r="AX371" s="128"/>
      <c r="AY371" s="128"/>
      <c r="AZ371" s="128"/>
      <c r="BA371" s="128"/>
      <c r="BB371" s="128"/>
      <c r="BC371" s="128"/>
      <c r="BD371" s="128"/>
      <c r="BE371" s="128"/>
      <c r="BF371" s="128"/>
      <c r="BG371" s="128"/>
      <c r="BH371" s="128"/>
      <c r="BI371" s="128"/>
      <c r="BJ371" s="128"/>
      <c r="BK371" s="128"/>
      <c r="BL371" s="128"/>
      <c r="BM371" s="128"/>
      <c r="BN371" s="128"/>
      <c r="BO371" s="128"/>
      <c r="BP371" s="128"/>
      <c r="BQ371" s="128"/>
      <c r="BR371" s="128"/>
      <c r="BS371" s="128"/>
      <c r="BT371" s="128"/>
      <c r="BU371" s="128"/>
      <c r="BV371" s="128"/>
      <c r="BW371" s="128"/>
      <c r="BX371" s="128"/>
      <c r="BY371" s="128"/>
      <c r="BZ371" s="128"/>
      <c r="CA371" s="128"/>
      <c r="CB371" s="128"/>
      <c r="CC371" s="128"/>
      <c r="CD371" s="128"/>
      <c r="CE371" s="128"/>
      <c r="CF371" s="128"/>
      <c r="CG371" s="128"/>
      <c r="CH371" s="128"/>
      <c r="CI371" s="128"/>
      <c r="CJ371" s="128"/>
      <c r="CK371" s="128"/>
      <c r="CL371" s="128"/>
      <c r="CM371" s="128"/>
    </row>
    <row r="372" spans="1:91" x14ac:dyDescent="0.2">
      <c r="A372" s="18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  <c r="BD372" s="128"/>
      <c r="BE372" s="128"/>
      <c r="BF372" s="128"/>
      <c r="BG372" s="128"/>
      <c r="BH372" s="128"/>
      <c r="BI372" s="128"/>
      <c r="BJ372" s="128"/>
      <c r="BK372" s="128"/>
      <c r="BL372" s="128"/>
      <c r="BM372" s="128"/>
      <c r="BN372" s="128"/>
      <c r="BO372" s="128"/>
      <c r="BP372" s="128"/>
      <c r="BQ372" s="128"/>
      <c r="BR372" s="128"/>
      <c r="BS372" s="128"/>
      <c r="BT372" s="128"/>
      <c r="BU372" s="128"/>
      <c r="BV372" s="128"/>
      <c r="BW372" s="128"/>
      <c r="BX372" s="128"/>
      <c r="BY372" s="128"/>
      <c r="BZ372" s="128"/>
      <c r="CA372" s="128"/>
      <c r="CB372" s="128"/>
      <c r="CC372" s="128"/>
      <c r="CD372" s="128"/>
      <c r="CE372" s="128"/>
      <c r="CF372" s="128"/>
      <c r="CG372" s="128"/>
      <c r="CH372" s="128"/>
      <c r="CI372" s="128"/>
      <c r="CJ372" s="128"/>
      <c r="CK372" s="128"/>
      <c r="CL372" s="128"/>
      <c r="CM372" s="128"/>
    </row>
    <row r="373" spans="1:91" x14ac:dyDescent="0.2">
      <c r="A373" s="18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AD373" s="128"/>
      <c r="AE373" s="128"/>
      <c r="AF373" s="128"/>
      <c r="AG373" s="128"/>
      <c r="AH373" s="128"/>
      <c r="AI373" s="128"/>
      <c r="AJ373" s="128"/>
      <c r="AK373" s="128"/>
      <c r="AL373" s="128"/>
      <c r="AM373" s="128"/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  <c r="AZ373" s="128"/>
      <c r="BA373" s="128"/>
      <c r="BB373" s="128"/>
      <c r="BC373" s="128"/>
      <c r="BD373" s="128"/>
      <c r="BE373" s="128"/>
      <c r="BF373" s="128"/>
      <c r="BG373" s="128"/>
      <c r="BH373" s="128"/>
      <c r="BI373" s="128"/>
      <c r="BJ373" s="128"/>
      <c r="BK373" s="128"/>
      <c r="BL373" s="128"/>
      <c r="BM373" s="128"/>
      <c r="BN373" s="128"/>
      <c r="BO373" s="128"/>
      <c r="BP373" s="128"/>
      <c r="BQ373" s="128"/>
      <c r="BR373" s="128"/>
      <c r="BS373" s="128"/>
      <c r="BT373" s="128"/>
      <c r="BU373" s="128"/>
      <c r="BV373" s="128"/>
      <c r="BW373" s="128"/>
      <c r="BX373" s="128"/>
      <c r="BY373" s="128"/>
      <c r="BZ373" s="128"/>
      <c r="CA373" s="128"/>
      <c r="CB373" s="128"/>
      <c r="CC373" s="128"/>
      <c r="CD373" s="128"/>
      <c r="CE373" s="128"/>
      <c r="CF373" s="128"/>
      <c r="CG373" s="128"/>
      <c r="CH373" s="128"/>
      <c r="CI373" s="128"/>
      <c r="CJ373" s="128"/>
      <c r="CK373" s="128"/>
      <c r="CL373" s="128"/>
      <c r="CM373" s="128"/>
    </row>
    <row r="374" spans="1:91" x14ac:dyDescent="0.2">
      <c r="A374" s="18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AD374" s="128"/>
      <c r="AE374" s="128"/>
      <c r="AF374" s="128"/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/>
      <c r="AR374" s="128"/>
      <c r="AS374" s="128"/>
      <c r="AT374" s="128"/>
      <c r="AU374" s="128"/>
      <c r="AV374" s="128"/>
      <c r="AW374" s="128"/>
      <c r="AX374" s="128"/>
      <c r="AY374" s="128"/>
      <c r="AZ374" s="128"/>
      <c r="BA374" s="128"/>
      <c r="BB374" s="128"/>
      <c r="BC374" s="128"/>
      <c r="BD374" s="128"/>
      <c r="BE374" s="128"/>
      <c r="BF374" s="128"/>
      <c r="BG374" s="128"/>
      <c r="BH374" s="128"/>
      <c r="BI374" s="128"/>
      <c r="BJ374" s="128"/>
      <c r="BK374" s="128"/>
      <c r="BL374" s="128"/>
      <c r="BM374" s="128"/>
      <c r="BN374" s="128"/>
      <c r="BO374" s="128"/>
      <c r="BP374" s="128"/>
      <c r="BQ374" s="128"/>
      <c r="BR374" s="128"/>
      <c r="BS374" s="128"/>
      <c r="BT374" s="128"/>
      <c r="BU374" s="128"/>
      <c r="BV374" s="128"/>
      <c r="BW374" s="128"/>
      <c r="BX374" s="128"/>
      <c r="BY374" s="128"/>
      <c r="BZ374" s="128"/>
      <c r="CA374" s="128"/>
      <c r="CB374" s="128"/>
      <c r="CC374" s="128"/>
      <c r="CD374" s="128"/>
      <c r="CE374" s="128"/>
      <c r="CF374" s="128"/>
      <c r="CG374" s="128"/>
      <c r="CH374" s="128"/>
      <c r="CI374" s="128"/>
      <c r="CJ374" s="128"/>
      <c r="CK374" s="128"/>
      <c r="CL374" s="128"/>
      <c r="CM374" s="128"/>
    </row>
    <row r="375" spans="1:91" x14ac:dyDescent="0.2">
      <c r="A375" s="18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AD375" s="128"/>
      <c r="AE375" s="128"/>
      <c r="AF375" s="128"/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/>
      <c r="AR375" s="128"/>
      <c r="AS375" s="128"/>
      <c r="AT375" s="128"/>
      <c r="AU375" s="128"/>
      <c r="AV375" s="128"/>
      <c r="AW375" s="128"/>
      <c r="AX375" s="128"/>
      <c r="AY375" s="128"/>
      <c r="AZ375" s="128"/>
      <c r="BA375" s="128"/>
      <c r="BB375" s="128"/>
      <c r="BC375" s="128"/>
      <c r="BD375" s="128"/>
      <c r="BE375" s="128"/>
      <c r="BF375" s="128"/>
      <c r="BG375" s="128"/>
      <c r="BH375" s="128"/>
      <c r="BI375" s="128"/>
      <c r="BJ375" s="128"/>
      <c r="BK375" s="128"/>
      <c r="BL375" s="128"/>
      <c r="BM375" s="128"/>
      <c r="BN375" s="128"/>
      <c r="BO375" s="128"/>
      <c r="BP375" s="128"/>
      <c r="BQ375" s="128"/>
      <c r="BR375" s="128"/>
      <c r="BS375" s="128"/>
      <c r="BT375" s="128"/>
      <c r="BU375" s="128"/>
      <c r="BV375" s="128"/>
      <c r="BW375" s="128"/>
      <c r="BX375" s="128"/>
      <c r="BY375" s="128"/>
      <c r="BZ375" s="128"/>
      <c r="CA375" s="128"/>
      <c r="CB375" s="128"/>
      <c r="CC375" s="128"/>
      <c r="CD375" s="128"/>
      <c r="CE375" s="128"/>
      <c r="CF375" s="128"/>
      <c r="CG375" s="128"/>
      <c r="CH375" s="128"/>
      <c r="CI375" s="128"/>
      <c r="CJ375" s="128"/>
      <c r="CK375" s="128"/>
      <c r="CL375" s="128"/>
      <c r="CM375" s="128"/>
    </row>
    <row r="376" spans="1:91" x14ac:dyDescent="0.2">
      <c r="A376" s="18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  <c r="AS376" s="128"/>
      <c r="AT376" s="128"/>
      <c r="AU376" s="128"/>
      <c r="AV376" s="128"/>
      <c r="AW376" s="128"/>
      <c r="AX376" s="128"/>
      <c r="AY376" s="128"/>
      <c r="AZ376" s="128"/>
      <c r="BA376" s="128"/>
      <c r="BB376" s="128"/>
      <c r="BC376" s="128"/>
      <c r="BD376" s="128"/>
      <c r="BE376" s="128"/>
      <c r="BF376" s="128"/>
      <c r="BG376" s="128"/>
      <c r="BH376" s="128"/>
      <c r="BI376" s="128"/>
      <c r="BJ376" s="128"/>
      <c r="BK376" s="128"/>
      <c r="BL376" s="128"/>
      <c r="BM376" s="128"/>
      <c r="BN376" s="128"/>
      <c r="BO376" s="128"/>
      <c r="BP376" s="128"/>
      <c r="BQ376" s="128"/>
      <c r="BR376" s="128"/>
      <c r="BS376" s="128"/>
      <c r="BT376" s="128"/>
      <c r="BU376" s="128"/>
      <c r="BV376" s="128"/>
      <c r="BW376" s="128"/>
      <c r="BX376" s="128"/>
      <c r="BY376" s="128"/>
      <c r="BZ376" s="128"/>
      <c r="CA376" s="128"/>
      <c r="CB376" s="128"/>
      <c r="CC376" s="128"/>
      <c r="CD376" s="128"/>
      <c r="CE376" s="128"/>
      <c r="CF376" s="128"/>
      <c r="CG376" s="128"/>
      <c r="CH376" s="128"/>
      <c r="CI376" s="128"/>
      <c r="CJ376" s="128"/>
      <c r="CK376" s="128"/>
      <c r="CL376" s="128"/>
      <c r="CM376" s="128"/>
    </row>
    <row r="377" spans="1:91" x14ac:dyDescent="0.2">
      <c r="A377" s="18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AD377" s="128"/>
      <c r="AE377" s="128"/>
      <c r="AF377" s="128"/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  <c r="AS377" s="128"/>
      <c r="AT377" s="128"/>
      <c r="AU377" s="128"/>
      <c r="AV377" s="128"/>
      <c r="AW377" s="128"/>
      <c r="AX377" s="128"/>
      <c r="AY377" s="128"/>
      <c r="AZ377" s="128"/>
      <c r="BA377" s="128"/>
      <c r="BB377" s="128"/>
      <c r="BC377" s="128"/>
      <c r="BD377" s="128"/>
      <c r="BE377" s="128"/>
      <c r="BF377" s="128"/>
      <c r="BG377" s="128"/>
      <c r="BH377" s="128"/>
      <c r="BI377" s="128"/>
      <c r="BJ377" s="128"/>
      <c r="BK377" s="128"/>
      <c r="BL377" s="128"/>
      <c r="BM377" s="128"/>
      <c r="BN377" s="128"/>
      <c r="BO377" s="128"/>
      <c r="BP377" s="128"/>
      <c r="BQ377" s="128"/>
      <c r="BR377" s="128"/>
      <c r="BS377" s="128"/>
      <c r="BT377" s="128"/>
      <c r="BU377" s="128"/>
      <c r="BV377" s="128"/>
      <c r="BW377" s="128"/>
      <c r="BX377" s="128"/>
      <c r="BY377" s="128"/>
      <c r="BZ377" s="128"/>
      <c r="CA377" s="128"/>
      <c r="CB377" s="128"/>
      <c r="CC377" s="128"/>
      <c r="CD377" s="128"/>
      <c r="CE377" s="128"/>
      <c r="CF377" s="128"/>
      <c r="CG377" s="128"/>
      <c r="CH377" s="128"/>
      <c r="CI377" s="128"/>
      <c r="CJ377" s="128"/>
      <c r="CK377" s="128"/>
      <c r="CL377" s="128"/>
      <c r="CM377" s="128"/>
    </row>
    <row r="378" spans="1:91" x14ac:dyDescent="0.2">
      <c r="A378" s="18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AD378" s="128"/>
      <c r="AE378" s="128"/>
      <c r="AF378" s="128"/>
      <c r="AG378" s="12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28"/>
      <c r="AR378" s="128"/>
      <c r="AS378" s="128"/>
      <c r="AT378" s="128"/>
      <c r="AU378" s="128"/>
      <c r="AV378" s="128"/>
      <c r="AW378" s="128"/>
      <c r="AX378" s="128"/>
      <c r="AY378" s="128"/>
      <c r="AZ378" s="128"/>
      <c r="BA378" s="128"/>
      <c r="BB378" s="128"/>
      <c r="BC378" s="128"/>
      <c r="BD378" s="128"/>
      <c r="BE378" s="128"/>
      <c r="BF378" s="128"/>
      <c r="BG378" s="128"/>
      <c r="BH378" s="128"/>
      <c r="BI378" s="128"/>
      <c r="BJ378" s="128"/>
      <c r="BK378" s="128"/>
      <c r="BL378" s="128"/>
      <c r="BM378" s="128"/>
      <c r="BN378" s="128"/>
      <c r="BO378" s="128"/>
      <c r="BP378" s="128"/>
      <c r="BQ378" s="128"/>
      <c r="BR378" s="128"/>
      <c r="BS378" s="128"/>
      <c r="BT378" s="128"/>
      <c r="BU378" s="128"/>
      <c r="BV378" s="128"/>
      <c r="BW378" s="128"/>
      <c r="BX378" s="128"/>
      <c r="BY378" s="128"/>
      <c r="BZ378" s="128"/>
      <c r="CA378" s="128"/>
      <c r="CB378" s="128"/>
      <c r="CC378" s="128"/>
      <c r="CD378" s="128"/>
      <c r="CE378" s="128"/>
      <c r="CF378" s="128"/>
      <c r="CG378" s="128"/>
      <c r="CH378" s="128"/>
      <c r="CI378" s="128"/>
      <c r="CJ378" s="128"/>
      <c r="CK378" s="128"/>
      <c r="CL378" s="128"/>
      <c r="CM378" s="128"/>
    </row>
    <row r="379" spans="1:91" x14ac:dyDescent="0.2">
      <c r="A379" s="18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AD379" s="128"/>
      <c r="AE379" s="128"/>
      <c r="AF379" s="128"/>
      <c r="AG379" s="128"/>
      <c r="AH379" s="128"/>
      <c r="AI379" s="128"/>
      <c r="AJ379" s="128"/>
      <c r="AK379" s="128"/>
      <c r="AL379" s="128"/>
      <c r="AM379" s="128"/>
      <c r="AN379" s="128"/>
      <c r="AO379" s="128"/>
      <c r="AP379" s="128"/>
      <c r="AQ379" s="128"/>
      <c r="AR379" s="128"/>
      <c r="AS379" s="128"/>
      <c r="AT379" s="128"/>
      <c r="AU379" s="128"/>
      <c r="AV379" s="128"/>
      <c r="AW379" s="128"/>
      <c r="AX379" s="128"/>
      <c r="AY379" s="128"/>
      <c r="AZ379" s="128"/>
      <c r="BA379" s="128"/>
      <c r="BB379" s="128"/>
      <c r="BC379" s="128"/>
      <c r="BD379" s="128"/>
      <c r="BE379" s="128"/>
      <c r="BF379" s="128"/>
      <c r="BG379" s="128"/>
      <c r="BH379" s="128"/>
      <c r="BI379" s="128"/>
      <c r="BJ379" s="128"/>
      <c r="BK379" s="128"/>
      <c r="BL379" s="128"/>
      <c r="BM379" s="128"/>
      <c r="BN379" s="128"/>
      <c r="BO379" s="128"/>
      <c r="BP379" s="128"/>
      <c r="BQ379" s="128"/>
      <c r="BR379" s="128"/>
      <c r="BS379" s="128"/>
      <c r="BT379" s="128"/>
      <c r="BU379" s="128"/>
      <c r="BV379" s="128"/>
      <c r="BW379" s="128"/>
      <c r="BX379" s="128"/>
      <c r="BY379" s="128"/>
      <c r="BZ379" s="128"/>
      <c r="CA379" s="128"/>
      <c r="CB379" s="128"/>
      <c r="CC379" s="128"/>
      <c r="CD379" s="128"/>
      <c r="CE379" s="128"/>
      <c r="CF379" s="128"/>
      <c r="CG379" s="128"/>
      <c r="CH379" s="128"/>
      <c r="CI379" s="128"/>
      <c r="CJ379" s="128"/>
      <c r="CK379" s="128"/>
      <c r="CL379" s="128"/>
      <c r="CM379" s="128"/>
    </row>
    <row r="380" spans="1:91" x14ac:dyDescent="0.2">
      <c r="A380" s="18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AD380" s="128"/>
      <c r="AE380" s="128"/>
      <c r="AF380" s="128"/>
      <c r="AG380" s="128"/>
      <c r="AH380" s="128"/>
      <c r="AI380" s="128"/>
      <c r="AJ380" s="128"/>
      <c r="AK380" s="128"/>
      <c r="AL380" s="128"/>
      <c r="AM380" s="128"/>
      <c r="AN380" s="128"/>
      <c r="AO380" s="128"/>
      <c r="AP380" s="128"/>
      <c r="AQ380" s="128"/>
      <c r="AR380" s="128"/>
      <c r="AS380" s="128"/>
      <c r="AT380" s="128"/>
      <c r="AU380" s="128"/>
      <c r="AV380" s="128"/>
      <c r="AW380" s="128"/>
      <c r="AX380" s="128"/>
      <c r="AY380" s="128"/>
      <c r="AZ380" s="128"/>
      <c r="BA380" s="128"/>
      <c r="BB380" s="128"/>
      <c r="BC380" s="128"/>
      <c r="BD380" s="128"/>
      <c r="BE380" s="128"/>
      <c r="BF380" s="128"/>
      <c r="BG380" s="128"/>
      <c r="BH380" s="128"/>
      <c r="BI380" s="128"/>
      <c r="BJ380" s="128"/>
      <c r="BK380" s="128"/>
      <c r="BL380" s="128"/>
      <c r="BM380" s="128"/>
      <c r="BN380" s="128"/>
      <c r="BO380" s="128"/>
      <c r="BP380" s="128"/>
      <c r="BQ380" s="128"/>
      <c r="BR380" s="128"/>
      <c r="BS380" s="128"/>
      <c r="BT380" s="128"/>
      <c r="BU380" s="128"/>
      <c r="BV380" s="128"/>
      <c r="BW380" s="128"/>
      <c r="BX380" s="128"/>
      <c r="BY380" s="128"/>
      <c r="BZ380" s="128"/>
      <c r="CA380" s="128"/>
      <c r="CB380" s="128"/>
      <c r="CC380" s="128"/>
      <c r="CD380" s="128"/>
      <c r="CE380" s="128"/>
      <c r="CF380" s="128"/>
      <c r="CG380" s="128"/>
      <c r="CH380" s="128"/>
      <c r="CI380" s="128"/>
      <c r="CJ380" s="128"/>
      <c r="CK380" s="128"/>
      <c r="CL380" s="128"/>
      <c r="CM380" s="128"/>
    </row>
    <row r="381" spans="1:91" x14ac:dyDescent="0.2">
      <c r="A381" s="18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AD381" s="128"/>
      <c r="AE381" s="128"/>
      <c r="AF381" s="128"/>
      <c r="AG381" s="128"/>
      <c r="AH381" s="128"/>
      <c r="AI381" s="128"/>
      <c r="AJ381" s="128"/>
      <c r="AK381" s="128"/>
      <c r="AL381" s="128"/>
      <c r="AM381" s="128"/>
      <c r="AN381" s="128"/>
      <c r="AO381" s="128"/>
      <c r="AP381" s="128"/>
      <c r="AQ381" s="128"/>
      <c r="AR381" s="128"/>
      <c r="AS381" s="128"/>
      <c r="AT381" s="128"/>
      <c r="AU381" s="128"/>
      <c r="AV381" s="128"/>
      <c r="AW381" s="128"/>
      <c r="AX381" s="128"/>
      <c r="AY381" s="128"/>
      <c r="AZ381" s="128"/>
      <c r="BA381" s="128"/>
      <c r="BB381" s="128"/>
      <c r="BC381" s="128"/>
      <c r="BD381" s="128"/>
      <c r="BE381" s="128"/>
      <c r="BF381" s="128"/>
      <c r="BG381" s="128"/>
      <c r="BH381" s="128"/>
      <c r="BI381" s="128"/>
      <c r="BJ381" s="128"/>
      <c r="BK381" s="128"/>
      <c r="BL381" s="128"/>
      <c r="BM381" s="128"/>
      <c r="BN381" s="128"/>
      <c r="BO381" s="128"/>
      <c r="BP381" s="128"/>
      <c r="BQ381" s="128"/>
      <c r="BR381" s="128"/>
      <c r="BS381" s="128"/>
      <c r="BT381" s="128"/>
      <c r="BU381" s="128"/>
      <c r="BV381" s="128"/>
      <c r="BW381" s="128"/>
      <c r="BX381" s="128"/>
      <c r="BY381" s="128"/>
      <c r="BZ381" s="128"/>
      <c r="CA381" s="128"/>
      <c r="CB381" s="128"/>
      <c r="CC381" s="128"/>
      <c r="CD381" s="128"/>
      <c r="CE381" s="128"/>
      <c r="CF381" s="128"/>
      <c r="CG381" s="128"/>
      <c r="CH381" s="128"/>
      <c r="CI381" s="128"/>
      <c r="CJ381" s="128"/>
      <c r="CK381" s="128"/>
      <c r="CL381" s="128"/>
      <c r="CM381" s="128"/>
    </row>
    <row r="382" spans="1:91" x14ac:dyDescent="0.2">
      <c r="A382" s="18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AD382" s="128"/>
      <c r="AE382" s="128"/>
      <c r="AF382" s="128"/>
      <c r="AG382" s="128"/>
      <c r="AH382" s="128"/>
      <c r="AI382" s="128"/>
      <c r="AJ382" s="128"/>
      <c r="AK382" s="128"/>
      <c r="AL382" s="128"/>
      <c r="AM382" s="128"/>
      <c r="AN382" s="128"/>
      <c r="AO382" s="128"/>
      <c r="AP382" s="128"/>
      <c r="AQ382" s="128"/>
      <c r="AR382" s="128"/>
      <c r="AS382" s="128"/>
      <c r="AT382" s="128"/>
      <c r="AU382" s="128"/>
      <c r="AV382" s="128"/>
      <c r="AW382" s="128"/>
      <c r="AX382" s="128"/>
      <c r="AY382" s="128"/>
      <c r="AZ382" s="128"/>
      <c r="BA382" s="128"/>
      <c r="BB382" s="128"/>
      <c r="BC382" s="128"/>
      <c r="BD382" s="128"/>
      <c r="BE382" s="128"/>
      <c r="BF382" s="128"/>
      <c r="BG382" s="128"/>
      <c r="BH382" s="128"/>
      <c r="BI382" s="128"/>
      <c r="BJ382" s="128"/>
      <c r="BK382" s="128"/>
      <c r="BL382" s="128"/>
      <c r="BM382" s="128"/>
      <c r="BN382" s="128"/>
      <c r="BO382" s="128"/>
      <c r="BP382" s="128"/>
      <c r="BQ382" s="128"/>
      <c r="BR382" s="128"/>
      <c r="BS382" s="128"/>
      <c r="BT382" s="128"/>
      <c r="BU382" s="128"/>
      <c r="BV382" s="128"/>
      <c r="BW382" s="128"/>
      <c r="BX382" s="128"/>
      <c r="BY382" s="128"/>
      <c r="BZ382" s="128"/>
      <c r="CA382" s="128"/>
      <c r="CB382" s="128"/>
      <c r="CC382" s="128"/>
      <c r="CD382" s="128"/>
      <c r="CE382" s="128"/>
      <c r="CF382" s="128"/>
      <c r="CG382" s="128"/>
      <c r="CH382" s="128"/>
      <c r="CI382" s="128"/>
      <c r="CJ382" s="128"/>
      <c r="CK382" s="128"/>
      <c r="CL382" s="128"/>
      <c r="CM382" s="128"/>
    </row>
    <row r="383" spans="1:91" x14ac:dyDescent="0.2">
      <c r="A383" s="18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AD383" s="128"/>
      <c r="AE383" s="128"/>
      <c r="AF383" s="128"/>
      <c r="AG383" s="128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  <c r="AS383" s="128"/>
      <c r="AT383" s="128"/>
      <c r="AU383" s="128"/>
      <c r="AV383" s="128"/>
      <c r="AW383" s="128"/>
      <c r="AX383" s="128"/>
      <c r="AY383" s="128"/>
      <c r="AZ383" s="128"/>
      <c r="BA383" s="128"/>
      <c r="BB383" s="128"/>
      <c r="BC383" s="128"/>
      <c r="BD383" s="128"/>
      <c r="BE383" s="128"/>
      <c r="BF383" s="128"/>
      <c r="BG383" s="128"/>
      <c r="BH383" s="128"/>
      <c r="BI383" s="128"/>
      <c r="BJ383" s="128"/>
      <c r="BK383" s="128"/>
      <c r="BL383" s="128"/>
      <c r="BM383" s="128"/>
      <c r="BN383" s="128"/>
      <c r="BO383" s="128"/>
      <c r="BP383" s="128"/>
      <c r="BQ383" s="128"/>
      <c r="BR383" s="128"/>
      <c r="BS383" s="128"/>
      <c r="BT383" s="128"/>
      <c r="BU383" s="128"/>
      <c r="BV383" s="128"/>
      <c r="BW383" s="128"/>
      <c r="BX383" s="128"/>
      <c r="BY383" s="128"/>
      <c r="BZ383" s="128"/>
      <c r="CA383" s="128"/>
      <c r="CB383" s="128"/>
      <c r="CC383" s="128"/>
      <c r="CD383" s="128"/>
      <c r="CE383" s="128"/>
      <c r="CF383" s="128"/>
      <c r="CG383" s="128"/>
      <c r="CH383" s="128"/>
      <c r="CI383" s="128"/>
      <c r="CJ383" s="128"/>
      <c r="CK383" s="128"/>
      <c r="CL383" s="128"/>
      <c r="CM383" s="128"/>
    </row>
    <row r="384" spans="1:91" x14ac:dyDescent="0.2">
      <c r="A384" s="18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  <c r="BC384" s="128"/>
      <c r="BD384" s="128"/>
      <c r="BE384" s="128"/>
      <c r="BF384" s="128"/>
      <c r="BG384" s="128"/>
      <c r="BH384" s="128"/>
      <c r="BI384" s="128"/>
      <c r="BJ384" s="128"/>
      <c r="BK384" s="128"/>
      <c r="BL384" s="128"/>
      <c r="BM384" s="128"/>
      <c r="BN384" s="128"/>
      <c r="BO384" s="128"/>
      <c r="BP384" s="128"/>
      <c r="BQ384" s="128"/>
      <c r="BR384" s="128"/>
      <c r="BS384" s="128"/>
      <c r="BT384" s="128"/>
      <c r="BU384" s="128"/>
      <c r="BV384" s="128"/>
      <c r="BW384" s="128"/>
      <c r="BX384" s="128"/>
      <c r="BY384" s="128"/>
      <c r="BZ384" s="128"/>
      <c r="CA384" s="128"/>
      <c r="CB384" s="128"/>
      <c r="CC384" s="128"/>
      <c r="CD384" s="128"/>
      <c r="CE384" s="128"/>
      <c r="CF384" s="128"/>
      <c r="CG384" s="128"/>
      <c r="CH384" s="128"/>
      <c r="CI384" s="128"/>
      <c r="CJ384" s="128"/>
      <c r="CK384" s="128"/>
      <c r="CL384" s="128"/>
      <c r="CM384" s="128"/>
    </row>
    <row r="385" spans="1:91" x14ac:dyDescent="0.2">
      <c r="A385" s="18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AD385" s="128"/>
      <c r="AE385" s="128"/>
      <c r="AF385" s="128"/>
      <c r="AG385" s="12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28"/>
      <c r="AR385" s="128"/>
      <c r="AS385" s="128"/>
      <c r="AT385" s="128"/>
      <c r="AU385" s="128"/>
      <c r="AV385" s="128"/>
      <c r="AW385" s="128"/>
      <c r="AX385" s="128"/>
      <c r="AY385" s="128"/>
      <c r="AZ385" s="128"/>
      <c r="BA385" s="128"/>
      <c r="BB385" s="128"/>
      <c r="BC385" s="128"/>
      <c r="BD385" s="128"/>
      <c r="BE385" s="128"/>
      <c r="BF385" s="128"/>
      <c r="BG385" s="128"/>
      <c r="BH385" s="128"/>
      <c r="BI385" s="128"/>
      <c r="BJ385" s="128"/>
      <c r="BK385" s="128"/>
      <c r="BL385" s="128"/>
      <c r="BM385" s="128"/>
      <c r="BN385" s="128"/>
      <c r="BO385" s="128"/>
      <c r="BP385" s="128"/>
      <c r="BQ385" s="128"/>
      <c r="BR385" s="128"/>
      <c r="BS385" s="128"/>
      <c r="BT385" s="128"/>
      <c r="BU385" s="128"/>
      <c r="BV385" s="128"/>
      <c r="BW385" s="128"/>
      <c r="BX385" s="128"/>
      <c r="BY385" s="128"/>
      <c r="BZ385" s="128"/>
      <c r="CA385" s="128"/>
      <c r="CB385" s="128"/>
      <c r="CC385" s="128"/>
      <c r="CD385" s="128"/>
      <c r="CE385" s="128"/>
      <c r="CF385" s="128"/>
      <c r="CG385" s="128"/>
      <c r="CH385" s="128"/>
      <c r="CI385" s="128"/>
      <c r="CJ385" s="128"/>
      <c r="CK385" s="128"/>
      <c r="CL385" s="128"/>
      <c r="CM385" s="128"/>
    </row>
    <row r="386" spans="1:91" x14ac:dyDescent="0.2">
      <c r="A386" s="18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AD386" s="128"/>
      <c r="AE386" s="128"/>
      <c r="AF386" s="128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28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8"/>
      <c r="CA386" s="128"/>
      <c r="CB386" s="128"/>
      <c r="CC386" s="128"/>
      <c r="CD386" s="128"/>
      <c r="CE386" s="128"/>
      <c r="CF386" s="128"/>
      <c r="CG386" s="128"/>
      <c r="CH386" s="128"/>
      <c r="CI386" s="128"/>
      <c r="CJ386" s="128"/>
      <c r="CK386" s="128"/>
      <c r="CL386" s="128"/>
      <c r="CM386" s="128"/>
    </row>
    <row r="387" spans="1:91" x14ac:dyDescent="0.2">
      <c r="A387" s="18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AD387" s="128"/>
      <c r="AE387" s="128"/>
      <c r="AF387" s="128"/>
      <c r="AG387" s="128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28"/>
      <c r="AR387" s="128"/>
      <c r="AS387" s="128"/>
      <c r="AT387" s="128"/>
      <c r="AU387" s="128"/>
      <c r="AV387" s="128"/>
      <c r="AW387" s="128"/>
      <c r="AX387" s="128"/>
      <c r="AY387" s="128"/>
      <c r="AZ387" s="128"/>
      <c r="BA387" s="128"/>
      <c r="BB387" s="128"/>
      <c r="BC387" s="128"/>
      <c r="BD387" s="128"/>
      <c r="BE387" s="128"/>
      <c r="BF387" s="128"/>
      <c r="BG387" s="128"/>
      <c r="BH387" s="128"/>
      <c r="BI387" s="128"/>
      <c r="BJ387" s="128"/>
      <c r="BK387" s="128"/>
      <c r="BL387" s="128"/>
      <c r="BM387" s="128"/>
      <c r="BN387" s="128"/>
      <c r="BO387" s="128"/>
      <c r="BP387" s="128"/>
      <c r="BQ387" s="128"/>
      <c r="BR387" s="128"/>
      <c r="BS387" s="128"/>
      <c r="BT387" s="128"/>
      <c r="BU387" s="128"/>
      <c r="BV387" s="128"/>
      <c r="BW387" s="128"/>
      <c r="BX387" s="128"/>
      <c r="BY387" s="128"/>
      <c r="BZ387" s="128"/>
      <c r="CA387" s="128"/>
      <c r="CB387" s="128"/>
      <c r="CC387" s="128"/>
      <c r="CD387" s="128"/>
      <c r="CE387" s="128"/>
      <c r="CF387" s="128"/>
      <c r="CG387" s="128"/>
      <c r="CH387" s="128"/>
      <c r="CI387" s="128"/>
      <c r="CJ387" s="128"/>
      <c r="CK387" s="128"/>
      <c r="CL387" s="128"/>
      <c r="CM387" s="128"/>
    </row>
    <row r="388" spans="1:91" x14ac:dyDescent="0.2">
      <c r="A388" s="18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AD388" s="128"/>
      <c r="AE388" s="128"/>
      <c r="AF388" s="128"/>
      <c r="AG388" s="128"/>
      <c r="AH388" s="128"/>
      <c r="AI388" s="128"/>
      <c r="AJ388" s="128"/>
      <c r="AK388" s="128"/>
      <c r="AL388" s="128"/>
      <c r="AM388" s="128"/>
      <c r="AN388" s="128"/>
      <c r="AO388" s="128"/>
      <c r="AP388" s="128"/>
      <c r="AQ388" s="128"/>
      <c r="AR388" s="128"/>
      <c r="AS388" s="128"/>
      <c r="AT388" s="128"/>
      <c r="AU388" s="128"/>
      <c r="AV388" s="128"/>
      <c r="AW388" s="128"/>
      <c r="AX388" s="128"/>
      <c r="AY388" s="128"/>
      <c r="AZ388" s="128"/>
      <c r="BA388" s="128"/>
      <c r="BB388" s="128"/>
      <c r="BC388" s="128"/>
      <c r="BD388" s="128"/>
      <c r="BE388" s="128"/>
      <c r="BF388" s="128"/>
      <c r="BG388" s="128"/>
      <c r="BH388" s="128"/>
      <c r="BI388" s="128"/>
      <c r="BJ388" s="128"/>
      <c r="BK388" s="128"/>
      <c r="BL388" s="128"/>
      <c r="BM388" s="128"/>
      <c r="BN388" s="128"/>
      <c r="BO388" s="128"/>
      <c r="BP388" s="128"/>
      <c r="BQ388" s="128"/>
      <c r="BR388" s="128"/>
      <c r="BS388" s="128"/>
      <c r="BT388" s="128"/>
      <c r="BU388" s="128"/>
      <c r="BV388" s="128"/>
      <c r="BW388" s="128"/>
      <c r="BX388" s="128"/>
      <c r="BY388" s="128"/>
      <c r="BZ388" s="128"/>
      <c r="CA388" s="128"/>
      <c r="CB388" s="128"/>
      <c r="CC388" s="128"/>
      <c r="CD388" s="128"/>
      <c r="CE388" s="128"/>
      <c r="CF388" s="128"/>
      <c r="CG388" s="128"/>
      <c r="CH388" s="128"/>
      <c r="CI388" s="128"/>
      <c r="CJ388" s="128"/>
      <c r="CK388" s="128"/>
      <c r="CL388" s="128"/>
      <c r="CM388" s="128"/>
    </row>
    <row r="389" spans="1:91" x14ac:dyDescent="0.2">
      <c r="A389" s="18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AD389" s="128"/>
      <c r="AE389" s="128"/>
      <c r="AF389" s="128"/>
      <c r="AG389" s="12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28"/>
      <c r="AR389" s="128"/>
      <c r="AS389" s="128"/>
      <c r="AT389" s="128"/>
      <c r="AU389" s="128"/>
      <c r="AV389" s="128"/>
      <c r="AW389" s="128"/>
      <c r="AX389" s="128"/>
      <c r="AY389" s="128"/>
      <c r="AZ389" s="128"/>
      <c r="BA389" s="128"/>
      <c r="BB389" s="128"/>
      <c r="BC389" s="128"/>
      <c r="BD389" s="128"/>
      <c r="BE389" s="128"/>
      <c r="BF389" s="128"/>
      <c r="BG389" s="128"/>
      <c r="BH389" s="128"/>
      <c r="BI389" s="128"/>
      <c r="BJ389" s="128"/>
      <c r="BK389" s="128"/>
      <c r="BL389" s="128"/>
      <c r="BM389" s="128"/>
      <c r="BN389" s="128"/>
      <c r="BO389" s="128"/>
      <c r="BP389" s="128"/>
      <c r="BQ389" s="128"/>
      <c r="BR389" s="128"/>
      <c r="BS389" s="128"/>
      <c r="BT389" s="128"/>
      <c r="BU389" s="128"/>
      <c r="BV389" s="128"/>
      <c r="BW389" s="128"/>
      <c r="BX389" s="128"/>
      <c r="BY389" s="128"/>
      <c r="BZ389" s="128"/>
      <c r="CA389" s="128"/>
      <c r="CB389" s="128"/>
      <c r="CC389" s="128"/>
      <c r="CD389" s="128"/>
      <c r="CE389" s="128"/>
      <c r="CF389" s="128"/>
      <c r="CG389" s="128"/>
      <c r="CH389" s="128"/>
      <c r="CI389" s="128"/>
      <c r="CJ389" s="128"/>
      <c r="CK389" s="128"/>
      <c r="CL389" s="128"/>
      <c r="CM389" s="128"/>
    </row>
    <row r="390" spans="1:91" x14ac:dyDescent="0.2">
      <c r="A390" s="18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AD390" s="128"/>
      <c r="AE390" s="128"/>
      <c r="AF390" s="128"/>
      <c r="AG390" s="12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28"/>
      <c r="AR390" s="128"/>
      <c r="AS390" s="128"/>
      <c r="AT390" s="128"/>
      <c r="AU390" s="128"/>
      <c r="AV390" s="128"/>
      <c r="AW390" s="128"/>
      <c r="AX390" s="128"/>
      <c r="AY390" s="128"/>
      <c r="AZ390" s="128"/>
      <c r="BA390" s="128"/>
      <c r="BB390" s="128"/>
      <c r="BC390" s="128"/>
      <c r="BD390" s="128"/>
      <c r="BE390" s="128"/>
      <c r="BF390" s="128"/>
      <c r="BG390" s="128"/>
      <c r="BH390" s="128"/>
      <c r="BI390" s="128"/>
      <c r="BJ390" s="128"/>
      <c r="BK390" s="128"/>
      <c r="BL390" s="128"/>
      <c r="BM390" s="128"/>
      <c r="BN390" s="128"/>
      <c r="BO390" s="128"/>
      <c r="BP390" s="128"/>
      <c r="BQ390" s="128"/>
      <c r="BR390" s="128"/>
      <c r="BS390" s="128"/>
      <c r="BT390" s="128"/>
      <c r="BU390" s="128"/>
      <c r="BV390" s="128"/>
      <c r="BW390" s="128"/>
      <c r="BX390" s="128"/>
      <c r="BY390" s="128"/>
      <c r="BZ390" s="128"/>
      <c r="CA390" s="128"/>
      <c r="CB390" s="128"/>
      <c r="CC390" s="128"/>
      <c r="CD390" s="128"/>
      <c r="CE390" s="128"/>
      <c r="CF390" s="128"/>
      <c r="CG390" s="128"/>
      <c r="CH390" s="128"/>
      <c r="CI390" s="128"/>
      <c r="CJ390" s="128"/>
      <c r="CK390" s="128"/>
      <c r="CL390" s="128"/>
      <c r="CM390" s="128"/>
    </row>
    <row r="391" spans="1:91" x14ac:dyDescent="0.2">
      <c r="A391" s="18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  <c r="AS391" s="128"/>
      <c r="AT391" s="128"/>
      <c r="AU391" s="128"/>
      <c r="AV391" s="128"/>
      <c r="AW391" s="128"/>
      <c r="AX391" s="128"/>
      <c r="AY391" s="128"/>
      <c r="AZ391" s="128"/>
      <c r="BA391" s="128"/>
      <c r="BB391" s="128"/>
      <c r="BC391" s="128"/>
      <c r="BD391" s="128"/>
      <c r="BE391" s="128"/>
      <c r="BF391" s="128"/>
      <c r="BG391" s="128"/>
      <c r="BH391" s="128"/>
      <c r="BI391" s="128"/>
      <c r="BJ391" s="128"/>
      <c r="BK391" s="128"/>
      <c r="BL391" s="128"/>
      <c r="BM391" s="128"/>
      <c r="BN391" s="128"/>
      <c r="BO391" s="128"/>
      <c r="BP391" s="128"/>
      <c r="BQ391" s="128"/>
      <c r="BR391" s="128"/>
      <c r="BS391" s="128"/>
      <c r="BT391" s="128"/>
      <c r="BU391" s="128"/>
      <c r="BV391" s="128"/>
      <c r="BW391" s="128"/>
      <c r="BX391" s="128"/>
      <c r="BY391" s="128"/>
      <c r="BZ391" s="128"/>
      <c r="CA391" s="128"/>
      <c r="CB391" s="128"/>
      <c r="CC391" s="128"/>
      <c r="CD391" s="128"/>
      <c r="CE391" s="128"/>
      <c r="CF391" s="128"/>
      <c r="CG391" s="128"/>
      <c r="CH391" s="128"/>
      <c r="CI391" s="128"/>
      <c r="CJ391" s="128"/>
      <c r="CK391" s="128"/>
      <c r="CL391" s="128"/>
      <c r="CM391" s="128"/>
    </row>
    <row r="392" spans="1:91" x14ac:dyDescent="0.2">
      <c r="A392" s="18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8"/>
      <c r="AT392" s="128"/>
      <c r="AU392" s="128"/>
      <c r="AV392" s="128"/>
      <c r="AW392" s="128"/>
      <c r="AX392" s="128"/>
      <c r="AY392" s="128"/>
      <c r="AZ392" s="128"/>
      <c r="BA392" s="128"/>
      <c r="BB392" s="128"/>
      <c r="BC392" s="128"/>
      <c r="BD392" s="128"/>
      <c r="BE392" s="128"/>
      <c r="BF392" s="128"/>
      <c r="BG392" s="128"/>
      <c r="BH392" s="128"/>
      <c r="BI392" s="128"/>
      <c r="BJ392" s="128"/>
      <c r="BK392" s="128"/>
      <c r="BL392" s="128"/>
      <c r="BM392" s="128"/>
      <c r="BN392" s="128"/>
      <c r="BO392" s="128"/>
      <c r="BP392" s="128"/>
      <c r="BQ392" s="128"/>
      <c r="BR392" s="128"/>
      <c r="BS392" s="128"/>
      <c r="BT392" s="128"/>
      <c r="BU392" s="128"/>
      <c r="BV392" s="128"/>
      <c r="BW392" s="128"/>
      <c r="BX392" s="128"/>
      <c r="BY392" s="128"/>
      <c r="BZ392" s="128"/>
      <c r="CA392" s="128"/>
      <c r="CB392" s="128"/>
      <c r="CC392" s="128"/>
      <c r="CD392" s="128"/>
      <c r="CE392" s="128"/>
      <c r="CF392" s="128"/>
      <c r="CG392" s="128"/>
      <c r="CH392" s="128"/>
      <c r="CI392" s="128"/>
      <c r="CJ392" s="128"/>
      <c r="CK392" s="128"/>
      <c r="CL392" s="128"/>
      <c r="CM392" s="128"/>
    </row>
    <row r="393" spans="1:91" x14ac:dyDescent="0.2">
      <c r="A393" s="18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AD393" s="128"/>
      <c r="AE393" s="128"/>
      <c r="AF393" s="128"/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  <c r="AS393" s="128"/>
      <c r="AT393" s="128"/>
      <c r="AU393" s="128"/>
      <c r="AV393" s="128"/>
      <c r="AW393" s="128"/>
      <c r="AX393" s="128"/>
      <c r="AY393" s="128"/>
      <c r="AZ393" s="128"/>
      <c r="BA393" s="128"/>
      <c r="BB393" s="128"/>
      <c r="BC393" s="128"/>
      <c r="BD393" s="128"/>
      <c r="BE393" s="128"/>
      <c r="BF393" s="128"/>
      <c r="BG393" s="128"/>
      <c r="BH393" s="128"/>
      <c r="BI393" s="128"/>
      <c r="BJ393" s="128"/>
      <c r="BK393" s="128"/>
      <c r="BL393" s="128"/>
      <c r="BM393" s="128"/>
      <c r="BN393" s="128"/>
      <c r="BO393" s="128"/>
      <c r="BP393" s="128"/>
      <c r="BQ393" s="128"/>
      <c r="BR393" s="128"/>
      <c r="BS393" s="128"/>
      <c r="BT393" s="128"/>
      <c r="BU393" s="128"/>
      <c r="BV393" s="128"/>
      <c r="BW393" s="128"/>
      <c r="BX393" s="128"/>
      <c r="BY393" s="128"/>
      <c r="BZ393" s="128"/>
      <c r="CA393" s="128"/>
      <c r="CB393" s="128"/>
      <c r="CC393" s="128"/>
      <c r="CD393" s="128"/>
      <c r="CE393" s="128"/>
      <c r="CF393" s="128"/>
      <c r="CG393" s="128"/>
      <c r="CH393" s="128"/>
      <c r="CI393" s="128"/>
      <c r="CJ393" s="128"/>
      <c r="CK393" s="128"/>
      <c r="CL393" s="128"/>
      <c r="CM393" s="128"/>
    </row>
    <row r="394" spans="1:91" x14ac:dyDescent="0.2">
      <c r="A394" s="18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AD394" s="128"/>
      <c r="AE394" s="128"/>
      <c r="AF394" s="128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8"/>
      <c r="AT394" s="128"/>
      <c r="AU394" s="128"/>
      <c r="AV394" s="128"/>
      <c r="AW394" s="128"/>
      <c r="AX394" s="128"/>
      <c r="AY394" s="128"/>
      <c r="AZ394" s="128"/>
      <c r="BA394" s="128"/>
      <c r="BB394" s="128"/>
      <c r="BC394" s="128"/>
      <c r="BD394" s="128"/>
      <c r="BE394" s="128"/>
      <c r="BF394" s="128"/>
      <c r="BG394" s="128"/>
      <c r="BH394" s="128"/>
      <c r="BI394" s="128"/>
      <c r="BJ394" s="128"/>
      <c r="BK394" s="128"/>
      <c r="BL394" s="128"/>
      <c r="BM394" s="128"/>
      <c r="BN394" s="128"/>
      <c r="BO394" s="128"/>
      <c r="BP394" s="128"/>
      <c r="BQ394" s="128"/>
      <c r="BR394" s="128"/>
      <c r="BS394" s="128"/>
      <c r="BT394" s="128"/>
      <c r="BU394" s="128"/>
      <c r="BV394" s="128"/>
      <c r="BW394" s="128"/>
      <c r="BX394" s="128"/>
      <c r="BY394" s="128"/>
      <c r="BZ394" s="128"/>
      <c r="CA394" s="128"/>
      <c r="CB394" s="128"/>
      <c r="CC394" s="128"/>
      <c r="CD394" s="128"/>
      <c r="CE394" s="128"/>
      <c r="CF394" s="128"/>
      <c r="CG394" s="128"/>
      <c r="CH394" s="128"/>
      <c r="CI394" s="128"/>
      <c r="CJ394" s="128"/>
      <c r="CK394" s="128"/>
      <c r="CL394" s="128"/>
      <c r="CM394" s="128"/>
    </row>
    <row r="395" spans="1:91" x14ac:dyDescent="0.2">
      <c r="A395" s="18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AD395" s="128"/>
      <c r="AE395" s="128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8"/>
      <c r="AT395" s="128"/>
      <c r="AU395" s="128"/>
      <c r="AV395" s="128"/>
      <c r="AW395" s="128"/>
      <c r="AX395" s="128"/>
      <c r="AY395" s="128"/>
      <c r="AZ395" s="128"/>
      <c r="BA395" s="128"/>
      <c r="BB395" s="128"/>
      <c r="BC395" s="128"/>
      <c r="BD395" s="128"/>
      <c r="BE395" s="128"/>
      <c r="BF395" s="128"/>
      <c r="BG395" s="128"/>
      <c r="BH395" s="128"/>
      <c r="BI395" s="128"/>
      <c r="BJ395" s="128"/>
      <c r="BK395" s="128"/>
      <c r="BL395" s="128"/>
      <c r="BM395" s="128"/>
      <c r="BN395" s="128"/>
      <c r="BO395" s="128"/>
      <c r="BP395" s="128"/>
      <c r="BQ395" s="128"/>
      <c r="BR395" s="128"/>
      <c r="BS395" s="128"/>
      <c r="BT395" s="128"/>
      <c r="BU395" s="128"/>
      <c r="BV395" s="128"/>
      <c r="BW395" s="128"/>
      <c r="BX395" s="128"/>
      <c r="BY395" s="128"/>
      <c r="BZ395" s="128"/>
      <c r="CA395" s="128"/>
      <c r="CB395" s="128"/>
      <c r="CC395" s="128"/>
      <c r="CD395" s="128"/>
      <c r="CE395" s="128"/>
      <c r="CF395" s="128"/>
      <c r="CG395" s="128"/>
      <c r="CH395" s="128"/>
      <c r="CI395" s="128"/>
      <c r="CJ395" s="128"/>
      <c r="CK395" s="128"/>
      <c r="CL395" s="128"/>
      <c r="CM395" s="128"/>
    </row>
    <row r="396" spans="1:91" x14ac:dyDescent="0.2">
      <c r="A396" s="18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AD396" s="128"/>
      <c r="AE396" s="128"/>
      <c r="AF396" s="128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  <c r="AS396" s="128"/>
      <c r="AT396" s="128"/>
      <c r="AU396" s="128"/>
      <c r="AV396" s="128"/>
      <c r="AW396" s="128"/>
      <c r="AX396" s="128"/>
      <c r="AY396" s="128"/>
      <c r="AZ396" s="128"/>
      <c r="BA396" s="128"/>
      <c r="BB396" s="128"/>
      <c r="BC396" s="128"/>
      <c r="BD396" s="128"/>
      <c r="BE396" s="128"/>
      <c r="BF396" s="128"/>
      <c r="BG396" s="128"/>
      <c r="BH396" s="128"/>
      <c r="BI396" s="128"/>
      <c r="BJ396" s="128"/>
      <c r="BK396" s="128"/>
      <c r="BL396" s="128"/>
      <c r="BM396" s="128"/>
      <c r="BN396" s="128"/>
      <c r="BO396" s="128"/>
      <c r="BP396" s="128"/>
      <c r="BQ396" s="128"/>
      <c r="BR396" s="128"/>
      <c r="BS396" s="128"/>
      <c r="BT396" s="128"/>
      <c r="BU396" s="128"/>
      <c r="BV396" s="128"/>
      <c r="BW396" s="128"/>
      <c r="BX396" s="128"/>
      <c r="BY396" s="128"/>
      <c r="BZ396" s="128"/>
      <c r="CA396" s="128"/>
      <c r="CB396" s="128"/>
      <c r="CC396" s="128"/>
      <c r="CD396" s="128"/>
      <c r="CE396" s="128"/>
      <c r="CF396" s="128"/>
      <c r="CG396" s="128"/>
      <c r="CH396" s="128"/>
      <c r="CI396" s="128"/>
      <c r="CJ396" s="128"/>
      <c r="CK396" s="128"/>
      <c r="CL396" s="128"/>
      <c r="CM396" s="128"/>
    </row>
    <row r="397" spans="1:91" x14ac:dyDescent="0.2">
      <c r="A397" s="18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/>
      <c r="BD397" s="128"/>
      <c r="BE397" s="128"/>
      <c r="BF397" s="128"/>
      <c r="BG397" s="128"/>
      <c r="BH397" s="128"/>
      <c r="BI397" s="128"/>
      <c r="BJ397" s="128"/>
      <c r="BK397" s="128"/>
      <c r="BL397" s="128"/>
      <c r="BM397" s="128"/>
      <c r="BN397" s="128"/>
      <c r="BO397" s="128"/>
      <c r="BP397" s="128"/>
      <c r="BQ397" s="128"/>
      <c r="BR397" s="128"/>
      <c r="BS397" s="128"/>
      <c r="BT397" s="128"/>
      <c r="BU397" s="128"/>
      <c r="BV397" s="128"/>
      <c r="BW397" s="128"/>
      <c r="BX397" s="128"/>
      <c r="BY397" s="128"/>
      <c r="BZ397" s="128"/>
      <c r="CA397" s="128"/>
      <c r="CB397" s="128"/>
      <c r="CC397" s="128"/>
      <c r="CD397" s="128"/>
      <c r="CE397" s="128"/>
      <c r="CF397" s="128"/>
      <c r="CG397" s="128"/>
      <c r="CH397" s="128"/>
      <c r="CI397" s="128"/>
      <c r="CJ397" s="128"/>
      <c r="CK397" s="128"/>
      <c r="CL397" s="128"/>
      <c r="CM397" s="128"/>
    </row>
    <row r="398" spans="1:91" x14ac:dyDescent="0.2">
      <c r="A398" s="18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8"/>
      <c r="BA398" s="128"/>
      <c r="BB398" s="128"/>
      <c r="BC398" s="128"/>
      <c r="BD398" s="128"/>
      <c r="BE398" s="128"/>
      <c r="BF398" s="128"/>
      <c r="BG398" s="128"/>
      <c r="BH398" s="128"/>
      <c r="BI398" s="128"/>
      <c r="BJ398" s="128"/>
      <c r="BK398" s="128"/>
      <c r="BL398" s="128"/>
      <c r="BM398" s="128"/>
      <c r="BN398" s="128"/>
      <c r="BO398" s="128"/>
      <c r="BP398" s="128"/>
      <c r="BQ398" s="128"/>
      <c r="BR398" s="128"/>
      <c r="BS398" s="128"/>
      <c r="BT398" s="128"/>
      <c r="BU398" s="128"/>
      <c r="BV398" s="128"/>
      <c r="BW398" s="128"/>
      <c r="BX398" s="128"/>
      <c r="BY398" s="128"/>
      <c r="BZ398" s="128"/>
      <c r="CA398" s="128"/>
      <c r="CB398" s="128"/>
      <c r="CC398" s="128"/>
      <c r="CD398" s="128"/>
      <c r="CE398" s="128"/>
      <c r="CF398" s="128"/>
      <c r="CG398" s="128"/>
      <c r="CH398" s="128"/>
      <c r="CI398" s="128"/>
      <c r="CJ398" s="128"/>
      <c r="CK398" s="128"/>
      <c r="CL398" s="128"/>
      <c r="CM398" s="128"/>
    </row>
    <row r="399" spans="1:91" x14ac:dyDescent="0.2">
      <c r="A399" s="18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8"/>
      <c r="AT399" s="128"/>
      <c r="AU399" s="128"/>
      <c r="AV399" s="128"/>
      <c r="AW399" s="128"/>
      <c r="AX399" s="128"/>
      <c r="AY399" s="128"/>
      <c r="AZ399" s="128"/>
      <c r="BA399" s="128"/>
      <c r="BB399" s="128"/>
      <c r="BC399" s="128"/>
      <c r="BD399" s="128"/>
      <c r="BE399" s="128"/>
      <c r="BF399" s="128"/>
      <c r="BG399" s="128"/>
      <c r="BH399" s="128"/>
      <c r="BI399" s="128"/>
      <c r="BJ399" s="128"/>
      <c r="BK399" s="128"/>
      <c r="BL399" s="128"/>
      <c r="BM399" s="128"/>
      <c r="BN399" s="128"/>
      <c r="BO399" s="128"/>
      <c r="BP399" s="128"/>
      <c r="BQ399" s="128"/>
      <c r="BR399" s="128"/>
      <c r="BS399" s="128"/>
      <c r="BT399" s="128"/>
      <c r="BU399" s="128"/>
      <c r="BV399" s="128"/>
      <c r="BW399" s="128"/>
      <c r="BX399" s="128"/>
      <c r="BY399" s="128"/>
      <c r="BZ399" s="128"/>
      <c r="CA399" s="128"/>
      <c r="CB399" s="128"/>
      <c r="CC399" s="128"/>
      <c r="CD399" s="128"/>
      <c r="CE399" s="128"/>
      <c r="CF399" s="128"/>
      <c r="CG399" s="128"/>
      <c r="CH399" s="128"/>
      <c r="CI399" s="128"/>
      <c r="CJ399" s="128"/>
      <c r="CK399" s="128"/>
      <c r="CL399" s="128"/>
      <c r="CM399" s="128"/>
    </row>
    <row r="400" spans="1:91" x14ac:dyDescent="0.2">
      <c r="A400" s="18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/>
      <c r="BD400" s="128"/>
      <c r="BE400" s="128"/>
      <c r="BF400" s="128"/>
      <c r="BG400" s="128"/>
      <c r="BH400" s="128"/>
      <c r="BI400" s="128"/>
      <c r="BJ400" s="128"/>
      <c r="BK400" s="128"/>
      <c r="BL400" s="128"/>
      <c r="BM400" s="128"/>
      <c r="BN400" s="128"/>
      <c r="BO400" s="128"/>
      <c r="BP400" s="128"/>
      <c r="BQ400" s="128"/>
      <c r="BR400" s="128"/>
      <c r="BS400" s="128"/>
      <c r="BT400" s="128"/>
      <c r="BU400" s="128"/>
      <c r="BV400" s="128"/>
      <c r="BW400" s="128"/>
      <c r="BX400" s="128"/>
      <c r="BY400" s="128"/>
      <c r="BZ400" s="128"/>
      <c r="CA400" s="128"/>
      <c r="CB400" s="128"/>
      <c r="CC400" s="128"/>
      <c r="CD400" s="128"/>
      <c r="CE400" s="128"/>
      <c r="CF400" s="128"/>
      <c r="CG400" s="128"/>
      <c r="CH400" s="128"/>
      <c r="CI400" s="128"/>
      <c r="CJ400" s="128"/>
      <c r="CK400" s="128"/>
      <c r="CL400" s="128"/>
      <c r="CM400" s="128"/>
    </row>
    <row r="401" spans="1:91" x14ac:dyDescent="0.2">
      <c r="A401" s="18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AD401" s="128"/>
      <c r="AE401" s="128"/>
      <c r="AF401" s="128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  <c r="AS401" s="128"/>
      <c r="AT401" s="128"/>
      <c r="AU401" s="128"/>
      <c r="AV401" s="128"/>
      <c r="AW401" s="128"/>
      <c r="AX401" s="128"/>
      <c r="AY401" s="128"/>
      <c r="AZ401" s="128"/>
      <c r="BA401" s="128"/>
      <c r="BB401" s="128"/>
      <c r="BC401" s="128"/>
      <c r="BD401" s="128"/>
      <c r="BE401" s="128"/>
      <c r="BF401" s="128"/>
      <c r="BG401" s="128"/>
      <c r="BH401" s="128"/>
      <c r="BI401" s="128"/>
      <c r="BJ401" s="128"/>
      <c r="BK401" s="128"/>
      <c r="BL401" s="128"/>
      <c r="BM401" s="128"/>
      <c r="BN401" s="128"/>
      <c r="BO401" s="128"/>
      <c r="BP401" s="128"/>
      <c r="BQ401" s="128"/>
      <c r="BR401" s="128"/>
      <c r="BS401" s="128"/>
      <c r="BT401" s="128"/>
      <c r="BU401" s="128"/>
      <c r="BV401" s="128"/>
      <c r="BW401" s="128"/>
      <c r="BX401" s="128"/>
      <c r="BY401" s="128"/>
      <c r="BZ401" s="128"/>
      <c r="CA401" s="128"/>
      <c r="CB401" s="128"/>
      <c r="CC401" s="128"/>
      <c r="CD401" s="128"/>
      <c r="CE401" s="128"/>
      <c r="CF401" s="128"/>
      <c r="CG401" s="128"/>
      <c r="CH401" s="128"/>
      <c r="CI401" s="128"/>
      <c r="CJ401" s="128"/>
      <c r="CK401" s="128"/>
      <c r="CL401" s="128"/>
      <c r="CM401" s="128"/>
    </row>
    <row r="402" spans="1:91" x14ac:dyDescent="0.2">
      <c r="A402" s="18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8"/>
      <c r="BA402" s="128"/>
      <c r="BB402" s="128"/>
      <c r="BC402" s="128"/>
      <c r="BD402" s="128"/>
      <c r="BE402" s="128"/>
      <c r="BF402" s="128"/>
      <c r="BG402" s="128"/>
      <c r="BH402" s="128"/>
      <c r="BI402" s="128"/>
      <c r="BJ402" s="128"/>
      <c r="BK402" s="128"/>
      <c r="BL402" s="128"/>
      <c r="BM402" s="128"/>
      <c r="BN402" s="128"/>
      <c r="BO402" s="128"/>
      <c r="BP402" s="128"/>
      <c r="BQ402" s="128"/>
      <c r="BR402" s="128"/>
      <c r="BS402" s="128"/>
      <c r="BT402" s="128"/>
      <c r="BU402" s="128"/>
      <c r="BV402" s="128"/>
      <c r="BW402" s="128"/>
      <c r="BX402" s="128"/>
      <c r="BY402" s="128"/>
      <c r="BZ402" s="128"/>
      <c r="CA402" s="128"/>
      <c r="CB402" s="128"/>
      <c r="CC402" s="128"/>
      <c r="CD402" s="128"/>
      <c r="CE402" s="128"/>
      <c r="CF402" s="128"/>
      <c r="CG402" s="128"/>
      <c r="CH402" s="128"/>
      <c r="CI402" s="128"/>
      <c r="CJ402" s="128"/>
      <c r="CK402" s="128"/>
      <c r="CL402" s="128"/>
      <c r="CM402" s="128"/>
    </row>
    <row r="403" spans="1:91" x14ac:dyDescent="0.2">
      <c r="A403" s="18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AD403" s="128"/>
      <c r="AE403" s="128"/>
      <c r="AF403" s="128"/>
      <c r="AG403" s="12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/>
      <c r="BA403" s="128"/>
      <c r="BB403" s="128"/>
      <c r="BC403" s="128"/>
      <c r="BD403" s="128"/>
      <c r="BE403" s="128"/>
      <c r="BF403" s="128"/>
      <c r="BG403" s="128"/>
      <c r="BH403" s="128"/>
      <c r="BI403" s="128"/>
      <c r="BJ403" s="128"/>
      <c r="BK403" s="128"/>
      <c r="BL403" s="128"/>
      <c r="BM403" s="128"/>
      <c r="BN403" s="128"/>
      <c r="BO403" s="128"/>
      <c r="BP403" s="128"/>
      <c r="BQ403" s="128"/>
      <c r="BR403" s="128"/>
      <c r="BS403" s="128"/>
      <c r="BT403" s="128"/>
      <c r="BU403" s="128"/>
      <c r="BV403" s="128"/>
      <c r="BW403" s="128"/>
      <c r="BX403" s="128"/>
      <c r="BY403" s="128"/>
      <c r="BZ403" s="128"/>
      <c r="CA403" s="128"/>
      <c r="CB403" s="128"/>
      <c r="CC403" s="128"/>
      <c r="CD403" s="128"/>
      <c r="CE403" s="128"/>
      <c r="CF403" s="128"/>
      <c r="CG403" s="128"/>
      <c r="CH403" s="128"/>
      <c r="CI403" s="128"/>
      <c r="CJ403" s="128"/>
      <c r="CK403" s="128"/>
      <c r="CL403" s="128"/>
      <c r="CM403" s="128"/>
    </row>
    <row r="404" spans="1:91" x14ac:dyDescent="0.2">
      <c r="A404" s="18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AD404" s="128"/>
      <c r="AE404" s="128"/>
      <c r="AF404" s="128"/>
      <c r="AG404" s="12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28"/>
      <c r="AR404" s="128"/>
      <c r="AS404" s="128"/>
      <c r="AT404" s="128"/>
      <c r="AU404" s="128"/>
      <c r="AV404" s="128"/>
      <c r="AW404" s="128"/>
      <c r="AX404" s="128"/>
      <c r="AY404" s="128"/>
      <c r="AZ404" s="128"/>
      <c r="BA404" s="128"/>
      <c r="BB404" s="128"/>
      <c r="BC404" s="128"/>
      <c r="BD404" s="128"/>
      <c r="BE404" s="128"/>
      <c r="BF404" s="128"/>
      <c r="BG404" s="128"/>
      <c r="BH404" s="128"/>
      <c r="BI404" s="128"/>
      <c r="BJ404" s="128"/>
      <c r="BK404" s="128"/>
      <c r="BL404" s="128"/>
      <c r="BM404" s="128"/>
      <c r="BN404" s="128"/>
      <c r="BO404" s="128"/>
      <c r="BP404" s="128"/>
      <c r="BQ404" s="128"/>
      <c r="BR404" s="128"/>
      <c r="BS404" s="128"/>
      <c r="BT404" s="128"/>
      <c r="BU404" s="128"/>
      <c r="BV404" s="128"/>
      <c r="BW404" s="128"/>
      <c r="BX404" s="128"/>
      <c r="BY404" s="128"/>
      <c r="BZ404" s="128"/>
      <c r="CA404" s="128"/>
      <c r="CB404" s="128"/>
      <c r="CC404" s="128"/>
      <c r="CD404" s="128"/>
      <c r="CE404" s="128"/>
      <c r="CF404" s="128"/>
      <c r="CG404" s="128"/>
      <c r="CH404" s="128"/>
      <c r="CI404" s="128"/>
      <c r="CJ404" s="128"/>
      <c r="CK404" s="128"/>
      <c r="CL404" s="128"/>
      <c r="CM404" s="128"/>
    </row>
    <row r="405" spans="1:91" x14ac:dyDescent="0.2">
      <c r="A405" s="18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AD405" s="128"/>
      <c r="AE405" s="128"/>
      <c r="AF405" s="128"/>
      <c r="AG405" s="12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28"/>
      <c r="AR405" s="128"/>
      <c r="AS405" s="128"/>
      <c r="AT405" s="128"/>
      <c r="AU405" s="128"/>
      <c r="AV405" s="128"/>
      <c r="AW405" s="128"/>
      <c r="AX405" s="128"/>
      <c r="AY405" s="128"/>
      <c r="AZ405" s="128"/>
      <c r="BA405" s="128"/>
      <c r="BB405" s="128"/>
      <c r="BC405" s="128"/>
      <c r="BD405" s="128"/>
      <c r="BE405" s="128"/>
      <c r="BF405" s="128"/>
      <c r="BG405" s="128"/>
      <c r="BH405" s="128"/>
      <c r="BI405" s="128"/>
      <c r="BJ405" s="128"/>
      <c r="BK405" s="128"/>
      <c r="BL405" s="128"/>
      <c r="BM405" s="128"/>
      <c r="BN405" s="128"/>
      <c r="BO405" s="128"/>
      <c r="BP405" s="128"/>
      <c r="BQ405" s="128"/>
      <c r="BR405" s="128"/>
      <c r="BS405" s="128"/>
      <c r="BT405" s="128"/>
      <c r="BU405" s="128"/>
      <c r="BV405" s="128"/>
      <c r="BW405" s="128"/>
      <c r="BX405" s="128"/>
      <c r="BY405" s="128"/>
      <c r="BZ405" s="128"/>
      <c r="CA405" s="128"/>
      <c r="CB405" s="128"/>
      <c r="CC405" s="128"/>
      <c r="CD405" s="128"/>
      <c r="CE405" s="128"/>
      <c r="CF405" s="128"/>
      <c r="CG405" s="128"/>
      <c r="CH405" s="128"/>
      <c r="CI405" s="128"/>
      <c r="CJ405" s="128"/>
      <c r="CK405" s="128"/>
      <c r="CL405" s="128"/>
      <c r="CM405" s="128"/>
    </row>
    <row r="406" spans="1:91" x14ac:dyDescent="0.2">
      <c r="A406" s="18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  <c r="AS406" s="128"/>
      <c r="AT406" s="128"/>
      <c r="AU406" s="128"/>
      <c r="AV406" s="128"/>
      <c r="AW406" s="128"/>
      <c r="AX406" s="128"/>
      <c r="AY406" s="128"/>
      <c r="AZ406" s="128"/>
      <c r="BA406" s="128"/>
      <c r="BB406" s="128"/>
      <c r="BC406" s="128"/>
      <c r="BD406" s="128"/>
      <c r="BE406" s="128"/>
      <c r="BF406" s="128"/>
      <c r="BG406" s="128"/>
      <c r="BH406" s="128"/>
      <c r="BI406" s="128"/>
      <c r="BJ406" s="128"/>
      <c r="BK406" s="128"/>
      <c r="BL406" s="128"/>
      <c r="BM406" s="128"/>
      <c r="BN406" s="128"/>
      <c r="BO406" s="128"/>
      <c r="BP406" s="128"/>
      <c r="BQ406" s="128"/>
      <c r="BR406" s="128"/>
      <c r="BS406" s="128"/>
      <c r="BT406" s="128"/>
      <c r="BU406" s="128"/>
      <c r="BV406" s="128"/>
      <c r="BW406" s="128"/>
      <c r="BX406" s="128"/>
      <c r="BY406" s="128"/>
      <c r="BZ406" s="128"/>
      <c r="CA406" s="128"/>
      <c r="CB406" s="128"/>
      <c r="CC406" s="128"/>
      <c r="CD406" s="128"/>
      <c r="CE406" s="128"/>
      <c r="CF406" s="128"/>
      <c r="CG406" s="128"/>
      <c r="CH406" s="128"/>
      <c r="CI406" s="128"/>
      <c r="CJ406" s="128"/>
      <c r="CK406" s="128"/>
      <c r="CL406" s="128"/>
      <c r="CM406" s="128"/>
    </row>
    <row r="407" spans="1:91" x14ac:dyDescent="0.2">
      <c r="A407" s="18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28"/>
      <c r="AW407" s="128"/>
      <c r="AX407" s="128"/>
      <c r="AY407" s="128"/>
      <c r="AZ407" s="128"/>
      <c r="BA407" s="128"/>
      <c r="BB407" s="128"/>
      <c r="BC407" s="128"/>
      <c r="BD407" s="128"/>
      <c r="BE407" s="128"/>
      <c r="BF407" s="128"/>
      <c r="BG407" s="128"/>
      <c r="BH407" s="128"/>
      <c r="BI407" s="128"/>
      <c r="BJ407" s="128"/>
      <c r="BK407" s="128"/>
      <c r="BL407" s="128"/>
      <c r="BM407" s="128"/>
      <c r="BN407" s="128"/>
      <c r="BO407" s="128"/>
      <c r="BP407" s="128"/>
      <c r="BQ407" s="128"/>
      <c r="BR407" s="128"/>
      <c r="BS407" s="128"/>
      <c r="BT407" s="128"/>
      <c r="BU407" s="128"/>
      <c r="BV407" s="128"/>
      <c r="BW407" s="128"/>
      <c r="BX407" s="128"/>
      <c r="BY407" s="128"/>
      <c r="BZ407" s="128"/>
      <c r="CA407" s="128"/>
      <c r="CB407" s="128"/>
      <c r="CC407" s="128"/>
      <c r="CD407" s="128"/>
      <c r="CE407" s="128"/>
      <c r="CF407" s="128"/>
      <c r="CG407" s="128"/>
      <c r="CH407" s="128"/>
      <c r="CI407" s="128"/>
      <c r="CJ407" s="128"/>
      <c r="CK407" s="128"/>
      <c r="CL407" s="128"/>
      <c r="CM407" s="128"/>
    </row>
    <row r="408" spans="1:91" x14ac:dyDescent="0.2">
      <c r="A408" s="18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28"/>
      <c r="AW408" s="128"/>
      <c r="AX408" s="128"/>
      <c r="AY408" s="128"/>
      <c r="AZ408" s="128"/>
      <c r="BA408" s="128"/>
      <c r="BB408" s="128"/>
      <c r="BC408" s="128"/>
      <c r="BD408" s="128"/>
      <c r="BE408" s="128"/>
      <c r="BF408" s="128"/>
      <c r="BG408" s="128"/>
      <c r="BH408" s="128"/>
      <c r="BI408" s="128"/>
      <c r="BJ408" s="128"/>
      <c r="BK408" s="128"/>
      <c r="BL408" s="128"/>
      <c r="BM408" s="128"/>
      <c r="BN408" s="128"/>
      <c r="BO408" s="128"/>
      <c r="BP408" s="128"/>
      <c r="BQ408" s="128"/>
      <c r="BR408" s="128"/>
      <c r="BS408" s="128"/>
      <c r="BT408" s="128"/>
      <c r="BU408" s="128"/>
      <c r="BV408" s="128"/>
      <c r="BW408" s="128"/>
      <c r="BX408" s="128"/>
      <c r="BY408" s="128"/>
      <c r="BZ408" s="128"/>
      <c r="CA408" s="128"/>
      <c r="CB408" s="128"/>
      <c r="CC408" s="128"/>
      <c r="CD408" s="128"/>
      <c r="CE408" s="128"/>
      <c r="CF408" s="128"/>
      <c r="CG408" s="128"/>
      <c r="CH408" s="128"/>
      <c r="CI408" s="128"/>
      <c r="CJ408" s="128"/>
      <c r="CK408" s="128"/>
      <c r="CL408" s="128"/>
      <c r="CM408" s="128"/>
    </row>
    <row r="409" spans="1:91" x14ac:dyDescent="0.2">
      <c r="A409" s="18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8"/>
      <c r="AW409" s="128"/>
      <c r="AX409" s="128"/>
      <c r="AY409" s="128"/>
      <c r="AZ409" s="128"/>
      <c r="BA409" s="128"/>
      <c r="BB409" s="128"/>
      <c r="BC409" s="128"/>
      <c r="BD409" s="128"/>
      <c r="BE409" s="128"/>
      <c r="BF409" s="128"/>
      <c r="BG409" s="128"/>
      <c r="BH409" s="128"/>
      <c r="BI409" s="128"/>
      <c r="BJ409" s="128"/>
      <c r="BK409" s="128"/>
      <c r="BL409" s="128"/>
      <c r="BM409" s="128"/>
      <c r="BN409" s="128"/>
      <c r="BO409" s="128"/>
      <c r="BP409" s="128"/>
      <c r="BQ409" s="128"/>
      <c r="BR409" s="128"/>
      <c r="BS409" s="128"/>
      <c r="BT409" s="128"/>
      <c r="BU409" s="128"/>
      <c r="BV409" s="128"/>
      <c r="BW409" s="128"/>
      <c r="BX409" s="128"/>
      <c r="BY409" s="128"/>
      <c r="BZ409" s="128"/>
      <c r="CA409" s="128"/>
      <c r="CB409" s="128"/>
      <c r="CC409" s="128"/>
      <c r="CD409" s="128"/>
      <c r="CE409" s="128"/>
      <c r="CF409" s="128"/>
      <c r="CG409" s="128"/>
      <c r="CH409" s="128"/>
      <c r="CI409" s="128"/>
      <c r="CJ409" s="128"/>
      <c r="CK409" s="128"/>
      <c r="CL409" s="128"/>
      <c r="CM409" s="128"/>
    </row>
    <row r="410" spans="1:91" x14ac:dyDescent="0.2">
      <c r="A410" s="18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8"/>
      <c r="AW410" s="128"/>
      <c r="AX410" s="128"/>
      <c r="AY410" s="128"/>
      <c r="AZ410" s="128"/>
      <c r="BA410" s="128"/>
      <c r="BB410" s="128"/>
      <c r="BC410" s="128"/>
      <c r="BD410" s="128"/>
      <c r="BE410" s="128"/>
      <c r="BF410" s="128"/>
      <c r="BG410" s="128"/>
      <c r="BH410" s="128"/>
      <c r="BI410" s="128"/>
      <c r="BJ410" s="128"/>
      <c r="BK410" s="128"/>
      <c r="BL410" s="128"/>
      <c r="BM410" s="128"/>
      <c r="BN410" s="128"/>
      <c r="BO410" s="128"/>
      <c r="BP410" s="128"/>
      <c r="BQ410" s="128"/>
      <c r="BR410" s="128"/>
      <c r="BS410" s="128"/>
      <c r="BT410" s="128"/>
      <c r="BU410" s="128"/>
      <c r="BV410" s="128"/>
      <c r="BW410" s="128"/>
      <c r="BX410" s="128"/>
      <c r="BY410" s="128"/>
      <c r="BZ410" s="128"/>
      <c r="CA410" s="128"/>
      <c r="CB410" s="128"/>
      <c r="CC410" s="128"/>
      <c r="CD410" s="128"/>
      <c r="CE410" s="128"/>
      <c r="CF410" s="128"/>
      <c r="CG410" s="128"/>
      <c r="CH410" s="128"/>
      <c r="CI410" s="128"/>
      <c r="CJ410" s="128"/>
      <c r="CK410" s="128"/>
      <c r="CL410" s="128"/>
      <c r="CM410" s="128"/>
    </row>
    <row r="411" spans="1:91" x14ac:dyDescent="0.2">
      <c r="A411" s="18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8"/>
      <c r="AW411" s="128"/>
      <c r="AX411" s="128"/>
      <c r="AY411" s="128"/>
      <c r="AZ411" s="128"/>
      <c r="BA411" s="128"/>
      <c r="BB411" s="128"/>
      <c r="BC411" s="128"/>
      <c r="BD411" s="128"/>
      <c r="BE411" s="128"/>
      <c r="BF411" s="128"/>
      <c r="BG411" s="128"/>
      <c r="BH411" s="128"/>
      <c r="BI411" s="128"/>
      <c r="BJ411" s="128"/>
      <c r="BK411" s="128"/>
      <c r="BL411" s="128"/>
      <c r="BM411" s="128"/>
      <c r="BN411" s="128"/>
      <c r="BO411" s="128"/>
      <c r="BP411" s="128"/>
      <c r="BQ411" s="128"/>
      <c r="BR411" s="128"/>
      <c r="BS411" s="128"/>
      <c r="BT411" s="128"/>
      <c r="BU411" s="128"/>
      <c r="BV411" s="128"/>
      <c r="BW411" s="128"/>
      <c r="BX411" s="128"/>
      <c r="BY411" s="128"/>
      <c r="BZ411" s="128"/>
      <c r="CA411" s="128"/>
      <c r="CB411" s="128"/>
      <c r="CC411" s="128"/>
      <c r="CD411" s="128"/>
      <c r="CE411" s="128"/>
      <c r="CF411" s="128"/>
      <c r="CG411" s="128"/>
      <c r="CH411" s="128"/>
      <c r="CI411" s="128"/>
      <c r="CJ411" s="128"/>
      <c r="CK411" s="128"/>
      <c r="CL411" s="128"/>
      <c r="CM411" s="128"/>
    </row>
    <row r="412" spans="1:91" x14ac:dyDescent="0.2">
      <c r="A412" s="18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/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8"/>
      <c r="BX412" s="128"/>
      <c r="BY412" s="128"/>
      <c r="BZ412" s="128"/>
      <c r="CA412" s="128"/>
      <c r="CB412" s="128"/>
      <c r="CC412" s="128"/>
      <c r="CD412" s="128"/>
      <c r="CE412" s="128"/>
      <c r="CF412" s="128"/>
      <c r="CG412" s="128"/>
      <c r="CH412" s="128"/>
      <c r="CI412" s="128"/>
      <c r="CJ412" s="128"/>
      <c r="CK412" s="128"/>
      <c r="CL412" s="128"/>
      <c r="CM412" s="128"/>
    </row>
    <row r="413" spans="1:91" x14ac:dyDescent="0.2">
      <c r="A413" s="18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8"/>
      <c r="AZ413" s="128"/>
      <c r="BA413" s="128"/>
      <c r="BB413" s="128"/>
      <c r="BC413" s="128"/>
      <c r="BD413" s="128"/>
      <c r="BE413" s="128"/>
      <c r="BF413" s="128"/>
      <c r="BG413" s="128"/>
      <c r="BH413" s="128"/>
      <c r="BI413" s="128"/>
      <c r="BJ413" s="128"/>
      <c r="BK413" s="128"/>
      <c r="BL413" s="128"/>
      <c r="BM413" s="128"/>
      <c r="BN413" s="128"/>
      <c r="BO413" s="128"/>
      <c r="BP413" s="128"/>
      <c r="BQ413" s="128"/>
      <c r="BR413" s="128"/>
      <c r="BS413" s="128"/>
      <c r="BT413" s="128"/>
      <c r="BU413" s="128"/>
      <c r="BV413" s="128"/>
      <c r="BW413" s="128"/>
      <c r="BX413" s="128"/>
      <c r="BY413" s="128"/>
      <c r="BZ413" s="128"/>
      <c r="CA413" s="128"/>
      <c r="CB413" s="128"/>
      <c r="CC413" s="128"/>
      <c r="CD413" s="128"/>
      <c r="CE413" s="128"/>
      <c r="CF413" s="128"/>
      <c r="CG413" s="128"/>
      <c r="CH413" s="128"/>
      <c r="CI413" s="128"/>
      <c r="CJ413" s="128"/>
      <c r="CK413" s="128"/>
      <c r="CL413" s="128"/>
      <c r="CM413" s="128"/>
    </row>
    <row r="414" spans="1:91" x14ac:dyDescent="0.2">
      <c r="A414" s="18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8"/>
      <c r="AW414" s="128"/>
      <c r="AX414" s="128"/>
      <c r="AY414" s="128"/>
      <c r="AZ414" s="128"/>
      <c r="BA414" s="128"/>
      <c r="BB414" s="128"/>
      <c r="BC414" s="128"/>
      <c r="BD414" s="128"/>
      <c r="BE414" s="128"/>
      <c r="BF414" s="128"/>
      <c r="BG414" s="128"/>
      <c r="BH414" s="128"/>
      <c r="BI414" s="128"/>
      <c r="BJ414" s="128"/>
      <c r="BK414" s="128"/>
      <c r="BL414" s="128"/>
      <c r="BM414" s="128"/>
      <c r="BN414" s="128"/>
      <c r="BO414" s="128"/>
      <c r="BP414" s="128"/>
      <c r="BQ414" s="128"/>
      <c r="BR414" s="128"/>
      <c r="BS414" s="128"/>
      <c r="BT414" s="128"/>
      <c r="BU414" s="128"/>
      <c r="BV414" s="128"/>
      <c r="BW414" s="128"/>
      <c r="BX414" s="128"/>
      <c r="BY414" s="128"/>
      <c r="BZ414" s="128"/>
      <c r="CA414" s="128"/>
      <c r="CB414" s="128"/>
      <c r="CC414" s="128"/>
      <c r="CD414" s="128"/>
      <c r="CE414" s="128"/>
      <c r="CF414" s="128"/>
      <c r="CG414" s="128"/>
      <c r="CH414" s="128"/>
      <c r="CI414" s="128"/>
      <c r="CJ414" s="128"/>
      <c r="CK414" s="128"/>
      <c r="CL414" s="128"/>
      <c r="CM414" s="128"/>
    </row>
    <row r="415" spans="1:91" x14ac:dyDescent="0.2">
      <c r="A415" s="18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AD415" s="128"/>
      <c r="AE415" s="128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8"/>
      <c r="AW415" s="128"/>
      <c r="AX415" s="128"/>
      <c r="AY415" s="128"/>
      <c r="AZ415" s="128"/>
      <c r="BA415" s="128"/>
      <c r="BB415" s="128"/>
      <c r="BC415" s="128"/>
      <c r="BD415" s="128"/>
      <c r="BE415" s="128"/>
      <c r="BF415" s="128"/>
      <c r="BG415" s="128"/>
      <c r="BH415" s="128"/>
      <c r="BI415" s="128"/>
      <c r="BJ415" s="128"/>
      <c r="BK415" s="128"/>
      <c r="BL415" s="128"/>
      <c r="BM415" s="128"/>
      <c r="BN415" s="128"/>
      <c r="BO415" s="128"/>
      <c r="BP415" s="128"/>
      <c r="BQ415" s="128"/>
      <c r="BR415" s="128"/>
      <c r="BS415" s="128"/>
      <c r="BT415" s="128"/>
      <c r="BU415" s="128"/>
      <c r="BV415" s="128"/>
      <c r="BW415" s="128"/>
      <c r="BX415" s="128"/>
      <c r="BY415" s="128"/>
      <c r="BZ415" s="128"/>
      <c r="CA415" s="128"/>
      <c r="CB415" s="128"/>
      <c r="CC415" s="128"/>
      <c r="CD415" s="128"/>
      <c r="CE415" s="128"/>
      <c r="CF415" s="128"/>
      <c r="CG415" s="128"/>
      <c r="CH415" s="128"/>
      <c r="CI415" s="128"/>
      <c r="CJ415" s="128"/>
      <c r="CK415" s="128"/>
      <c r="CL415" s="128"/>
      <c r="CM415" s="128"/>
    </row>
    <row r="416" spans="1:91" x14ac:dyDescent="0.2">
      <c r="A416" s="18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8"/>
      <c r="AZ416" s="128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8"/>
      <c r="BR416" s="128"/>
      <c r="BS416" s="128"/>
      <c r="BT416" s="128"/>
      <c r="BU416" s="128"/>
      <c r="BV416" s="128"/>
      <c r="BW416" s="128"/>
      <c r="BX416" s="128"/>
      <c r="BY416" s="128"/>
      <c r="BZ416" s="128"/>
      <c r="CA416" s="128"/>
      <c r="CB416" s="128"/>
      <c r="CC416" s="128"/>
      <c r="CD416" s="128"/>
      <c r="CE416" s="128"/>
      <c r="CF416" s="128"/>
      <c r="CG416" s="128"/>
      <c r="CH416" s="128"/>
      <c r="CI416" s="128"/>
      <c r="CJ416" s="128"/>
      <c r="CK416" s="128"/>
      <c r="CL416" s="128"/>
      <c r="CM416" s="128"/>
    </row>
    <row r="417" spans="1:91" x14ac:dyDescent="0.2">
      <c r="A417" s="18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8"/>
      <c r="AZ417" s="128"/>
      <c r="BA417" s="128"/>
      <c r="BB417" s="128"/>
      <c r="BC417" s="128"/>
      <c r="BD417" s="128"/>
      <c r="BE417" s="128"/>
      <c r="BF417" s="128"/>
      <c r="BG417" s="128"/>
      <c r="BH417" s="128"/>
      <c r="BI417" s="128"/>
      <c r="BJ417" s="128"/>
      <c r="BK417" s="128"/>
      <c r="BL417" s="128"/>
      <c r="BM417" s="128"/>
      <c r="BN417" s="128"/>
      <c r="BO417" s="128"/>
      <c r="BP417" s="128"/>
      <c r="BQ417" s="128"/>
      <c r="BR417" s="128"/>
      <c r="BS417" s="128"/>
      <c r="BT417" s="128"/>
      <c r="BU417" s="128"/>
      <c r="BV417" s="128"/>
      <c r="BW417" s="128"/>
      <c r="BX417" s="128"/>
      <c r="BY417" s="128"/>
      <c r="BZ417" s="128"/>
      <c r="CA417" s="128"/>
      <c r="CB417" s="128"/>
      <c r="CC417" s="128"/>
      <c r="CD417" s="128"/>
      <c r="CE417" s="128"/>
      <c r="CF417" s="128"/>
      <c r="CG417" s="128"/>
      <c r="CH417" s="128"/>
      <c r="CI417" s="128"/>
      <c r="CJ417" s="128"/>
      <c r="CK417" s="128"/>
      <c r="CL417" s="128"/>
      <c r="CM417" s="128"/>
    </row>
    <row r="418" spans="1:91" x14ac:dyDescent="0.2">
      <c r="A418" s="18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28"/>
      <c r="AY418" s="128"/>
      <c r="AZ418" s="128"/>
      <c r="BA418" s="128"/>
      <c r="BB418" s="128"/>
      <c r="BC418" s="128"/>
      <c r="BD418" s="128"/>
      <c r="BE418" s="128"/>
      <c r="BF418" s="128"/>
      <c r="BG418" s="128"/>
      <c r="BH418" s="128"/>
      <c r="BI418" s="128"/>
      <c r="BJ418" s="128"/>
      <c r="BK418" s="128"/>
      <c r="BL418" s="128"/>
      <c r="BM418" s="128"/>
      <c r="BN418" s="128"/>
      <c r="BO418" s="128"/>
      <c r="BP418" s="128"/>
      <c r="BQ418" s="128"/>
      <c r="BR418" s="128"/>
      <c r="BS418" s="128"/>
      <c r="BT418" s="128"/>
      <c r="BU418" s="128"/>
      <c r="BV418" s="128"/>
      <c r="BW418" s="128"/>
      <c r="BX418" s="128"/>
      <c r="BY418" s="128"/>
      <c r="BZ418" s="128"/>
      <c r="CA418" s="128"/>
      <c r="CB418" s="128"/>
      <c r="CC418" s="128"/>
      <c r="CD418" s="128"/>
      <c r="CE418" s="128"/>
      <c r="CF418" s="128"/>
      <c r="CG418" s="128"/>
      <c r="CH418" s="128"/>
      <c r="CI418" s="128"/>
      <c r="CJ418" s="128"/>
      <c r="CK418" s="128"/>
      <c r="CL418" s="128"/>
      <c r="CM418" s="128"/>
    </row>
    <row r="419" spans="1:91" x14ac:dyDescent="0.2">
      <c r="A419" s="18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28"/>
      <c r="AY419" s="128"/>
      <c r="AZ419" s="128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8"/>
      <c r="BR419" s="128"/>
      <c r="BS419" s="128"/>
      <c r="BT419" s="128"/>
      <c r="BU419" s="128"/>
      <c r="BV419" s="128"/>
      <c r="BW419" s="128"/>
      <c r="BX419" s="128"/>
      <c r="BY419" s="128"/>
      <c r="BZ419" s="128"/>
      <c r="CA419" s="128"/>
      <c r="CB419" s="128"/>
      <c r="CC419" s="128"/>
      <c r="CD419" s="128"/>
      <c r="CE419" s="128"/>
      <c r="CF419" s="128"/>
      <c r="CG419" s="128"/>
      <c r="CH419" s="128"/>
      <c r="CI419" s="128"/>
      <c r="CJ419" s="128"/>
      <c r="CK419" s="128"/>
      <c r="CL419" s="128"/>
      <c r="CM419" s="128"/>
    </row>
    <row r="420" spans="1:91" x14ac:dyDescent="0.2">
      <c r="A420" s="18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AD420" s="128"/>
      <c r="AE420" s="128"/>
      <c r="AF420" s="128"/>
      <c r="AG420" s="12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28"/>
      <c r="AR420" s="128"/>
      <c r="AS420" s="128"/>
      <c r="AT420" s="128"/>
      <c r="AU420" s="128"/>
      <c r="AV420" s="128"/>
      <c r="AW420" s="128"/>
      <c r="AX420" s="128"/>
      <c r="AY420" s="128"/>
      <c r="AZ420" s="128"/>
      <c r="BA420" s="128"/>
      <c r="BB420" s="128"/>
      <c r="BC420" s="128"/>
      <c r="BD420" s="128"/>
      <c r="BE420" s="128"/>
      <c r="BF420" s="128"/>
      <c r="BG420" s="128"/>
      <c r="BH420" s="128"/>
      <c r="BI420" s="128"/>
      <c r="BJ420" s="128"/>
      <c r="BK420" s="128"/>
      <c r="BL420" s="128"/>
      <c r="BM420" s="128"/>
      <c r="BN420" s="128"/>
      <c r="BO420" s="128"/>
      <c r="BP420" s="128"/>
      <c r="BQ420" s="128"/>
      <c r="BR420" s="128"/>
      <c r="BS420" s="128"/>
      <c r="BT420" s="128"/>
      <c r="BU420" s="128"/>
      <c r="BV420" s="128"/>
      <c r="BW420" s="128"/>
      <c r="BX420" s="128"/>
      <c r="BY420" s="128"/>
      <c r="BZ420" s="128"/>
      <c r="CA420" s="128"/>
      <c r="CB420" s="128"/>
      <c r="CC420" s="128"/>
      <c r="CD420" s="128"/>
      <c r="CE420" s="128"/>
      <c r="CF420" s="128"/>
      <c r="CG420" s="128"/>
      <c r="CH420" s="128"/>
      <c r="CI420" s="128"/>
      <c r="CJ420" s="128"/>
      <c r="CK420" s="128"/>
      <c r="CL420" s="128"/>
      <c r="CM420" s="128"/>
    </row>
    <row r="421" spans="1:91" x14ac:dyDescent="0.2">
      <c r="A421" s="18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8"/>
      <c r="AZ421" s="128"/>
      <c r="BA421" s="128"/>
      <c r="BB421" s="128"/>
      <c r="BC421" s="128"/>
      <c r="BD421" s="128"/>
      <c r="BE421" s="128"/>
      <c r="BF421" s="128"/>
      <c r="BG421" s="128"/>
      <c r="BH421" s="128"/>
      <c r="BI421" s="128"/>
      <c r="BJ421" s="128"/>
      <c r="BK421" s="128"/>
      <c r="BL421" s="128"/>
      <c r="BM421" s="128"/>
      <c r="BN421" s="128"/>
      <c r="BO421" s="128"/>
      <c r="BP421" s="128"/>
      <c r="BQ421" s="128"/>
      <c r="BR421" s="128"/>
      <c r="BS421" s="128"/>
      <c r="BT421" s="128"/>
      <c r="BU421" s="128"/>
      <c r="BV421" s="128"/>
      <c r="BW421" s="128"/>
      <c r="BX421" s="128"/>
      <c r="BY421" s="128"/>
      <c r="BZ421" s="128"/>
      <c r="CA421" s="128"/>
      <c r="CB421" s="128"/>
      <c r="CC421" s="128"/>
      <c r="CD421" s="128"/>
      <c r="CE421" s="128"/>
      <c r="CF421" s="128"/>
      <c r="CG421" s="128"/>
      <c r="CH421" s="128"/>
      <c r="CI421" s="128"/>
      <c r="CJ421" s="128"/>
      <c r="CK421" s="128"/>
      <c r="CL421" s="128"/>
      <c r="CM421" s="128"/>
    </row>
    <row r="422" spans="1:91" x14ac:dyDescent="0.2">
      <c r="A422" s="18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8"/>
      <c r="AW422" s="128"/>
      <c r="AX422" s="128"/>
      <c r="AY422" s="128"/>
      <c r="AZ422" s="128"/>
      <c r="BA422" s="128"/>
      <c r="BB422" s="128"/>
      <c r="BC422" s="128"/>
      <c r="BD422" s="128"/>
      <c r="BE422" s="128"/>
      <c r="BF422" s="128"/>
      <c r="BG422" s="128"/>
      <c r="BH422" s="128"/>
      <c r="BI422" s="128"/>
      <c r="BJ422" s="128"/>
      <c r="BK422" s="128"/>
      <c r="BL422" s="128"/>
      <c r="BM422" s="128"/>
      <c r="BN422" s="128"/>
      <c r="BO422" s="128"/>
      <c r="BP422" s="128"/>
      <c r="BQ422" s="128"/>
      <c r="BR422" s="128"/>
      <c r="BS422" s="128"/>
      <c r="BT422" s="128"/>
      <c r="BU422" s="128"/>
      <c r="BV422" s="128"/>
      <c r="BW422" s="128"/>
      <c r="BX422" s="128"/>
      <c r="BY422" s="128"/>
      <c r="BZ422" s="128"/>
      <c r="CA422" s="128"/>
      <c r="CB422" s="128"/>
      <c r="CC422" s="128"/>
      <c r="CD422" s="128"/>
      <c r="CE422" s="128"/>
      <c r="CF422" s="128"/>
      <c r="CG422" s="128"/>
      <c r="CH422" s="128"/>
      <c r="CI422" s="128"/>
      <c r="CJ422" s="128"/>
      <c r="CK422" s="128"/>
      <c r="CL422" s="128"/>
      <c r="CM422" s="128"/>
    </row>
    <row r="423" spans="1:91" x14ac:dyDescent="0.2">
      <c r="A423" s="18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28"/>
      <c r="BG423" s="128"/>
      <c r="BH423" s="128"/>
      <c r="BI423" s="128"/>
      <c r="BJ423" s="128"/>
      <c r="BK423" s="128"/>
      <c r="BL423" s="128"/>
      <c r="BM423" s="128"/>
      <c r="BN423" s="128"/>
      <c r="BO423" s="128"/>
      <c r="BP423" s="128"/>
      <c r="BQ423" s="128"/>
      <c r="BR423" s="128"/>
      <c r="BS423" s="128"/>
      <c r="BT423" s="128"/>
      <c r="BU423" s="128"/>
      <c r="BV423" s="128"/>
      <c r="BW423" s="128"/>
      <c r="BX423" s="128"/>
      <c r="BY423" s="128"/>
      <c r="BZ423" s="128"/>
      <c r="CA423" s="128"/>
      <c r="CB423" s="128"/>
      <c r="CC423" s="128"/>
      <c r="CD423" s="128"/>
      <c r="CE423" s="128"/>
      <c r="CF423" s="128"/>
      <c r="CG423" s="128"/>
      <c r="CH423" s="128"/>
      <c r="CI423" s="128"/>
      <c r="CJ423" s="128"/>
      <c r="CK423" s="128"/>
      <c r="CL423" s="128"/>
      <c r="CM423" s="128"/>
    </row>
    <row r="424" spans="1:91" x14ac:dyDescent="0.2">
      <c r="A424" s="18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  <c r="BE424" s="128"/>
      <c r="BF424" s="128"/>
      <c r="BG424" s="128"/>
      <c r="BH424" s="128"/>
      <c r="BI424" s="128"/>
      <c r="BJ424" s="128"/>
      <c r="BK424" s="128"/>
      <c r="BL424" s="128"/>
      <c r="BM424" s="128"/>
      <c r="BN424" s="128"/>
      <c r="BO424" s="128"/>
      <c r="BP424" s="128"/>
      <c r="BQ424" s="128"/>
      <c r="BR424" s="128"/>
      <c r="BS424" s="128"/>
      <c r="BT424" s="128"/>
      <c r="BU424" s="128"/>
      <c r="BV424" s="128"/>
      <c r="BW424" s="128"/>
      <c r="BX424" s="128"/>
      <c r="BY424" s="128"/>
      <c r="BZ424" s="128"/>
      <c r="CA424" s="128"/>
      <c r="CB424" s="128"/>
      <c r="CC424" s="128"/>
      <c r="CD424" s="128"/>
      <c r="CE424" s="128"/>
      <c r="CF424" s="128"/>
      <c r="CG424" s="128"/>
      <c r="CH424" s="128"/>
      <c r="CI424" s="128"/>
      <c r="CJ424" s="128"/>
      <c r="CK424" s="128"/>
      <c r="CL424" s="128"/>
      <c r="CM424" s="128"/>
    </row>
    <row r="425" spans="1:91" x14ac:dyDescent="0.2">
      <c r="A425" s="18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8"/>
      <c r="AT425" s="128"/>
      <c r="AU425" s="128"/>
      <c r="AV425" s="128"/>
      <c r="AW425" s="128"/>
      <c r="AX425" s="128"/>
      <c r="AY425" s="128"/>
      <c r="AZ425" s="128"/>
      <c r="BA425" s="128"/>
      <c r="BB425" s="128"/>
      <c r="BC425" s="128"/>
      <c r="BD425" s="128"/>
      <c r="BE425" s="128"/>
      <c r="BF425" s="128"/>
      <c r="BG425" s="128"/>
      <c r="BH425" s="128"/>
      <c r="BI425" s="128"/>
      <c r="BJ425" s="128"/>
      <c r="BK425" s="128"/>
      <c r="BL425" s="128"/>
      <c r="BM425" s="128"/>
      <c r="BN425" s="128"/>
      <c r="BO425" s="128"/>
      <c r="BP425" s="128"/>
      <c r="BQ425" s="128"/>
      <c r="BR425" s="128"/>
      <c r="BS425" s="128"/>
      <c r="BT425" s="128"/>
      <c r="BU425" s="128"/>
      <c r="BV425" s="128"/>
      <c r="BW425" s="128"/>
      <c r="BX425" s="128"/>
      <c r="BY425" s="128"/>
      <c r="BZ425" s="128"/>
      <c r="CA425" s="128"/>
      <c r="CB425" s="128"/>
      <c r="CC425" s="128"/>
      <c r="CD425" s="128"/>
      <c r="CE425" s="128"/>
      <c r="CF425" s="128"/>
      <c r="CG425" s="128"/>
      <c r="CH425" s="128"/>
      <c r="CI425" s="128"/>
      <c r="CJ425" s="128"/>
      <c r="CK425" s="128"/>
      <c r="CL425" s="128"/>
      <c r="CM425" s="128"/>
    </row>
    <row r="426" spans="1:91" x14ac:dyDescent="0.2">
      <c r="A426" s="18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  <c r="AS426" s="128"/>
      <c r="AT426" s="128"/>
      <c r="AU426" s="128"/>
      <c r="AV426" s="128"/>
      <c r="AW426" s="128"/>
      <c r="AX426" s="128"/>
      <c r="AY426" s="128"/>
      <c r="AZ426" s="128"/>
      <c r="BA426" s="128"/>
      <c r="BB426" s="128"/>
      <c r="BC426" s="128"/>
      <c r="BD426" s="128"/>
      <c r="BE426" s="128"/>
      <c r="BF426" s="128"/>
      <c r="BG426" s="128"/>
      <c r="BH426" s="128"/>
      <c r="BI426" s="128"/>
      <c r="BJ426" s="128"/>
      <c r="BK426" s="128"/>
      <c r="BL426" s="128"/>
      <c r="BM426" s="128"/>
      <c r="BN426" s="128"/>
      <c r="BO426" s="128"/>
      <c r="BP426" s="128"/>
      <c r="BQ426" s="128"/>
      <c r="BR426" s="128"/>
      <c r="BS426" s="128"/>
      <c r="BT426" s="128"/>
      <c r="BU426" s="128"/>
      <c r="BV426" s="128"/>
      <c r="BW426" s="128"/>
      <c r="BX426" s="128"/>
      <c r="BY426" s="128"/>
      <c r="BZ426" s="128"/>
      <c r="CA426" s="128"/>
      <c r="CB426" s="128"/>
      <c r="CC426" s="128"/>
      <c r="CD426" s="128"/>
      <c r="CE426" s="128"/>
      <c r="CF426" s="128"/>
      <c r="CG426" s="128"/>
      <c r="CH426" s="128"/>
      <c r="CI426" s="128"/>
      <c r="CJ426" s="128"/>
      <c r="CK426" s="128"/>
      <c r="CL426" s="128"/>
      <c r="CM426" s="128"/>
    </row>
    <row r="427" spans="1:91" x14ac:dyDescent="0.2">
      <c r="A427" s="18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  <c r="BE427" s="128"/>
      <c r="BF427" s="128"/>
      <c r="BG427" s="128"/>
      <c r="BH427" s="128"/>
      <c r="BI427" s="128"/>
      <c r="BJ427" s="128"/>
      <c r="BK427" s="128"/>
      <c r="BL427" s="128"/>
      <c r="BM427" s="128"/>
      <c r="BN427" s="128"/>
      <c r="BO427" s="128"/>
      <c r="BP427" s="128"/>
      <c r="BQ427" s="128"/>
      <c r="BR427" s="128"/>
      <c r="BS427" s="128"/>
      <c r="BT427" s="128"/>
      <c r="BU427" s="128"/>
      <c r="BV427" s="128"/>
      <c r="BW427" s="128"/>
      <c r="BX427" s="128"/>
      <c r="BY427" s="128"/>
      <c r="BZ427" s="128"/>
      <c r="CA427" s="128"/>
      <c r="CB427" s="128"/>
      <c r="CC427" s="128"/>
      <c r="CD427" s="128"/>
      <c r="CE427" s="128"/>
      <c r="CF427" s="128"/>
      <c r="CG427" s="128"/>
      <c r="CH427" s="128"/>
      <c r="CI427" s="128"/>
      <c r="CJ427" s="128"/>
      <c r="CK427" s="128"/>
      <c r="CL427" s="128"/>
      <c r="CM427" s="128"/>
    </row>
    <row r="428" spans="1:91" x14ac:dyDescent="0.2">
      <c r="A428" s="18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  <c r="BE428" s="128"/>
      <c r="BF428" s="128"/>
      <c r="BG428" s="128"/>
      <c r="BH428" s="128"/>
      <c r="BI428" s="128"/>
      <c r="BJ428" s="128"/>
      <c r="BK428" s="128"/>
      <c r="BL428" s="128"/>
      <c r="BM428" s="128"/>
      <c r="BN428" s="128"/>
      <c r="BO428" s="128"/>
      <c r="BP428" s="128"/>
      <c r="BQ428" s="128"/>
      <c r="BR428" s="128"/>
      <c r="BS428" s="128"/>
      <c r="BT428" s="128"/>
      <c r="BU428" s="128"/>
      <c r="BV428" s="128"/>
      <c r="BW428" s="128"/>
      <c r="BX428" s="128"/>
      <c r="BY428" s="128"/>
      <c r="BZ428" s="128"/>
      <c r="CA428" s="128"/>
      <c r="CB428" s="128"/>
      <c r="CC428" s="128"/>
      <c r="CD428" s="128"/>
      <c r="CE428" s="128"/>
      <c r="CF428" s="128"/>
      <c r="CG428" s="128"/>
      <c r="CH428" s="128"/>
      <c r="CI428" s="128"/>
      <c r="CJ428" s="128"/>
      <c r="CK428" s="128"/>
      <c r="CL428" s="128"/>
      <c r="CM428" s="128"/>
    </row>
    <row r="429" spans="1:91" x14ac:dyDescent="0.2">
      <c r="A429" s="18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8"/>
      <c r="BC429" s="128"/>
      <c r="BD429" s="128"/>
      <c r="BE429" s="128"/>
      <c r="BF429" s="128"/>
      <c r="BG429" s="128"/>
      <c r="BH429" s="128"/>
      <c r="BI429" s="128"/>
      <c r="BJ429" s="128"/>
      <c r="BK429" s="128"/>
      <c r="BL429" s="128"/>
      <c r="BM429" s="128"/>
      <c r="BN429" s="128"/>
      <c r="BO429" s="128"/>
      <c r="BP429" s="128"/>
      <c r="BQ429" s="128"/>
      <c r="BR429" s="128"/>
      <c r="BS429" s="128"/>
      <c r="BT429" s="128"/>
      <c r="BU429" s="128"/>
      <c r="BV429" s="128"/>
      <c r="BW429" s="128"/>
      <c r="BX429" s="128"/>
      <c r="BY429" s="128"/>
      <c r="BZ429" s="128"/>
      <c r="CA429" s="128"/>
      <c r="CB429" s="128"/>
      <c r="CC429" s="128"/>
      <c r="CD429" s="128"/>
      <c r="CE429" s="128"/>
      <c r="CF429" s="128"/>
      <c r="CG429" s="128"/>
      <c r="CH429" s="128"/>
      <c r="CI429" s="128"/>
      <c r="CJ429" s="128"/>
      <c r="CK429" s="128"/>
      <c r="CL429" s="128"/>
      <c r="CM429" s="128"/>
    </row>
    <row r="430" spans="1:91" x14ac:dyDescent="0.2">
      <c r="A430" s="18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8"/>
      <c r="BC430" s="128"/>
      <c r="BD430" s="128"/>
      <c r="BE430" s="128"/>
      <c r="BF430" s="128"/>
      <c r="BG430" s="128"/>
      <c r="BH430" s="128"/>
      <c r="BI430" s="128"/>
      <c r="BJ430" s="128"/>
      <c r="BK430" s="128"/>
      <c r="BL430" s="128"/>
      <c r="BM430" s="128"/>
      <c r="BN430" s="128"/>
      <c r="BO430" s="128"/>
      <c r="BP430" s="128"/>
      <c r="BQ430" s="128"/>
      <c r="BR430" s="128"/>
      <c r="BS430" s="128"/>
      <c r="BT430" s="128"/>
      <c r="BU430" s="128"/>
      <c r="BV430" s="128"/>
      <c r="BW430" s="128"/>
      <c r="BX430" s="128"/>
      <c r="BY430" s="128"/>
      <c r="BZ430" s="128"/>
      <c r="CA430" s="128"/>
      <c r="CB430" s="128"/>
      <c r="CC430" s="128"/>
      <c r="CD430" s="128"/>
      <c r="CE430" s="128"/>
      <c r="CF430" s="128"/>
      <c r="CG430" s="128"/>
      <c r="CH430" s="128"/>
      <c r="CI430" s="128"/>
      <c r="CJ430" s="128"/>
      <c r="CK430" s="128"/>
      <c r="CL430" s="128"/>
      <c r="CM430" s="128"/>
    </row>
    <row r="431" spans="1:91" x14ac:dyDescent="0.2">
      <c r="A431" s="18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  <c r="BE431" s="128"/>
      <c r="BF431" s="128"/>
      <c r="BG431" s="128"/>
      <c r="BH431" s="128"/>
      <c r="BI431" s="128"/>
      <c r="BJ431" s="128"/>
      <c r="BK431" s="128"/>
      <c r="BL431" s="128"/>
      <c r="BM431" s="128"/>
      <c r="BN431" s="128"/>
      <c r="BO431" s="128"/>
      <c r="BP431" s="128"/>
      <c r="BQ431" s="128"/>
      <c r="BR431" s="128"/>
      <c r="BS431" s="128"/>
      <c r="BT431" s="128"/>
      <c r="BU431" s="128"/>
      <c r="BV431" s="128"/>
      <c r="BW431" s="128"/>
      <c r="BX431" s="128"/>
      <c r="BY431" s="128"/>
      <c r="BZ431" s="128"/>
      <c r="CA431" s="128"/>
      <c r="CB431" s="128"/>
      <c r="CC431" s="128"/>
      <c r="CD431" s="128"/>
      <c r="CE431" s="128"/>
      <c r="CF431" s="128"/>
      <c r="CG431" s="128"/>
      <c r="CH431" s="128"/>
      <c r="CI431" s="128"/>
      <c r="CJ431" s="128"/>
      <c r="CK431" s="128"/>
      <c r="CL431" s="128"/>
      <c r="CM431" s="128"/>
    </row>
    <row r="432" spans="1:91" x14ac:dyDescent="0.2">
      <c r="A432" s="18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8"/>
      <c r="BC432" s="128"/>
      <c r="BD432" s="128"/>
      <c r="BE432" s="128"/>
      <c r="BF432" s="128"/>
      <c r="BG432" s="128"/>
      <c r="BH432" s="128"/>
      <c r="BI432" s="128"/>
      <c r="BJ432" s="128"/>
      <c r="BK432" s="128"/>
      <c r="BL432" s="128"/>
      <c r="BM432" s="128"/>
      <c r="BN432" s="128"/>
      <c r="BO432" s="128"/>
      <c r="BP432" s="128"/>
      <c r="BQ432" s="128"/>
      <c r="BR432" s="128"/>
      <c r="BS432" s="128"/>
      <c r="BT432" s="128"/>
      <c r="BU432" s="128"/>
      <c r="BV432" s="128"/>
      <c r="BW432" s="128"/>
      <c r="BX432" s="128"/>
      <c r="BY432" s="128"/>
      <c r="BZ432" s="128"/>
      <c r="CA432" s="128"/>
      <c r="CB432" s="128"/>
      <c r="CC432" s="128"/>
      <c r="CD432" s="128"/>
      <c r="CE432" s="128"/>
      <c r="CF432" s="128"/>
      <c r="CG432" s="128"/>
      <c r="CH432" s="128"/>
      <c r="CI432" s="128"/>
      <c r="CJ432" s="128"/>
      <c r="CK432" s="128"/>
      <c r="CL432" s="128"/>
      <c r="CM432" s="128"/>
    </row>
    <row r="433" spans="1:91" x14ac:dyDescent="0.2">
      <c r="A433" s="18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8"/>
      <c r="BC433" s="128"/>
      <c r="BD433" s="128"/>
      <c r="BE433" s="128"/>
      <c r="BF433" s="128"/>
      <c r="BG433" s="128"/>
      <c r="BH433" s="128"/>
      <c r="BI433" s="128"/>
      <c r="BJ433" s="128"/>
      <c r="BK433" s="128"/>
      <c r="BL433" s="128"/>
      <c r="BM433" s="128"/>
      <c r="BN433" s="128"/>
      <c r="BO433" s="128"/>
      <c r="BP433" s="128"/>
      <c r="BQ433" s="128"/>
      <c r="BR433" s="128"/>
      <c r="BS433" s="128"/>
      <c r="BT433" s="128"/>
      <c r="BU433" s="128"/>
      <c r="BV433" s="128"/>
      <c r="BW433" s="128"/>
      <c r="BX433" s="128"/>
      <c r="BY433" s="128"/>
      <c r="BZ433" s="128"/>
      <c r="CA433" s="128"/>
      <c r="CB433" s="128"/>
      <c r="CC433" s="128"/>
      <c r="CD433" s="128"/>
      <c r="CE433" s="128"/>
      <c r="CF433" s="128"/>
      <c r="CG433" s="128"/>
      <c r="CH433" s="128"/>
      <c r="CI433" s="128"/>
      <c r="CJ433" s="128"/>
      <c r="CK433" s="128"/>
      <c r="CL433" s="128"/>
      <c r="CM433" s="128"/>
    </row>
    <row r="434" spans="1:91" x14ac:dyDescent="0.2">
      <c r="A434" s="18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AD434" s="128"/>
      <c r="AE434" s="128"/>
      <c r="AF434" s="128"/>
      <c r="AG434" s="128"/>
      <c r="AH434" s="128"/>
      <c r="AI434" s="128"/>
      <c r="AJ434" s="128"/>
      <c r="AK434" s="128"/>
      <c r="AL434" s="128"/>
      <c r="AM434" s="128"/>
      <c r="AN434" s="128"/>
      <c r="AO434" s="128"/>
      <c r="AP434" s="128"/>
      <c r="AQ434" s="128"/>
      <c r="AR434" s="128"/>
      <c r="AS434" s="128"/>
      <c r="AT434" s="128"/>
      <c r="AU434" s="128"/>
      <c r="AV434" s="128"/>
      <c r="AW434" s="128"/>
      <c r="AX434" s="128"/>
      <c r="AY434" s="128"/>
      <c r="AZ434" s="128"/>
      <c r="BA434" s="128"/>
      <c r="BB434" s="128"/>
      <c r="BC434" s="128"/>
      <c r="BD434" s="128"/>
      <c r="BE434" s="128"/>
      <c r="BF434" s="128"/>
      <c r="BG434" s="128"/>
      <c r="BH434" s="128"/>
      <c r="BI434" s="128"/>
      <c r="BJ434" s="128"/>
      <c r="BK434" s="128"/>
      <c r="BL434" s="128"/>
      <c r="BM434" s="128"/>
      <c r="BN434" s="128"/>
      <c r="BO434" s="128"/>
      <c r="BP434" s="128"/>
      <c r="BQ434" s="128"/>
      <c r="BR434" s="128"/>
      <c r="BS434" s="128"/>
      <c r="BT434" s="128"/>
      <c r="BU434" s="128"/>
      <c r="BV434" s="128"/>
      <c r="BW434" s="128"/>
      <c r="BX434" s="128"/>
      <c r="BY434" s="128"/>
      <c r="BZ434" s="128"/>
      <c r="CA434" s="128"/>
      <c r="CB434" s="128"/>
      <c r="CC434" s="128"/>
      <c r="CD434" s="128"/>
      <c r="CE434" s="128"/>
      <c r="CF434" s="128"/>
      <c r="CG434" s="128"/>
      <c r="CH434" s="128"/>
      <c r="CI434" s="128"/>
      <c r="CJ434" s="128"/>
      <c r="CK434" s="128"/>
      <c r="CL434" s="128"/>
      <c r="CM434" s="128"/>
    </row>
    <row r="435" spans="1:91" x14ac:dyDescent="0.2">
      <c r="A435" s="18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AD435" s="128"/>
      <c r="AE435" s="128"/>
      <c r="AF435" s="128"/>
      <c r="AG435" s="128"/>
      <c r="AH435" s="128"/>
      <c r="AI435" s="128"/>
      <c r="AJ435" s="128"/>
      <c r="AK435" s="128"/>
      <c r="AL435" s="128"/>
      <c r="AM435" s="128"/>
      <c r="AN435" s="128"/>
      <c r="AO435" s="128"/>
      <c r="AP435" s="128"/>
      <c r="AQ435" s="128"/>
      <c r="AR435" s="128"/>
      <c r="AS435" s="128"/>
      <c r="AT435" s="128"/>
      <c r="AU435" s="128"/>
      <c r="AV435" s="128"/>
      <c r="AW435" s="128"/>
      <c r="AX435" s="128"/>
      <c r="AY435" s="128"/>
      <c r="AZ435" s="128"/>
      <c r="BA435" s="128"/>
      <c r="BB435" s="128"/>
      <c r="BC435" s="128"/>
      <c r="BD435" s="128"/>
      <c r="BE435" s="128"/>
      <c r="BF435" s="128"/>
      <c r="BG435" s="128"/>
      <c r="BH435" s="128"/>
      <c r="BI435" s="128"/>
      <c r="BJ435" s="128"/>
      <c r="BK435" s="128"/>
      <c r="BL435" s="128"/>
      <c r="BM435" s="128"/>
      <c r="BN435" s="128"/>
      <c r="BO435" s="128"/>
      <c r="BP435" s="128"/>
      <c r="BQ435" s="128"/>
      <c r="BR435" s="128"/>
      <c r="BS435" s="128"/>
      <c r="BT435" s="128"/>
      <c r="BU435" s="128"/>
      <c r="BV435" s="128"/>
      <c r="BW435" s="128"/>
      <c r="BX435" s="128"/>
      <c r="BY435" s="128"/>
      <c r="BZ435" s="128"/>
      <c r="CA435" s="128"/>
      <c r="CB435" s="128"/>
      <c r="CC435" s="128"/>
      <c r="CD435" s="128"/>
      <c r="CE435" s="128"/>
      <c r="CF435" s="128"/>
      <c r="CG435" s="128"/>
      <c r="CH435" s="128"/>
      <c r="CI435" s="128"/>
      <c r="CJ435" s="128"/>
      <c r="CK435" s="128"/>
      <c r="CL435" s="128"/>
      <c r="CM435" s="128"/>
    </row>
    <row r="436" spans="1:91" x14ac:dyDescent="0.2">
      <c r="A436" s="18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  <c r="AS436" s="128"/>
      <c r="AT436" s="128"/>
      <c r="AU436" s="128"/>
      <c r="AV436" s="128"/>
      <c r="AW436" s="128"/>
      <c r="AX436" s="128"/>
      <c r="AY436" s="128"/>
      <c r="AZ436" s="128"/>
      <c r="BA436" s="128"/>
      <c r="BB436" s="128"/>
      <c r="BC436" s="128"/>
      <c r="BD436" s="128"/>
      <c r="BE436" s="128"/>
      <c r="BF436" s="128"/>
      <c r="BG436" s="128"/>
      <c r="BH436" s="128"/>
      <c r="BI436" s="128"/>
      <c r="BJ436" s="128"/>
      <c r="BK436" s="128"/>
      <c r="BL436" s="128"/>
      <c r="BM436" s="128"/>
      <c r="BN436" s="128"/>
      <c r="BO436" s="128"/>
      <c r="BP436" s="128"/>
      <c r="BQ436" s="128"/>
      <c r="BR436" s="128"/>
      <c r="BS436" s="128"/>
      <c r="BT436" s="128"/>
      <c r="BU436" s="128"/>
      <c r="BV436" s="128"/>
      <c r="BW436" s="128"/>
      <c r="BX436" s="128"/>
      <c r="BY436" s="128"/>
      <c r="BZ436" s="128"/>
      <c r="CA436" s="128"/>
      <c r="CB436" s="128"/>
      <c r="CC436" s="128"/>
      <c r="CD436" s="128"/>
      <c r="CE436" s="128"/>
      <c r="CF436" s="128"/>
      <c r="CG436" s="128"/>
      <c r="CH436" s="128"/>
      <c r="CI436" s="128"/>
      <c r="CJ436" s="128"/>
      <c r="CK436" s="128"/>
      <c r="CL436" s="128"/>
      <c r="CM436" s="128"/>
    </row>
    <row r="437" spans="1:91" x14ac:dyDescent="0.2">
      <c r="A437" s="18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AD437" s="128"/>
      <c r="AE437" s="128"/>
      <c r="AF437" s="128"/>
      <c r="AG437" s="128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8"/>
      <c r="AS437" s="128"/>
      <c r="AT437" s="128"/>
      <c r="AU437" s="128"/>
      <c r="AV437" s="128"/>
      <c r="AW437" s="128"/>
      <c r="AX437" s="128"/>
      <c r="AY437" s="128"/>
      <c r="AZ437" s="128"/>
      <c r="BA437" s="128"/>
      <c r="BB437" s="128"/>
      <c r="BC437" s="128"/>
      <c r="BD437" s="128"/>
      <c r="BE437" s="128"/>
      <c r="BF437" s="128"/>
      <c r="BG437" s="128"/>
      <c r="BH437" s="128"/>
      <c r="BI437" s="128"/>
      <c r="BJ437" s="128"/>
      <c r="BK437" s="128"/>
      <c r="BL437" s="128"/>
      <c r="BM437" s="128"/>
      <c r="BN437" s="128"/>
      <c r="BO437" s="128"/>
      <c r="BP437" s="128"/>
      <c r="BQ437" s="128"/>
      <c r="BR437" s="128"/>
      <c r="BS437" s="128"/>
      <c r="BT437" s="128"/>
      <c r="BU437" s="128"/>
      <c r="BV437" s="128"/>
      <c r="BW437" s="128"/>
      <c r="BX437" s="128"/>
      <c r="BY437" s="128"/>
      <c r="BZ437" s="128"/>
      <c r="CA437" s="128"/>
      <c r="CB437" s="128"/>
      <c r="CC437" s="128"/>
      <c r="CD437" s="128"/>
      <c r="CE437" s="128"/>
      <c r="CF437" s="128"/>
      <c r="CG437" s="128"/>
      <c r="CH437" s="128"/>
      <c r="CI437" s="128"/>
      <c r="CJ437" s="128"/>
      <c r="CK437" s="128"/>
      <c r="CL437" s="128"/>
      <c r="CM437" s="128"/>
    </row>
    <row r="438" spans="1:91" x14ac:dyDescent="0.2">
      <c r="A438" s="18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/>
      <c r="BH438" s="128"/>
      <c r="BI438" s="128"/>
      <c r="BJ438" s="128"/>
      <c r="BK438" s="128"/>
      <c r="BL438" s="128"/>
      <c r="BM438" s="128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  <c r="BZ438" s="128"/>
      <c r="CA438" s="128"/>
      <c r="CB438" s="128"/>
      <c r="CC438" s="128"/>
      <c r="CD438" s="128"/>
      <c r="CE438" s="128"/>
      <c r="CF438" s="128"/>
      <c r="CG438" s="128"/>
      <c r="CH438" s="128"/>
      <c r="CI438" s="128"/>
      <c r="CJ438" s="128"/>
      <c r="CK438" s="128"/>
      <c r="CL438" s="128"/>
      <c r="CM438" s="128"/>
    </row>
    <row r="439" spans="1:91" x14ac:dyDescent="0.2">
      <c r="A439" s="18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28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/>
      <c r="BZ439" s="128"/>
      <c r="CA439" s="128"/>
      <c r="CB439" s="128"/>
      <c r="CC439" s="128"/>
      <c r="CD439" s="128"/>
      <c r="CE439" s="128"/>
      <c r="CF439" s="128"/>
      <c r="CG439" s="128"/>
      <c r="CH439" s="128"/>
      <c r="CI439" s="128"/>
      <c r="CJ439" s="128"/>
      <c r="CK439" s="128"/>
      <c r="CL439" s="128"/>
      <c r="CM439" s="128"/>
    </row>
    <row r="440" spans="1:91" x14ac:dyDescent="0.2">
      <c r="A440" s="18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  <c r="AS440" s="128"/>
      <c r="AT440" s="128"/>
      <c r="AU440" s="128"/>
      <c r="AV440" s="128"/>
      <c r="AW440" s="128"/>
      <c r="AX440" s="128"/>
      <c r="AY440" s="128"/>
      <c r="AZ440" s="128"/>
      <c r="BA440" s="128"/>
      <c r="BB440" s="128"/>
      <c r="BC440" s="128"/>
      <c r="BD440" s="128"/>
      <c r="BE440" s="128"/>
      <c r="BF440" s="128"/>
      <c r="BG440" s="128"/>
      <c r="BH440" s="128"/>
      <c r="BI440" s="128"/>
      <c r="BJ440" s="128"/>
      <c r="BK440" s="128"/>
      <c r="BL440" s="128"/>
      <c r="BM440" s="128"/>
      <c r="BN440" s="128"/>
      <c r="BO440" s="128"/>
      <c r="BP440" s="128"/>
      <c r="BQ440" s="128"/>
      <c r="BR440" s="128"/>
      <c r="BS440" s="128"/>
      <c r="BT440" s="128"/>
      <c r="BU440" s="128"/>
      <c r="BV440" s="128"/>
      <c r="BW440" s="128"/>
      <c r="BX440" s="128"/>
      <c r="BY440" s="128"/>
      <c r="BZ440" s="128"/>
      <c r="CA440" s="128"/>
      <c r="CB440" s="128"/>
      <c r="CC440" s="128"/>
      <c r="CD440" s="128"/>
      <c r="CE440" s="128"/>
      <c r="CF440" s="128"/>
      <c r="CG440" s="128"/>
      <c r="CH440" s="128"/>
      <c r="CI440" s="128"/>
      <c r="CJ440" s="128"/>
      <c r="CK440" s="128"/>
      <c r="CL440" s="128"/>
      <c r="CM440" s="128"/>
    </row>
    <row r="441" spans="1:91" x14ac:dyDescent="0.2">
      <c r="A441" s="18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AD441" s="128"/>
      <c r="AE441" s="128"/>
      <c r="AF441" s="128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28"/>
      <c r="AR441" s="128"/>
      <c r="AS441" s="128"/>
      <c r="AT441" s="128"/>
      <c r="AU441" s="128"/>
      <c r="AV441" s="128"/>
      <c r="AW441" s="128"/>
      <c r="AX441" s="128"/>
      <c r="AY441" s="128"/>
      <c r="AZ441" s="128"/>
      <c r="BA441" s="128"/>
      <c r="BB441" s="128"/>
      <c r="BC441" s="128"/>
      <c r="BD441" s="128"/>
      <c r="BE441" s="128"/>
      <c r="BF441" s="128"/>
      <c r="BG441" s="128"/>
      <c r="BH441" s="128"/>
      <c r="BI441" s="128"/>
      <c r="BJ441" s="128"/>
      <c r="BK441" s="128"/>
      <c r="BL441" s="128"/>
      <c r="BM441" s="128"/>
      <c r="BN441" s="128"/>
      <c r="BO441" s="128"/>
      <c r="BP441" s="128"/>
      <c r="BQ441" s="128"/>
      <c r="BR441" s="128"/>
      <c r="BS441" s="128"/>
      <c r="BT441" s="128"/>
      <c r="BU441" s="128"/>
      <c r="BV441" s="128"/>
      <c r="BW441" s="128"/>
      <c r="BX441" s="128"/>
      <c r="BY441" s="128"/>
      <c r="BZ441" s="128"/>
      <c r="CA441" s="128"/>
      <c r="CB441" s="128"/>
      <c r="CC441" s="128"/>
      <c r="CD441" s="128"/>
      <c r="CE441" s="128"/>
      <c r="CF441" s="128"/>
      <c r="CG441" s="128"/>
      <c r="CH441" s="128"/>
      <c r="CI441" s="128"/>
      <c r="CJ441" s="128"/>
      <c r="CK441" s="128"/>
      <c r="CL441" s="128"/>
      <c r="CM441" s="128"/>
    </row>
    <row r="442" spans="1:91" x14ac:dyDescent="0.2">
      <c r="A442" s="18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AD442" s="128"/>
      <c r="AE442" s="128"/>
      <c r="AF442" s="128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  <c r="AS442" s="128"/>
      <c r="AT442" s="128"/>
      <c r="AU442" s="128"/>
      <c r="AV442" s="128"/>
      <c r="AW442" s="128"/>
      <c r="AX442" s="128"/>
      <c r="AY442" s="128"/>
      <c r="AZ442" s="128"/>
      <c r="BA442" s="128"/>
      <c r="BB442" s="128"/>
      <c r="BC442" s="128"/>
      <c r="BD442" s="128"/>
      <c r="BE442" s="128"/>
      <c r="BF442" s="128"/>
      <c r="BG442" s="128"/>
      <c r="BH442" s="128"/>
      <c r="BI442" s="128"/>
      <c r="BJ442" s="128"/>
      <c r="BK442" s="128"/>
      <c r="BL442" s="128"/>
      <c r="BM442" s="128"/>
      <c r="BN442" s="128"/>
      <c r="BO442" s="128"/>
      <c r="BP442" s="128"/>
      <c r="BQ442" s="128"/>
      <c r="BR442" s="128"/>
      <c r="BS442" s="128"/>
      <c r="BT442" s="128"/>
      <c r="BU442" s="128"/>
      <c r="BV442" s="128"/>
      <c r="BW442" s="128"/>
      <c r="BX442" s="128"/>
      <c r="BY442" s="128"/>
      <c r="BZ442" s="128"/>
      <c r="CA442" s="128"/>
      <c r="CB442" s="128"/>
      <c r="CC442" s="128"/>
      <c r="CD442" s="128"/>
      <c r="CE442" s="128"/>
      <c r="CF442" s="128"/>
      <c r="CG442" s="128"/>
      <c r="CH442" s="128"/>
      <c r="CI442" s="128"/>
      <c r="CJ442" s="128"/>
      <c r="CK442" s="128"/>
      <c r="CL442" s="128"/>
      <c r="CM442" s="128"/>
    </row>
    <row r="443" spans="1:91" x14ac:dyDescent="0.2">
      <c r="A443" s="18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AD443" s="128"/>
      <c r="AE443" s="128"/>
      <c r="AF443" s="128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28"/>
      <c r="AR443" s="128"/>
      <c r="AS443" s="128"/>
      <c r="AT443" s="128"/>
      <c r="AU443" s="128"/>
      <c r="AV443" s="128"/>
      <c r="AW443" s="128"/>
      <c r="AX443" s="128"/>
      <c r="AY443" s="128"/>
      <c r="AZ443" s="128"/>
      <c r="BA443" s="128"/>
      <c r="BB443" s="128"/>
      <c r="BC443" s="128"/>
      <c r="BD443" s="128"/>
      <c r="BE443" s="128"/>
      <c r="BF443" s="128"/>
      <c r="BG443" s="128"/>
      <c r="BH443" s="128"/>
      <c r="BI443" s="128"/>
      <c r="BJ443" s="128"/>
      <c r="BK443" s="128"/>
      <c r="BL443" s="128"/>
      <c r="BM443" s="128"/>
      <c r="BN443" s="128"/>
      <c r="BO443" s="128"/>
      <c r="BP443" s="128"/>
      <c r="BQ443" s="128"/>
      <c r="BR443" s="128"/>
      <c r="BS443" s="128"/>
      <c r="BT443" s="128"/>
      <c r="BU443" s="128"/>
      <c r="BV443" s="128"/>
      <c r="BW443" s="128"/>
      <c r="BX443" s="128"/>
      <c r="BY443" s="128"/>
      <c r="BZ443" s="128"/>
      <c r="CA443" s="128"/>
      <c r="CB443" s="128"/>
      <c r="CC443" s="128"/>
      <c r="CD443" s="128"/>
      <c r="CE443" s="128"/>
      <c r="CF443" s="128"/>
      <c r="CG443" s="128"/>
      <c r="CH443" s="128"/>
      <c r="CI443" s="128"/>
      <c r="CJ443" s="128"/>
      <c r="CK443" s="128"/>
      <c r="CL443" s="128"/>
      <c r="CM443" s="128"/>
    </row>
    <row r="444" spans="1:91" x14ac:dyDescent="0.2">
      <c r="A444" s="18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  <c r="AS444" s="128"/>
      <c r="AT444" s="128"/>
      <c r="AU444" s="128"/>
      <c r="AV444" s="128"/>
      <c r="AW444" s="128"/>
      <c r="AX444" s="128"/>
      <c r="AY444" s="128"/>
      <c r="AZ444" s="128"/>
      <c r="BA444" s="128"/>
      <c r="BB444" s="128"/>
      <c r="BC444" s="128"/>
      <c r="BD444" s="128"/>
      <c r="BE444" s="128"/>
      <c r="BF444" s="128"/>
      <c r="BG444" s="128"/>
      <c r="BH444" s="128"/>
      <c r="BI444" s="128"/>
      <c r="BJ444" s="128"/>
      <c r="BK444" s="128"/>
      <c r="BL444" s="128"/>
      <c r="BM444" s="128"/>
      <c r="BN444" s="128"/>
      <c r="BO444" s="128"/>
      <c r="BP444" s="128"/>
      <c r="BQ444" s="128"/>
      <c r="BR444" s="128"/>
      <c r="BS444" s="128"/>
      <c r="BT444" s="128"/>
      <c r="BU444" s="128"/>
      <c r="BV444" s="128"/>
      <c r="BW444" s="128"/>
      <c r="BX444" s="128"/>
      <c r="BY444" s="128"/>
      <c r="BZ444" s="128"/>
      <c r="CA444" s="128"/>
      <c r="CB444" s="128"/>
      <c r="CC444" s="128"/>
      <c r="CD444" s="128"/>
      <c r="CE444" s="128"/>
      <c r="CF444" s="128"/>
      <c r="CG444" s="128"/>
      <c r="CH444" s="128"/>
      <c r="CI444" s="128"/>
      <c r="CJ444" s="128"/>
      <c r="CK444" s="128"/>
      <c r="CL444" s="128"/>
      <c r="CM444" s="128"/>
    </row>
    <row r="445" spans="1:91" x14ac:dyDescent="0.2">
      <c r="A445" s="18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AD445" s="128"/>
      <c r="AE445" s="128"/>
      <c r="AF445" s="128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8"/>
      <c r="BC445" s="128"/>
      <c r="BD445" s="128"/>
      <c r="BE445" s="128"/>
      <c r="BF445" s="128"/>
      <c r="BG445" s="128"/>
      <c r="BH445" s="128"/>
      <c r="BI445" s="128"/>
      <c r="BJ445" s="128"/>
      <c r="BK445" s="128"/>
      <c r="BL445" s="128"/>
      <c r="BM445" s="128"/>
      <c r="BN445" s="128"/>
      <c r="BO445" s="128"/>
      <c r="BP445" s="128"/>
      <c r="BQ445" s="128"/>
      <c r="BR445" s="128"/>
      <c r="BS445" s="128"/>
      <c r="BT445" s="128"/>
      <c r="BU445" s="128"/>
      <c r="BV445" s="128"/>
      <c r="BW445" s="128"/>
      <c r="BX445" s="128"/>
      <c r="BY445" s="128"/>
      <c r="BZ445" s="128"/>
      <c r="CA445" s="128"/>
      <c r="CB445" s="128"/>
      <c r="CC445" s="128"/>
      <c r="CD445" s="128"/>
      <c r="CE445" s="128"/>
      <c r="CF445" s="128"/>
      <c r="CG445" s="128"/>
      <c r="CH445" s="128"/>
      <c r="CI445" s="128"/>
      <c r="CJ445" s="128"/>
      <c r="CK445" s="128"/>
      <c r="CL445" s="128"/>
      <c r="CM445" s="128"/>
    </row>
    <row r="446" spans="1:91" x14ac:dyDescent="0.2">
      <c r="A446" s="18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AD446" s="128"/>
      <c r="AE446" s="128"/>
      <c r="AF446" s="128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28"/>
      <c r="AR446" s="128"/>
      <c r="AS446" s="128"/>
      <c r="AT446" s="128"/>
      <c r="AU446" s="128"/>
      <c r="AV446" s="128"/>
      <c r="AW446" s="128"/>
      <c r="AX446" s="128"/>
      <c r="AY446" s="128"/>
      <c r="AZ446" s="128"/>
      <c r="BA446" s="128"/>
      <c r="BB446" s="128"/>
      <c r="BC446" s="128"/>
      <c r="BD446" s="128"/>
      <c r="BE446" s="128"/>
      <c r="BF446" s="128"/>
      <c r="BG446" s="128"/>
      <c r="BH446" s="128"/>
      <c r="BI446" s="128"/>
      <c r="BJ446" s="128"/>
      <c r="BK446" s="128"/>
      <c r="BL446" s="128"/>
      <c r="BM446" s="128"/>
      <c r="BN446" s="128"/>
      <c r="BO446" s="128"/>
      <c r="BP446" s="128"/>
      <c r="BQ446" s="128"/>
      <c r="BR446" s="128"/>
      <c r="BS446" s="128"/>
      <c r="BT446" s="128"/>
      <c r="BU446" s="128"/>
      <c r="BV446" s="128"/>
      <c r="BW446" s="128"/>
      <c r="BX446" s="128"/>
      <c r="BY446" s="128"/>
      <c r="BZ446" s="128"/>
      <c r="CA446" s="128"/>
      <c r="CB446" s="128"/>
      <c r="CC446" s="128"/>
      <c r="CD446" s="128"/>
      <c r="CE446" s="128"/>
      <c r="CF446" s="128"/>
      <c r="CG446" s="128"/>
      <c r="CH446" s="128"/>
      <c r="CI446" s="128"/>
      <c r="CJ446" s="128"/>
      <c r="CK446" s="128"/>
      <c r="CL446" s="128"/>
      <c r="CM446" s="128"/>
    </row>
    <row r="447" spans="1:91" x14ac:dyDescent="0.2">
      <c r="A447" s="18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  <c r="AS447" s="128"/>
      <c r="AT447" s="128"/>
      <c r="AU447" s="128"/>
      <c r="AV447" s="128"/>
      <c r="AW447" s="128"/>
      <c r="AX447" s="128"/>
      <c r="AY447" s="128"/>
      <c r="AZ447" s="128"/>
      <c r="BA447" s="128"/>
      <c r="BB447" s="128"/>
      <c r="BC447" s="128"/>
      <c r="BD447" s="128"/>
      <c r="BE447" s="128"/>
      <c r="BF447" s="128"/>
      <c r="BG447" s="128"/>
      <c r="BH447" s="128"/>
      <c r="BI447" s="128"/>
      <c r="BJ447" s="128"/>
      <c r="BK447" s="128"/>
      <c r="BL447" s="128"/>
      <c r="BM447" s="128"/>
      <c r="BN447" s="128"/>
      <c r="BO447" s="128"/>
      <c r="BP447" s="128"/>
      <c r="BQ447" s="128"/>
      <c r="BR447" s="128"/>
      <c r="BS447" s="128"/>
      <c r="BT447" s="128"/>
      <c r="BU447" s="128"/>
      <c r="BV447" s="128"/>
      <c r="BW447" s="128"/>
      <c r="BX447" s="128"/>
      <c r="BY447" s="128"/>
      <c r="BZ447" s="128"/>
      <c r="CA447" s="128"/>
      <c r="CB447" s="128"/>
      <c r="CC447" s="128"/>
      <c r="CD447" s="128"/>
      <c r="CE447" s="128"/>
      <c r="CF447" s="128"/>
      <c r="CG447" s="128"/>
      <c r="CH447" s="128"/>
      <c r="CI447" s="128"/>
      <c r="CJ447" s="128"/>
      <c r="CK447" s="128"/>
      <c r="CL447" s="128"/>
      <c r="CM447" s="128"/>
    </row>
    <row r="448" spans="1:91" x14ac:dyDescent="0.2">
      <c r="A448" s="18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8"/>
      <c r="BC448" s="128"/>
      <c r="BD448" s="128"/>
      <c r="BE448" s="128"/>
      <c r="BF448" s="128"/>
      <c r="BG448" s="128"/>
      <c r="BH448" s="128"/>
      <c r="BI448" s="128"/>
      <c r="BJ448" s="128"/>
      <c r="BK448" s="128"/>
      <c r="BL448" s="128"/>
      <c r="BM448" s="128"/>
      <c r="BN448" s="128"/>
      <c r="BO448" s="128"/>
      <c r="BP448" s="128"/>
      <c r="BQ448" s="128"/>
      <c r="BR448" s="128"/>
      <c r="BS448" s="128"/>
      <c r="BT448" s="128"/>
      <c r="BU448" s="128"/>
      <c r="BV448" s="128"/>
      <c r="BW448" s="128"/>
      <c r="BX448" s="128"/>
      <c r="BY448" s="128"/>
      <c r="BZ448" s="128"/>
      <c r="CA448" s="128"/>
      <c r="CB448" s="128"/>
      <c r="CC448" s="128"/>
      <c r="CD448" s="128"/>
      <c r="CE448" s="128"/>
      <c r="CF448" s="128"/>
      <c r="CG448" s="128"/>
      <c r="CH448" s="128"/>
      <c r="CI448" s="128"/>
      <c r="CJ448" s="128"/>
      <c r="CK448" s="128"/>
      <c r="CL448" s="128"/>
      <c r="CM448" s="128"/>
    </row>
    <row r="449" spans="1:91" x14ac:dyDescent="0.2">
      <c r="A449" s="18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AD449" s="128"/>
      <c r="AE449" s="128"/>
      <c r="AF449" s="128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28"/>
      <c r="AR449" s="128"/>
      <c r="AS449" s="128"/>
      <c r="AT449" s="128"/>
      <c r="AU449" s="128"/>
      <c r="AV449" s="128"/>
      <c r="AW449" s="128"/>
      <c r="AX449" s="128"/>
      <c r="AY449" s="128"/>
      <c r="AZ449" s="128"/>
      <c r="BA449" s="128"/>
      <c r="BB449" s="128"/>
      <c r="BC449" s="128"/>
      <c r="BD449" s="128"/>
      <c r="BE449" s="128"/>
      <c r="BF449" s="128"/>
      <c r="BG449" s="128"/>
      <c r="BH449" s="128"/>
      <c r="BI449" s="128"/>
      <c r="BJ449" s="128"/>
      <c r="BK449" s="128"/>
      <c r="BL449" s="128"/>
      <c r="BM449" s="128"/>
      <c r="BN449" s="128"/>
      <c r="BO449" s="128"/>
      <c r="BP449" s="128"/>
      <c r="BQ449" s="128"/>
      <c r="BR449" s="128"/>
      <c r="BS449" s="128"/>
      <c r="BT449" s="128"/>
      <c r="BU449" s="128"/>
      <c r="BV449" s="128"/>
      <c r="BW449" s="128"/>
      <c r="BX449" s="128"/>
      <c r="BY449" s="128"/>
      <c r="BZ449" s="128"/>
      <c r="CA449" s="128"/>
      <c r="CB449" s="128"/>
      <c r="CC449" s="128"/>
      <c r="CD449" s="128"/>
      <c r="CE449" s="128"/>
      <c r="CF449" s="128"/>
      <c r="CG449" s="128"/>
      <c r="CH449" s="128"/>
      <c r="CI449" s="128"/>
      <c r="CJ449" s="128"/>
      <c r="CK449" s="128"/>
      <c r="CL449" s="128"/>
      <c r="CM449" s="128"/>
    </row>
    <row r="450" spans="1:91" x14ac:dyDescent="0.2">
      <c r="A450" s="18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/>
      <c r="BK450" s="128"/>
      <c r="BL450" s="128"/>
      <c r="BM450" s="128"/>
      <c r="BN450" s="128"/>
      <c r="BO450" s="128"/>
      <c r="BP450" s="128"/>
      <c r="BQ450" s="128"/>
      <c r="BR450" s="128"/>
      <c r="BS450" s="128"/>
      <c r="BT450" s="128"/>
      <c r="BU450" s="128"/>
      <c r="BV450" s="128"/>
      <c r="BW450" s="128"/>
      <c r="BX450" s="128"/>
      <c r="BY450" s="128"/>
      <c r="BZ450" s="128"/>
      <c r="CA450" s="128"/>
      <c r="CB450" s="128"/>
      <c r="CC450" s="128"/>
      <c r="CD450" s="128"/>
      <c r="CE450" s="128"/>
      <c r="CF450" s="128"/>
      <c r="CG450" s="128"/>
      <c r="CH450" s="128"/>
      <c r="CI450" s="128"/>
      <c r="CJ450" s="128"/>
      <c r="CK450" s="128"/>
      <c r="CL450" s="128"/>
      <c r="CM450" s="128"/>
    </row>
    <row r="451" spans="1:91" x14ac:dyDescent="0.2">
      <c r="A451" s="18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AD451" s="128"/>
      <c r="AE451" s="128"/>
      <c r="AF451" s="128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28"/>
      <c r="AR451" s="128"/>
      <c r="AS451" s="128"/>
      <c r="AT451" s="128"/>
      <c r="AU451" s="128"/>
      <c r="AV451" s="128"/>
      <c r="AW451" s="128"/>
      <c r="AX451" s="128"/>
      <c r="AY451" s="128"/>
      <c r="AZ451" s="128"/>
      <c r="BA451" s="128"/>
      <c r="BB451" s="128"/>
      <c r="BC451" s="128"/>
      <c r="BD451" s="128"/>
      <c r="BE451" s="128"/>
      <c r="BF451" s="128"/>
      <c r="BG451" s="128"/>
      <c r="BH451" s="128"/>
      <c r="BI451" s="128"/>
      <c r="BJ451" s="128"/>
      <c r="BK451" s="128"/>
      <c r="BL451" s="128"/>
      <c r="BM451" s="128"/>
      <c r="BN451" s="128"/>
      <c r="BO451" s="128"/>
      <c r="BP451" s="128"/>
      <c r="BQ451" s="128"/>
      <c r="BR451" s="128"/>
      <c r="BS451" s="128"/>
      <c r="BT451" s="128"/>
      <c r="BU451" s="128"/>
      <c r="BV451" s="128"/>
      <c r="BW451" s="128"/>
      <c r="BX451" s="128"/>
      <c r="BY451" s="128"/>
      <c r="BZ451" s="128"/>
      <c r="CA451" s="128"/>
      <c r="CB451" s="128"/>
      <c r="CC451" s="128"/>
      <c r="CD451" s="128"/>
      <c r="CE451" s="128"/>
      <c r="CF451" s="128"/>
      <c r="CG451" s="128"/>
      <c r="CH451" s="128"/>
      <c r="CI451" s="128"/>
      <c r="CJ451" s="128"/>
      <c r="CK451" s="128"/>
      <c r="CL451" s="128"/>
      <c r="CM451" s="128"/>
    </row>
    <row r="452" spans="1:91" x14ac:dyDescent="0.2">
      <c r="A452" s="18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AD452" s="128"/>
      <c r="AE452" s="128"/>
      <c r="AF452" s="128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28"/>
      <c r="AR452" s="128"/>
      <c r="AS452" s="128"/>
      <c r="AT452" s="128"/>
      <c r="AU452" s="128"/>
      <c r="AV452" s="128"/>
      <c r="AW452" s="128"/>
      <c r="AX452" s="128"/>
      <c r="AY452" s="128"/>
      <c r="AZ452" s="128"/>
      <c r="BA452" s="128"/>
      <c r="BB452" s="128"/>
      <c r="BC452" s="128"/>
      <c r="BD452" s="128"/>
      <c r="BE452" s="128"/>
      <c r="BF452" s="128"/>
      <c r="BG452" s="128"/>
      <c r="BH452" s="128"/>
      <c r="BI452" s="128"/>
      <c r="BJ452" s="128"/>
      <c r="BK452" s="128"/>
      <c r="BL452" s="128"/>
      <c r="BM452" s="128"/>
      <c r="BN452" s="128"/>
      <c r="BO452" s="128"/>
      <c r="BP452" s="128"/>
      <c r="BQ452" s="128"/>
      <c r="BR452" s="128"/>
      <c r="BS452" s="128"/>
      <c r="BT452" s="128"/>
      <c r="BU452" s="128"/>
      <c r="BV452" s="128"/>
      <c r="BW452" s="128"/>
      <c r="BX452" s="128"/>
      <c r="BY452" s="128"/>
      <c r="BZ452" s="128"/>
      <c r="CA452" s="128"/>
      <c r="CB452" s="128"/>
      <c r="CC452" s="128"/>
      <c r="CD452" s="128"/>
      <c r="CE452" s="128"/>
      <c r="CF452" s="128"/>
      <c r="CG452" s="128"/>
      <c r="CH452" s="128"/>
      <c r="CI452" s="128"/>
      <c r="CJ452" s="128"/>
      <c r="CK452" s="128"/>
      <c r="CL452" s="128"/>
      <c r="CM452" s="128"/>
    </row>
    <row r="453" spans="1:91" x14ac:dyDescent="0.2">
      <c r="A453" s="18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AD453" s="128"/>
      <c r="AE453" s="128"/>
      <c r="AF453" s="128"/>
      <c r="AG453" s="12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28"/>
      <c r="AR453" s="128"/>
      <c r="AS453" s="128"/>
      <c r="AT453" s="128"/>
      <c r="AU453" s="128"/>
      <c r="AV453" s="128"/>
      <c r="AW453" s="128"/>
      <c r="AX453" s="128"/>
      <c r="AY453" s="128"/>
      <c r="AZ453" s="128"/>
      <c r="BA453" s="128"/>
      <c r="BB453" s="128"/>
      <c r="BC453" s="128"/>
      <c r="BD453" s="128"/>
      <c r="BE453" s="128"/>
      <c r="BF453" s="128"/>
      <c r="BG453" s="128"/>
      <c r="BH453" s="128"/>
      <c r="BI453" s="128"/>
      <c r="BJ453" s="128"/>
      <c r="BK453" s="128"/>
      <c r="BL453" s="128"/>
      <c r="BM453" s="128"/>
      <c r="BN453" s="128"/>
      <c r="BO453" s="128"/>
      <c r="BP453" s="128"/>
      <c r="BQ453" s="128"/>
      <c r="BR453" s="128"/>
      <c r="BS453" s="128"/>
      <c r="BT453" s="128"/>
      <c r="BU453" s="128"/>
      <c r="BV453" s="128"/>
      <c r="BW453" s="128"/>
      <c r="BX453" s="128"/>
      <c r="BY453" s="128"/>
      <c r="BZ453" s="128"/>
      <c r="CA453" s="128"/>
      <c r="CB453" s="128"/>
      <c r="CC453" s="128"/>
      <c r="CD453" s="128"/>
      <c r="CE453" s="128"/>
      <c r="CF453" s="128"/>
      <c r="CG453" s="128"/>
      <c r="CH453" s="128"/>
      <c r="CI453" s="128"/>
      <c r="CJ453" s="128"/>
      <c r="CK453" s="128"/>
      <c r="CL453" s="128"/>
      <c r="CM453" s="128"/>
    </row>
    <row r="454" spans="1:91" x14ac:dyDescent="0.2">
      <c r="A454" s="18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AD454" s="128"/>
      <c r="AE454" s="128"/>
      <c r="AF454" s="128"/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28"/>
      <c r="AR454" s="128"/>
      <c r="AS454" s="128"/>
      <c r="AT454" s="128"/>
      <c r="AU454" s="128"/>
      <c r="AV454" s="128"/>
      <c r="AW454" s="128"/>
      <c r="AX454" s="128"/>
      <c r="AY454" s="128"/>
      <c r="AZ454" s="128"/>
      <c r="BA454" s="128"/>
      <c r="BB454" s="128"/>
      <c r="BC454" s="128"/>
      <c r="BD454" s="128"/>
      <c r="BE454" s="128"/>
      <c r="BF454" s="128"/>
      <c r="BG454" s="128"/>
      <c r="BH454" s="128"/>
      <c r="BI454" s="128"/>
      <c r="BJ454" s="128"/>
      <c r="BK454" s="128"/>
      <c r="BL454" s="128"/>
      <c r="BM454" s="128"/>
      <c r="BN454" s="128"/>
      <c r="BO454" s="128"/>
      <c r="BP454" s="128"/>
      <c r="BQ454" s="128"/>
      <c r="BR454" s="128"/>
      <c r="BS454" s="128"/>
      <c r="BT454" s="128"/>
      <c r="BU454" s="128"/>
      <c r="BV454" s="128"/>
      <c r="BW454" s="128"/>
      <c r="BX454" s="128"/>
      <c r="BY454" s="128"/>
      <c r="BZ454" s="128"/>
      <c r="CA454" s="128"/>
      <c r="CB454" s="128"/>
      <c r="CC454" s="128"/>
      <c r="CD454" s="128"/>
      <c r="CE454" s="128"/>
      <c r="CF454" s="128"/>
      <c r="CG454" s="128"/>
      <c r="CH454" s="128"/>
      <c r="CI454" s="128"/>
      <c r="CJ454" s="128"/>
      <c r="CK454" s="128"/>
      <c r="CL454" s="128"/>
      <c r="CM454" s="128"/>
    </row>
    <row r="455" spans="1:91" x14ac:dyDescent="0.2">
      <c r="A455" s="18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  <c r="AS455" s="128"/>
      <c r="AT455" s="128"/>
      <c r="AU455" s="128"/>
      <c r="AV455" s="128"/>
      <c r="AW455" s="128"/>
      <c r="AX455" s="128"/>
      <c r="AY455" s="128"/>
      <c r="AZ455" s="128"/>
      <c r="BA455" s="128"/>
      <c r="BB455" s="128"/>
      <c r="BC455" s="128"/>
      <c r="BD455" s="128"/>
      <c r="BE455" s="128"/>
      <c r="BF455" s="128"/>
      <c r="BG455" s="128"/>
      <c r="BH455" s="128"/>
      <c r="BI455" s="128"/>
      <c r="BJ455" s="128"/>
      <c r="BK455" s="128"/>
      <c r="BL455" s="128"/>
      <c r="BM455" s="128"/>
      <c r="BN455" s="128"/>
      <c r="BO455" s="128"/>
      <c r="BP455" s="128"/>
      <c r="BQ455" s="128"/>
      <c r="BR455" s="128"/>
      <c r="BS455" s="128"/>
      <c r="BT455" s="128"/>
      <c r="BU455" s="128"/>
      <c r="BV455" s="128"/>
      <c r="BW455" s="128"/>
      <c r="BX455" s="128"/>
      <c r="BY455" s="128"/>
      <c r="BZ455" s="128"/>
      <c r="CA455" s="128"/>
      <c r="CB455" s="128"/>
      <c r="CC455" s="128"/>
      <c r="CD455" s="128"/>
      <c r="CE455" s="128"/>
      <c r="CF455" s="128"/>
      <c r="CG455" s="128"/>
      <c r="CH455" s="128"/>
      <c r="CI455" s="128"/>
      <c r="CJ455" s="128"/>
      <c r="CK455" s="128"/>
      <c r="CL455" s="128"/>
      <c r="CM455" s="128"/>
    </row>
    <row r="456" spans="1:91" x14ac:dyDescent="0.2">
      <c r="A456" s="18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/>
      <c r="BH456" s="128"/>
      <c r="BI456" s="128"/>
      <c r="BJ456" s="128"/>
      <c r="BK456" s="128"/>
      <c r="BL456" s="128"/>
      <c r="BM456" s="128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8"/>
      <c r="BX456" s="128"/>
      <c r="BY456" s="128"/>
      <c r="BZ456" s="128"/>
      <c r="CA456" s="128"/>
      <c r="CB456" s="128"/>
      <c r="CC456" s="128"/>
      <c r="CD456" s="128"/>
      <c r="CE456" s="128"/>
      <c r="CF456" s="128"/>
      <c r="CG456" s="128"/>
      <c r="CH456" s="128"/>
      <c r="CI456" s="128"/>
      <c r="CJ456" s="128"/>
      <c r="CK456" s="128"/>
      <c r="CL456" s="128"/>
      <c r="CM456" s="128"/>
    </row>
    <row r="457" spans="1:91" x14ac:dyDescent="0.2">
      <c r="A457" s="18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AD457" s="128"/>
      <c r="AE457" s="128"/>
      <c r="AF457" s="128"/>
      <c r="AG457" s="12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  <c r="AS457" s="128"/>
      <c r="AT457" s="128"/>
      <c r="AU457" s="128"/>
      <c r="AV457" s="128"/>
      <c r="AW457" s="128"/>
      <c r="AX457" s="128"/>
      <c r="AY457" s="128"/>
      <c r="AZ457" s="128"/>
      <c r="BA457" s="128"/>
      <c r="BB457" s="128"/>
      <c r="BC457" s="128"/>
      <c r="BD457" s="128"/>
      <c r="BE457" s="128"/>
      <c r="BF457" s="128"/>
      <c r="BG457" s="128"/>
      <c r="BH457" s="128"/>
      <c r="BI457" s="128"/>
      <c r="BJ457" s="128"/>
      <c r="BK457" s="128"/>
      <c r="BL457" s="128"/>
      <c r="BM457" s="128"/>
      <c r="BN457" s="128"/>
      <c r="BO457" s="128"/>
      <c r="BP457" s="128"/>
      <c r="BQ457" s="128"/>
      <c r="BR457" s="128"/>
      <c r="BS457" s="128"/>
      <c r="BT457" s="128"/>
      <c r="BU457" s="128"/>
      <c r="BV457" s="128"/>
      <c r="BW457" s="128"/>
      <c r="BX457" s="128"/>
      <c r="BY457" s="128"/>
      <c r="BZ457" s="128"/>
      <c r="CA457" s="128"/>
      <c r="CB457" s="128"/>
      <c r="CC457" s="128"/>
      <c r="CD457" s="128"/>
      <c r="CE457" s="128"/>
      <c r="CF457" s="128"/>
      <c r="CG457" s="128"/>
      <c r="CH457" s="128"/>
      <c r="CI457" s="128"/>
      <c r="CJ457" s="128"/>
      <c r="CK457" s="128"/>
      <c r="CL457" s="128"/>
      <c r="CM457" s="128"/>
    </row>
    <row r="458" spans="1:91" x14ac:dyDescent="0.2">
      <c r="A458" s="18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8"/>
      <c r="AT458" s="128"/>
      <c r="AU458" s="128"/>
      <c r="AV458" s="128"/>
      <c r="AW458" s="128"/>
      <c r="AX458" s="128"/>
      <c r="AY458" s="128"/>
      <c r="AZ458" s="128"/>
      <c r="BA458" s="128"/>
      <c r="BB458" s="128"/>
      <c r="BC458" s="128"/>
      <c r="BD458" s="128"/>
      <c r="BE458" s="128"/>
      <c r="BF458" s="128"/>
      <c r="BG458" s="128"/>
      <c r="BH458" s="128"/>
      <c r="BI458" s="128"/>
      <c r="BJ458" s="128"/>
      <c r="BK458" s="128"/>
      <c r="BL458" s="128"/>
      <c r="BM458" s="128"/>
      <c r="BN458" s="128"/>
      <c r="BO458" s="128"/>
      <c r="BP458" s="128"/>
      <c r="BQ458" s="128"/>
      <c r="BR458" s="128"/>
      <c r="BS458" s="128"/>
      <c r="BT458" s="128"/>
      <c r="BU458" s="128"/>
      <c r="BV458" s="128"/>
      <c r="BW458" s="128"/>
      <c r="BX458" s="128"/>
      <c r="BY458" s="128"/>
      <c r="BZ458" s="128"/>
      <c r="CA458" s="128"/>
      <c r="CB458" s="128"/>
      <c r="CC458" s="128"/>
      <c r="CD458" s="128"/>
      <c r="CE458" s="128"/>
      <c r="CF458" s="128"/>
      <c r="CG458" s="128"/>
      <c r="CH458" s="128"/>
      <c r="CI458" s="128"/>
      <c r="CJ458" s="128"/>
      <c r="CK458" s="128"/>
      <c r="CL458" s="128"/>
      <c r="CM458" s="128"/>
    </row>
    <row r="459" spans="1:91" x14ac:dyDescent="0.2">
      <c r="A459" s="18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AD459" s="128"/>
      <c r="AE459" s="128"/>
      <c r="AF459" s="128"/>
      <c r="AG459" s="12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8"/>
      <c r="AW459" s="128"/>
      <c r="AX459" s="128"/>
      <c r="AY459" s="128"/>
      <c r="AZ459" s="128"/>
      <c r="BA459" s="128"/>
      <c r="BB459" s="128"/>
      <c r="BC459" s="128"/>
      <c r="BD459" s="128"/>
      <c r="BE459" s="128"/>
      <c r="BF459" s="128"/>
      <c r="BG459" s="128"/>
      <c r="BH459" s="128"/>
      <c r="BI459" s="128"/>
      <c r="BJ459" s="128"/>
      <c r="BK459" s="128"/>
      <c r="BL459" s="128"/>
      <c r="BM459" s="128"/>
      <c r="BN459" s="128"/>
      <c r="BO459" s="128"/>
      <c r="BP459" s="128"/>
      <c r="BQ459" s="128"/>
      <c r="BR459" s="128"/>
      <c r="BS459" s="128"/>
      <c r="BT459" s="128"/>
      <c r="BU459" s="128"/>
      <c r="BV459" s="128"/>
      <c r="BW459" s="128"/>
      <c r="BX459" s="128"/>
      <c r="BY459" s="128"/>
      <c r="BZ459" s="128"/>
      <c r="CA459" s="128"/>
      <c r="CB459" s="128"/>
      <c r="CC459" s="128"/>
      <c r="CD459" s="128"/>
      <c r="CE459" s="128"/>
      <c r="CF459" s="128"/>
      <c r="CG459" s="128"/>
      <c r="CH459" s="128"/>
      <c r="CI459" s="128"/>
      <c r="CJ459" s="128"/>
      <c r="CK459" s="128"/>
      <c r="CL459" s="128"/>
      <c r="CM459" s="128"/>
    </row>
    <row r="460" spans="1:91" x14ac:dyDescent="0.2">
      <c r="A460" s="18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AD460" s="128"/>
      <c r="AE460" s="128"/>
      <c r="AF460" s="128"/>
      <c r="AG460" s="128"/>
      <c r="AH460" s="128"/>
      <c r="AI460" s="128"/>
      <c r="AJ460" s="128"/>
      <c r="AK460" s="128"/>
      <c r="AL460" s="128"/>
      <c r="AM460" s="128"/>
      <c r="AN460" s="128"/>
      <c r="AO460" s="128"/>
      <c r="AP460" s="128"/>
      <c r="AQ460" s="128"/>
      <c r="AR460" s="128"/>
      <c r="AS460" s="128"/>
      <c r="AT460" s="128"/>
      <c r="AU460" s="128"/>
      <c r="AV460" s="128"/>
      <c r="AW460" s="128"/>
      <c r="AX460" s="128"/>
      <c r="AY460" s="128"/>
      <c r="AZ460" s="128"/>
      <c r="BA460" s="128"/>
      <c r="BB460" s="128"/>
      <c r="BC460" s="128"/>
      <c r="BD460" s="128"/>
      <c r="BE460" s="128"/>
      <c r="BF460" s="128"/>
      <c r="BG460" s="128"/>
      <c r="BH460" s="128"/>
      <c r="BI460" s="128"/>
      <c r="BJ460" s="128"/>
      <c r="BK460" s="128"/>
      <c r="BL460" s="128"/>
      <c r="BM460" s="128"/>
      <c r="BN460" s="128"/>
      <c r="BO460" s="128"/>
      <c r="BP460" s="128"/>
      <c r="BQ460" s="128"/>
      <c r="BR460" s="128"/>
      <c r="BS460" s="128"/>
      <c r="BT460" s="128"/>
      <c r="BU460" s="128"/>
      <c r="BV460" s="128"/>
      <c r="BW460" s="128"/>
      <c r="BX460" s="128"/>
      <c r="BY460" s="128"/>
      <c r="BZ460" s="128"/>
      <c r="CA460" s="128"/>
      <c r="CB460" s="128"/>
      <c r="CC460" s="128"/>
      <c r="CD460" s="128"/>
      <c r="CE460" s="128"/>
      <c r="CF460" s="128"/>
      <c r="CG460" s="128"/>
      <c r="CH460" s="128"/>
      <c r="CI460" s="128"/>
      <c r="CJ460" s="128"/>
      <c r="CK460" s="128"/>
      <c r="CL460" s="128"/>
      <c r="CM460" s="128"/>
    </row>
    <row r="461" spans="1:91" x14ac:dyDescent="0.2">
      <c r="A461" s="18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/>
      <c r="BH461" s="128"/>
      <c r="BI461" s="128"/>
      <c r="BJ461" s="128"/>
      <c r="BK461" s="128"/>
      <c r="BL461" s="128"/>
      <c r="BM461" s="128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8"/>
      <c r="BX461" s="128"/>
      <c r="BY461" s="128"/>
      <c r="BZ461" s="128"/>
      <c r="CA461" s="128"/>
      <c r="CB461" s="128"/>
      <c r="CC461" s="128"/>
      <c r="CD461" s="128"/>
      <c r="CE461" s="128"/>
      <c r="CF461" s="128"/>
      <c r="CG461" s="128"/>
      <c r="CH461" s="128"/>
      <c r="CI461" s="128"/>
      <c r="CJ461" s="128"/>
      <c r="CK461" s="128"/>
      <c r="CL461" s="128"/>
      <c r="CM461" s="128"/>
    </row>
    <row r="462" spans="1:91" x14ac:dyDescent="0.2">
      <c r="A462" s="18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/>
      <c r="BH462" s="128"/>
      <c r="BI462" s="128"/>
      <c r="BJ462" s="128"/>
      <c r="BK462" s="128"/>
      <c r="BL462" s="128"/>
      <c r="BM462" s="128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8"/>
      <c r="BX462" s="128"/>
      <c r="BY462" s="128"/>
      <c r="BZ462" s="128"/>
      <c r="CA462" s="128"/>
      <c r="CB462" s="128"/>
      <c r="CC462" s="128"/>
      <c r="CD462" s="128"/>
      <c r="CE462" s="128"/>
      <c r="CF462" s="128"/>
      <c r="CG462" s="128"/>
      <c r="CH462" s="128"/>
      <c r="CI462" s="128"/>
      <c r="CJ462" s="128"/>
      <c r="CK462" s="128"/>
      <c r="CL462" s="128"/>
      <c r="CM462" s="128"/>
    </row>
    <row r="463" spans="1:91" x14ac:dyDescent="0.2">
      <c r="A463" s="18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AD463" s="128"/>
      <c r="AE463" s="128"/>
      <c r="AF463" s="128"/>
      <c r="AG463" s="12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28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8"/>
      <c r="BX463" s="128"/>
      <c r="BY463" s="128"/>
      <c r="BZ463" s="128"/>
      <c r="CA463" s="128"/>
      <c r="CB463" s="128"/>
      <c r="CC463" s="128"/>
      <c r="CD463" s="128"/>
      <c r="CE463" s="128"/>
      <c r="CF463" s="128"/>
      <c r="CG463" s="128"/>
      <c r="CH463" s="128"/>
      <c r="CI463" s="128"/>
      <c r="CJ463" s="128"/>
      <c r="CK463" s="128"/>
      <c r="CL463" s="128"/>
      <c r="CM463" s="128"/>
    </row>
    <row r="464" spans="1:91" x14ac:dyDescent="0.2">
      <c r="A464" s="18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/>
      <c r="BH464" s="128"/>
      <c r="BI464" s="128"/>
      <c r="BJ464" s="128"/>
      <c r="BK464" s="128"/>
      <c r="BL464" s="128"/>
      <c r="BM464" s="128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8"/>
      <c r="BX464" s="128"/>
      <c r="BY464" s="128"/>
      <c r="BZ464" s="128"/>
      <c r="CA464" s="128"/>
      <c r="CB464" s="128"/>
      <c r="CC464" s="128"/>
      <c r="CD464" s="128"/>
      <c r="CE464" s="128"/>
      <c r="CF464" s="128"/>
      <c r="CG464" s="128"/>
      <c r="CH464" s="128"/>
      <c r="CI464" s="128"/>
      <c r="CJ464" s="128"/>
      <c r="CK464" s="128"/>
      <c r="CL464" s="128"/>
      <c r="CM464" s="128"/>
    </row>
    <row r="465" spans="1:91" x14ac:dyDescent="0.2">
      <c r="A465" s="18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AD465" s="128"/>
      <c r="AE465" s="128"/>
      <c r="AF465" s="128"/>
      <c r="AG465" s="12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28"/>
      <c r="BN465" s="128"/>
      <c r="BO465" s="128"/>
      <c r="BP465" s="128"/>
      <c r="BQ465" s="128"/>
      <c r="BR465" s="128"/>
      <c r="BS465" s="128"/>
      <c r="BT465" s="128"/>
      <c r="BU465" s="128"/>
      <c r="BV465" s="128"/>
      <c r="BW465" s="128"/>
      <c r="BX465" s="128"/>
      <c r="BY465" s="128"/>
      <c r="BZ465" s="128"/>
      <c r="CA465" s="128"/>
      <c r="CB465" s="128"/>
      <c r="CC465" s="128"/>
      <c r="CD465" s="128"/>
      <c r="CE465" s="128"/>
      <c r="CF465" s="128"/>
      <c r="CG465" s="128"/>
      <c r="CH465" s="128"/>
      <c r="CI465" s="128"/>
      <c r="CJ465" s="128"/>
      <c r="CK465" s="128"/>
      <c r="CL465" s="128"/>
      <c r="CM465" s="128"/>
    </row>
    <row r="466" spans="1:91" x14ac:dyDescent="0.2">
      <c r="A466" s="18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28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8"/>
      <c r="BX466" s="128"/>
      <c r="BY466" s="128"/>
      <c r="BZ466" s="128"/>
      <c r="CA466" s="128"/>
      <c r="CB466" s="128"/>
      <c r="CC466" s="128"/>
      <c r="CD466" s="128"/>
      <c r="CE466" s="128"/>
      <c r="CF466" s="128"/>
      <c r="CG466" s="128"/>
      <c r="CH466" s="128"/>
      <c r="CI466" s="128"/>
      <c r="CJ466" s="128"/>
      <c r="CK466" s="128"/>
      <c r="CL466" s="128"/>
      <c r="CM466" s="128"/>
    </row>
    <row r="467" spans="1:91" x14ac:dyDescent="0.2">
      <c r="A467" s="18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/>
      <c r="BH467" s="128"/>
      <c r="BI467" s="128"/>
      <c r="BJ467" s="128"/>
      <c r="BK467" s="128"/>
      <c r="BL467" s="128"/>
      <c r="BM467" s="128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8"/>
      <c r="BX467" s="128"/>
      <c r="BY467" s="128"/>
      <c r="BZ467" s="128"/>
      <c r="CA467" s="128"/>
      <c r="CB467" s="128"/>
      <c r="CC467" s="128"/>
      <c r="CD467" s="128"/>
      <c r="CE467" s="128"/>
      <c r="CF467" s="128"/>
      <c r="CG467" s="128"/>
      <c r="CH467" s="128"/>
      <c r="CI467" s="128"/>
      <c r="CJ467" s="128"/>
      <c r="CK467" s="128"/>
      <c r="CL467" s="128"/>
      <c r="CM467" s="128"/>
    </row>
    <row r="468" spans="1:91" x14ac:dyDescent="0.2">
      <c r="A468" s="18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/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28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8"/>
      <c r="CA468" s="128"/>
      <c r="CB468" s="128"/>
      <c r="CC468" s="128"/>
      <c r="CD468" s="128"/>
      <c r="CE468" s="128"/>
      <c r="CF468" s="128"/>
      <c r="CG468" s="128"/>
      <c r="CH468" s="128"/>
      <c r="CI468" s="128"/>
      <c r="CJ468" s="128"/>
      <c r="CK468" s="128"/>
      <c r="CL468" s="128"/>
      <c r="CM468" s="128"/>
    </row>
    <row r="469" spans="1:91" x14ac:dyDescent="0.2">
      <c r="A469" s="18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AD469" s="128"/>
      <c r="AE469" s="128"/>
      <c r="AF469" s="128"/>
      <c r="AG469" s="12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28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8"/>
      <c r="BX469" s="128"/>
      <c r="BY469" s="128"/>
      <c r="BZ469" s="128"/>
      <c r="CA469" s="128"/>
      <c r="CB469" s="128"/>
      <c r="CC469" s="128"/>
      <c r="CD469" s="128"/>
      <c r="CE469" s="128"/>
      <c r="CF469" s="128"/>
      <c r="CG469" s="128"/>
      <c r="CH469" s="128"/>
      <c r="CI469" s="128"/>
      <c r="CJ469" s="128"/>
      <c r="CK469" s="128"/>
      <c r="CL469" s="128"/>
      <c r="CM469" s="128"/>
    </row>
    <row r="470" spans="1:91" x14ac:dyDescent="0.2">
      <c r="A470" s="18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AD470" s="128"/>
      <c r="AE470" s="128"/>
      <c r="AF470" s="128"/>
      <c r="AG470" s="12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28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8"/>
      <c r="BX470" s="128"/>
      <c r="BY470" s="128"/>
      <c r="BZ470" s="128"/>
      <c r="CA470" s="128"/>
      <c r="CB470" s="128"/>
      <c r="CC470" s="128"/>
      <c r="CD470" s="128"/>
      <c r="CE470" s="128"/>
      <c r="CF470" s="128"/>
      <c r="CG470" s="128"/>
      <c r="CH470" s="128"/>
      <c r="CI470" s="128"/>
      <c r="CJ470" s="128"/>
      <c r="CK470" s="128"/>
      <c r="CL470" s="128"/>
      <c r="CM470" s="128"/>
    </row>
    <row r="471" spans="1:91" x14ac:dyDescent="0.2">
      <c r="A471" s="18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AD471" s="128"/>
      <c r="AE471" s="128"/>
      <c r="AF471" s="128"/>
      <c r="AG471" s="12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28"/>
      <c r="BN471" s="128"/>
      <c r="BO471" s="128"/>
      <c r="BP471" s="128"/>
      <c r="BQ471" s="128"/>
      <c r="BR471" s="128"/>
      <c r="BS471" s="128"/>
      <c r="BT471" s="128"/>
      <c r="BU471" s="128"/>
      <c r="BV471" s="128"/>
      <c r="BW471" s="128"/>
      <c r="BX471" s="128"/>
      <c r="BY471" s="128"/>
      <c r="BZ471" s="128"/>
      <c r="CA471" s="128"/>
      <c r="CB471" s="128"/>
      <c r="CC471" s="128"/>
      <c r="CD471" s="128"/>
      <c r="CE471" s="128"/>
      <c r="CF471" s="128"/>
      <c r="CG471" s="128"/>
      <c r="CH471" s="128"/>
      <c r="CI471" s="128"/>
      <c r="CJ471" s="128"/>
      <c r="CK471" s="128"/>
      <c r="CL471" s="128"/>
      <c r="CM471" s="128"/>
    </row>
    <row r="472" spans="1:91" x14ac:dyDescent="0.2">
      <c r="A472" s="18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AD472" s="128"/>
      <c r="AE472" s="128"/>
      <c r="AF472" s="128"/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28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8"/>
      <c r="BX472" s="128"/>
      <c r="BY472" s="128"/>
      <c r="BZ472" s="128"/>
      <c r="CA472" s="128"/>
      <c r="CB472" s="128"/>
      <c r="CC472" s="128"/>
      <c r="CD472" s="128"/>
      <c r="CE472" s="128"/>
      <c r="CF472" s="128"/>
      <c r="CG472" s="128"/>
      <c r="CH472" s="128"/>
      <c r="CI472" s="128"/>
      <c r="CJ472" s="128"/>
      <c r="CK472" s="128"/>
      <c r="CL472" s="128"/>
      <c r="CM472" s="128"/>
    </row>
    <row r="473" spans="1:91" x14ac:dyDescent="0.2">
      <c r="A473" s="18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AD473" s="128"/>
      <c r="AE473" s="128"/>
      <c r="AF473" s="128"/>
      <c r="AG473" s="12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8"/>
      <c r="AW473" s="128"/>
      <c r="AX473" s="128"/>
      <c r="AY473" s="128"/>
      <c r="AZ473" s="128"/>
      <c r="BA473" s="128"/>
      <c r="BB473" s="128"/>
      <c r="BC473" s="128"/>
      <c r="BD473" s="128"/>
      <c r="BE473" s="128"/>
      <c r="BF473" s="128"/>
      <c r="BG473" s="128"/>
      <c r="BH473" s="128"/>
      <c r="BI473" s="128"/>
      <c r="BJ473" s="128"/>
      <c r="BK473" s="128"/>
      <c r="BL473" s="128"/>
      <c r="BM473" s="128"/>
      <c r="BN473" s="128"/>
      <c r="BO473" s="128"/>
      <c r="BP473" s="128"/>
      <c r="BQ473" s="128"/>
      <c r="BR473" s="128"/>
      <c r="BS473" s="128"/>
      <c r="BT473" s="128"/>
      <c r="BU473" s="128"/>
      <c r="BV473" s="128"/>
      <c r="BW473" s="128"/>
      <c r="BX473" s="128"/>
      <c r="BY473" s="128"/>
      <c r="BZ473" s="128"/>
      <c r="CA473" s="128"/>
      <c r="CB473" s="128"/>
      <c r="CC473" s="128"/>
      <c r="CD473" s="128"/>
      <c r="CE473" s="128"/>
      <c r="CF473" s="128"/>
      <c r="CG473" s="128"/>
      <c r="CH473" s="128"/>
      <c r="CI473" s="128"/>
      <c r="CJ473" s="128"/>
      <c r="CK473" s="128"/>
      <c r="CL473" s="128"/>
      <c r="CM473" s="128"/>
    </row>
    <row r="474" spans="1:91" x14ac:dyDescent="0.2">
      <c r="A474" s="18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AD474" s="128"/>
      <c r="AE474" s="128"/>
      <c r="AF474" s="128"/>
      <c r="AG474" s="12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28"/>
      <c r="AR474" s="128"/>
      <c r="AS474" s="128"/>
      <c r="AT474" s="128"/>
      <c r="AU474" s="128"/>
      <c r="AV474" s="128"/>
      <c r="AW474" s="128"/>
      <c r="AX474" s="128"/>
      <c r="AY474" s="128"/>
      <c r="AZ474" s="128"/>
      <c r="BA474" s="128"/>
      <c r="BB474" s="128"/>
      <c r="BC474" s="128"/>
      <c r="BD474" s="128"/>
      <c r="BE474" s="128"/>
      <c r="BF474" s="128"/>
      <c r="BG474" s="128"/>
      <c r="BH474" s="128"/>
      <c r="BI474" s="128"/>
      <c r="BJ474" s="128"/>
      <c r="BK474" s="128"/>
      <c r="BL474" s="128"/>
      <c r="BM474" s="128"/>
      <c r="BN474" s="128"/>
      <c r="BO474" s="128"/>
      <c r="BP474" s="128"/>
      <c r="BQ474" s="128"/>
      <c r="BR474" s="128"/>
      <c r="BS474" s="128"/>
      <c r="BT474" s="128"/>
      <c r="BU474" s="128"/>
      <c r="BV474" s="128"/>
      <c r="BW474" s="128"/>
      <c r="BX474" s="128"/>
      <c r="BY474" s="128"/>
      <c r="BZ474" s="128"/>
      <c r="CA474" s="128"/>
      <c r="CB474" s="128"/>
      <c r="CC474" s="128"/>
      <c r="CD474" s="128"/>
      <c r="CE474" s="128"/>
      <c r="CF474" s="128"/>
      <c r="CG474" s="128"/>
      <c r="CH474" s="128"/>
      <c r="CI474" s="128"/>
      <c r="CJ474" s="128"/>
      <c r="CK474" s="128"/>
      <c r="CL474" s="128"/>
      <c r="CM474" s="128"/>
    </row>
    <row r="475" spans="1:91" x14ac:dyDescent="0.2">
      <c r="A475" s="18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AD475" s="128"/>
      <c r="AE475" s="128"/>
      <c r="AF475" s="128"/>
      <c r="AG475" s="12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28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8"/>
      <c r="BX475" s="128"/>
      <c r="BY475" s="128"/>
      <c r="BZ475" s="128"/>
      <c r="CA475" s="128"/>
      <c r="CB475" s="128"/>
      <c r="CC475" s="128"/>
      <c r="CD475" s="128"/>
      <c r="CE475" s="128"/>
      <c r="CF475" s="128"/>
      <c r="CG475" s="128"/>
      <c r="CH475" s="128"/>
      <c r="CI475" s="128"/>
      <c r="CJ475" s="128"/>
      <c r="CK475" s="128"/>
      <c r="CL475" s="128"/>
      <c r="CM475" s="128"/>
    </row>
    <row r="476" spans="1:91" x14ac:dyDescent="0.2">
      <c r="A476" s="18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AD476" s="128"/>
      <c r="AE476" s="128"/>
      <c r="AF476" s="128"/>
      <c r="AG476" s="12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8"/>
      <c r="AW476" s="128"/>
      <c r="AX476" s="128"/>
      <c r="AY476" s="128"/>
      <c r="AZ476" s="128"/>
      <c r="BA476" s="128"/>
      <c r="BB476" s="128"/>
      <c r="BC476" s="128"/>
      <c r="BD476" s="128"/>
      <c r="BE476" s="128"/>
      <c r="BF476" s="128"/>
      <c r="BG476" s="128"/>
      <c r="BH476" s="128"/>
      <c r="BI476" s="128"/>
      <c r="BJ476" s="128"/>
      <c r="BK476" s="128"/>
      <c r="BL476" s="128"/>
      <c r="BM476" s="128"/>
      <c r="BN476" s="128"/>
      <c r="BO476" s="128"/>
      <c r="BP476" s="128"/>
      <c r="BQ476" s="128"/>
      <c r="BR476" s="128"/>
      <c r="BS476" s="128"/>
      <c r="BT476" s="128"/>
      <c r="BU476" s="128"/>
      <c r="BV476" s="128"/>
      <c r="BW476" s="128"/>
      <c r="BX476" s="128"/>
      <c r="BY476" s="128"/>
      <c r="BZ476" s="128"/>
      <c r="CA476" s="128"/>
      <c r="CB476" s="128"/>
      <c r="CC476" s="128"/>
      <c r="CD476" s="128"/>
      <c r="CE476" s="128"/>
      <c r="CF476" s="128"/>
      <c r="CG476" s="128"/>
      <c r="CH476" s="128"/>
      <c r="CI476" s="128"/>
      <c r="CJ476" s="128"/>
      <c r="CK476" s="128"/>
      <c r="CL476" s="128"/>
      <c r="CM476" s="128"/>
    </row>
    <row r="477" spans="1:91" x14ac:dyDescent="0.2">
      <c r="A477" s="18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AD477" s="128"/>
      <c r="AE477" s="128"/>
      <c r="AF477" s="128"/>
      <c r="AG477" s="12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8"/>
      <c r="AW477" s="128"/>
      <c r="AX477" s="128"/>
      <c r="AY477" s="128"/>
      <c r="AZ477" s="128"/>
      <c r="BA477" s="128"/>
      <c r="BB477" s="128"/>
      <c r="BC477" s="128"/>
      <c r="BD477" s="128"/>
      <c r="BE477" s="128"/>
      <c r="BF477" s="128"/>
      <c r="BG477" s="128"/>
      <c r="BH477" s="128"/>
      <c r="BI477" s="128"/>
      <c r="BJ477" s="128"/>
      <c r="BK477" s="128"/>
      <c r="BL477" s="128"/>
      <c r="BM477" s="128"/>
      <c r="BN477" s="128"/>
      <c r="BO477" s="128"/>
      <c r="BP477" s="128"/>
      <c r="BQ477" s="128"/>
      <c r="BR477" s="128"/>
      <c r="BS477" s="128"/>
      <c r="BT477" s="128"/>
      <c r="BU477" s="128"/>
      <c r="BV477" s="128"/>
      <c r="BW477" s="128"/>
      <c r="BX477" s="128"/>
      <c r="BY477" s="128"/>
      <c r="BZ477" s="128"/>
      <c r="CA477" s="128"/>
      <c r="CB477" s="128"/>
      <c r="CC477" s="128"/>
      <c r="CD477" s="128"/>
      <c r="CE477" s="128"/>
      <c r="CF477" s="128"/>
      <c r="CG477" s="128"/>
      <c r="CH477" s="128"/>
      <c r="CI477" s="128"/>
      <c r="CJ477" s="128"/>
      <c r="CK477" s="128"/>
      <c r="CL477" s="128"/>
      <c r="CM477" s="128"/>
    </row>
    <row r="478" spans="1:91" x14ac:dyDescent="0.2">
      <c r="A478" s="18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AD478" s="128"/>
      <c r="AE478" s="128"/>
      <c r="AF478" s="128"/>
      <c r="AG478" s="12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8"/>
      <c r="AW478" s="128"/>
      <c r="AX478" s="128"/>
      <c r="AY478" s="128"/>
      <c r="AZ478" s="128"/>
      <c r="BA478" s="128"/>
      <c r="BB478" s="128"/>
      <c r="BC478" s="128"/>
      <c r="BD478" s="128"/>
      <c r="BE478" s="128"/>
      <c r="BF478" s="128"/>
      <c r="BG478" s="128"/>
      <c r="BH478" s="128"/>
      <c r="BI478" s="128"/>
      <c r="BJ478" s="128"/>
      <c r="BK478" s="128"/>
      <c r="BL478" s="128"/>
      <c r="BM478" s="128"/>
      <c r="BN478" s="128"/>
      <c r="BO478" s="128"/>
      <c r="BP478" s="128"/>
      <c r="BQ478" s="128"/>
      <c r="BR478" s="128"/>
      <c r="BS478" s="128"/>
      <c r="BT478" s="128"/>
      <c r="BU478" s="128"/>
      <c r="BV478" s="128"/>
      <c r="BW478" s="128"/>
      <c r="BX478" s="128"/>
      <c r="BY478" s="128"/>
      <c r="BZ478" s="128"/>
      <c r="CA478" s="128"/>
      <c r="CB478" s="128"/>
      <c r="CC478" s="128"/>
      <c r="CD478" s="128"/>
      <c r="CE478" s="128"/>
      <c r="CF478" s="128"/>
      <c r="CG478" s="128"/>
      <c r="CH478" s="128"/>
      <c r="CI478" s="128"/>
      <c r="CJ478" s="128"/>
      <c r="CK478" s="128"/>
      <c r="CL478" s="128"/>
      <c r="CM478" s="128"/>
    </row>
    <row r="479" spans="1:91" x14ac:dyDescent="0.2">
      <c r="A479" s="18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AD479" s="128"/>
      <c r="AE479" s="128"/>
      <c r="AF479" s="128"/>
      <c r="AG479" s="12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  <c r="AS479" s="128"/>
      <c r="AT479" s="128"/>
      <c r="AU479" s="128"/>
      <c r="AV479" s="128"/>
      <c r="AW479" s="128"/>
      <c r="AX479" s="128"/>
      <c r="AY479" s="128"/>
      <c r="AZ479" s="128"/>
      <c r="BA479" s="128"/>
      <c r="BB479" s="128"/>
      <c r="BC479" s="128"/>
      <c r="BD479" s="128"/>
      <c r="BE479" s="128"/>
      <c r="BF479" s="128"/>
      <c r="BG479" s="128"/>
      <c r="BH479" s="128"/>
      <c r="BI479" s="128"/>
      <c r="BJ479" s="128"/>
      <c r="BK479" s="128"/>
      <c r="BL479" s="128"/>
      <c r="BM479" s="128"/>
      <c r="BN479" s="128"/>
      <c r="BO479" s="128"/>
      <c r="BP479" s="128"/>
      <c r="BQ479" s="128"/>
      <c r="BR479" s="128"/>
      <c r="BS479" s="128"/>
      <c r="BT479" s="128"/>
      <c r="BU479" s="128"/>
      <c r="BV479" s="128"/>
      <c r="BW479" s="128"/>
      <c r="BX479" s="128"/>
      <c r="BY479" s="128"/>
      <c r="BZ479" s="128"/>
      <c r="CA479" s="128"/>
      <c r="CB479" s="128"/>
      <c r="CC479" s="128"/>
      <c r="CD479" s="128"/>
      <c r="CE479" s="128"/>
      <c r="CF479" s="128"/>
      <c r="CG479" s="128"/>
      <c r="CH479" s="128"/>
      <c r="CI479" s="128"/>
      <c r="CJ479" s="128"/>
      <c r="CK479" s="128"/>
      <c r="CL479" s="128"/>
      <c r="CM479" s="128"/>
    </row>
    <row r="480" spans="1:91" x14ac:dyDescent="0.2">
      <c r="A480" s="18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AD480" s="128"/>
      <c r="AE480" s="128"/>
      <c r="AF480" s="128"/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28"/>
      <c r="AR480" s="128"/>
      <c r="AS480" s="128"/>
      <c r="AT480" s="128"/>
      <c r="AU480" s="128"/>
      <c r="AV480" s="128"/>
      <c r="AW480" s="128"/>
      <c r="AX480" s="128"/>
      <c r="AY480" s="128"/>
      <c r="AZ480" s="128"/>
      <c r="BA480" s="128"/>
      <c r="BB480" s="128"/>
      <c r="BC480" s="128"/>
      <c r="BD480" s="128"/>
      <c r="BE480" s="128"/>
      <c r="BF480" s="128"/>
      <c r="BG480" s="128"/>
      <c r="BH480" s="128"/>
      <c r="BI480" s="128"/>
      <c r="BJ480" s="128"/>
      <c r="BK480" s="128"/>
      <c r="BL480" s="128"/>
      <c r="BM480" s="128"/>
      <c r="BN480" s="128"/>
      <c r="BO480" s="128"/>
      <c r="BP480" s="128"/>
      <c r="BQ480" s="128"/>
      <c r="BR480" s="128"/>
      <c r="BS480" s="128"/>
      <c r="BT480" s="128"/>
      <c r="BU480" s="128"/>
      <c r="BV480" s="128"/>
      <c r="BW480" s="128"/>
      <c r="BX480" s="128"/>
      <c r="BY480" s="128"/>
      <c r="BZ480" s="128"/>
      <c r="CA480" s="128"/>
      <c r="CB480" s="128"/>
      <c r="CC480" s="128"/>
      <c r="CD480" s="128"/>
      <c r="CE480" s="128"/>
      <c r="CF480" s="128"/>
      <c r="CG480" s="128"/>
      <c r="CH480" s="128"/>
      <c r="CI480" s="128"/>
      <c r="CJ480" s="128"/>
      <c r="CK480" s="128"/>
      <c r="CL480" s="128"/>
      <c r="CM480" s="128"/>
    </row>
    <row r="481" spans="1:91" x14ac:dyDescent="0.2">
      <c r="A481" s="18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AD481" s="128"/>
      <c r="AE481" s="128"/>
      <c r="AF481" s="128"/>
      <c r="AG481" s="12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28"/>
      <c r="AR481" s="128"/>
      <c r="AS481" s="128"/>
      <c r="AT481" s="128"/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28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8"/>
      <c r="BX481" s="128"/>
      <c r="BY481" s="128"/>
      <c r="BZ481" s="128"/>
      <c r="CA481" s="128"/>
      <c r="CB481" s="128"/>
      <c r="CC481" s="128"/>
      <c r="CD481" s="128"/>
      <c r="CE481" s="128"/>
      <c r="CF481" s="128"/>
      <c r="CG481" s="128"/>
      <c r="CH481" s="128"/>
      <c r="CI481" s="128"/>
      <c r="CJ481" s="128"/>
      <c r="CK481" s="128"/>
      <c r="CL481" s="128"/>
      <c r="CM481" s="128"/>
    </row>
    <row r="482" spans="1:91" x14ac:dyDescent="0.2">
      <c r="A482" s="18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AD482" s="128"/>
      <c r="AE482" s="128"/>
      <c r="AF482" s="128"/>
      <c r="AG482" s="12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28"/>
      <c r="AR482" s="128"/>
      <c r="AS482" s="128"/>
      <c r="AT482" s="128"/>
      <c r="AU482" s="128"/>
      <c r="AV482" s="128"/>
      <c r="AW482" s="128"/>
      <c r="AX482" s="128"/>
      <c r="AY482" s="128"/>
      <c r="AZ482" s="128"/>
      <c r="BA482" s="128"/>
      <c r="BB482" s="128"/>
      <c r="BC482" s="128"/>
      <c r="BD482" s="128"/>
      <c r="BE482" s="128"/>
      <c r="BF482" s="128"/>
      <c r="BG482" s="128"/>
      <c r="BH482" s="128"/>
      <c r="BI482" s="128"/>
      <c r="BJ482" s="128"/>
      <c r="BK482" s="128"/>
      <c r="BL482" s="128"/>
      <c r="BM482" s="128"/>
      <c r="BN482" s="128"/>
      <c r="BO482" s="128"/>
      <c r="BP482" s="128"/>
      <c r="BQ482" s="128"/>
      <c r="BR482" s="128"/>
      <c r="BS482" s="128"/>
      <c r="BT482" s="128"/>
      <c r="BU482" s="128"/>
      <c r="BV482" s="128"/>
      <c r="BW482" s="128"/>
      <c r="BX482" s="128"/>
      <c r="BY482" s="128"/>
      <c r="BZ482" s="128"/>
      <c r="CA482" s="128"/>
      <c r="CB482" s="128"/>
      <c r="CC482" s="128"/>
      <c r="CD482" s="128"/>
      <c r="CE482" s="128"/>
      <c r="CF482" s="128"/>
      <c r="CG482" s="128"/>
      <c r="CH482" s="128"/>
      <c r="CI482" s="128"/>
      <c r="CJ482" s="128"/>
      <c r="CK482" s="128"/>
      <c r="CL482" s="128"/>
      <c r="CM482" s="128"/>
    </row>
    <row r="483" spans="1:91" x14ac:dyDescent="0.2">
      <c r="A483" s="18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AD483" s="128"/>
      <c r="AE483" s="128"/>
      <c r="AF483" s="128"/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28"/>
      <c r="AR483" s="128"/>
      <c r="AS483" s="128"/>
      <c r="AT483" s="128"/>
      <c r="AU483" s="128"/>
      <c r="AV483" s="128"/>
      <c r="AW483" s="128"/>
      <c r="AX483" s="128"/>
      <c r="AY483" s="128"/>
      <c r="AZ483" s="128"/>
      <c r="BA483" s="128"/>
      <c r="BB483" s="128"/>
      <c r="BC483" s="128"/>
      <c r="BD483" s="128"/>
      <c r="BE483" s="128"/>
      <c r="BF483" s="128"/>
      <c r="BG483" s="128"/>
      <c r="BH483" s="128"/>
      <c r="BI483" s="128"/>
      <c r="BJ483" s="128"/>
      <c r="BK483" s="128"/>
      <c r="BL483" s="128"/>
      <c r="BM483" s="128"/>
      <c r="BN483" s="128"/>
      <c r="BO483" s="128"/>
      <c r="BP483" s="128"/>
      <c r="BQ483" s="128"/>
      <c r="BR483" s="128"/>
      <c r="BS483" s="128"/>
      <c r="BT483" s="128"/>
      <c r="BU483" s="128"/>
      <c r="BV483" s="128"/>
      <c r="BW483" s="128"/>
      <c r="BX483" s="128"/>
      <c r="BY483" s="128"/>
      <c r="BZ483" s="128"/>
      <c r="CA483" s="128"/>
      <c r="CB483" s="128"/>
      <c r="CC483" s="128"/>
      <c r="CD483" s="128"/>
      <c r="CE483" s="128"/>
      <c r="CF483" s="128"/>
      <c r="CG483" s="128"/>
      <c r="CH483" s="128"/>
      <c r="CI483" s="128"/>
      <c r="CJ483" s="128"/>
      <c r="CK483" s="128"/>
      <c r="CL483" s="128"/>
      <c r="CM483" s="128"/>
    </row>
    <row r="484" spans="1:91" x14ac:dyDescent="0.2">
      <c r="A484" s="18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  <c r="AS484" s="128"/>
      <c r="AT484" s="128"/>
      <c r="AU484" s="128"/>
      <c r="AV484" s="128"/>
      <c r="AW484" s="128"/>
      <c r="AX484" s="128"/>
      <c r="AY484" s="128"/>
      <c r="AZ484" s="128"/>
      <c r="BA484" s="128"/>
      <c r="BB484" s="128"/>
      <c r="BC484" s="128"/>
      <c r="BD484" s="128"/>
      <c r="BE484" s="128"/>
      <c r="BF484" s="128"/>
      <c r="BG484" s="128"/>
      <c r="BH484" s="128"/>
      <c r="BI484" s="128"/>
      <c r="BJ484" s="128"/>
      <c r="BK484" s="128"/>
      <c r="BL484" s="128"/>
      <c r="BM484" s="128"/>
      <c r="BN484" s="128"/>
      <c r="BO484" s="128"/>
      <c r="BP484" s="128"/>
      <c r="BQ484" s="128"/>
      <c r="BR484" s="128"/>
      <c r="BS484" s="128"/>
      <c r="BT484" s="128"/>
      <c r="BU484" s="128"/>
      <c r="BV484" s="128"/>
      <c r="BW484" s="128"/>
      <c r="BX484" s="128"/>
      <c r="BY484" s="128"/>
      <c r="BZ484" s="128"/>
      <c r="CA484" s="128"/>
      <c r="CB484" s="128"/>
      <c r="CC484" s="128"/>
      <c r="CD484" s="128"/>
      <c r="CE484" s="128"/>
      <c r="CF484" s="128"/>
      <c r="CG484" s="128"/>
      <c r="CH484" s="128"/>
      <c r="CI484" s="128"/>
      <c r="CJ484" s="128"/>
      <c r="CK484" s="128"/>
      <c r="CL484" s="128"/>
      <c r="CM484" s="128"/>
    </row>
    <row r="485" spans="1:91" x14ac:dyDescent="0.2">
      <c r="A485" s="18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AD485" s="128"/>
      <c r="AE485" s="128"/>
      <c r="AF485" s="128"/>
      <c r="AG485" s="12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8"/>
      <c r="AW485" s="128"/>
      <c r="AX485" s="128"/>
      <c r="AY485" s="128"/>
      <c r="AZ485" s="128"/>
      <c r="BA485" s="128"/>
      <c r="BB485" s="128"/>
      <c r="BC485" s="128"/>
      <c r="BD485" s="128"/>
      <c r="BE485" s="128"/>
      <c r="BF485" s="128"/>
      <c r="BG485" s="128"/>
      <c r="BH485" s="128"/>
      <c r="BI485" s="128"/>
      <c r="BJ485" s="128"/>
      <c r="BK485" s="128"/>
      <c r="BL485" s="128"/>
      <c r="BM485" s="128"/>
      <c r="BN485" s="128"/>
      <c r="BO485" s="128"/>
      <c r="BP485" s="128"/>
      <c r="BQ485" s="128"/>
      <c r="BR485" s="128"/>
      <c r="BS485" s="128"/>
      <c r="BT485" s="128"/>
      <c r="BU485" s="128"/>
      <c r="BV485" s="128"/>
      <c r="BW485" s="128"/>
      <c r="BX485" s="128"/>
      <c r="BY485" s="128"/>
      <c r="BZ485" s="128"/>
      <c r="CA485" s="128"/>
      <c r="CB485" s="128"/>
      <c r="CC485" s="128"/>
      <c r="CD485" s="128"/>
      <c r="CE485" s="128"/>
      <c r="CF485" s="128"/>
      <c r="CG485" s="128"/>
      <c r="CH485" s="128"/>
      <c r="CI485" s="128"/>
      <c r="CJ485" s="128"/>
      <c r="CK485" s="128"/>
      <c r="CL485" s="128"/>
      <c r="CM485" s="128"/>
    </row>
    <row r="486" spans="1:91" x14ac:dyDescent="0.2">
      <c r="A486" s="18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AD486" s="128"/>
      <c r="AE486" s="128"/>
      <c r="AF486" s="128"/>
      <c r="AG486" s="12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  <c r="AS486" s="128"/>
      <c r="AT486" s="128"/>
      <c r="AU486" s="128"/>
      <c r="AV486" s="128"/>
      <c r="AW486" s="128"/>
      <c r="AX486" s="128"/>
      <c r="AY486" s="128"/>
      <c r="AZ486" s="128"/>
      <c r="BA486" s="128"/>
      <c r="BB486" s="128"/>
      <c r="BC486" s="128"/>
      <c r="BD486" s="128"/>
      <c r="BE486" s="128"/>
      <c r="BF486" s="128"/>
      <c r="BG486" s="128"/>
      <c r="BH486" s="128"/>
      <c r="BI486" s="128"/>
      <c r="BJ486" s="128"/>
      <c r="BK486" s="128"/>
      <c r="BL486" s="128"/>
      <c r="BM486" s="128"/>
      <c r="BN486" s="128"/>
      <c r="BO486" s="128"/>
      <c r="BP486" s="128"/>
      <c r="BQ486" s="128"/>
      <c r="BR486" s="128"/>
      <c r="BS486" s="128"/>
      <c r="BT486" s="128"/>
      <c r="BU486" s="128"/>
      <c r="BV486" s="128"/>
      <c r="BW486" s="128"/>
      <c r="BX486" s="128"/>
      <c r="BY486" s="128"/>
      <c r="BZ486" s="128"/>
      <c r="CA486" s="128"/>
      <c r="CB486" s="128"/>
      <c r="CC486" s="128"/>
      <c r="CD486" s="128"/>
      <c r="CE486" s="128"/>
      <c r="CF486" s="128"/>
      <c r="CG486" s="128"/>
      <c r="CH486" s="128"/>
      <c r="CI486" s="128"/>
      <c r="CJ486" s="128"/>
      <c r="CK486" s="128"/>
      <c r="CL486" s="128"/>
      <c r="CM486" s="128"/>
    </row>
    <row r="487" spans="1:91" x14ac:dyDescent="0.2">
      <c r="A487" s="1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28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8"/>
      <c r="CA487" s="128"/>
      <c r="CB487" s="128"/>
      <c r="CC487" s="128"/>
      <c r="CD487" s="128"/>
      <c r="CE487" s="128"/>
      <c r="CF487" s="128"/>
      <c r="CG487" s="128"/>
      <c r="CH487" s="128"/>
      <c r="CI487" s="128"/>
      <c r="CJ487" s="128"/>
      <c r="CK487" s="128"/>
      <c r="CL487" s="128"/>
      <c r="CM487" s="128"/>
    </row>
    <row r="488" spans="1:91" x14ac:dyDescent="0.2">
      <c r="A488" s="1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AD488" s="128"/>
      <c r="AE488" s="128"/>
      <c r="AF488" s="128"/>
      <c r="AG488" s="12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28"/>
      <c r="AR488" s="128"/>
      <c r="AS488" s="128"/>
      <c r="AT488" s="128"/>
      <c r="AU488" s="128"/>
      <c r="AV488" s="128"/>
      <c r="AW488" s="128"/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8"/>
      <c r="BL488" s="128"/>
      <c r="BM488" s="128"/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8"/>
      <c r="CA488" s="128"/>
      <c r="CB488" s="128"/>
      <c r="CC488" s="128"/>
      <c r="CD488" s="128"/>
      <c r="CE488" s="128"/>
      <c r="CF488" s="128"/>
      <c r="CG488" s="128"/>
      <c r="CH488" s="128"/>
      <c r="CI488" s="128"/>
      <c r="CJ488" s="128"/>
      <c r="CK488" s="128"/>
      <c r="CL488" s="128"/>
      <c r="CM488" s="128"/>
    </row>
    <row r="489" spans="1:91" x14ac:dyDescent="0.2">
      <c r="A489" s="1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AD489" s="128"/>
      <c r="AE489" s="128"/>
      <c r="AF489" s="128"/>
      <c r="AG489" s="12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28"/>
      <c r="AR489" s="128"/>
      <c r="AS489" s="128"/>
      <c r="AT489" s="128"/>
      <c r="AU489" s="128"/>
      <c r="AV489" s="128"/>
      <c r="AW489" s="128"/>
      <c r="AX489" s="128"/>
      <c r="AY489" s="128"/>
      <c r="AZ489" s="128"/>
      <c r="BA489" s="128"/>
      <c r="BB489" s="128"/>
      <c r="BC489" s="128"/>
      <c r="BD489" s="128"/>
      <c r="BE489" s="128"/>
      <c r="BF489" s="128"/>
      <c r="BG489" s="128"/>
      <c r="BH489" s="128"/>
      <c r="BI489" s="128"/>
      <c r="BJ489" s="128"/>
      <c r="BK489" s="128"/>
      <c r="BL489" s="128"/>
      <c r="BM489" s="128"/>
      <c r="BN489" s="128"/>
      <c r="BO489" s="128"/>
      <c r="BP489" s="128"/>
      <c r="BQ489" s="128"/>
      <c r="BR489" s="128"/>
      <c r="BS489" s="128"/>
      <c r="BT489" s="128"/>
      <c r="BU489" s="128"/>
      <c r="BV489" s="128"/>
      <c r="BW489" s="128"/>
      <c r="BX489" s="128"/>
      <c r="BY489" s="128"/>
      <c r="BZ489" s="128"/>
      <c r="CA489" s="128"/>
      <c r="CB489" s="128"/>
      <c r="CC489" s="128"/>
      <c r="CD489" s="128"/>
      <c r="CE489" s="128"/>
      <c r="CF489" s="128"/>
      <c r="CG489" s="128"/>
      <c r="CH489" s="128"/>
      <c r="CI489" s="128"/>
      <c r="CJ489" s="128"/>
      <c r="CK489" s="128"/>
      <c r="CL489" s="128"/>
      <c r="CM489" s="128"/>
    </row>
    <row r="490" spans="1:91" x14ac:dyDescent="0.2">
      <c r="A490" s="1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AD490" s="128"/>
      <c r="AE490" s="128"/>
      <c r="AF490" s="128"/>
      <c r="AG490" s="12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/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28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8"/>
      <c r="BX490" s="128"/>
      <c r="BY490" s="128"/>
      <c r="BZ490" s="128"/>
      <c r="CA490" s="128"/>
      <c r="CB490" s="128"/>
      <c r="CC490" s="128"/>
      <c r="CD490" s="128"/>
      <c r="CE490" s="128"/>
      <c r="CF490" s="128"/>
      <c r="CG490" s="128"/>
      <c r="CH490" s="128"/>
      <c r="CI490" s="128"/>
      <c r="CJ490" s="128"/>
      <c r="CK490" s="128"/>
      <c r="CL490" s="128"/>
      <c r="CM490" s="128"/>
    </row>
    <row r="491" spans="1:91" x14ac:dyDescent="0.2">
      <c r="A491" s="1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AD491" s="128"/>
      <c r="AE491" s="128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  <c r="AS491" s="128"/>
      <c r="AT491" s="128"/>
      <c r="AU491" s="128"/>
      <c r="AV491" s="128"/>
      <c r="AW491" s="128"/>
      <c r="AX491" s="128"/>
      <c r="AY491" s="128"/>
      <c r="AZ491" s="128"/>
      <c r="BA491" s="128"/>
      <c r="BB491" s="128"/>
      <c r="BC491" s="128"/>
      <c r="BD491" s="128"/>
      <c r="BE491" s="128"/>
      <c r="BF491" s="128"/>
      <c r="BG491" s="128"/>
      <c r="BH491" s="128"/>
      <c r="BI491" s="128"/>
      <c r="BJ491" s="128"/>
      <c r="BK491" s="128"/>
      <c r="BL491" s="128"/>
      <c r="BM491" s="128"/>
      <c r="BN491" s="128"/>
      <c r="BO491" s="128"/>
      <c r="BP491" s="128"/>
      <c r="BQ491" s="128"/>
      <c r="BR491" s="128"/>
      <c r="BS491" s="128"/>
      <c r="BT491" s="128"/>
      <c r="BU491" s="128"/>
      <c r="BV491" s="128"/>
      <c r="BW491" s="128"/>
      <c r="BX491" s="128"/>
      <c r="BY491" s="128"/>
      <c r="BZ491" s="128"/>
      <c r="CA491" s="128"/>
      <c r="CB491" s="128"/>
      <c r="CC491" s="128"/>
      <c r="CD491" s="128"/>
      <c r="CE491" s="128"/>
      <c r="CF491" s="128"/>
      <c r="CG491" s="128"/>
      <c r="CH491" s="128"/>
      <c r="CI491" s="128"/>
      <c r="CJ491" s="128"/>
      <c r="CK491" s="128"/>
      <c r="CL491" s="128"/>
      <c r="CM491" s="128"/>
    </row>
    <row r="492" spans="1:91" x14ac:dyDescent="0.2">
      <c r="A492" s="1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AD492" s="128"/>
      <c r="AE492" s="128"/>
      <c r="AF492" s="128"/>
      <c r="AG492" s="12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28"/>
      <c r="AR492" s="128"/>
      <c r="AS492" s="128"/>
      <c r="AT492" s="128"/>
      <c r="AU492" s="128"/>
      <c r="AV492" s="128"/>
      <c r="AW492" s="128"/>
      <c r="AX492" s="128"/>
      <c r="AY492" s="128"/>
      <c r="AZ492" s="128"/>
      <c r="BA492" s="128"/>
      <c r="BB492" s="128"/>
      <c r="BC492" s="128"/>
      <c r="BD492" s="128"/>
      <c r="BE492" s="128"/>
      <c r="BF492" s="128"/>
      <c r="BG492" s="128"/>
      <c r="BH492" s="128"/>
      <c r="BI492" s="128"/>
      <c r="BJ492" s="128"/>
      <c r="BK492" s="128"/>
      <c r="BL492" s="128"/>
      <c r="BM492" s="128"/>
      <c r="BN492" s="128"/>
      <c r="BO492" s="128"/>
      <c r="BP492" s="128"/>
      <c r="BQ492" s="128"/>
      <c r="BR492" s="128"/>
      <c r="BS492" s="128"/>
      <c r="BT492" s="128"/>
      <c r="BU492" s="128"/>
      <c r="BV492" s="128"/>
      <c r="BW492" s="128"/>
      <c r="BX492" s="128"/>
      <c r="BY492" s="128"/>
      <c r="BZ492" s="128"/>
      <c r="CA492" s="128"/>
      <c r="CB492" s="128"/>
      <c r="CC492" s="128"/>
      <c r="CD492" s="128"/>
      <c r="CE492" s="128"/>
      <c r="CF492" s="128"/>
      <c r="CG492" s="128"/>
      <c r="CH492" s="128"/>
      <c r="CI492" s="128"/>
      <c r="CJ492" s="128"/>
      <c r="CK492" s="128"/>
      <c r="CL492" s="128"/>
      <c r="CM492" s="128"/>
    </row>
    <row r="493" spans="1:91" x14ac:dyDescent="0.2">
      <c r="A493" s="1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28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8"/>
      <c r="CA493" s="128"/>
      <c r="CB493" s="128"/>
      <c r="CC493" s="128"/>
      <c r="CD493" s="128"/>
      <c r="CE493" s="128"/>
      <c r="CF493" s="128"/>
      <c r="CG493" s="128"/>
      <c r="CH493" s="128"/>
      <c r="CI493" s="128"/>
      <c r="CJ493" s="128"/>
      <c r="CK493" s="128"/>
      <c r="CL493" s="128"/>
      <c r="CM493" s="128"/>
    </row>
    <row r="494" spans="1:91" x14ac:dyDescent="0.2">
      <c r="A494" s="1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AD494" s="128"/>
      <c r="AE494" s="128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  <c r="AS494" s="128"/>
      <c r="AT494" s="128"/>
      <c r="AU494" s="128"/>
      <c r="AV494" s="128"/>
      <c r="AW494" s="128"/>
      <c r="AX494" s="128"/>
      <c r="AY494" s="128"/>
      <c r="AZ494" s="128"/>
      <c r="BA494" s="128"/>
      <c r="BB494" s="128"/>
      <c r="BC494" s="128"/>
      <c r="BD494" s="128"/>
      <c r="BE494" s="128"/>
      <c r="BF494" s="128"/>
      <c r="BG494" s="128"/>
      <c r="BH494" s="128"/>
      <c r="BI494" s="128"/>
      <c r="BJ494" s="128"/>
      <c r="BK494" s="128"/>
      <c r="BL494" s="128"/>
      <c r="BM494" s="128"/>
      <c r="BN494" s="128"/>
      <c r="BO494" s="128"/>
      <c r="BP494" s="128"/>
      <c r="BQ494" s="128"/>
      <c r="BR494" s="128"/>
      <c r="BS494" s="128"/>
      <c r="BT494" s="128"/>
      <c r="BU494" s="128"/>
      <c r="BV494" s="128"/>
      <c r="BW494" s="128"/>
      <c r="BX494" s="128"/>
      <c r="BY494" s="128"/>
      <c r="BZ494" s="128"/>
      <c r="CA494" s="128"/>
      <c r="CB494" s="128"/>
      <c r="CC494" s="128"/>
      <c r="CD494" s="128"/>
      <c r="CE494" s="128"/>
      <c r="CF494" s="128"/>
      <c r="CG494" s="128"/>
      <c r="CH494" s="128"/>
      <c r="CI494" s="128"/>
      <c r="CJ494" s="128"/>
      <c r="CK494" s="128"/>
      <c r="CL494" s="128"/>
      <c r="CM494" s="128"/>
    </row>
    <row r="495" spans="1:91" x14ac:dyDescent="0.2">
      <c r="A495" s="1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  <c r="AS495" s="128"/>
      <c r="AT495" s="128"/>
      <c r="AU495" s="128"/>
      <c r="AV495" s="128"/>
      <c r="AW495" s="128"/>
      <c r="AX495" s="128"/>
      <c r="AY495" s="128"/>
      <c r="AZ495" s="128"/>
      <c r="BA495" s="128"/>
      <c r="BB495" s="128"/>
      <c r="BC495" s="128"/>
      <c r="BD495" s="128"/>
      <c r="BE495" s="128"/>
      <c r="BF495" s="128"/>
      <c r="BG495" s="128"/>
      <c r="BH495" s="128"/>
      <c r="BI495" s="128"/>
      <c r="BJ495" s="128"/>
      <c r="BK495" s="128"/>
      <c r="BL495" s="128"/>
      <c r="BM495" s="128"/>
      <c r="BN495" s="128"/>
      <c r="BO495" s="128"/>
      <c r="BP495" s="128"/>
      <c r="BQ495" s="128"/>
      <c r="BR495" s="128"/>
      <c r="BS495" s="128"/>
      <c r="BT495" s="128"/>
      <c r="BU495" s="128"/>
      <c r="BV495" s="128"/>
      <c r="BW495" s="128"/>
      <c r="BX495" s="128"/>
      <c r="BY495" s="128"/>
      <c r="BZ495" s="128"/>
      <c r="CA495" s="128"/>
      <c r="CB495" s="128"/>
      <c r="CC495" s="128"/>
      <c r="CD495" s="128"/>
      <c r="CE495" s="128"/>
      <c r="CF495" s="128"/>
      <c r="CG495" s="128"/>
      <c r="CH495" s="128"/>
      <c r="CI495" s="128"/>
      <c r="CJ495" s="128"/>
      <c r="CK495" s="128"/>
      <c r="CL495" s="128"/>
      <c r="CM495" s="128"/>
    </row>
    <row r="496" spans="1:91" x14ac:dyDescent="0.2">
      <c r="A496" s="1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AD496" s="128"/>
      <c r="AE496" s="128"/>
      <c r="AF496" s="128"/>
      <c r="AG496" s="12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8"/>
      <c r="AW496" s="128"/>
      <c r="AX496" s="128"/>
      <c r="AY496" s="128"/>
      <c r="AZ496" s="128"/>
      <c r="BA496" s="128"/>
      <c r="BB496" s="128"/>
      <c r="BC496" s="128"/>
      <c r="BD496" s="128"/>
      <c r="BE496" s="128"/>
      <c r="BF496" s="128"/>
      <c r="BG496" s="128"/>
      <c r="BH496" s="128"/>
      <c r="BI496" s="128"/>
      <c r="BJ496" s="128"/>
      <c r="BK496" s="128"/>
      <c r="BL496" s="128"/>
      <c r="BM496" s="128"/>
      <c r="BN496" s="128"/>
      <c r="BO496" s="128"/>
      <c r="BP496" s="128"/>
      <c r="BQ496" s="128"/>
      <c r="BR496" s="128"/>
      <c r="BS496" s="128"/>
      <c r="BT496" s="128"/>
      <c r="BU496" s="128"/>
      <c r="BV496" s="128"/>
      <c r="BW496" s="128"/>
      <c r="BX496" s="128"/>
      <c r="BY496" s="128"/>
      <c r="BZ496" s="128"/>
      <c r="CA496" s="128"/>
      <c r="CB496" s="128"/>
      <c r="CC496" s="128"/>
      <c r="CD496" s="128"/>
      <c r="CE496" s="128"/>
      <c r="CF496" s="128"/>
      <c r="CG496" s="128"/>
      <c r="CH496" s="128"/>
      <c r="CI496" s="128"/>
      <c r="CJ496" s="128"/>
      <c r="CK496" s="128"/>
      <c r="CL496" s="128"/>
      <c r="CM496" s="128"/>
    </row>
    <row r="497" spans="1:91" x14ac:dyDescent="0.2">
      <c r="A497" s="1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AD497" s="128"/>
      <c r="AE497" s="128"/>
      <c r="AF497" s="128"/>
      <c r="AG497" s="12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  <c r="AS497" s="128"/>
      <c r="AT497" s="128"/>
      <c r="AU497" s="128"/>
      <c r="AV497" s="128"/>
      <c r="AW497" s="128"/>
      <c r="AX497" s="128"/>
      <c r="AY497" s="128"/>
      <c r="AZ497" s="128"/>
      <c r="BA497" s="128"/>
      <c r="BB497" s="128"/>
      <c r="BC497" s="128"/>
      <c r="BD497" s="128"/>
      <c r="BE497" s="128"/>
      <c r="BF497" s="128"/>
      <c r="BG497" s="128"/>
      <c r="BH497" s="128"/>
      <c r="BI497" s="128"/>
      <c r="BJ497" s="128"/>
      <c r="BK497" s="128"/>
      <c r="BL497" s="128"/>
      <c r="BM497" s="128"/>
      <c r="BN497" s="128"/>
      <c r="BO497" s="128"/>
      <c r="BP497" s="128"/>
      <c r="BQ497" s="128"/>
      <c r="BR497" s="128"/>
      <c r="BS497" s="128"/>
      <c r="BT497" s="128"/>
      <c r="BU497" s="128"/>
      <c r="BV497" s="128"/>
      <c r="BW497" s="128"/>
      <c r="BX497" s="128"/>
      <c r="BY497" s="128"/>
      <c r="BZ497" s="128"/>
      <c r="CA497" s="128"/>
      <c r="CB497" s="128"/>
      <c r="CC497" s="128"/>
      <c r="CD497" s="128"/>
      <c r="CE497" s="128"/>
      <c r="CF497" s="128"/>
      <c r="CG497" s="128"/>
      <c r="CH497" s="128"/>
      <c r="CI497" s="128"/>
      <c r="CJ497" s="128"/>
      <c r="CK497" s="128"/>
      <c r="CL497" s="128"/>
      <c r="CM497" s="128"/>
    </row>
    <row r="498" spans="1:91" x14ac:dyDescent="0.2">
      <c r="A498" s="1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AD498" s="128"/>
      <c r="AE498" s="128"/>
      <c r="AF498" s="128"/>
      <c r="AG498" s="12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28"/>
      <c r="AR498" s="128"/>
      <c r="AS498" s="128"/>
      <c r="AT498" s="128"/>
      <c r="AU498" s="128"/>
      <c r="AV498" s="128"/>
      <c r="AW498" s="128"/>
      <c r="AX498" s="128"/>
      <c r="AY498" s="128"/>
      <c r="AZ498" s="128"/>
      <c r="BA498" s="128"/>
      <c r="BB498" s="128"/>
      <c r="BC498" s="128"/>
      <c r="BD498" s="128"/>
      <c r="BE498" s="128"/>
      <c r="BF498" s="128"/>
      <c r="BG498" s="128"/>
      <c r="BH498" s="128"/>
      <c r="BI498" s="128"/>
      <c r="BJ498" s="128"/>
      <c r="BK498" s="128"/>
      <c r="BL498" s="128"/>
      <c r="BM498" s="128"/>
      <c r="BN498" s="128"/>
      <c r="BO498" s="128"/>
      <c r="BP498" s="128"/>
      <c r="BQ498" s="128"/>
      <c r="BR498" s="128"/>
      <c r="BS498" s="128"/>
      <c r="BT498" s="128"/>
      <c r="BU498" s="128"/>
      <c r="BV498" s="128"/>
      <c r="BW498" s="128"/>
      <c r="BX498" s="128"/>
      <c r="BY498" s="128"/>
      <c r="BZ498" s="128"/>
      <c r="CA498" s="128"/>
      <c r="CB498" s="128"/>
      <c r="CC498" s="128"/>
      <c r="CD498" s="128"/>
      <c r="CE498" s="128"/>
      <c r="CF498" s="128"/>
      <c r="CG498" s="128"/>
      <c r="CH498" s="128"/>
      <c r="CI498" s="128"/>
      <c r="CJ498" s="128"/>
      <c r="CK498" s="128"/>
      <c r="CL498" s="128"/>
      <c r="CM498" s="128"/>
    </row>
    <row r="499" spans="1:91" x14ac:dyDescent="0.2">
      <c r="A499" s="1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AD499" s="128"/>
      <c r="AE499" s="128"/>
      <c r="AF499" s="128"/>
      <c r="AG499" s="128"/>
      <c r="AH499" s="128"/>
      <c r="AI499" s="128"/>
      <c r="AJ499" s="128"/>
      <c r="AK499" s="128"/>
      <c r="AL499" s="128"/>
      <c r="AM499" s="128"/>
      <c r="AN499" s="128"/>
      <c r="AO499" s="128"/>
      <c r="AP499" s="128"/>
      <c r="AQ499" s="128"/>
      <c r="AR499" s="128"/>
      <c r="AS499" s="128"/>
      <c r="AT499" s="128"/>
      <c r="AU499" s="128"/>
      <c r="AV499" s="128"/>
      <c r="AW499" s="128"/>
      <c r="AX499" s="128"/>
      <c r="AY499" s="128"/>
      <c r="AZ499" s="128"/>
      <c r="BA499" s="128"/>
      <c r="BB499" s="128"/>
      <c r="BC499" s="128"/>
      <c r="BD499" s="128"/>
      <c r="BE499" s="128"/>
      <c r="BF499" s="128"/>
      <c r="BG499" s="128"/>
      <c r="BH499" s="128"/>
      <c r="BI499" s="128"/>
      <c r="BJ499" s="128"/>
      <c r="BK499" s="128"/>
      <c r="BL499" s="128"/>
      <c r="BM499" s="128"/>
      <c r="BN499" s="128"/>
      <c r="BO499" s="128"/>
      <c r="BP499" s="128"/>
      <c r="BQ499" s="128"/>
      <c r="BR499" s="128"/>
      <c r="BS499" s="128"/>
      <c r="BT499" s="128"/>
      <c r="BU499" s="128"/>
      <c r="BV499" s="128"/>
      <c r="BW499" s="128"/>
      <c r="BX499" s="128"/>
      <c r="BY499" s="128"/>
      <c r="BZ499" s="128"/>
      <c r="CA499" s="128"/>
      <c r="CB499" s="128"/>
      <c r="CC499" s="128"/>
      <c r="CD499" s="128"/>
      <c r="CE499" s="128"/>
      <c r="CF499" s="128"/>
      <c r="CG499" s="128"/>
      <c r="CH499" s="128"/>
      <c r="CI499" s="128"/>
      <c r="CJ499" s="128"/>
      <c r="CK499" s="128"/>
      <c r="CL499" s="128"/>
      <c r="CM499" s="128"/>
    </row>
    <row r="500" spans="1:91" x14ac:dyDescent="0.2">
      <c r="A500" s="1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AD500" s="128"/>
      <c r="AE500" s="128"/>
      <c r="AF500" s="128"/>
      <c r="AG500" s="128"/>
      <c r="AH500" s="128"/>
      <c r="AI500" s="128"/>
      <c r="AJ500" s="128"/>
      <c r="AK500" s="128"/>
      <c r="AL500" s="128"/>
      <c r="AM500" s="128"/>
      <c r="AN500" s="128"/>
      <c r="AO500" s="128"/>
      <c r="AP500" s="128"/>
      <c r="AQ500" s="128"/>
      <c r="AR500" s="128"/>
      <c r="AS500" s="128"/>
      <c r="AT500" s="128"/>
      <c r="AU500" s="128"/>
      <c r="AV500" s="128"/>
      <c r="AW500" s="128"/>
      <c r="AX500" s="128"/>
      <c r="AY500" s="128"/>
      <c r="AZ500" s="128"/>
      <c r="BA500" s="128"/>
      <c r="BB500" s="128"/>
      <c r="BC500" s="128"/>
      <c r="BD500" s="128"/>
      <c r="BE500" s="128"/>
      <c r="BF500" s="128"/>
      <c r="BG500" s="128"/>
      <c r="BH500" s="128"/>
      <c r="BI500" s="128"/>
      <c r="BJ500" s="128"/>
      <c r="BK500" s="128"/>
      <c r="BL500" s="128"/>
      <c r="BM500" s="128"/>
      <c r="BN500" s="128"/>
      <c r="BO500" s="128"/>
      <c r="BP500" s="128"/>
      <c r="BQ500" s="128"/>
      <c r="BR500" s="128"/>
      <c r="BS500" s="128"/>
      <c r="BT500" s="128"/>
      <c r="BU500" s="128"/>
      <c r="BV500" s="128"/>
      <c r="BW500" s="128"/>
      <c r="BX500" s="128"/>
      <c r="BY500" s="128"/>
      <c r="BZ500" s="128"/>
      <c r="CA500" s="128"/>
      <c r="CB500" s="128"/>
      <c r="CC500" s="128"/>
      <c r="CD500" s="128"/>
      <c r="CE500" s="128"/>
      <c r="CF500" s="128"/>
      <c r="CG500" s="128"/>
      <c r="CH500" s="128"/>
      <c r="CI500" s="128"/>
      <c r="CJ500" s="128"/>
      <c r="CK500" s="128"/>
      <c r="CL500" s="128"/>
      <c r="CM500" s="128"/>
    </row>
    <row r="501" spans="1:91" x14ac:dyDescent="0.2">
      <c r="A501" s="1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AD501" s="128"/>
      <c r="AE501" s="128"/>
      <c r="AF501" s="128"/>
      <c r="AG501" s="12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28"/>
      <c r="AR501" s="128"/>
      <c r="AS501" s="128"/>
      <c r="AT501" s="128"/>
      <c r="AU501" s="128"/>
      <c r="AV501" s="128"/>
      <c r="AW501" s="128"/>
      <c r="AX501" s="128"/>
      <c r="AY501" s="128"/>
      <c r="AZ501" s="128"/>
      <c r="BA501" s="128"/>
      <c r="BB501" s="128"/>
      <c r="BC501" s="128"/>
      <c r="BD501" s="128"/>
      <c r="BE501" s="128"/>
      <c r="BF501" s="128"/>
      <c r="BG501" s="128"/>
      <c r="BH501" s="128"/>
      <c r="BI501" s="128"/>
      <c r="BJ501" s="128"/>
      <c r="BK501" s="128"/>
      <c r="BL501" s="128"/>
      <c r="BM501" s="128"/>
      <c r="BN501" s="128"/>
      <c r="BO501" s="128"/>
      <c r="BP501" s="128"/>
      <c r="BQ501" s="128"/>
      <c r="BR501" s="128"/>
      <c r="BS501" s="128"/>
      <c r="BT501" s="128"/>
      <c r="BU501" s="128"/>
      <c r="BV501" s="128"/>
      <c r="BW501" s="128"/>
      <c r="BX501" s="128"/>
      <c r="BY501" s="128"/>
      <c r="BZ501" s="128"/>
      <c r="CA501" s="128"/>
      <c r="CB501" s="128"/>
      <c r="CC501" s="128"/>
      <c r="CD501" s="128"/>
      <c r="CE501" s="128"/>
      <c r="CF501" s="128"/>
      <c r="CG501" s="128"/>
      <c r="CH501" s="128"/>
      <c r="CI501" s="128"/>
      <c r="CJ501" s="128"/>
      <c r="CK501" s="128"/>
      <c r="CL501" s="128"/>
      <c r="CM501" s="128"/>
    </row>
    <row r="502" spans="1:91" x14ac:dyDescent="0.2">
      <c r="A502" s="1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  <c r="AS502" s="128"/>
      <c r="AT502" s="128"/>
      <c r="AU502" s="128"/>
      <c r="AV502" s="128"/>
      <c r="AW502" s="128"/>
      <c r="AX502" s="128"/>
      <c r="AY502" s="128"/>
      <c r="AZ502" s="128"/>
      <c r="BA502" s="128"/>
      <c r="BB502" s="128"/>
      <c r="BC502" s="128"/>
      <c r="BD502" s="128"/>
      <c r="BE502" s="128"/>
      <c r="BF502" s="128"/>
      <c r="BG502" s="128"/>
      <c r="BH502" s="128"/>
      <c r="BI502" s="128"/>
      <c r="BJ502" s="128"/>
      <c r="BK502" s="128"/>
      <c r="BL502" s="128"/>
      <c r="BM502" s="128"/>
      <c r="BN502" s="128"/>
      <c r="BO502" s="128"/>
      <c r="BP502" s="128"/>
      <c r="BQ502" s="128"/>
      <c r="BR502" s="128"/>
      <c r="BS502" s="128"/>
      <c r="BT502" s="128"/>
      <c r="BU502" s="128"/>
      <c r="BV502" s="128"/>
      <c r="BW502" s="128"/>
      <c r="BX502" s="128"/>
      <c r="BY502" s="128"/>
      <c r="BZ502" s="128"/>
      <c r="CA502" s="128"/>
      <c r="CB502" s="128"/>
      <c r="CC502" s="128"/>
      <c r="CD502" s="128"/>
      <c r="CE502" s="128"/>
      <c r="CF502" s="128"/>
      <c r="CG502" s="128"/>
      <c r="CH502" s="128"/>
      <c r="CI502" s="128"/>
      <c r="CJ502" s="128"/>
      <c r="CK502" s="128"/>
      <c r="CL502" s="128"/>
      <c r="CM502" s="128"/>
    </row>
    <row r="503" spans="1:91" x14ac:dyDescent="0.2">
      <c r="A503" s="1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AD503" s="128"/>
      <c r="AE503" s="128"/>
      <c r="AF503" s="128"/>
      <c r="AG503" s="12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28"/>
      <c r="AR503" s="128"/>
      <c r="AS503" s="128"/>
      <c r="AT503" s="128"/>
      <c r="AU503" s="128"/>
      <c r="AV503" s="128"/>
      <c r="AW503" s="128"/>
      <c r="AX503" s="128"/>
      <c r="AY503" s="128"/>
      <c r="AZ503" s="128"/>
      <c r="BA503" s="128"/>
      <c r="BB503" s="128"/>
      <c r="BC503" s="128"/>
      <c r="BD503" s="128"/>
      <c r="BE503" s="128"/>
      <c r="BF503" s="128"/>
      <c r="BG503" s="128"/>
      <c r="BH503" s="128"/>
      <c r="BI503" s="128"/>
      <c r="BJ503" s="128"/>
      <c r="BK503" s="128"/>
      <c r="BL503" s="128"/>
      <c r="BM503" s="128"/>
      <c r="BN503" s="128"/>
      <c r="BO503" s="128"/>
      <c r="BP503" s="128"/>
      <c r="BQ503" s="128"/>
      <c r="BR503" s="128"/>
      <c r="BS503" s="128"/>
      <c r="BT503" s="128"/>
      <c r="BU503" s="128"/>
      <c r="BV503" s="128"/>
      <c r="BW503" s="128"/>
      <c r="BX503" s="128"/>
      <c r="BY503" s="128"/>
      <c r="BZ503" s="128"/>
      <c r="CA503" s="128"/>
      <c r="CB503" s="128"/>
      <c r="CC503" s="128"/>
      <c r="CD503" s="128"/>
      <c r="CE503" s="128"/>
      <c r="CF503" s="128"/>
      <c r="CG503" s="128"/>
      <c r="CH503" s="128"/>
      <c r="CI503" s="128"/>
      <c r="CJ503" s="128"/>
      <c r="CK503" s="128"/>
      <c r="CL503" s="128"/>
      <c r="CM503" s="128"/>
    </row>
    <row r="504" spans="1:91" x14ac:dyDescent="0.2">
      <c r="A504" s="1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AD504" s="128"/>
      <c r="AE504" s="128"/>
      <c r="AF504" s="128"/>
      <c r="AG504" s="12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28"/>
      <c r="AR504" s="128"/>
      <c r="AS504" s="128"/>
      <c r="AT504" s="128"/>
      <c r="AU504" s="128"/>
      <c r="AV504" s="128"/>
      <c r="AW504" s="128"/>
      <c r="AX504" s="128"/>
      <c r="AY504" s="128"/>
      <c r="AZ504" s="128"/>
      <c r="BA504" s="128"/>
      <c r="BB504" s="128"/>
      <c r="BC504" s="128"/>
      <c r="BD504" s="128"/>
      <c r="BE504" s="128"/>
      <c r="BF504" s="128"/>
      <c r="BG504" s="128"/>
      <c r="BH504" s="128"/>
      <c r="BI504" s="128"/>
      <c r="BJ504" s="128"/>
      <c r="BK504" s="128"/>
      <c r="BL504" s="128"/>
      <c r="BM504" s="128"/>
      <c r="BN504" s="128"/>
      <c r="BO504" s="128"/>
      <c r="BP504" s="128"/>
      <c r="BQ504" s="128"/>
      <c r="BR504" s="128"/>
      <c r="BS504" s="128"/>
      <c r="BT504" s="128"/>
      <c r="BU504" s="128"/>
      <c r="BV504" s="128"/>
      <c r="BW504" s="128"/>
      <c r="BX504" s="128"/>
      <c r="BY504" s="128"/>
      <c r="BZ504" s="128"/>
      <c r="CA504" s="128"/>
      <c r="CB504" s="128"/>
      <c r="CC504" s="128"/>
      <c r="CD504" s="128"/>
      <c r="CE504" s="128"/>
      <c r="CF504" s="128"/>
      <c r="CG504" s="128"/>
      <c r="CH504" s="128"/>
      <c r="CI504" s="128"/>
      <c r="CJ504" s="128"/>
      <c r="CK504" s="128"/>
      <c r="CL504" s="128"/>
      <c r="CM504" s="128"/>
    </row>
    <row r="505" spans="1:91" x14ac:dyDescent="0.2">
      <c r="A505" s="1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28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8"/>
      <c r="CA505" s="128"/>
      <c r="CB505" s="128"/>
      <c r="CC505" s="128"/>
      <c r="CD505" s="128"/>
      <c r="CE505" s="128"/>
      <c r="CF505" s="128"/>
      <c r="CG505" s="128"/>
      <c r="CH505" s="128"/>
      <c r="CI505" s="128"/>
      <c r="CJ505" s="128"/>
      <c r="CK505" s="128"/>
      <c r="CL505" s="128"/>
      <c r="CM505" s="128"/>
    </row>
    <row r="506" spans="1:91" x14ac:dyDescent="0.2">
      <c r="A506" s="1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  <c r="AS506" s="128"/>
      <c r="AT506" s="128"/>
      <c r="AU506" s="128"/>
      <c r="AV506" s="128"/>
      <c r="AW506" s="128"/>
      <c r="AX506" s="128"/>
      <c r="AY506" s="128"/>
      <c r="AZ506" s="128"/>
      <c r="BA506" s="128"/>
      <c r="BB506" s="128"/>
      <c r="BC506" s="128"/>
      <c r="BD506" s="128"/>
      <c r="BE506" s="128"/>
      <c r="BF506" s="128"/>
      <c r="BG506" s="128"/>
      <c r="BH506" s="128"/>
      <c r="BI506" s="128"/>
      <c r="BJ506" s="128"/>
      <c r="BK506" s="128"/>
      <c r="BL506" s="128"/>
      <c r="BM506" s="128"/>
      <c r="BN506" s="128"/>
      <c r="BO506" s="128"/>
      <c r="BP506" s="128"/>
      <c r="BQ506" s="128"/>
      <c r="BR506" s="128"/>
      <c r="BS506" s="128"/>
      <c r="BT506" s="128"/>
      <c r="BU506" s="128"/>
      <c r="BV506" s="128"/>
      <c r="BW506" s="128"/>
      <c r="BX506" s="128"/>
      <c r="BY506" s="128"/>
      <c r="BZ506" s="128"/>
      <c r="CA506" s="128"/>
      <c r="CB506" s="128"/>
      <c r="CC506" s="128"/>
      <c r="CD506" s="128"/>
      <c r="CE506" s="128"/>
      <c r="CF506" s="128"/>
      <c r="CG506" s="128"/>
      <c r="CH506" s="128"/>
      <c r="CI506" s="128"/>
      <c r="CJ506" s="128"/>
      <c r="CK506" s="128"/>
      <c r="CL506" s="128"/>
      <c r="CM506" s="128"/>
    </row>
    <row r="507" spans="1:91" x14ac:dyDescent="0.2">
      <c r="A507" s="1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AD507" s="128"/>
      <c r="AE507" s="128"/>
      <c r="AF507" s="128"/>
      <c r="AG507" s="12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28"/>
      <c r="AR507" s="128"/>
      <c r="AS507" s="128"/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8"/>
      <c r="BH507" s="128"/>
      <c r="BI507" s="128"/>
      <c r="BJ507" s="128"/>
      <c r="BK507" s="128"/>
      <c r="BL507" s="128"/>
      <c r="BM507" s="128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8"/>
      <c r="BX507" s="128"/>
      <c r="BY507" s="128"/>
      <c r="BZ507" s="128"/>
      <c r="CA507" s="128"/>
      <c r="CB507" s="128"/>
      <c r="CC507" s="128"/>
      <c r="CD507" s="128"/>
      <c r="CE507" s="128"/>
      <c r="CF507" s="128"/>
      <c r="CG507" s="128"/>
      <c r="CH507" s="128"/>
      <c r="CI507" s="128"/>
      <c r="CJ507" s="128"/>
      <c r="CK507" s="128"/>
      <c r="CL507" s="128"/>
      <c r="CM507" s="128"/>
    </row>
    <row r="508" spans="1:91" x14ac:dyDescent="0.2">
      <c r="A508" s="1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  <c r="AS508" s="128"/>
      <c r="AT508" s="128"/>
      <c r="AU508" s="128"/>
      <c r="AV508" s="128"/>
      <c r="AW508" s="128"/>
      <c r="AX508" s="128"/>
      <c r="AY508" s="128"/>
      <c r="AZ508" s="128"/>
      <c r="BA508" s="128"/>
      <c r="BB508" s="128"/>
      <c r="BC508" s="128"/>
      <c r="BD508" s="128"/>
      <c r="BE508" s="128"/>
      <c r="BF508" s="128"/>
      <c r="BG508" s="128"/>
      <c r="BH508" s="128"/>
      <c r="BI508" s="128"/>
      <c r="BJ508" s="128"/>
      <c r="BK508" s="128"/>
      <c r="BL508" s="128"/>
      <c r="BM508" s="128"/>
      <c r="BN508" s="128"/>
      <c r="BO508" s="128"/>
      <c r="BP508" s="128"/>
      <c r="BQ508" s="128"/>
      <c r="BR508" s="128"/>
      <c r="BS508" s="128"/>
      <c r="BT508" s="128"/>
      <c r="BU508" s="128"/>
      <c r="BV508" s="128"/>
      <c r="BW508" s="128"/>
      <c r="BX508" s="128"/>
      <c r="BY508" s="128"/>
      <c r="BZ508" s="128"/>
      <c r="CA508" s="128"/>
      <c r="CB508" s="128"/>
      <c r="CC508" s="128"/>
      <c r="CD508" s="128"/>
      <c r="CE508" s="128"/>
      <c r="CF508" s="128"/>
      <c r="CG508" s="128"/>
      <c r="CH508" s="128"/>
      <c r="CI508" s="128"/>
      <c r="CJ508" s="128"/>
      <c r="CK508" s="128"/>
      <c r="CL508" s="128"/>
      <c r="CM508" s="128"/>
    </row>
    <row r="509" spans="1:91" x14ac:dyDescent="0.2">
      <c r="A509" s="1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AD509" s="128"/>
      <c r="AE509" s="128"/>
      <c r="AF509" s="128"/>
      <c r="AG509" s="12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28"/>
      <c r="AR509" s="128"/>
      <c r="AS509" s="128"/>
      <c r="AT509" s="128"/>
      <c r="AU509" s="128"/>
      <c r="AV509" s="128"/>
      <c r="AW509" s="128"/>
      <c r="AX509" s="128"/>
      <c r="AY509" s="128"/>
      <c r="AZ509" s="128"/>
      <c r="BA509" s="128"/>
      <c r="BB509" s="128"/>
      <c r="BC509" s="128"/>
      <c r="BD509" s="128"/>
      <c r="BE509" s="128"/>
      <c r="BF509" s="128"/>
      <c r="BG509" s="128"/>
      <c r="BH509" s="128"/>
      <c r="BI509" s="128"/>
      <c r="BJ509" s="128"/>
      <c r="BK509" s="128"/>
      <c r="BL509" s="128"/>
      <c r="BM509" s="128"/>
      <c r="BN509" s="128"/>
      <c r="BO509" s="128"/>
      <c r="BP509" s="128"/>
      <c r="BQ509" s="128"/>
      <c r="BR509" s="128"/>
      <c r="BS509" s="128"/>
      <c r="BT509" s="128"/>
      <c r="BU509" s="128"/>
      <c r="BV509" s="128"/>
      <c r="BW509" s="128"/>
      <c r="BX509" s="128"/>
      <c r="BY509" s="128"/>
      <c r="BZ509" s="128"/>
      <c r="CA509" s="128"/>
      <c r="CB509" s="128"/>
      <c r="CC509" s="128"/>
      <c r="CD509" s="128"/>
      <c r="CE509" s="128"/>
      <c r="CF509" s="128"/>
      <c r="CG509" s="128"/>
      <c r="CH509" s="128"/>
      <c r="CI509" s="128"/>
      <c r="CJ509" s="128"/>
      <c r="CK509" s="128"/>
      <c r="CL509" s="128"/>
      <c r="CM509" s="128"/>
    </row>
    <row r="510" spans="1:91" x14ac:dyDescent="0.2">
      <c r="A510" s="1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28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8"/>
      <c r="CG510" s="128"/>
      <c r="CH510" s="128"/>
      <c r="CI510" s="128"/>
      <c r="CJ510" s="128"/>
      <c r="CK510" s="128"/>
      <c r="CL510" s="128"/>
      <c r="CM510" s="128"/>
    </row>
    <row r="511" spans="1:91" x14ac:dyDescent="0.2">
      <c r="A511" s="1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AD511" s="128"/>
      <c r="AE511" s="128"/>
      <c r="AF511" s="128"/>
      <c r="AG511" s="12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28"/>
      <c r="AR511" s="128"/>
      <c r="AS511" s="128"/>
      <c r="AT511" s="128"/>
      <c r="AU511" s="128"/>
      <c r="AV511" s="128"/>
      <c r="AW511" s="128"/>
      <c r="AX511" s="128"/>
      <c r="AY511" s="128"/>
      <c r="AZ511" s="128"/>
      <c r="BA511" s="128"/>
      <c r="BB511" s="12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28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28"/>
      <c r="CC511" s="128"/>
      <c r="CD511" s="128"/>
      <c r="CE511" s="128"/>
      <c r="CF511" s="128"/>
      <c r="CG511" s="128"/>
      <c r="CH511" s="128"/>
      <c r="CI511" s="128"/>
      <c r="CJ511" s="128"/>
      <c r="CK511" s="128"/>
      <c r="CL511" s="128"/>
      <c r="CM511" s="128"/>
    </row>
    <row r="512" spans="1:91" x14ac:dyDescent="0.2">
      <c r="A512" s="1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</row>
    <row r="513" spans="1:17" x14ac:dyDescent="0.2">
      <c r="A513" s="1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</row>
    <row r="514" spans="1:17" x14ac:dyDescent="0.2">
      <c r="A514" s="1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</row>
    <row r="515" spans="1:17" x14ac:dyDescent="0.2">
      <c r="A515" s="1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</row>
    <row r="516" spans="1:17" x14ac:dyDescent="0.2">
      <c r="A516" s="1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</row>
    <row r="517" spans="1:17" x14ac:dyDescent="0.2">
      <c r="A517" s="1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</row>
    <row r="518" spans="1:17" x14ac:dyDescent="0.2">
      <c r="A518" s="1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</row>
    <row r="519" spans="1:17" x14ac:dyDescent="0.2">
      <c r="A519" s="1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</row>
    <row r="520" spans="1:17" x14ac:dyDescent="0.2">
      <c r="A520" s="1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</row>
    <row r="521" spans="1:17" x14ac:dyDescent="0.2">
      <c r="A521" s="1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</row>
    <row r="522" spans="1:17" x14ac:dyDescent="0.2">
      <c r="A522" s="1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</row>
    <row r="523" spans="1:17" x14ac:dyDescent="0.2">
      <c r="A523" s="1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</row>
    <row r="524" spans="1:17" x14ac:dyDescent="0.2">
      <c r="A524" s="1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</row>
    <row r="525" spans="1:17" x14ac:dyDescent="0.2">
      <c r="A525" s="1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</row>
    <row r="526" spans="1:17" x14ac:dyDescent="0.2">
      <c r="A526" s="1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</row>
    <row r="527" spans="1:17" x14ac:dyDescent="0.2">
      <c r="A527" s="1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</row>
    <row r="528" spans="1:17" x14ac:dyDescent="0.2">
      <c r="A528" s="1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</row>
    <row r="529" spans="1:17" x14ac:dyDescent="0.2">
      <c r="A529" s="1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</row>
    <row r="530" spans="1:17" x14ac:dyDescent="0.2">
      <c r="A530" s="1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</row>
    <row r="531" spans="1:17" x14ac:dyDescent="0.2">
      <c r="A531" s="1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</row>
    <row r="532" spans="1:17" x14ac:dyDescent="0.2">
      <c r="A532" s="1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</row>
    <row r="533" spans="1:17" x14ac:dyDescent="0.2">
      <c r="A533" s="1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</row>
    <row r="534" spans="1:17" x14ac:dyDescent="0.2">
      <c r="A534" s="1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</row>
    <row r="535" spans="1:17" x14ac:dyDescent="0.2">
      <c r="A535" s="1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</row>
    <row r="536" spans="1:17" x14ac:dyDescent="0.2">
      <c r="A536" s="1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</row>
    <row r="537" spans="1:17" x14ac:dyDescent="0.2">
      <c r="A537" s="1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</row>
    <row r="538" spans="1:17" x14ac:dyDescent="0.2">
      <c r="A538" s="1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</row>
    <row r="539" spans="1:17" x14ac:dyDescent="0.2">
      <c r="A539" s="1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</row>
    <row r="540" spans="1:17" x14ac:dyDescent="0.2">
      <c r="A540" s="1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</row>
    <row r="541" spans="1:17" x14ac:dyDescent="0.2">
      <c r="A541" s="1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</row>
    <row r="542" spans="1:17" x14ac:dyDescent="0.2">
      <c r="A542" s="1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</row>
    <row r="543" spans="1:17" x14ac:dyDescent="0.2">
      <c r="A543" s="1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</row>
    <row r="544" spans="1:17" x14ac:dyDescent="0.2">
      <c r="A544" s="1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</row>
    <row r="545" spans="1:17" x14ac:dyDescent="0.2">
      <c r="A545" s="1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</row>
    <row r="546" spans="1:17" x14ac:dyDescent="0.2">
      <c r="A546" s="1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</row>
    <row r="547" spans="1:17" x14ac:dyDescent="0.2">
      <c r="A547" s="1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</row>
    <row r="548" spans="1:17" x14ac:dyDescent="0.2">
      <c r="A548" s="1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</row>
    <row r="549" spans="1:17" x14ac:dyDescent="0.2">
      <c r="A549" s="1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</row>
    <row r="550" spans="1:17" x14ac:dyDescent="0.2">
      <c r="A550" s="1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</row>
    <row r="551" spans="1:17" x14ac:dyDescent="0.2">
      <c r="A551" s="1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</row>
    <row r="552" spans="1:17" x14ac:dyDescent="0.2">
      <c r="A552" s="1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</row>
    <row r="553" spans="1:17" x14ac:dyDescent="0.2">
      <c r="A553" s="1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</row>
    <row r="554" spans="1:17" x14ac:dyDescent="0.2">
      <c r="A554" s="1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</row>
    <row r="555" spans="1:17" x14ac:dyDescent="0.2">
      <c r="A555" s="1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</row>
    <row r="556" spans="1:17" x14ac:dyDescent="0.2">
      <c r="A556" s="1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</row>
    <row r="557" spans="1:17" x14ac:dyDescent="0.2">
      <c r="A557" s="1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</row>
    <row r="558" spans="1:17" x14ac:dyDescent="0.2">
      <c r="A558" s="1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</row>
    <row r="559" spans="1:17" x14ac:dyDescent="0.2">
      <c r="A559" s="1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</row>
    <row r="560" spans="1:17" x14ac:dyDescent="0.2">
      <c r="A560" s="1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</row>
    <row r="561" spans="1:17" x14ac:dyDescent="0.2">
      <c r="A561" s="1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</row>
    <row r="562" spans="1:17" x14ac:dyDescent="0.2">
      <c r="A562" s="1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</row>
    <row r="563" spans="1:17" x14ac:dyDescent="0.2">
      <c r="A563" s="1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</row>
    <row r="564" spans="1:17" x14ac:dyDescent="0.2">
      <c r="A564" s="1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</row>
    <row r="565" spans="1:17" x14ac:dyDescent="0.2">
      <c r="A565" s="1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</row>
    <row r="566" spans="1:17" x14ac:dyDescent="0.2">
      <c r="A566" s="1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</row>
    <row r="567" spans="1:17" x14ac:dyDescent="0.2">
      <c r="A567" s="1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</row>
    <row r="568" spans="1:17" x14ac:dyDescent="0.2">
      <c r="A568" s="1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</row>
    <row r="569" spans="1:17" x14ac:dyDescent="0.2">
      <c r="A569" s="1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</row>
    <row r="570" spans="1:17" x14ac:dyDescent="0.2">
      <c r="A570" s="1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</row>
    <row r="571" spans="1:17" x14ac:dyDescent="0.2">
      <c r="A571" s="1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</row>
    <row r="572" spans="1:17" x14ac:dyDescent="0.2">
      <c r="A572" s="1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</row>
    <row r="573" spans="1:17" x14ac:dyDescent="0.2">
      <c r="A573" s="1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</row>
    <row r="574" spans="1:17" x14ac:dyDescent="0.2">
      <c r="A574" s="1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</row>
    <row r="575" spans="1:17" x14ac:dyDescent="0.2">
      <c r="A575" s="1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</row>
    <row r="576" spans="1:17" x14ac:dyDescent="0.2">
      <c r="A576" s="1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</row>
    <row r="577" spans="1:17" x14ac:dyDescent="0.2">
      <c r="A577" s="1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</row>
    <row r="578" spans="1:17" x14ac:dyDescent="0.2">
      <c r="A578" s="1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</row>
    <row r="579" spans="1:17" x14ac:dyDescent="0.2">
      <c r="A579" s="1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</row>
    <row r="580" spans="1:17" x14ac:dyDescent="0.2">
      <c r="A580" s="1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</row>
    <row r="581" spans="1:17" x14ac:dyDescent="0.2">
      <c r="A581" s="1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</row>
    <row r="582" spans="1:17" x14ac:dyDescent="0.2">
      <c r="A582" s="1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</row>
    <row r="583" spans="1:17" x14ac:dyDescent="0.2">
      <c r="A583" s="1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</row>
    <row r="584" spans="1:17" x14ac:dyDescent="0.2">
      <c r="A584" s="1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</row>
    <row r="585" spans="1:17" x14ac:dyDescent="0.2">
      <c r="A585" s="1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</row>
    <row r="586" spans="1:17" x14ac:dyDescent="0.2">
      <c r="A586" s="1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</row>
    <row r="587" spans="1:17" x14ac:dyDescent="0.2">
      <c r="A587" s="1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</row>
    <row r="588" spans="1:17" x14ac:dyDescent="0.2">
      <c r="A588" s="1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</row>
    <row r="589" spans="1:17" x14ac:dyDescent="0.2">
      <c r="A589" s="1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</row>
    <row r="590" spans="1:17" x14ac:dyDescent="0.2">
      <c r="A590" s="1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</row>
    <row r="591" spans="1:17" x14ac:dyDescent="0.2">
      <c r="A591" s="1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</row>
    <row r="592" spans="1:17" x14ac:dyDescent="0.2">
      <c r="A592" s="1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</row>
    <row r="593" spans="1:17" x14ac:dyDescent="0.2">
      <c r="A593" s="1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</row>
    <row r="594" spans="1:17" x14ac:dyDescent="0.2">
      <c r="A594" s="1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</row>
    <row r="595" spans="1:17" x14ac:dyDescent="0.2">
      <c r="A595" s="1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</row>
    <row r="596" spans="1:17" x14ac:dyDescent="0.2">
      <c r="A596" s="1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</row>
    <row r="597" spans="1:17" x14ac:dyDescent="0.2">
      <c r="A597" s="1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</row>
    <row r="598" spans="1:17" x14ac:dyDescent="0.2">
      <c r="A598" s="1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</row>
    <row r="599" spans="1:17" x14ac:dyDescent="0.2">
      <c r="A599" s="1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</row>
    <row r="600" spans="1:17" x14ac:dyDescent="0.2">
      <c r="A600" s="1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</row>
    <row r="601" spans="1:17" x14ac:dyDescent="0.2">
      <c r="A601" s="1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</row>
    <row r="602" spans="1:17" x14ac:dyDescent="0.2">
      <c r="A602" s="1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</row>
    <row r="603" spans="1:17" x14ac:dyDescent="0.2">
      <c r="A603" s="1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</row>
    <row r="604" spans="1:17" x14ac:dyDescent="0.2">
      <c r="A604" s="1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</row>
    <row r="605" spans="1:17" x14ac:dyDescent="0.2">
      <c r="A605" s="1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</row>
    <row r="606" spans="1:17" x14ac:dyDescent="0.2">
      <c r="A606" s="1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</row>
    <row r="607" spans="1:17" x14ac:dyDescent="0.2">
      <c r="A607" s="1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</row>
    <row r="608" spans="1:17" x14ac:dyDescent="0.2">
      <c r="A608" s="1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</row>
    <row r="609" spans="1:17" x14ac:dyDescent="0.2">
      <c r="A609" s="1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</row>
    <row r="610" spans="1:17" x14ac:dyDescent="0.2">
      <c r="A610" s="1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</row>
    <row r="611" spans="1:17" x14ac:dyDescent="0.2">
      <c r="A611" s="1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</row>
    <row r="612" spans="1:17" x14ac:dyDescent="0.2">
      <c r="A612" s="1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</row>
    <row r="613" spans="1:17" x14ac:dyDescent="0.2">
      <c r="A613" s="1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</row>
    <row r="614" spans="1:17" x14ac:dyDescent="0.2">
      <c r="A614" s="1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</row>
    <row r="615" spans="1:17" x14ac:dyDescent="0.2">
      <c r="A615" s="1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</row>
    <row r="616" spans="1:17" x14ac:dyDescent="0.2">
      <c r="A616" s="1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</row>
    <row r="617" spans="1:17" x14ac:dyDescent="0.2">
      <c r="A617" s="1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</row>
    <row r="618" spans="1:17" x14ac:dyDescent="0.2">
      <c r="A618" s="1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</row>
    <row r="619" spans="1:17" x14ac:dyDescent="0.2">
      <c r="A619" s="1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</row>
    <row r="620" spans="1:17" x14ac:dyDescent="0.2">
      <c r="A620" s="1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</row>
    <row r="621" spans="1:17" x14ac:dyDescent="0.2">
      <c r="A621" s="1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</row>
    <row r="622" spans="1:17" x14ac:dyDescent="0.2">
      <c r="A622" s="1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</row>
    <row r="623" spans="1:17" x14ac:dyDescent="0.2">
      <c r="A623" s="1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</row>
    <row r="624" spans="1:17" x14ac:dyDescent="0.2">
      <c r="A624" s="1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</row>
    <row r="625" spans="1:17" x14ac:dyDescent="0.2">
      <c r="A625" s="1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</row>
    <row r="626" spans="1:17" x14ac:dyDescent="0.2">
      <c r="A626" s="1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</row>
    <row r="627" spans="1:17" x14ac:dyDescent="0.2">
      <c r="A627" s="1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</row>
    <row r="628" spans="1:17" x14ac:dyDescent="0.2">
      <c r="A628" s="1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</row>
    <row r="629" spans="1:17" x14ac:dyDescent="0.2">
      <c r="A629" s="1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</row>
    <row r="630" spans="1:17" x14ac:dyDescent="0.2">
      <c r="A630" s="1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</row>
    <row r="631" spans="1:17" x14ac:dyDescent="0.2">
      <c r="A631" s="1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</row>
    <row r="632" spans="1:17" x14ac:dyDescent="0.2">
      <c r="A632" s="1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</row>
    <row r="633" spans="1:17" x14ac:dyDescent="0.2">
      <c r="A633" s="1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</row>
    <row r="634" spans="1:17" x14ac:dyDescent="0.2">
      <c r="A634" s="1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</row>
    <row r="635" spans="1:17" x14ac:dyDescent="0.2">
      <c r="A635" s="1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</row>
    <row r="636" spans="1:17" x14ac:dyDescent="0.2">
      <c r="A636" s="1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</row>
    <row r="637" spans="1:17" x14ac:dyDescent="0.2">
      <c r="A637" s="1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</row>
    <row r="638" spans="1:17" x14ac:dyDescent="0.2">
      <c r="A638" s="1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</row>
    <row r="639" spans="1:17" x14ac:dyDescent="0.2">
      <c r="A639" s="1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</row>
    <row r="640" spans="1:17" x14ac:dyDescent="0.2">
      <c r="A640" s="1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</row>
    <row r="641" spans="1:17" x14ac:dyDescent="0.2">
      <c r="A641" s="1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</row>
    <row r="642" spans="1:17" x14ac:dyDescent="0.2">
      <c r="A642" s="1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</row>
    <row r="643" spans="1:17" x14ac:dyDescent="0.2">
      <c r="A643" s="1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</row>
    <row r="644" spans="1:17" x14ac:dyDescent="0.2">
      <c r="A644" s="1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</row>
    <row r="645" spans="1:17" x14ac:dyDescent="0.2">
      <c r="A645" s="1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</row>
    <row r="646" spans="1:17" x14ac:dyDescent="0.2">
      <c r="A646" s="1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</row>
    <row r="647" spans="1:17" x14ac:dyDescent="0.2">
      <c r="A647" s="1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</row>
    <row r="648" spans="1:17" x14ac:dyDescent="0.2">
      <c r="A648" s="1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</row>
    <row r="649" spans="1:17" x14ac:dyDescent="0.2">
      <c r="A649" s="1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</row>
    <row r="650" spans="1:17" x14ac:dyDescent="0.2">
      <c r="A650" s="1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</row>
    <row r="651" spans="1:17" x14ac:dyDescent="0.2">
      <c r="A651" s="1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</row>
    <row r="652" spans="1:17" x14ac:dyDescent="0.2">
      <c r="A652" s="1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</row>
    <row r="653" spans="1:17" x14ac:dyDescent="0.2">
      <c r="A653" s="1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</row>
    <row r="654" spans="1:17" x14ac:dyDescent="0.2">
      <c r="A654" s="1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</row>
    <row r="655" spans="1:17" x14ac:dyDescent="0.2">
      <c r="A655" s="1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</row>
    <row r="656" spans="1:17" x14ac:dyDescent="0.2">
      <c r="A656" s="1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</row>
    <row r="657" spans="1:17" x14ac:dyDescent="0.2">
      <c r="A657" s="1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</row>
    <row r="658" spans="1:17" x14ac:dyDescent="0.2">
      <c r="A658" s="1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</row>
    <row r="659" spans="1:17" x14ac:dyDescent="0.2">
      <c r="A659" s="1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</row>
    <row r="660" spans="1:17" x14ac:dyDescent="0.2">
      <c r="A660" s="1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</row>
    <row r="661" spans="1:17" x14ac:dyDescent="0.2">
      <c r="A661" s="1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</row>
    <row r="662" spans="1:17" x14ac:dyDescent="0.2">
      <c r="A662" s="1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</row>
    <row r="663" spans="1:17" x14ac:dyDescent="0.2">
      <c r="A663" s="1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</row>
    <row r="664" spans="1:17" x14ac:dyDescent="0.2">
      <c r="A664" s="1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</row>
    <row r="665" spans="1:17" x14ac:dyDescent="0.2">
      <c r="A665" s="1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</row>
    <row r="666" spans="1:17" x14ac:dyDescent="0.2">
      <c r="A666" s="1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</row>
    <row r="667" spans="1:17" x14ac:dyDescent="0.2">
      <c r="A667" s="1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</row>
    <row r="668" spans="1:17" x14ac:dyDescent="0.2">
      <c r="A668" s="1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</row>
    <row r="669" spans="1:17" x14ac:dyDescent="0.2">
      <c r="A669" s="1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</row>
    <row r="670" spans="1:17" x14ac:dyDescent="0.2">
      <c r="A670" s="1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</row>
    <row r="671" spans="1:17" x14ac:dyDescent="0.2">
      <c r="A671" s="1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</row>
    <row r="672" spans="1:17" x14ac:dyDescent="0.2">
      <c r="A672" s="1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</row>
    <row r="673" spans="1:17" x14ac:dyDescent="0.2">
      <c r="A673" s="1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</row>
    <row r="674" spans="1:17" x14ac:dyDescent="0.2">
      <c r="A674" s="1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</row>
    <row r="675" spans="1:17" x14ac:dyDescent="0.2">
      <c r="A675" s="1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</row>
    <row r="676" spans="1:17" x14ac:dyDescent="0.2">
      <c r="A676" s="1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</row>
    <row r="677" spans="1:17" x14ac:dyDescent="0.2">
      <c r="A677" s="1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</row>
    <row r="678" spans="1:17" x14ac:dyDescent="0.2">
      <c r="A678" s="1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</row>
    <row r="679" spans="1:17" x14ac:dyDescent="0.2">
      <c r="A679" s="1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</row>
    <row r="680" spans="1:17" x14ac:dyDescent="0.2">
      <c r="A680" s="1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</row>
    <row r="681" spans="1:17" x14ac:dyDescent="0.2">
      <c r="A681" s="1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</row>
    <row r="682" spans="1:17" x14ac:dyDescent="0.2">
      <c r="A682" s="1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</row>
    <row r="683" spans="1:17" x14ac:dyDescent="0.2">
      <c r="A683" s="1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</row>
    <row r="684" spans="1:17" x14ac:dyDescent="0.2">
      <c r="A684" s="1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</row>
    <row r="685" spans="1:17" x14ac:dyDescent="0.2">
      <c r="A685" s="1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</row>
    <row r="686" spans="1:17" x14ac:dyDescent="0.2">
      <c r="A686" s="1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</row>
    <row r="687" spans="1:17" x14ac:dyDescent="0.2">
      <c r="A687" s="1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</row>
    <row r="688" spans="1:17" x14ac:dyDescent="0.2">
      <c r="A688" s="1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</row>
    <row r="689" spans="1:17" x14ac:dyDescent="0.2">
      <c r="A689" s="1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</row>
    <row r="690" spans="1:17" x14ac:dyDescent="0.2">
      <c r="A690" s="1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</row>
    <row r="691" spans="1:17" x14ac:dyDescent="0.2">
      <c r="A691" s="1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</row>
    <row r="692" spans="1:17" x14ac:dyDescent="0.2">
      <c r="A692" s="1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</row>
    <row r="693" spans="1:17" x14ac:dyDescent="0.2">
      <c r="A693" s="1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</row>
    <row r="694" spans="1:17" x14ac:dyDescent="0.2">
      <c r="A694" s="1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</row>
    <row r="695" spans="1:17" x14ac:dyDescent="0.2">
      <c r="A695" s="1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</row>
    <row r="696" spans="1:17" x14ac:dyDescent="0.2">
      <c r="A696" s="1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</row>
    <row r="697" spans="1:17" x14ac:dyDescent="0.2">
      <c r="A697" s="1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</row>
    <row r="698" spans="1:17" x14ac:dyDescent="0.2">
      <c r="A698" s="1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</row>
    <row r="699" spans="1:17" x14ac:dyDescent="0.2">
      <c r="A699" s="1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</row>
    <row r="700" spans="1:17" x14ac:dyDescent="0.2">
      <c r="A700" s="1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</row>
    <row r="701" spans="1:17" x14ac:dyDescent="0.2">
      <c r="A701" s="1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</row>
    <row r="702" spans="1:17" x14ac:dyDescent="0.2">
      <c r="A702" s="1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</row>
    <row r="703" spans="1:17" x14ac:dyDescent="0.2">
      <c r="A703" s="1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</row>
    <row r="704" spans="1:17" x14ac:dyDescent="0.2">
      <c r="A704" s="1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</row>
    <row r="705" spans="1:17" x14ac:dyDescent="0.2">
      <c r="A705" s="1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</row>
    <row r="706" spans="1:17" x14ac:dyDescent="0.2">
      <c r="A706" s="1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</row>
    <row r="707" spans="1:17" x14ac:dyDescent="0.2">
      <c r="A707" s="1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</row>
    <row r="708" spans="1:17" x14ac:dyDescent="0.2">
      <c r="A708" s="1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</row>
    <row r="709" spans="1:17" x14ac:dyDescent="0.2">
      <c r="A709" s="1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</row>
    <row r="710" spans="1:17" x14ac:dyDescent="0.2">
      <c r="A710" s="1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</row>
    <row r="711" spans="1:17" x14ac:dyDescent="0.2">
      <c r="A711" s="1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</row>
    <row r="712" spans="1:17" x14ac:dyDescent="0.2">
      <c r="A712" s="1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</row>
    <row r="713" spans="1:17" x14ac:dyDescent="0.2">
      <c r="A713" s="1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</row>
    <row r="714" spans="1:17" x14ac:dyDescent="0.2">
      <c r="A714" s="1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</row>
    <row r="715" spans="1:17" x14ac:dyDescent="0.2">
      <c r="A715" s="1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</row>
    <row r="716" spans="1:17" x14ac:dyDescent="0.2">
      <c r="A716" s="1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</row>
    <row r="717" spans="1:17" x14ac:dyDescent="0.2">
      <c r="A717" s="1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</row>
    <row r="718" spans="1:17" x14ac:dyDescent="0.2">
      <c r="A718" s="1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</row>
    <row r="719" spans="1:17" x14ac:dyDescent="0.2">
      <c r="A719" s="1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</row>
    <row r="720" spans="1:17" x14ac:dyDescent="0.2">
      <c r="A720" s="1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</row>
    <row r="721" spans="1:17" x14ac:dyDescent="0.2">
      <c r="A721" s="1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</row>
    <row r="722" spans="1:17" x14ac:dyDescent="0.2">
      <c r="A722" s="1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</row>
    <row r="723" spans="1:17" x14ac:dyDescent="0.2">
      <c r="A723" s="1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</row>
    <row r="724" spans="1:17" x14ac:dyDescent="0.2">
      <c r="A724" s="1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</row>
    <row r="725" spans="1:17" x14ac:dyDescent="0.2">
      <c r="A725" s="1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</row>
    <row r="726" spans="1:17" x14ac:dyDescent="0.2">
      <c r="A726" s="1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</row>
    <row r="727" spans="1:17" x14ac:dyDescent="0.2">
      <c r="A727" s="1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</row>
    <row r="728" spans="1:17" x14ac:dyDescent="0.2">
      <c r="A728" s="1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</row>
    <row r="729" spans="1:17" x14ac:dyDescent="0.2">
      <c r="A729" s="1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</row>
    <row r="730" spans="1:17" x14ac:dyDescent="0.2">
      <c r="A730" s="1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</row>
    <row r="731" spans="1:17" x14ac:dyDescent="0.2">
      <c r="A731" s="1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</row>
    <row r="732" spans="1:17" x14ac:dyDescent="0.2">
      <c r="A732" s="1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</row>
    <row r="733" spans="1:17" x14ac:dyDescent="0.2">
      <c r="A733" s="1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</row>
    <row r="734" spans="1:17" x14ac:dyDescent="0.2">
      <c r="A734" s="1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</row>
    <row r="735" spans="1:17" x14ac:dyDescent="0.2">
      <c r="A735" s="1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</row>
    <row r="736" spans="1:17" x14ac:dyDescent="0.2">
      <c r="A736" s="1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</row>
    <row r="737" spans="1:17" x14ac:dyDescent="0.2">
      <c r="A737" s="1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</row>
    <row r="738" spans="1:17" x14ac:dyDescent="0.2">
      <c r="A738" s="1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</row>
    <row r="739" spans="1:17" x14ac:dyDescent="0.2">
      <c r="A739" s="1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</row>
    <row r="740" spans="1:17" x14ac:dyDescent="0.2">
      <c r="A740" s="1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</row>
    <row r="741" spans="1:17" x14ac:dyDescent="0.2">
      <c r="A741" s="1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</row>
    <row r="742" spans="1:17" x14ac:dyDescent="0.2">
      <c r="A742" s="1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</row>
    <row r="743" spans="1:17" x14ac:dyDescent="0.2">
      <c r="A743" s="1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</row>
    <row r="744" spans="1:17" x14ac:dyDescent="0.2">
      <c r="A744" s="1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</row>
    <row r="745" spans="1:17" x14ac:dyDescent="0.2">
      <c r="A745" s="1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</row>
    <row r="746" spans="1:17" x14ac:dyDescent="0.2">
      <c r="A746" s="1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</row>
    <row r="747" spans="1:17" x14ac:dyDescent="0.2">
      <c r="A747" s="1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</row>
    <row r="748" spans="1:17" x14ac:dyDescent="0.2">
      <c r="A748" s="1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</row>
    <row r="749" spans="1:17" x14ac:dyDescent="0.2">
      <c r="A749" s="1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</row>
    <row r="750" spans="1:17" x14ac:dyDescent="0.2">
      <c r="A750" s="1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</row>
    <row r="751" spans="1:17" x14ac:dyDescent="0.2">
      <c r="A751" s="1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</row>
    <row r="752" spans="1:17" x14ac:dyDescent="0.2">
      <c r="A752" s="18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</row>
    <row r="753" spans="1:17" x14ac:dyDescent="0.2">
      <c r="A753" s="18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</row>
    <row r="754" spans="1:17" x14ac:dyDescent="0.2">
      <c r="A754" s="18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</row>
    <row r="755" spans="1:17" x14ac:dyDescent="0.2">
      <c r="A755" s="18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</row>
    <row r="756" spans="1:17" x14ac:dyDescent="0.2">
      <c r="A756" s="18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</row>
    <row r="757" spans="1:17" x14ac:dyDescent="0.2">
      <c r="A757" s="18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</row>
    <row r="758" spans="1:17" x14ac:dyDescent="0.2">
      <c r="A758" s="18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</row>
    <row r="759" spans="1:17" x14ac:dyDescent="0.2">
      <c r="A759" s="18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</row>
    <row r="760" spans="1:17" x14ac:dyDescent="0.2">
      <c r="A760" s="18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</row>
    <row r="761" spans="1:17" x14ac:dyDescent="0.2">
      <c r="A761" s="18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</row>
    <row r="762" spans="1:17" x14ac:dyDescent="0.2">
      <c r="A762" s="18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</row>
    <row r="763" spans="1:17" x14ac:dyDescent="0.2">
      <c r="A763" s="18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</row>
    <row r="764" spans="1:17" x14ac:dyDescent="0.2">
      <c r="A764" s="18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</row>
    <row r="765" spans="1:17" x14ac:dyDescent="0.2">
      <c r="A765" s="18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</row>
    <row r="766" spans="1:17" x14ac:dyDescent="0.2">
      <c r="A766" s="18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</row>
    <row r="767" spans="1:17" x14ac:dyDescent="0.2">
      <c r="A767" s="18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</row>
    <row r="768" spans="1:17" x14ac:dyDescent="0.2">
      <c r="A768" s="18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</row>
    <row r="769" spans="1:17" x14ac:dyDescent="0.2">
      <c r="A769" s="18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</row>
    <row r="770" spans="1:17" x14ac:dyDescent="0.2">
      <c r="A770" s="18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</row>
    <row r="771" spans="1:17" x14ac:dyDescent="0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7"/>
    </row>
    <row r="772" spans="1:17" x14ac:dyDescent="0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7"/>
    </row>
    <row r="773" spans="1:17" x14ac:dyDescent="0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7"/>
    </row>
    <row r="774" spans="1:17" x14ac:dyDescent="0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7"/>
    </row>
    <row r="775" spans="1:17" x14ac:dyDescent="0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7"/>
    </row>
    <row r="776" spans="1:17" x14ac:dyDescent="0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7"/>
    </row>
    <row r="777" spans="1:17" x14ac:dyDescent="0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7"/>
    </row>
    <row r="778" spans="1:17" x14ac:dyDescent="0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7"/>
    </row>
    <row r="779" spans="1:17" x14ac:dyDescent="0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7"/>
    </row>
    <row r="780" spans="1:17" x14ac:dyDescent="0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7"/>
    </row>
    <row r="781" spans="1:17" x14ac:dyDescent="0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7"/>
    </row>
    <row r="782" spans="1:17" x14ac:dyDescent="0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7"/>
    </row>
    <row r="783" spans="1:17" x14ac:dyDescent="0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7"/>
    </row>
    <row r="784" spans="1:17" x14ac:dyDescent="0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7"/>
    </row>
    <row r="785" spans="1:17" x14ac:dyDescent="0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7"/>
    </row>
    <row r="786" spans="1:17" x14ac:dyDescent="0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7"/>
    </row>
    <row r="787" spans="1:17" x14ac:dyDescent="0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7"/>
    </row>
    <row r="788" spans="1:17" x14ac:dyDescent="0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7"/>
    </row>
    <row r="789" spans="1:17" x14ac:dyDescent="0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7"/>
    </row>
    <row r="790" spans="1:17" x14ac:dyDescent="0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7"/>
    </row>
    <row r="791" spans="1:17" x14ac:dyDescent="0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7"/>
    </row>
    <row r="792" spans="1:17" x14ac:dyDescent="0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7"/>
    </row>
    <row r="793" spans="1:17" x14ac:dyDescent="0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7"/>
    </row>
    <row r="794" spans="1:17" x14ac:dyDescent="0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7"/>
    </row>
    <row r="795" spans="1:17" x14ac:dyDescent="0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7"/>
    </row>
    <row r="796" spans="1:17" x14ac:dyDescent="0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7"/>
    </row>
    <row r="797" spans="1:17" x14ac:dyDescent="0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7"/>
    </row>
    <row r="798" spans="1:17" x14ac:dyDescent="0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7"/>
    </row>
    <row r="799" spans="1:17" x14ac:dyDescent="0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7"/>
    </row>
    <row r="800" spans="1:17" x14ac:dyDescent="0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7"/>
    </row>
    <row r="801" spans="1:17" x14ac:dyDescent="0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7"/>
    </row>
    <row r="802" spans="1:17" x14ac:dyDescent="0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7"/>
    </row>
    <row r="803" spans="1:17" x14ac:dyDescent="0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7"/>
    </row>
    <row r="804" spans="1:17" x14ac:dyDescent="0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7"/>
    </row>
    <row r="805" spans="1:17" x14ac:dyDescent="0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7"/>
    </row>
    <row r="806" spans="1:17" x14ac:dyDescent="0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7"/>
    </row>
    <row r="807" spans="1:17" x14ac:dyDescent="0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7"/>
    </row>
    <row r="808" spans="1:17" x14ac:dyDescent="0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7"/>
    </row>
    <row r="809" spans="1:17" x14ac:dyDescent="0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7"/>
    </row>
    <row r="810" spans="1:17" x14ac:dyDescent="0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7"/>
    </row>
    <row r="811" spans="1:17" x14ac:dyDescent="0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7"/>
    </row>
    <row r="812" spans="1:17" x14ac:dyDescent="0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7"/>
    </row>
    <row r="813" spans="1:17" x14ac:dyDescent="0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7"/>
    </row>
    <row r="814" spans="1:17" x14ac:dyDescent="0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7"/>
    </row>
    <row r="815" spans="1:17" x14ac:dyDescent="0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7"/>
    </row>
    <row r="816" spans="1:17" x14ac:dyDescent="0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7"/>
    </row>
    <row r="817" spans="1:17" x14ac:dyDescent="0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7"/>
    </row>
    <row r="818" spans="1:17" x14ac:dyDescent="0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7"/>
    </row>
    <row r="819" spans="1:17" x14ac:dyDescent="0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7"/>
    </row>
    <row r="820" spans="1:17" x14ac:dyDescent="0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7"/>
    </row>
    <row r="821" spans="1:17" x14ac:dyDescent="0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7"/>
    </row>
    <row r="822" spans="1:17" x14ac:dyDescent="0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7"/>
    </row>
    <row r="823" spans="1:17" x14ac:dyDescent="0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7"/>
    </row>
    <row r="824" spans="1:17" x14ac:dyDescent="0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7"/>
    </row>
    <row r="825" spans="1:17" x14ac:dyDescent="0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7"/>
    </row>
    <row r="826" spans="1:17" x14ac:dyDescent="0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7"/>
    </row>
    <row r="827" spans="1:17" x14ac:dyDescent="0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7"/>
    </row>
    <row r="828" spans="1:17" x14ac:dyDescent="0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7"/>
    </row>
    <row r="829" spans="1:17" x14ac:dyDescent="0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7"/>
    </row>
    <row r="830" spans="1:17" x14ac:dyDescent="0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7"/>
    </row>
    <row r="831" spans="1:17" x14ac:dyDescent="0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7"/>
    </row>
    <row r="832" spans="1:17" x14ac:dyDescent="0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7"/>
    </row>
    <row r="833" spans="1:17" x14ac:dyDescent="0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7"/>
    </row>
    <row r="834" spans="1:17" x14ac:dyDescent="0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7"/>
    </row>
    <row r="835" spans="1:17" x14ac:dyDescent="0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7"/>
    </row>
    <row r="836" spans="1:17" x14ac:dyDescent="0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7"/>
    </row>
    <row r="837" spans="1:17" x14ac:dyDescent="0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7"/>
    </row>
    <row r="838" spans="1:17" x14ac:dyDescent="0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7"/>
    </row>
    <row r="839" spans="1:17" x14ac:dyDescent="0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7"/>
    </row>
    <row r="840" spans="1:17" x14ac:dyDescent="0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7"/>
    </row>
    <row r="841" spans="1:17" x14ac:dyDescent="0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7"/>
    </row>
    <row r="842" spans="1:17" x14ac:dyDescent="0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7"/>
    </row>
    <row r="843" spans="1:17" x14ac:dyDescent="0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7"/>
    </row>
    <row r="844" spans="1:17" x14ac:dyDescent="0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7"/>
    </row>
    <row r="845" spans="1:17" x14ac:dyDescent="0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7"/>
    </row>
    <row r="846" spans="1:17" x14ac:dyDescent="0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7"/>
    </row>
    <row r="847" spans="1:17" x14ac:dyDescent="0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7"/>
    </row>
    <row r="848" spans="1:17" x14ac:dyDescent="0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7"/>
    </row>
    <row r="849" spans="1:17" x14ac:dyDescent="0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7"/>
    </row>
    <row r="850" spans="1:17" x14ac:dyDescent="0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7"/>
    </row>
    <row r="851" spans="1:17" x14ac:dyDescent="0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7"/>
    </row>
    <row r="852" spans="1:17" x14ac:dyDescent="0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7"/>
    </row>
    <row r="853" spans="1:17" x14ac:dyDescent="0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7"/>
    </row>
    <row r="854" spans="1:17" x14ac:dyDescent="0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7"/>
    </row>
    <row r="855" spans="1:17" x14ac:dyDescent="0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7"/>
    </row>
    <row r="856" spans="1:17" x14ac:dyDescent="0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7"/>
    </row>
    <row r="857" spans="1:17" x14ac:dyDescent="0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7"/>
    </row>
    <row r="858" spans="1:17" x14ac:dyDescent="0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7"/>
    </row>
    <row r="859" spans="1:17" x14ac:dyDescent="0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7"/>
    </row>
    <row r="860" spans="1:17" x14ac:dyDescent="0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7"/>
    </row>
    <row r="861" spans="1:17" x14ac:dyDescent="0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7"/>
    </row>
    <row r="862" spans="1:17" x14ac:dyDescent="0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7"/>
    </row>
    <row r="863" spans="1:17" x14ac:dyDescent="0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7"/>
    </row>
    <row r="864" spans="1:17" x14ac:dyDescent="0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7"/>
    </row>
    <row r="865" spans="1:17" x14ac:dyDescent="0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7"/>
    </row>
    <row r="866" spans="1:17" x14ac:dyDescent="0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7"/>
    </row>
    <row r="867" spans="1:17" x14ac:dyDescent="0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7"/>
    </row>
    <row r="868" spans="1:17" x14ac:dyDescent="0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7"/>
    </row>
    <row r="869" spans="1:17" x14ac:dyDescent="0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7"/>
    </row>
    <row r="870" spans="1:17" x14ac:dyDescent="0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7"/>
    </row>
    <row r="871" spans="1:17" x14ac:dyDescent="0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7"/>
    </row>
    <row r="872" spans="1:17" x14ac:dyDescent="0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7"/>
    </row>
    <row r="873" spans="1:17" x14ac:dyDescent="0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7"/>
    </row>
    <row r="874" spans="1:17" x14ac:dyDescent="0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7"/>
    </row>
    <row r="875" spans="1:17" x14ac:dyDescent="0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7"/>
    </row>
    <row r="876" spans="1:17" x14ac:dyDescent="0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7"/>
    </row>
    <row r="877" spans="1:17" x14ac:dyDescent="0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7"/>
    </row>
    <row r="878" spans="1:17" x14ac:dyDescent="0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7"/>
    </row>
    <row r="879" spans="1:17" x14ac:dyDescent="0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7"/>
    </row>
    <row r="880" spans="1:17" x14ac:dyDescent="0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7"/>
    </row>
    <row r="881" spans="1:17" x14ac:dyDescent="0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7"/>
    </row>
    <row r="882" spans="1:17" x14ac:dyDescent="0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7"/>
    </row>
    <row r="883" spans="1:17" x14ac:dyDescent="0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7"/>
    </row>
    <row r="884" spans="1:17" x14ac:dyDescent="0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7"/>
    </row>
    <row r="885" spans="1:17" x14ac:dyDescent="0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7"/>
    </row>
    <row r="886" spans="1:17" x14ac:dyDescent="0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7"/>
    </row>
    <row r="887" spans="1:17" x14ac:dyDescent="0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7"/>
    </row>
    <row r="888" spans="1:17" x14ac:dyDescent="0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7"/>
    </row>
    <row r="889" spans="1:17" x14ac:dyDescent="0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7"/>
    </row>
    <row r="890" spans="1:17" x14ac:dyDescent="0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7"/>
    </row>
    <row r="891" spans="1:17" x14ac:dyDescent="0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7"/>
    </row>
    <row r="892" spans="1:17" x14ac:dyDescent="0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7"/>
    </row>
    <row r="893" spans="1:17" x14ac:dyDescent="0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7"/>
    </row>
    <row r="894" spans="1:17" x14ac:dyDescent="0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7"/>
    </row>
    <row r="895" spans="1:17" x14ac:dyDescent="0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7"/>
    </row>
    <row r="896" spans="1:17" x14ac:dyDescent="0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7"/>
    </row>
    <row r="897" spans="1:17" x14ac:dyDescent="0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7"/>
    </row>
    <row r="898" spans="1:17" x14ac:dyDescent="0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7"/>
    </row>
    <row r="899" spans="1:17" x14ac:dyDescent="0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7"/>
    </row>
    <row r="900" spans="1:17" x14ac:dyDescent="0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7"/>
    </row>
    <row r="901" spans="1:17" x14ac:dyDescent="0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7"/>
    </row>
    <row r="902" spans="1:17" x14ac:dyDescent="0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7"/>
    </row>
    <row r="903" spans="1:17" x14ac:dyDescent="0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7"/>
    </row>
    <row r="904" spans="1:17" x14ac:dyDescent="0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7"/>
    </row>
    <row r="905" spans="1:17" x14ac:dyDescent="0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7"/>
    </row>
    <row r="906" spans="1:17" x14ac:dyDescent="0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7"/>
    </row>
    <row r="907" spans="1:17" x14ac:dyDescent="0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7"/>
    </row>
    <row r="908" spans="1:17" x14ac:dyDescent="0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7"/>
    </row>
    <row r="909" spans="1:17" x14ac:dyDescent="0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7"/>
    </row>
    <row r="910" spans="1:17" x14ac:dyDescent="0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7"/>
    </row>
    <row r="911" spans="1:17" x14ac:dyDescent="0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7"/>
    </row>
    <row r="912" spans="1:17" x14ac:dyDescent="0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7"/>
    </row>
    <row r="913" spans="1:17" x14ac:dyDescent="0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7"/>
    </row>
    <row r="914" spans="1:17" x14ac:dyDescent="0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7"/>
    </row>
    <row r="915" spans="1:17" x14ac:dyDescent="0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7"/>
    </row>
    <row r="916" spans="1:17" x14ac:dyDescent="0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7"/>
    </row>
    <row r="917" spans="1:17" x14ac:dyDescent="0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7"/>
    </row>
    <row r="918" spans="1:17" x14ac:dyDescent="0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7"/>
    </row>
    <row r="919" spans="1:17" x14ac:dyDescent="0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7"/>
    </row>
    <row r="920" spans="1:17" x14ac:dyDescent="0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7"/>
    </row>
    <row r="921" spans="1:17" x14ac:dyDescent="0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7"/>
    </row>
    <row r="922" spans="1:17" x14ac:dyDescent="0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7"/>
    </row>
    <row r="923" spans="1:17" x14ac:dyDescent="0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7"/>
    </row>
    <row r="924" spans="1:17" x14ac:dyDescent="0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7"/>
    </row>
    <row r="925" spans="1:17" x14ac:dyDescent="0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7"/>
    </row>
    <row r="926" spans="1:17" x14ac:dyDescent="0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7"/>
    </row>
    <row r="927" spans="1:17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7"/>
    </row>
    <row r="928" spans="1:17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7"/>
    </row>
    <row r="929" spans="1:17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7"/>
    </row>
    <row r="930" spans="1:17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7"/>
    </row>
    <row r="931" spans="1:17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7"/>
    </row>
    <row r="932" spans="1:17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7"/>
    </row>
    <row r="933" spans="1:17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7"/>
    </row>
    <row r="934" spans="1:17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7"/>
    </row>
    <row r="935" spans="1:17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7"/>
    </row>
    <row r="936" spans="1:17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7"/>
    </row>
    <row r="937" spans="1:17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7"/>
    </row>
    <row r="938" spans="1:17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7"/>
    </row>
    <row r="939" spans="1:17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7"/>
    </row>
    <row r="940" spans="1:17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7"/>
    </row>
    <row r="941" spans="1:17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7"/>
    </row>
    <row r="942" spans="1:17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7"/>
    </row>
    <row r="943" spans="1:17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7"/>
    </row>
    <row r="944" spans="1:17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7"/>
    </row>
    <row r="945" spans="1:17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7"/>
    </row>
    <row r="946" spans="1:17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7"/>
    </row>
    <row r="947" spans="1:17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7"/>
    </row>
    <row r="948" spans="1:17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7"/>
    </row>
    <row r="949" spans="1:17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7"/>
    </row>
    <row r="950" spans="1:17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7"/>
    </row>
    <row r="951" spans="1:17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7"/>
    </row>
    <row r="952" spans="1:17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7"/>
    </row>
    <row r="953" spans="1:17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7"/>
    </row>
    <row r="954" spans="1:17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7"/>
    </row>
    <row r="955" spans="1:17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7"/>
    </row>
    <row r="956" spans="1:17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7"/>
    </row>
    <row r="957" spans="1:17" x14ac:dyDescent="0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7"/>
    </row>
    <row r="958" spans="1:17" x14ac:dyDescent="0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7"/>
    </row>
    <row r="959" spans="1:17" x14ac:dyDescent="0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7"/>
    </row>
    <row r="960" spans="1:17" x14ac:dyDescent="0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7"/>
    </row>
    <row r="961" spans="1:17" x14ac:dyDescent="0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7"/>
    </row>
    <row r="962" spans="1:17" x14ac:dyDescent="0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7"/>
    </row>
    <row r="963" spans="1:17" x14ac:dyDescent="0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7"/>
    </row>
    <row r="964" spans="1:17" x14ac:dyDescent="0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7"/>
    </row>
    <row r="965" spans="1:17" x14ac:dyDescent="0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7"/>
    </row>
    <row r="966" spans="1:17" x14ac:dyDescent="0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7"/>
    </row>
    <row r="967" spans="1:17" x14ac:dyDescent="0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7"/>
    </row>
    <row r="968" spans="1:17" x14ac:dyDescent="0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7"/>
    </row>
    <row r="969" spans="1:17" x14ac:dyDescent="0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7"/>
    </row>
    <row r="970" spans="1:17" x14ac:dyDescent="0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7"/>
    </row>
    <row r="971" spans="1:17" x14ac:dyDescent="0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7"/>
    </row>
    <row r="972" spans="1:17" x14ac:dyDescent="0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7"/>
    </row>
    <row r="973" spans="1:17" x14ac:dyDescent="0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7"/>
    </row>
    <row r="974" spans="1:17" x14ac:dyDescent="0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7"/>
    </row>
    <row r="975" spans="1:17" x14ac:dyDescent="0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7"/>
    </row>
    <row r="976" spans="1:17" x14ac:dyDescent="0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7"/>
    </row>
    <row r="977" spans="1:17" x14ac:dyDescent="0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7"/>
    </row>
    <row r="978" spans="1:17" x14ac:dyDescent="0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7"/>
    </row>
    <row r="979" spans="1:17" x14ac:dyDescent="0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7"/>
    </row>
    <row r="980" spans="1:17" x14ac:dyDescent="0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7"/>
    </row>
    <row r="981" spans="1:17" x14ac:dyDescent="0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7"/>
    </row>
    <row r="982" spans="1:17" x14ac:dyDescent="0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7"/>
    </row>
    <row r="983" spans="1:17" x14ac:dyDescent="0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7"/>
    </row>
    <row r="984" spans="1:17" x14ac:dyDescent="0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7"/>
    </row>
    <row r="985" spans="1:17" x14ac:dyDescent="0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7"/>
    </row>
    <row r="986" spans="1:17" x14ac:dyDescent="0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7"/>
    </row>
    <row r="987" spans="1:17" x14ac:dyDescent="0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7"/>
    </row>
    <row r="988" spans="1:17" x14ac:dyDescent="0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7"/>
    </row>
    <row r="989" spans="1:17" x14ac:dyDescent="0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7"/>
    </row>
    <row r="990" spans="1:17" x14ac:dyDescent="0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7"/>
    </row>
    <row r="991" spans="1:17" x14ac:dyDescent="0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7"/>
    </row>
    <row r="992" spans="1:17" x14ac:dyDescent="0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7"/>
    </row>
    <row r="993" spans="1:17" x14ac:dyDescent="0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7"/>
    </row>
    <row r="994" spans="1:17" x14ac:dyDescent="0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7"/>
    </row>
    <row r="995" spans="1:17" x14ac:dyDescent="0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7"/>
    </row>
    <row r="996" spans="1:17" x14ac:dyDescent="0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7"/>
    </row>
    <row r="997" spans="1:17" x14ac:dyDescent="0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7"/>
    </row>
    <row r="998" spans="1:17" x14ac:dyDescent="0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7"/>
    </row>
    <row r="999" spans="1:17" x14ac:dyDescent="0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7"/>
    </row>
    <row r="1000" spans="1:17" x14ac:dyDescent="0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7"/>
    </row>
    <row r="1001" spans="1:17" x14ac:dyDescent="0.2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7"/>
    </row>
    <row r="1002" spans="1:17" x14ac:dyDescent="0.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7"/>
    </row>
    <row r="1003" spans="1:17" x14ac:dyDescent="0.2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7"/>
    </row>
    <row r="1004" spans="1:17" x14ac:dyDescent="0.2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7"/>
    </row>
    <row r="1005" spans="1:17" x14ac:dyDescent="0.2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7"/>
    </row>
    <row r="1006" spans="1:17" x14ac:dyDescent="0.2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7"/>
    </row>
    <row r="1007" spans="1:17" x14ac:dyDescent="0.2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7"/>
    </row>
    <row r="1008" spans="1:17" x14ac:dyDescent="0.2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7"/>
    </row>
    <row r="1009" spans="1:17" x14ac:dyDescent="0.2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7"/>
    </row>
    <row r="1010" spans="1:17" x14ac:dyDescent="0.2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7"/>
    </row>
    <row r="1011" spans="1:17" x14ac:dyDescent="0.2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7"/>
    </row>
    <row r="1012" spans="1:17" x14ac:dyDescent="0.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7"/>
    </row>
    <row r="1013" spans="1:17" x14ac:dyDescent="0.2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7"/>
    </row>
    <row r="1014" spans="1:17" x14ac:dyDescent="0.2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7"/>
    </row>
    <row r="1015" spans="1:17" x14ac:dyDescent="0.2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7"/>
    </row>
    <row r="1016" spans="1:17" x14ac:dyDescent="0.2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7"/>
    </row>
    <row r="1017" spans="1:17" x14ac:dyDescent="0.2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7"/>
    </row>
    <row r="1018" spans="1:17" x14ac:dyDescent="0.2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7"/>
    </row>
    <row r="1019" spans="1:17" x14ac:dyDescent="0.2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7"/>
    </row>
    <row r="1020" spans="1:17" x14ac:dyDescent="0.2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7"/>
    </row>
    <row r="1021" spans="1:17" x14ac:dyDescent="0.2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7"/>
    </row>
    <row r="1022" spans="1:17" x14ac:dyDescent="0.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7"/>
    </row>
    <row r="1023" spans="1:17" x14ac:dyDescent="0.2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7"/>
    </row>
    <row r="1024" spans="1:17" x14ac:dyDescent="0.2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7"/>
    </row>
    <row r="1025" spans="1:17" x14ac:dyDescent="0.2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7"/>
    </row>
    <row r="1026" spans="1:17" x14ac:dyDescent="0.2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7"/>
    </row>
    <row r="1027" spans="1:17" x14ac:dyDescent="0.2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7"/>
    </row>
    <row r="1028" spans="1:17" x14ac:dyDescent="0.2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7"/>
    </row>
    <row r="1029" spans="1:17" x14ac:dyDescent="0.2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7"/>
    </row>
    <row r="1030" spans="1:17" x14ac:dyDescent="0.2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7"/>
    </row>
    <row r="1031" spans="1:17" x14ac:dyDescent="0.2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7"/>
    </row>
    <row r="1032" spans="1:17" x14ac:dyDescent="0.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7"/>
    </row>
    <row r="1033" spans="1:17" x14ac:dyDescent="0.2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7"/>
    </row>
    <row r="1034" spans="1:17" x14ac:dyDescent="0.2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7"/>
    </row>
    <row r="1035" spans="1:17" x14ac:dyDescent="0.2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7"/>
    </row>
    <row r="1036" spans="1:17" x14ac:dyDescent="0.2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7"/>
    </row>
    <row r="1037" spans="1:17" x14ac:dyDescent="0.2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7"/>
    </row>
    <row r="1038" spans="1:17" x14ac:dyDescent="0.2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7"/>
    </row>
    <row r="1039" spans="1:17" x14ac:dyDescent="0.2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7"/>
    </row>
    <row r="1040" spans="1:17" x14ac:dyDescent="0.2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7"/>
    </row>
    <row r="1041" spans="1:17" x14ac:dyDescent="0.2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7"/>
    </row>
    <row r="1042" spans="1:17" x14ac:dyDescent="0.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7"/>
    </row>
    <row r="1043" spans="1:17" x14ac:dyDescent="0.2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7"/>
    </row>
    <row r="1044" spans="1:17" x14ac:dyDescent="0.2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7"/>
    </row>
    <row r="1045" spans="1:17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7"/>
    </row>
    <row r="1046" spans="1:17" x14ac:dyDescent="0.2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7"/>
    </row>
    <row r="1047" spans="1:17" x14ac:dyDescent="0.2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7"/>
    </row>
    <row r="1048" spans="1:17" x14ac:dyDescent="0.2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7"/>
    </row>
    <row r="1049" spans="1:17" x14ac:dyDescent="0.2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7"/>
    </row>
    <row r="1050" spans="1:17" x14ac:dyDescent="0.2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7"/>
    </row>
    <row r="1051" spans="1:17" x14ac:dyDescent="0.2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7"/>
    </row>
    <row r="1052" spans="1:17" x14ac:dyDescent="0.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7"/>
    </row>
    <row r="1053" spans="1:17" x14ac:dyDescent="0.2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7"/>
    </row>
    <row r="1054" spans="1:17" x14ac:dyDescent="0.2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7"/>
    </row>
    <row r="1055" spans="1:17" x14ac:dyDescent="0.2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7"/>
    </row>
    <row r="1056" spans="1:17" x14ac:dyDescent="0.2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7"/>
    </row>
    <row r="1057" spans="1:17" x14ac:dyDescent="0.2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7"/>
    </row>
    <row r="1058" spans="1:17" x14ac:dyDescent="0.2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7"/>
    </row>
    <row r="1059" spans="1:17" x14ac:dyDescent="0.2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7"/>
    </row>
    <row r="1060" spans="1:17" x14ac:dyDescent="0.2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7"/>
    </row>
    <row r="1061" spans="1:17" x14ac:dyDescent="0.2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7"/>
    </row>
    <row r="1062" spans="1:17" x14ac:dyDescent="0.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7"/>
    </row>
    <row r="1063" spans="1:17" x14ac:dyDescent="0.2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7"/>
    </row>
    <row r="1064" spans="1:17" x14ac:dyDescent="0.2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7"/>
    </row>
    <row r="1065" spans="1:17" x14ac:dyDescent="0.2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7"/>
    </row>
    <row r="1066" spans="1:17" x14ac:dyDescent="0.2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7"/>
    </row>
    <row r="1067" spans="1:17" x14ac:dyDescent="0.2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7"/>
    </row>
    <row r="1068" spans="1:17" x14ac:dyDescent="0.2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7"/>
    </row>
    <row r="1069" spans="1:17" x14ac:dyDescent="0.2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7"/>
    </row>
    <row r="1070" spans="1:17" x14ac:dyDescent="0.2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7"/>
    </row>
    <row r="1071" spans="1:17" x14ac:dyDescent="0.2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7"/>
    </row>
    <row r="1072" spans="1:17" x14ac:dyDescent="0.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7"/>
    </row>
    <row r="1073" spans="1:17" x14ac:dyDescent="0.2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7"/>
    </row>
    <row r="1074" spans="1:17" x14ac:dyDescent="0.2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7"/>
    </row>
    <row r="1075" spans="1:17" x14ac:dyDescent="0.2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7"/>
    </row>
    <row r="1076" spans="1:17" x14ac:dyDescent="0.2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7"/>
    </row>
    <row r="1077" spans="1:17" x14ac:dyDescent="0.2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7"/>
    </row>
    <row r="1078" spans="1:17" x14ac:dyDescent="0.2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7"/>
    </row>
    <row r="1079" spans="1:17" x14ac:dyDescent="0.2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7"/>
    </row>
    <row r="1080" spans="1:17" x14ac:dyDescent="0.2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7"/>
    </row>
    <row r="1081" spans="1:17" x14ac:dyDescent="0.2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7"/>
    </row>
    <row r="1082" spans="1:17" x14ac:dyDescent="0.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7"/>
    </row>
    <row r="1083" spans="1:17" x14ac:dyDescent="0.2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7"/>
    </row>
    <row r="1084" spans="1:17" x14ac:dyDescent="0.2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7"/>
    </row>
    <row r="1085" spans="1:17" x14ac:dyDescent="0.2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7"/>
    </row>
    <row r="1086" spans="1:17" x14ac:dyDescent="0.2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7"/>
    </row>
    <row r="1087" spans="1:17" x14ac:dyDescent="0.2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7"/>
    </row>
    <row r="1088" spans="1:17" x14ac:dyDescent="0.2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7"/>
    </row>
    <row r="1089" spans="1:17" x14ac:dyDescent="0.2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7"/>
    </row>
    <row r="1090" spans="1:17" x14ac:dyDescent="0.2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7"/>
    </row>
    <row r="1091" spans="1:17" x14ac:dyDescent="0.2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7"/>
    </row>
    <row r="1092" spans="1:17" x14ac:dyDescent="0.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7"/>
    </row>
    <row r="1093" spans="1:17" x14ac:dyDescent="0.2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7"/>
    </row>
    <row r="1094" spans="1:17" x14ac:dyDescent="0.2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7"/>
    </row>
    <row r="1095" spans="1:17" x14ac:dyDescent="0.2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7"/>
    </row>
    <row r="1096" spans="1:17" x14ac:dyDescent="0.2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7"/>
    </row>
    <row r="1097" spans="1:17" x14ac:dyDescent="0.2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7"/>
    </row>
    <row r="1098" spans="1:17" x14ac:dyDescent="0.2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7"/>
    </row>
    <row r="1099" spans="1:17" x14ac:dyDescent="0.2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7"/>
    </row>
    <row r="1100" spans="1:17" x14ac:dyDescent="0.2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7"/>
    </row>
    <row r="1101" spans="1:17" x14ac:dyDescent="0.2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7"/>
    </row>
    <row r="1102" spans="1:17" x14ac:dyDescent="0.2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7"/>
    </row>
    <row r="1103" spans="1:17" x14ac:dyDescent="0.2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7"/>
    </row>
    <row r="1104" spans="1:17" x14ac:dyDescent="0.2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7"/>
    </row>
    <row r="1105" spans="1:17" x14ac:dyDescent="0.2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7"/>
    </row>
    <row r="1106" spans="1:17" x14ac:dyDescent="0.2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7"/>
    </row>
    <row r="1107" spans="1:17" x14ac:dyDescent="0.2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7"/>
    </row>
    <row r="1108" spans="1:17" x14ac:dyDescent="0.2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7"/>
    </row>
    <row r="1109" spans="1:17" x14ac:dyDescent="0.2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7"/>
    </row>
    <row r="1110" spans="1:17" x14ac:dyDescent="0.2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7"/>
    </row>
    <row r="1111" spans="1:17" x14ac:dyDescent="0.2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7"/>
    </row>
    <row r="1112" spans="1:17" x14ac:dyDescent="0.2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7"/>
    </row>
    <row r="1113" spans="1:17" x14ac:dyDescent="0.2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7"/>
    </row>
    <row r="1114" spans="1:17" x14ac:dyDescent="0.2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7"/>
    </row>
    <row r="1115" spans="1:17" x14ac:dyDescent="0.2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7"/>
    </row>
    <row r="1116" spans="1:17" x14ac:dyDescent="0.2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7"/>
    </row>
    <row r="1117" spans="1:17" x14ac:dyDescent="0.2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7"/>
    </row>
    <row r="1118" spans="1:17" x14ac:dyDescent="0.2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7"/>
    </row>
    <row r="1119" spans="1:17" x14ac:dyDescent="0.2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7"/>
    </row>
    <row r="1120" spans="1:17" x14ac:dyDescent="0.2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7"/>
    </row>
    <row r="1121" spans="1:17" x14ac:dyDescent="0.2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7"/>
    </row>
    <row r="1122" spans="1:17" x14ac:dyDescent="0.2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7"/>
    </row>
    <row r="1123" spans="1:17" x14ac:dyDescent="0.2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7"/>
    </row>
    <row r="1124" spans="1:17" x14ac:dyDescent="0.2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7"/>
    </row>
    <row r="1125" spans="1:17" x14ac:dyDescent="0.2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7"/>
    </row>
    <row r="1126" spans="1:17" x14ac:dyDescent="0.2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7"/>
    </row>
    <row r="1127" spans="1:17" x14ac:dyDescent="0.2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7"/>
    </row>
    <row r="1128" spans="1:17" x14ac:dyDescent="0.2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7"/>
    </row>
    <row r="1129" spans="1:17" x14ac:dyDescent="0.2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7"/>
    </row>
    <row r="1130" spans="1:17" x14ac:dyDescent="0.2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7"/>
    </row>
    <row r="1131" spans="1:17" x14ac:dyDescent="0.2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7"/>
    </row>
    <row r="1132" spans="1:17" x14ac:dyDescent="0.2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7"/>
    </row>
    <row r="1133" spans="1:17" x14ac:dyDescent="0.2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7"/>
    </row>
    <row r="1134" spans="1:17" x14ac:dyDescent="0.2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7"/>
    </row>
    <row r="1135" spans="1:17" x14ac:dyDescent="0.2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7"/>
    </row>
    <row r="1136" spans="1:17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7"/>
    </row>
    <row r="1137" spans="1:17" x14ac:dyDescent="0.2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7"/>
    </row>
    <row r="1138" spans="1:17" x14ac:dyDescent="0.2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7"/>
    </row>
    <row r="1139" spans="1:17" x14ac:dyDescent="0.2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7"/>
    </row>
    <row r="1140" spans="1:17" x14ac:dyDescent="0.2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7"/>
    </row>
    <row r="1141" spans="1:17" x14ac:dyDescent="0.2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7"/>
    </row>
    <row r="1142" spans="1:17" x14ac:dyDescent="0.2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7"/>
    </row>
    <row r="1143" spans="1:17" x14ac:dyDescent="0.2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7"/>
    </row>
    <row r="1144" spans="1:17" x14ac:dyDescent="0.2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7"/>
    </row>
    <row r="1145" spans="1:17" x14ac:dyDescent="0.2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7"/>
    </row>
    <row r="1146" spans="1:17" x14ac:dyDescent="0.2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7"/>
    </row>
    <row r="1147" spans="1:17" x14ac:dyDescent="0.2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7"/>
    </row>
    <row r="1148" spans="1:17" x14ac:dyDescent="0.2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7"/>
    </row>
    <row r="1149" spans="1:17" x14ac:dyDescent="0.2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7"/>
    </row>
    <row r="1150" spans="1:17" x14ac:dyDescent="0.2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7"/>
    </row>
    <row r="1151" spans="1:17" x14ac:dyDescent="0.2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7"/>
    </row>
    <row r="1152" spans="1:17" x14ac:dyDescent="0.2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7"/>
    </row>
    <row r="1153" spans="1:17" x14ac:dyDescent="0.2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7"/>
    </row>
    <row r="1154" spans="1:17" x14ac:dyDescent="0.2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7"/>
    </row>
    <row r="1155" spans="1:17" x14ac:dyDescent="0.2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7"/>
    </row>
    <row r="1156" spans="1:17" x14ac:dyDescent="0.2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7"/>
    </row>
    <row r="1157" spans="1:17" x14ac:dyDescent="0.2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7"/>
    </row>
    <row r="1158" spans="1:17" x14ac:dyDescent="0.2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7"/>
    </row>
    <row r="1159" spans="1:17" x14ac:dyDescent="0.2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7"/>
    </row>
    <row r="1160" spans="1:17" x14ac:dyDescent="0.2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7"/>
    </row>
    <row r="1161" spans="1:17" x14ac:dyDescent="0.2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7"/>
    </row>
    <row r="1162" spans="1:17" x14ac:dyDescent="0.2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7"/>
    </row>
    <row r="1163" spans="1:17" x14ac:dyDescent="0.2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7"/>
    </row>
    <row r="1164" spans="1:17" x14ac:dyDescent="0.2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7"/>
    </row>
    <row r="1165" spans="1:17" x14ac:dyDescent="0.2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7"/>
    </row>
    <row r="1166" spans="1:17" x14ac:dyDescent="0.2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7"/>
    </row>
    <row r="1167" spans="1:17" x14ac:dyDescent="0.2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7"/>
    </row>
    <row r="1168" spans="1:17" x14ac:dyDescent="0.2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7"/>
    </row>
    <row r="1169" spans="1:17" x14ac:dyDescent="0.2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7"/>
    </row>
    <row r="1170" spans="1:17" x14ac:dyDescent="0.2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7"/>
    </row>
    <row r="1171" spans="1:17" x14ac:dyDescent="0.2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7"/>
    </row>
    <row r="1172" spans="1:17" x14ac:dyDescent="0.2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7"/>
    </row>
    <row r="1173" spans="1:17" x14ac:dyDescent="0.2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7"/>
    </row>
    <row r="1174" spans="1:17" x14ac:dyDescent="0.2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7"/>
    </row>
    <row r="1175" spans="1:17" x14ac:dyDescent="0.2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7"/>
    </row>
    <row r="1176" spans="1:17" x14ac:dyDescent="0.2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7"/>
    </row>
    <row r="1177" spans="1:17" x14ac:dyDescent="0.2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7"/>
    </row>
    <row r="1178" spans="1:17" x14ac:dyDescent="0.2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7"/>
    </row>
    <row r="1179" spans="1:17" x14ac:dyDescent="0.2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7"/>
    </row>
    <row r="1180" spans="1:17" x14ac:dyDescent="0.2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7"/>
    </row>
    <row r="1181" spans="1:17" x14ac:dyDescent="0.2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7"/>
    </row>
    <row r="1182" spans="1:17" x14ac:dyDescent="0.2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7"/>
    </row>
    <row r="1183" spans="1:17" x14ac:dyDescent="0.2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7"/>
    </row>
    <row r="1184" spans="1:17" x14ac:dyDescent="0.2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7"/>
    </row>
    <row r="1185" spans="1:17" x14ac:dyDescent="0.2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7"/>
    </row>
    <row r="1186" spans="1:17" x14ac:dyDescent="0.2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7"/>
    </row>
    <row r="1187" spans="1:17" x14ac:dyDescent="0.2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7"/>
    </row>
    <row r="1188" spans="1:17" x14ac:dyDescent="0.2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7"/>
    </row>
    <row r="1189" spans="1:17" x14ac:dyDescent="0.2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7"/>
    </row>
    <row r="1190" spans="1:17" x14ac:dyDescent="0.2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7"/>
    </row>
    <row r="1191" spans="1:17" x14ac:dyDescent="0.2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7"/>
    </row>
    <row r="1192" spans="1:17" x14ac:dyDescent="0.2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7"/>
    </row>
    <row r="1193" spans="1:17" x14ac:dyDescent="0.2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7"/>
    </row>
    <row r="1194" spans="1:17" x14ac:dyDescent="0.2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7"/>
    </row>
    <row r="1195" spans="1:17" x14ac:dyDescent="0.2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7"/>
    </row>
    <row r="1196" spans="1:17" x14ac:dyDescent="0.2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7"/>
    </row>
    <row r="1197" spans="1:17" x14ac:dyDescent="0.2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7"/>
    </row>
    <row r="1198" spans="1:17" x14ac:dyDescent="0.2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7"/>
    </row>
    <row r="1199" spans="1:17" x14ac:dyDescent="0.2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7"/>
    </row>
    <row r="1200" spans="1:17" x14ac:dyDescent="0.2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7"/>
    </row>
    <row r="1201" spans="1:17" x14ac:dyDescent="0.2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7"/>
    </row>
    <row r="1202" spans="1:17" x14ac:dyDescent="0.2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7"/>
    </row>
    <row r="1203" spans="1:17" x14ac:dyDescent="0.2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7"/>
    </row>
    <row r="1204" spans="1:17" x14ac:dyDescent="0.2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7"/>
    </row>
    <row r="1205" spans="1:17" x14ac:dyDescent="0.2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7"/>
    </row>
    <row r="1206" spans="1:17" x14ac:dyDescent="0.2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7"/>
    </row>
    <row r="1207" spans="1:17" x14ac:dyDescent="0.2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7"/>
    </row>
    <row r="1208" spans="1:17" x14ac:dyDescent="0.2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7"/>
    </row>
    <row r="1209" spans="1:17" x14ac:dyDescent="0.2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7"/>
    </row>
    <row r="1210" spans="1:17" x14ac:dyDescent="0.2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7"/>
    </row>
    <row r="1211" spans="1:17" x14ac:dyDescent="0.2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7"/>
    </row>
    <row r="1212" spans="1:17" x14ac:dyDescent="0.2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7"/>
    </row>
    <row r="1213" spans="1:17" x14ac:dyDescent="0.2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7"/>
    </row>
    <row r="1214" spans="1:17" x14ac:dyDescent="0.2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7"/>
    </row>
    <row r="1215" spans="1:17" x14ac:dyDescent="0.2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7"/>
    </row>
    <row r="1216" spans="1:17" x14ac:dyDescent="0.2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7"/>
    </row>
    <row r="1217" spans="1:17" x14ac:dyDescent="0.2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7"/>
    </row>
    <row r="1218" spans="1:17" x14ac:dyDescent="0.2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7"/>
    </row>
    <row r="1219" spans="1:17" x14ac:dyDescent="0.2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7"/>
    </row>
    <row r="1220" spans="1:17" x14ac:dyDescent="0.2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7"/>
    </row>
    <row r="1221" spans="1:17" x14ac:dyDescent="0.2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7"/>
    </row>
    <row r="1222" spans="1:17" x14ac:dyDescent="0.2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7"/>
    </row>
    <row r="1223" spans="1:17" x14ac:dyDescent="0.2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7"/>
    </row>
    <row r="1224" spans="1:17" x14ac:dyDescent="0.2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7"/>
    </row>
    <row r="1225" spans="1:17" x14ac:dyDescent="0.2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7"/>
    </row>
    <row r="1226" spans="1:17" x14ac:dyDescent="0.2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7"/>
    </row>
    <row r="1227" spans="1:17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7"/>
    </row>
    <row r="1228" spans="1:17" x14ac:dyDescent="0.2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7"/>
    </row>
    <row r="1229" spans="1:17" x14ac:dyDescent="0.2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7"/>
    </row>
    <row r="1230" spans="1:17" x14ac:dyDescent="0.2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7"/>
    </row>
    <row r="1231" spans="1:17" x14ac:dyDescent="0.2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7"/>
    </row>
    <row r="1232" spans="1:17" x14ac:dyDescent="0.2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7"/>
    </row>
    <row r="1233" spans="1:17" x14ac:dyDescent="0.2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7"/>
    </row>
    <row r="1234" spans="1:17" x14ac:dyDescent="0.2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7"/>
    </row>
    <row r="1235" spans="1:17" x14ac:dyDescent="0.2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7"/>
    </row>
    <row r="1236" spans="1:17" x14ac:dyDescent="0.2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7"/>
    </row>
    <row r="1237" spans="1:17" x14ac:dyDescent="0.2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7"/>
    </row>
    <row r="1238" spans="1:17" x14ac:dyDescent="0.2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7"/>
    </row>
    <row r="1239" spans="1:17" x14ac:dyDescent="0.2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7"/>
    </row>
    <row r="1240" spans="1:17" x14ac:dyDescent="0.2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7"/>
    </row>
    <row r="1241" spans="1:17" x14ac:dyDescent="0.2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7"/>
    </row>
    <row r="1242" spans="1:17" x14ac:dyDescent="0.2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7"/>
    </row>
    <row r="1243" spans="1:17" x14ac:dyDescent="0.2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7"/>
    </row>
    <row r="1244" spans="1:17" x14ac:dyDescent="0.2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7"/>
    </row>
    <row r="1245" spans="1:17" x14ac:dyDescent="0.2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7"/>
    </row>
    <row r="1246" spans="1:17" x14ac:dyDescent="0.2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7"/>
    </row>
    <row r="1247" spans="1:17" x14ac:dyDescent="0.2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7"/>
    </row>
    <row r="1248" spans="1:17" x14ac:dyDescent="0.2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7"/>
    </row>
    <row r="1249" spans="1:17" x14ac:dyDescent="0.2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7"/>
    </row>
    <row r="1250" spans="1:17" x14ac:dyDescent="0.2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7"/>
    </row>
    <row r="1251" spans="1:17" x14ac:dyDescent="0.2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7"/>
    </row>
    <row r="1252" spans="1:17" x14ac:dyDescent="0.2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7"/>
    </row>
    <row r="1253" spans="1:17" x14ac:dyDescent="0.2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7"/>
    </row>
    <row r="1254" spans="1:17" x14ac:dyDescent="0.2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7"/>
    </row>
    <row r="1255" spans="1:17" x14ac:dyDescent="0.2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7"/>
    </row>
    <row r="1256" spans="1:17" x14ac:dyDescent="0.2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7"/>
    </row>
    <row r="1257" spans="1:17" x14ac:dyDescent="0.2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7"/>
    </row>
    <row r="1258" spans="1:17" x14ac:dyDescent="0.2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7"/>
    </row>
    <row r="1259" spans="1:17" x14ac:dyDescent="0.2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7"/>
    </row>
    <row r="1260" spans="1:17" x14ac:dyDescent="0.2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7"/>
    </row>
    <row r="1261" spans="1:17" x14ac:dyDescent="0.2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7"/>
    </row>
    <row r="1262" spans="1:17" x14ac:dyDescent="0.2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7"/>
    </row>
    <row r="1263" spans="1:17" x14ac:dyDescent="0.2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7"/>
    </row>
    <row r="1264" spans="1:17" x14ac:dyDescent="0.2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7"/>
    </row>
    <row r="1265" spans="1:17" x14ac:dyDescent="0.2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7"/>
    </row>
    <row r="1266" spans="1:17" x14ac:dyDescent="0.2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7"/>
    </row>
    <row r="1267" spans="1:17" x14ac:dyDescent="0.2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7"/>
    </row>
    <row r="1268" spans="1:17" x14ac:dyDescent="0.2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7"/>
    </row>
    <row r="1269" spans="1:17" x14ac:dyDescent="0.2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7"/>
    </row>
    <row r="1270" spans="1:17" x14ac:dyDescent="0.2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7"/>
    </row>
    <row r="1271" spans="1:17" x14ac:dyDescent="0.2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7"/>
    </row>
    <row r="1272" spans="1:17" x14ac:dyDescent="0.2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7"/>
    </row>
    <row r="1273" spans="1:17" x14ac:dyDescent="0.2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7"/>
    </row>
    <row r="1274" spans="1:17" x14ac:dyDescent="0.2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7"/>
    </row>
    <row r="1275" spans="1:17" x14ac:dyDescent="0.2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7"/>
    </row>
    <row r="1276" spans="1:17" x14ac:dyDescent="0.2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7"/>
    </row>
    <row r="1277" spans="1:17" x14ac:dyDescent="0.2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7"/>
    </row>
    <row r="1278" spans="1:17" x14ac:dyDescent="0.2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7"/>
    </row>
    <row r="1279" spans="1:17" x14ac:dyDescent="0.2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7"/>
    </row>
    <row r="1280" spans="1:17" x14ac:dyDescent="0.2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7"/>
    </row>
    <row r="1281" spans="1:17" x14ac:dyDescent="0.2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7"/>
    </row>
    <row r="1282" spans="1:17" x14ac:dyDescent="0.2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7"/>
    </row>
    <row r="1283" spans="1:17" x14ac:dyDescent="0.2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7"/>
    </row>
    <row r="1284" spans="1:17" x14ac:dyDescent="0.2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7"/>
    </row>
    <row r="1285" spans="1:17" x14ac:dyDescent="0.2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7"/>
    </row>
    <row r="1286" spans="1:17" x14ac:dyDescent="0.2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7"/>
    </row>
    <row r="1287" spans="1:17" x14ac:dyDescent="0.2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7"/>
    </row>
    <row r="1288" spans="1:17" x14ac:dyDescent="0.2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7"/>
    </row>
    <row r="1289" spans="1:17" x14ac:dyDescent="0.2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7"/>
    </row>
    <row r="1290" spans="1:17" x14ac:dyDescent="0.2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7"/>
    </row>
    <row r="1291" spans="1:17" x14ac:dyDescent="0.2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7"/>
    </row>
    <row r="1292" spans="1:17" x14ac:dyDescent="0.2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7"/>
    </row>
    <row r="1293" spans="1:17" x14ac:dyDescent="0.2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7"/>
    </row>
    <row r="1294" spans="1:17" x14ac:dyDescent="0.2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7"/>
    </row>
    <row r="1295" spans="1:17" x14ac:dyDescent="0.2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7"/>
    </row>
    <row r="1296" spans="1:17" x14ac:dyDescent="0.2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7"/>
    </row>
    <row r="1297" spans="1:17" x14ac:dyDescent="0.2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7"/>
    </row>
    <row r="1298" spans="1:17" x14ac:dyDescent="0.2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7"/>
    </row>
    <row r="1299" spans="1:17" x14ac:dyDescent="0.2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7"/>
    </row>
    <row r="1300" spans="1:17" x14ac:dyDescent="0.2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7"/>
    </row>
    <row r="1301" spans="1:17" x14ac:dyDescent="0.2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7"/>
    </row>
    <row r="1302" spans="1:17" x14ac:dyDescent="0.2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7"/>
    </row>
    <row r="1303" spans="1:17" x14ac:dyDescent="0.2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7"/>
    </row>
    <row r="1304" spans="1:17" x14ac:dyDescent="0.2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7"/>
    </row>
    <row r="1305" spans="1:17" x14ac:dyDescent="0.2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7"/>
    </row>
    <row r="1306" spans="1:17" x14ac:dyDescent="0.2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7"/>
    </row>
    <row r="1307" spans="1:17" x14ac:dyDescent="0.2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7"/>
    </row>
    <row r="1308" spans="1:17" x14ac:dyDescent="0.2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7"/>
    </row>
    <row r="1309" spans="1:17" x14ac:dyDescent="0.2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7"/>
    </row>
    <row r="1310" spans="1:17" x14ac:dyDescent="0.2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7"/>
    </row>
    <row r="1311" spans="1:17" x14ac:dyDescent="0.2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7"/>
    </row>
    <row r="1312" spans="1:17" x14ac:dyDescent="0.2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7"/>
    </row>
    <row r="1313" spans="1:17" x14ac:dyDescent="0.2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7"/>
    </row>
    <row r="1314" spans="1:17" x14ac:dyDescent="0.2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7"/>
    </row>
    <row r="1315" spans="1:17" x14ac:dyDescent="0.2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7"/>
    </row>
    <row r="1316" spans="1:17" x14ac:dyDescent="0.2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7"/>
    </row>
    <row r="1317" spans="1:17" x14ac:dyDescent="0.2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7"/>
    </row>
    <row r="1318" spans="1:17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7"/>
    </row>
    <row r="1319" spans="1:17" x14ac:dyDescent="0.2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7"/>
    </row>
    <row r="1320" spans="1:17" x14ac:dyDescent="0.2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7"/>
    </row>
    <row r="1321" spans="1:17" x14ac:dyDescent="0.2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7"/>
    </row>
    <row r="1322" spans="1:17" x14ac:dyDescent="0.2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7"/>
    </row>
    <row r="1323" spans="1:17" x14ac:dyDescent="0.2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7"/>
    </row>
    <row r="1324" spans="1:17" x14ac:dyDescent="0.2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7"/>
    </row>
    <row r="1325" spans="1:17" x14ac:dyDescent="0.2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7"/>
    </row>
    <row r="1326" spans="1:17" x14ac:dyDescent="0.2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7"/>
    </row>
    <row r="1327" spans="1:17" x14ac:dyDescent="0.2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7"/>
    </row>
    <row r="1328" spans="1:17" x14ac:dyDescent="0.2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7"/>
    </row>
    <row r="1329" spans="1:17" x14ac:dyDescent="0.2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7"/>
    </row>
    <row r="1330" spans="1:17" x14ac:dyDescent="0.2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7"/>
    </row>
    <row r="1331" spans="1:17" x14ac:dyDescent="0.2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7"/>
    </row>
    <row r="1332" spans="1:17" x14ac:dyDescent="0.2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7"/>
    </row>
    <row r="1333" spans="1:17" x14ac:dyDescent="0.2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7"/>
    </row>
    <row r="1334" spans="1:17" x14ac:dyDescent="0.2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7"/>
    </row>
    <row r="1335" spans="1:17" x14ac:dyDescent="0.2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7"/>
    </row>
    <row r="1336" spans="1:17" x14ac:dyDescent="0.2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7"/>
    </row>
    <row r="1337" spans="1:17" x14ac:dyDescent="0.2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7"/>
    </row>
    <row r="1338" spans="1:17" x14ac:dyDescent="0.2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7"/>
    </row>
    <row r="1339" spans="1:17" x14ac:dyDescent="0.2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7"/>
    </row>
    <row r="1340" spans="1:17" x14ac:dyDescent="0.2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7"/>
    </row>
    <row r="1341" spans="1:17" x14ac:dyDescent="0.2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7"/>
    </row>
    <row r="1342" spans="1:17" x14ac:dyDescent="0.2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7"/>
    </row>
    <row r="1343" spans="1:17" x14ac:dyDescent="0.2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7"/>
    </row>
    <row r="1344" spans="1:17" x14ac:dyDescent="0.2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7"/>
    </row>
    <row r="1345" spans="1:17" x14ac:dyDescent="0.2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7"/>
    </row>
    <row r="1346" spans="1:17" x14ac:dyDescent="0.2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7"/>
    </row>
    <row r="1347" spans="1:17" x14ac:dyDescent="0.2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7"/>
    </row>
    <row r="1348" spans="1:17" x14ac:dyDescent="0.2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7"/>
    </row>
    <row r="1349" spans="1:17" x14ac:dyDescent="0.2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7"/>
    </row>
    <row r="1350" spans="1:17" x14ac:dyDescent="0.2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7"/>
    </row>
    <row r="1351" spans="1:17" x14ac:dyDescent="0.2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7"/>
    </row>
    <row r="1352" spans="1:17" x14ac:dyDescent="0.2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7"/>
    </row>
    <row r="1353" spans="1:17" x14ac:dyDescent="0.2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7"/>
    </row>
    <row r="1354" spans="1:17" x14ac:dyDescent="0.2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7"/>
    </row>
    <row r="1355" spans="1:17" x14ac:dyDescent="0.2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7"/>
    </row>
    <row r="1356" spans="1:17" x14ac:dyDescent="0.2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7"/>
    </row>
    <row r="1357" spans="1:17" x14ac:dyDescent="0.2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7"/>
    </row>
    <row r="1358" spans="1:17" x14ac:dyDescent="0.2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7"/>
    </row>
    <row r="1359" spans="1:17" x14ac:dyDescent="0.2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7"/>
    </row>
    <row r="1360" spans="1:17" x14ac:dyDescent="0.2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7"/>
    </row>
    <row r="1361" spans="1:17" x14ac:dyDescent="0.2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7"/>
    </row>
    <row r="1362" spans="1:17" x14ac:dyDescent="0.2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7"/>
    </row>
    <row r="1363" spans="1:17" x14ac:dyDescent="0.2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7"/>
    </row>
    <row r="1364" spans="1:17" x14ac:dyDescent="0.2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7"/>
    </row>
    <row r="1365" spans="1:17" x14ac:dyDescent="0.2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7"/>
    </row>
    <row r="1366" spans="1:17" x14ac:dyDescent="0.2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7"/>
    </row>
    <row r="1367" spans="1:17" x14ac:dyDescent="0.2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7"/>
    </row>
    <row r="1368" spans="1:17" x14ac:dyDescent="0.2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7"/>
    </row>
    <row r="1369" spans="1:17" x14ac:dyDescent="0.2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7"/>
    </row>
    <row r="1370" spans="1:17" x14ac:dyDescent="0.2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7"/>
    </row>
    <row r="1371" spans="1:17" x14ac:dyDescent="0.2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7"/>
    </row>
    <row r="1372" spans="1:17" x14ac:dyDescent="0.2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7"/>
    </row>
    <row r="1373" spans="1:17" x14ac:dyDescent="0.2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7"/>
    </row>
    <row r="1374" spans="1:17" x14ac:dyDescent="0.2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7"/>
    </row>
    <row r="1375" spans="1:17" x14ac:dyDescent="0.2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7"/>
    </row>
    <row r="1376" spans="1:17" x14ac:dyDescent="0.2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7"/>
    </row>
    <row r="1377" spans="1:17" x14ac:dyDescent="0.2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7"/>
    </row>
    <row r="1378" spans="1:17" x14ac:dyDescent="0.2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7"/>
    </row>
    <row r="1379" spans="1:17" x14ac:dyDescent="0.2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7"/>
    </row>
    <row r="1380" spans="1:17" x14ac:dyDescent="0.2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7"/>
    </row>
    <row r="1381" spans="1:17" x14ac:dyDescent="0.2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7"/>
    </row>
    <row r="1382" spans="1:17" x14ac:dyDescent="0.2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7"/>
    </row>
    <row r="1383" spans="1:17" x14ac:dyDescent="0.2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7"/>
    </row>
    <row r="1384" spans="1:17" x14ac:dyDescent="0.2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7"/>
    </row>
    <row r="1385" spans="1:17" x14ac:dyDescent="0.2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7"/>
    </row>
    <row r="1386" spans="1:17" x14ac:dyDescent="0.2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7"/>
    </row>
    <row r="1387" spans="1:17" x14ac:dyDescent="0.2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7"/>
    </row>
    <row r="1388" spans="1:17" x14ac:dyDescent="0.2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7"/>
    </row>
    <row r="1389" spans="1:17" x14ac:dyDescent="0.2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7"/>
    </row>
    <row r="1390" spans="1:17" x14ac:dyDescent="0.2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7"/>
    </row>
    <row r="1391" spans="1:17" x14ac:dyDescent="0.2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7"/>
    </row>
    <row r="1392" spans="1:17" x14ac:dyDescent="0.2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7"/>
    </row>
    <row r="1393" spans="1:17" x14ac:dyDescent="0.2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7"/>
    </row>
    <row r="1394" spans="1:17" x14ac:dyDescent="0.2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7"/>
    </row>
    <row r="1395" spans="1:17" x14ac:dyDescent="0.2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7"/>
    </row>
    <row r="1396" spans="1:17" x14ac:dyDescent="0.2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7"/>
    </row>
    <row r="1397" spans="1:17" x14ac:dyDescent="0.2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7"/>
    </row>
    <row r="1398" spans="1:17" x14ac:dyDescent="0.2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7"/>
    </row>
    <row r="1399" spans="1:17" x14ac:dyDescent="0.2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7"/>
    </row>
    <row r="1400" spans="1:17" x14ac:dyDescent="0.2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7"/>
    </row>
    <row r="1401" spans="1:17" x14ac:dyDescent="0.2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7"/>
    </row>
    <row r="1402" spans="1:17" x14ac:dyDescent="0.2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7"/>
    </row>
    <row r="1403" spans="1:17" x14ac:dyDescent="0.2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7"/>
    </row>
    <row r="1404" spans="1:17" x14ac:dyDescent="0.2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7"/>
    </row>
    <row r="1405" spans="1:17" x14ac:dyDescent="0.2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7"/>
    </row>
    <row r="1406" spans="1:17" x14ac:dyDescent="0.2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7"/>
    </row>
    <row r="1407" spans="1:17" x14ac:dyDescent="0.2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7"/>
    </row>
    <row r="1408" spans="1:17" x14ac:dyDescent="0.2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7"/>
    </row>
    <row r="1409" spans="1:17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7"/>
    </row>
    <row r="1410" spans="1:17" x14ac:dyDescent="0.2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7"/>
    </row>
    <row r="1411" spans="1:17" x14ac:dyDescent="0.2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7"/>
    </row>
    <row r="1412" spans="1:17" x14ac:dyDescent="0.2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7"/>
    </row>
    <row r="1413" spans="1:17" x14ac:dyDescent="0.2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7"/>
    </row>
    <row r="1414" spans="1:17" x14ac:dyDescent="0.2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7"/>
    </row>
    <row r="1415" spans="1:17" x14ac:dyDescent="0.2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7"/>
    </row>
    <row r="1416" spans="1:17" x14ac:dyDescent="0.2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7"/>
    </row>
    <row r="1417" spans="1:17" x14ac:dyDescent="0.2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7"/>
    </row>
    <row r="1418" spans="1:17" x14ac:dyDescent="0.2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7"/>
    </row>
    <row r="1419" spans="1:17" x14ac:dyDescent="0.2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7"/>
    </row>
    <row r="1420" spans="1:17" x14ac:dyDescent="0.2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7"/>
    </row>
    <row r="1421" spans="1:17" x14ac:dyDescent="0.2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7"/>
    </row>
    <row r="1422" spans="1:17" x14ac:dyDescent="0.2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7"/>
    </row>
    <row r="1423" spans="1:17" x14ac:dyDescent="0.2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7"/>
    </row>
    <row r="1424" spans="1:17" x14ac:dyDescent="0.2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7"/>
    </row>
    <row r="1425" spans="1:17" x14ac:dyDescent="0.2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7"/>
    </row>
    <row r="1426" spans="1:17" x14ac:dyDescent="0.2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7"/>
    </row>
    <row r="1427" spans="1:17" x14ac:dyDescent="0.2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7"/>
    </row>
    <row r="1428" spans="1:17" x14ac:dyDescent="0.2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7"/>
    </row>
    <row r="1429" spans="1:17" x14ac:dyDescent="0.2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7"/>
    </row>
    <row r="1430" spans="1:17" x14ac:dyDescent="0.2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7"/>
    </row>
    <row r="1431" spans="1:17" x14ac:dyDescent="0.2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7"/>
    </row>
    <row r="1432" spans="1:17" x14ac:dyDescent="0.2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7"/>
    </row>
    <row r="1433" spans="1:17" x14ac:dyDescent="0.2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7"/>
    </row>
    <row r="1434" spans="1:17" x14ac:dyDescent="0.2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7"/>
    </row>
    <row r="1435" spans="1:17" x14ac:dyDescent="0.2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7"/>
    </row>
    <row r="1436" spans="1:17" x14ac:dyDescent="0.2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7"/>
    </row>
    <row r="1437" spans="1:17" x14ac:dyDescent="0.2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7"/>
    </row>
    <row r="1438" spans="1:17" x14ac:dyDescent="0.2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7"/>
    </row>
    <row r="1439" spans="1:17" x14ac:dyDescent="0.2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7"/>
    </row>
    <row r="1440" spans="1:17" x14ac:dyDescent="0.2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7"/>
    </row>
    <row r="1441" spans="1:17" x14ac:dyDescent="0.2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7"/>
    </row>
    <row r="1442" spans="1:17" x14ac:dyDescent="0.2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7"/>
    </row>
    <row r="1443" spans="1:17" x14ac:dyDescent="0.2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7"/>
    </row>
    <row r="1444" spans="1:17" x14ac:dyDescent="0.2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7"/>
    </row>
    <row r="1445" spans="1:17" x14ac:dyDescent="0.2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7"/>
    </row>
    <row r="1446" spans="1:17" x14ac:dyDescent="0.2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7"/>
    </row>
    <row r="1447" spans="1:17" x14ac:dyDescent="0.2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7"/>
    </row>
    <row r="1448" spans="1:17" x14ac:dyDescent="0.2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7"/>
    </row>
    <row r="1449" spans="1:17" x14ac:dyDescent="0.2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7"/>
    </row>
    <row r="1450" spans="1:17" x14ac:dyDescent="0.2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7"/>
    </row>
    <row r="1451" spans="1:17" x14ac:dyDescent="0.2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7"/>
    </row>
    <row r="1452" spans="1:17" x14ac:dyDescent="0.2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7"/>
    </row>
    <row r="1453" spans="1:17" x14ac:dyDescent="0.2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7"/>
    </row>
    <row r="1454" spans="1:17" x14ac:dyDescent="0.2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7"/>
    </row>
    <row r="1455" spans="1:17" x14ac:dyDescent="0.2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7"/>
    </row>
    <row r="1456" spans="1:17" x14ac:dyDescent="0.2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7"/>
    </row>
    <row r="1457" spans="1:17" x14ac:dyDescent="0.2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7"/>
    </row>
    <row r="1458" spans="1:17" x14ac:dyDescent="0.2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7"/>
    </row>
    <row r="1459" spans="1:17" x14ac:dyDescent="0.2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7"/>
    </row>
    <row r="1460" spans="1:17" x14ac:dyDescent="0.2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7"/>
    </row>
    <row r="1461" spans="1:17" x14ac:dyDescent="0.2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7"/>
    </row>
    <row r="1462" spans="1:17" x14ac:dyDescent="0.2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7"/>
    </row>
    <row r="1463" spans="1:17" x14ac:dyDescent="0.2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7"/>
    </row>
    <row r="1464" spans="1:17" x14ac:dyDescent="0.2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7"/>
    </row>
    <row r="1465" spans="1:17" x14ac:dyDescent="0.2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7"/>
    </row>
    <row r="1466" spans="1:17" x14ac:dyDescent="0.2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7"/>
    </row>
    <row r="1467" spans="1:17" x14ac:dyDescent="0.2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7"/>
    </row>
    <row r="1468" spans="1:17" x14ac:dyDescent="0.2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7"/>
    </row>
    <row r="1469" spans="1:17" x14ac:dyDescent="0.2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7"/>
    </row>
    <row r="1470" spans="1:17" x14ac:dyDescent="0.2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7"/>
    </row>
    <row r="1471" spans="1:17" x14ac:dyDescent="0.2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7"/>
    </row>
    <row r="1472" spans="1:17" x14ac:dyDescent="0.2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7"/>
    </row>
    <row r="1473" spans="1:17" x14ac:dyDescent="0.2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7"/>
    </row>
    <row r="1474" spans="1:17" x14ac:dyDescent="0.2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7"/>
    </row>
    <row r="1475" spans="1:17" x14ac:dyDescent="0.2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7"/>
    </row>
    <row r="1476" spans="1:17" x14ac:dyDescent="0.2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7"/>
    </row>
    <row r="1477" spans="1:17" x14ac:dyDescent="0.2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7"/>
    </row>
    <row r="1478" spans="1:17" x14ac:dyDescent="0.2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7"/>
    </row>
    <row r="1479" spans="1:17" x14ac:dyDescent="0.2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7"/>
    </row>
    <row r="1480" spans="1:17" x14ac:dyDescent="0.2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7"/>
    </row>
    <row r="1481" spans="1:17" x14ac:dyDescent="0.2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7"/>
    </row>
    <row r="1482" spans="1:17" x14ac:dyDescent="0.2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7"/>
    </row>
    <row r="1483" spans="1:17" x14ac:dyDescent="0.2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7"/>
    </row>
    <row r="1484" spans="1:17" x14ac:dyDescent="0.2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7"/>
    </row>
    <row r="1485" spans="1:17" x14ac:dyDescent="0.2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7"/>
    </row>
    <row r="1486" spans="1:17" x14ac:dyDescent="0.2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7"/>
    </row>
    <row r="1487" spans="1:17" x14ac:dyDescent="0.2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7"/>
    </row>
    <row r="1488" spans="1:17" x14ac:dyDescent="0.2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7"/>
    </row>
    <row r="1489" spans="1:17" x14ac:dyDescent="0.2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7"/>
    </row>
    <row r="1490" spans="1:17" x14ac:dyDescent="0.2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7"/>
    </row>
    <row r="1491" spans="1:17" x14ac:dyDescent="0.2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7"/>
    </row>
    <row r="1492" spans="1:17" x14ac:dyDescent="0.2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7"/>
    </row>
    <row r="1493" spans="1:17" x14ac:dyDescent="0.2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7"/>
    </row>
    <row r="1494" spans="1:17" x14ac:dyDescent="0.2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7"/>
    </row>
    <row r="1495" spans="1:17" x14ac:dyDescent="0.2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7"/>
    </row>
    <row r="1496" spans="1:17" x14ac:dyDescent="0.2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7"/>
    </row>
    <row r="1497" spans="1:17" x14ac:dyDescent="0.2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7"/>
    </row>
    <row r="1498" spans="1:17" x14ac:dyDescent="0.2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7"/>
    </row>
    <row r="1499" spans="1:17" x14ac:dyDescent="0.2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7"/>
    </row>
    <row r="1500" spans="1:17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7"/>
    </row>
    <row r="1501" spans="1:17" x14ac:dyDescent="0.2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7"/>
    </row>
    <row r="1502" spans="1:17" x14ac:dyDescent="0.2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7"/>
    </row>
    <row r="1503" spans="1:17" x14ac:dyDescent="0.2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7"/>
    </row>
    <row r="1504" spans="1:17" x14ac:dyDescent="0.2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7"/>
    </row>
    <row r="1505" spans="1:17" x14ac:dyDescent="0.2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7"/>
    </row>
    <row r="1506" spans="1:17" x14ac:dyDescent="0.2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7"/>
    </row>
    <row r="1507" spans="1:17" x14ac:dyDescent="0.2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7"/>
    </row>
    <row r="1508" spans="1:17" x14ac:dyDescent="0.2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7"/>
    </row>
    <row r="1509" spans="1:17" x14ac:dyDescent="0.2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7"/>
    </row>
    <row r="1510" spans="1:17" x14ac:dyDescent="0.2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7"/>
    </row>
    <row r="1511" spans="1:17" x14ac:dyDescent="0.2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7"/>
    </row>
    <row r="1512" spans="1:17" x14ac:dyDescent="0.2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7"/>
    </row>
    <row r="1513" spans="1:17" x14ac:dyDescent="0.2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7"/>
    </row>
    <row r="1514" spans="1:17" x14ac:dyDescent="0.2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7"/>
    </row>
    <row r="1515" spans="1:17" x14ac:dyDescent="0.2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7"/>
    </row>
    <row r="1516" spans="1:17" x14ac:dyDescent="0.2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7"/>
    </row>
    <row r="1517" spans="1:17" x14ac:dyDescent="0.2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7"/>
    </row>
    <row r="1518" spans="1:17" x14ac:dyDescent="0.2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7"/>
    </row>
    <row r="1519" spans="1:17" x14ac:dyDescent="0.2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7"/>
    </row>
    <row r="1520" spans="1:17" x14ac:dyDescent="0.2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7"/>
    </row>
    <row r="1521" spans="1:17" x14ac:dyDescent="0.2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7"/>
    </row>
    <row r="1522" spans="1:17" x14ac:dyDescent="0.2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7"/>
    </row>
    <row r="1523" spans="1:17" x14ac:dyDescent="0.2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7"/>
    </row>
    <row r="1524" spans="1:17" x14ac:dyDescent="0.2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7"/>
    </row>
    <row r="1525" spans="1:17" x14ac:dyDescent="0.2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7"/>
    </row>
    <row r="1526" spans="1:17" x14ac:dyDescent="0.2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7"/>
    </row>
    <row r="1527" spans="1:17" x14ac:dyDescent="0.2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7"/>
    </row>
    <row r="1528" spans="1:17" x14ac:dyDescent="0.2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7"/>
    </row>
    <row r="1529" spans="1:17" x14ac:dyDescent="0.2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7"/>
    </row>
    <row r="1530" spans="1:17" x14ac:dyDescent="0.2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7"/>
    </row>
    <row r="1531" spans="1:17" x14ac:dyDescent="0.2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7"/>
    </row>
    <row r="1532" spans="1:17" x14ac:dyDescent="0.2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7"/>
    </row>
    <row r="1533" spans="1:17" x14ac:dyDescent="0.2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7"/>
    </row>
    <row r="1534" spans="1:17" x14ac:dyDescent="0.2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7"/>
    </row>
    <row r="1535" spans="1:17" x14ac:dyDescent="0.2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7"/>
    </row>
    <row r="1536" spans="1:17" x14ac:dyDescent="0.2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7"/>
    </row>
    <row r="1537" spans="1:17" x14ac:dyDescent="0.2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7"/>
    </row>
    <row r="1538" spans="1:17" x14ac:dyDescent="0.2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7"/>
    </row>
    <row r="1539" spans="1:17" x14ac:dyDescent="0.2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7"/>
    </row>
    <row r="1540" spans="1:17" x14ac:dyDescent="0.2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7"/>
    </row>
    <row r="1541" spans="1:17" x14ac:dyDescent="0.2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7"/>
    </row>
    <row r="1542" spans="1:17" x14ac:dyDescent="0.2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7"/>
    </row>
    <row r="1543" spans="1:17" x14ac:dyDescent="0.2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7"/>
    </row>
    <row r="1544" spans="1:17" x14ac:dyDescent="0.2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7"/>
    </row>
    <row r="1545" spans="1:17" x14ac:dyDescent="0.2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7"/>
    </row>
    <row r="1546" spans="1:17" x14ac:dyDescent="0.2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7"/>
    </row>
    <row r="1547" spans="1:17" x14ac:dyDescent="0.2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7"/>
    </row>
    <row r="1548" spans="1:17" x14ac:dyDescent="0.2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7"/>
    </row>
    <row r="1549" spans="1:17" x14ac:dyDescent="0.2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7"/>
    </row>
    <row r="1550" spans="1:17" x14ac:dyDescent="0.2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7"/>
    </row>
    <row r="1551" spans="1:17" x14ac:dyDescent="0.2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7"/>
    </row>
    <row r="1552" spans="1:17" x14ac:dyDescent="0.2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7"/>
    </row>
    <row r="1553" spans="1:17" x14ac:dyDescent="0.2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7"/>
    </row>
    <row r="1554" spans="1:17" x14ac:dyDescent="0.2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7"/>
    </row>
    <row r="1555" spans="1:17" x14ac:dyDescent="0.2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7"/>
    </row>
    <row r="1556" spans="1:17" x14ac:dyDescent="0.2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7"/>
    </row>
    <row r="1557" spans="1:17" x14ac:dyDescent="0.2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7"/>
    </row>
    <row r="1558" spans="1:17" x14ac:dyDescent="0.2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7"/>
    </row>
    <row r="1559" spans="1:17" x14ac:dyDescent="0.2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7"/>
    </row>
    <row r="1560" spans="1:17" x14ac:dyDescent="0.2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7"/>
    </row>
    <row r="1561" spans="1:17" x14ac:dyDescent="0.2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7"/>
    </row>
    <row r="1562" spans="1:17" x14ac:dyDescent="0.2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7"/>
    </row>
    <row r="1563" spans="1:17" x14ac:dyDescent="0.2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7"/>
    </row>
    <row r="1564" spans="1:17" x14ac:dyDescent="0.2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7"/>
    </row>
    <row r="1565" spans="1:17" x14ac:dyDescent="0.2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7"/>
    </row>
    <row r="1566" spans="1:17" x14ac:dyDescent="0.2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7"/>
    </row>
    <row r="1567" spans="1:17" x14ac:dyDescent="0.2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7"/>
    </row>
    <row r="1568" spans="1:17" x14ac:dyDescent="0.2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7"/>
    </row>
    <row r="1569" spans="1:17" x14ac:dyDescent="0.2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7"/>
    </row>
    <row r="1570" spans="1:17" x14ac:dyDescent="0.2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7"/>
    </row>
    <row r="1571" spans="1:17" x14ac:dyDescent="0.2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7"/>
    </row>
    <row r="1572" spans="1:17" x14ac:dyDescent="0.2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7"/>
    </row>
    <row r="1573" spans="1:17" x14ac:dyDescent="0.2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7"/>
    </row>
    <row r="1574" spans="1:17" x14ac:dyDescent="0.2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7"/>
    </row>
    <row r="1575" spans="1:17" x14ac:dyDescent="0.2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7"/>
    </row>
    <row r="1576" spans="1:17" x14ac:dyDescent="0.2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7"/>
    </row>
    <row r="1577" spans="1:17" x14ac:dyDescent="0.2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7"/>
    </row>
    <row r="1578" spans="1:17" x14ac:dyDescent="0.2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7"/>
    </row>
    <row r="1579" spans="1:17" x14ac:dyDescent="0.2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7"/>
    </row>
    <row r="1580" spans="1:17" x14ac:dyDescent="0.2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7"/>
    </row>
    <row r="1581" spans="1:17" x14ac:dyDescent="0.2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7"/>
    </row>
    <row r="1582" spans="1:17" x14ac:dyDescent="0.2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7"/>
    </row>
    <row r="1583" spans="1:17" x14ac:dyDescent="0.2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7"/>
    </row>
    <row r="1584" spans="1:17" x14ac:dyDescent="0.2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7"/>
    </row>
    <row r="1585" spans="1:17" x14ac:dyDescent="0.2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7"/>
    </row>
    <row r="1586" spans="1:17" x14ac:dyDescent="0.2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7"/>
    </row>
    <row r="1587" spans="1:17" x14ac:dyDescent="0.2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7"/>
    </row>
    <row r="1588" spans="1:17" x14ac:dyDescent="0.2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7"/>
    </row>
    <row r="1589" spans="1:17" x14ac:dyDescent="0.2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7"/>
    </row>
    <row r="1590" spans="1:17" x14ac:dyDescent="0.2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7"/>
    </row>
    <row r="1591" spans="1:17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7"/>
    </row>
    <row r="1592" spans="1:17" x14ac:dyDescent="0.2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7"/>
    </row>
    <row r="1593" spans="1:17" x14ac:dyDescent="0.2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7"/>
    </row>
    <row r="1594" spans="1:17" x14ac:dyDescent="0.2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7"/>
    </row>
    <row r="1595" spans="1:17" x14ac:dyDescent="0.2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7"/>
    </row>
    <row r="1596" spans="1:17" x14ac:dyDescent="0.2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7"/>
    </row>
    <row r="1597" spans="1:17" x14ac:dyDescent="0.2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7"/>
    </row>
    <row r="1598" spans="1:17" x14ac:dyDescent="0.2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7"/>
    </row>
    <row r="1599" spans="1:17" x14ac:dyDescent="0.2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7"/>
    </row>
    <row r="1600" spans="1:17" x14ac:dyDescent="0.2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7"/>
    </row>
    <row r="1601" spans="1:17" x14ac:dyDescent="0.2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7"/>
    </row>
    <row r="1602" spans="1:17" x14ac:dyDescent="0.2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7"/>
    </row>
    <row r="1603" spans="1:17" x14ac:dyDescent="0.2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7"/>
    </row>
    <row r="1604" spans="1:17" x14ac:dyDescent="0.2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7"/>
    </row>
    <row r="1605" spans="1:17" x14ac:dyDescent="0.2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7"/>
    </row>
    <row r="1606" spans="1:17" x14ac:dyDescent="0.2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7"/>
    </row>
    <row r="1607" spans="1:17" x14ac:dyDescent="0.2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7"/>
    </row>
    <row r="1608" spans="1:17" x14ac:dyDescent="0.2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7"/>
    </row>
    <row r="1609" spans="1:17" x14ac:dyDescent="0.2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7"/>
    </row>
    <row r="1610" spans="1:17" x14ac:dyDescent="0.2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7"/>
    </row>
    <row r="1611" spans="1:17" x14ac:dyDescent="0.2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7"/>
    </row>
    <row r="1612" spans="1:17" x14ac:dyDescent="0.2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7"/>
    </row>
    <row r="1613" spans="1:17" x14ac:dyDescent="0.2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7"/>
    </row>
    <row r="1614" spans="1:17" x14ac:dyDescent="0.2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7"/>
    </row>
    <row r="1615" spans="1:17" x14ac:dyDescent="0.2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7"/>
    </row>
    <row r="1616" spans="1:17" x14ac:dyDescent="0.2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7"/>
    </row>
    <row r="1617" spans="1:17" x14ac:dyDescent="0.2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7"/>
    </row>
    <row r="1618" spans="1:17" x14ac:dyDescent="0.2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7"/>
    </row>
    <row r="1619" spans="1:17" x14ac:dyDescent="0.2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7"/>
    </row>
    <row r="1620" spans="1:17" x14ac:dyDescent="0.2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7"/>
    </row>
    <row r="1621" spans="1:17" x14ac:dyDescent="0.2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7"/>
    </row>
    <row r="1622" spans="1:17" x14ac:dyDescent="0.2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7"/>
    </row>
    <row r="1623" spans="1:17" x14ac:dyDescent="0.2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7"/>
    </row>
    <row r="1624" spans="1:17" x14ac:dyDescent="0.2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7"/>
    </row>
    <row r="1625" spans="1:17" x14ac:dyDescent="0.2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7"/>
    </row>
    <row r="1626" spans="1:17" x14ac:dyDescent="0.2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7"/>
    </row>
    <row r="1627" spans="1:17" x14ac:dyDescent="0.2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7"/>
    </row>
    <row r="1628" spans="1:17" x14ac:dyDescent="0.2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7"/>
    </row>
    <row r="1629" spans="1:17" x14ac:dyDescent="0.2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7"/>
    </row>
    <row r="1630" spans="1:17" x14ac:dyDescent="0.2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7"/>
    </row>
    <row r="1631" spans="1:17" x14ac:dyDescent="0.2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7"/>
    </row>
    <row r="1632" spans="1:17" x14ac:dyDescent="0.2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7"/>
    </row>
    <row r="1633" spans="1:17" x14ac:dyDescent="0.2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7"/>
    </row>
    <row r="1634" spans="1:17" x14ac:dyDescent="0.2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7"/>
    </row>
    <row r="1635" spans="1:17" x14ac:dyDescent="0.2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7"/>
    </row>
    <row r="1636" spans="1:17" x14ac:dyDescent="0.2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7"/>
    </row>
    <row r="1637" spans="1:17" x14ac:dyDescent="0.2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7"/>
    </row>
    <row r="1638" spans="1:17" x14ac:dyDescent="0.2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7"/>
    </row>
    <row r="1639" spans="1:17" x14ac:dyDescent="0.2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7"/>
    </row>
    <row r="1640" spans="1:17" x14ac:dyDescent="0.2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7"/>
    </row>
    <row r="1641" spans="1:17" x14ac:dyDescent="0.2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7"/>
    </row>
    <row r="1642" spans="1:17" x14ac:dyDescent="0.2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7"/>
    </row>
    <row r="1643" spans="1:17" x14ac:dyDescent="0.2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7"/>
    </row>
    <row r="1644" spans="1:17" x14ac:dyDescent="0.2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7"/>
    </row>
    <row r="1645" spans="1:17" x14ac:dyDescent="0.2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7"/>
    </row>
    <row r="1646" spans="1:17" x14ac:dyDescent="0.2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7"/>
    </row>
    <row r="1647" spans="1:17" x14ac:dyDescent="0.2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7"/>
    </row>
    <row r="1648" spans="1:17" x14ac:dyDescent="0.2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7"/>
    </row>
    <row r="1649" spans="1:17" x14ac:dyDescent="0.2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7"/>
    </row>
    <row r="1650" spans="1:17" x14ac:dyDescent="0.2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7"/>
    </row>
    <row r="1651" spans="1:17" x14ac:dyDescent="0.2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7"/>
    </row>
    <row r="1652" spans="1:17" x14ac:dyDescent="0.2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7"/>
    </row>
    <row r="1653" spans="1:17" x14ac:dyDescent="0.2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7"/>
    </row>
    <row r="1654" spans="1:17" x14ac:dyDescent="0.2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7"/>
    </row>
    <row r="1655" spans="1:17" x14ac:dyDescent="0.2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7"/>
    </row>
    <row r="1656" spans="1:17" x14ac:dyDescent="0.2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7"/>
    </row>
    <row r="1657" spans="1:17" x14ac:dyDescent="0.2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7"/>
    </row>
    <row r="1658" spans="1:17" x14ac:dyDescent="0.2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7"/>
    </row>
    <row r="1659" spans="1:17" x14ac:dyDescent="0.2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7"/>
    </row>
    <row r="1660" spans="1:17" x14ac:dyDescent="0.2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7"/>
    </row>
    <row r="1661" spans="1:17" x14ac:dyDescent="0.2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7"/>
    </row>
    <row r="1662" spans="1:17" x14ac:dyDescent="0.2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7"/>
    </row>
    <row r="1663" spans="1:17" x14ac:dyDescent="0.2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7"/>
    </row>
    <row r="1664" spans="1:17" x14ac:dyDescent="0.2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7"/>
    </row>
    <row r="1665" spans="1:17" x14ac:dyDescent="0.2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7"/>
    </row>
    <row r="1666" spans="1:17" x14ac:dyDescent="0.2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7"/>
    </row>
    <row r="1667" spans="1:17" x14ac:dyDescent="0.2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7"/>
    </row>
    <row r="1668" spans="1:17" x14ac:dyDescent="0.2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7"/>
    </row>
    <row r="1669" spans="1:17" x14ac:dyDescent="0.2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7"/>
    </row>
    <row r="1670" spans="1:17" x14ac:dyDescent="0.2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7"/>
    </row>
    <row r="1671" spans="1:17" x14ac:dyDescent="0.2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7"/>
    </row>
    <row r="1672" spans="1:17" x14ac:dyDescent="0.2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7"/>
    </row>
    <row r="1673" spans="1:17" x14ac:dyDescent="0.2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7"/>
    </row>
    <row r="1674" spans="1:17" x14ac:dyDescent="0.2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7"/>
    </row>
    <row r="1675" spans="1:17" x14ac:dyDescent="0.2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7"/>
    </row>
    <row r="1676" spans="1:17" x14ac:dyDescent="0.2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7"/>
    </row>
    <row r="1677" spans="1:17" x14ac:dyDescent="0.2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7"/>
    </row>
    <row r="1678" spans="1:17" x14ac:dyDescent="0.2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7"/>
    </row>
    <row r="1679" spans="1:17" x14ac:dyDescent="0.2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7"/>
    </row>
    <row r="1680" spans="1:17" x14ac:dyDescent="0.2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7"/>
    </row>
    <row r="1681" spans="1:17" x14ac:dyDescent="0.2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7"/>
    </row>
    <row r="1682" spans="1:17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7"/>
    </row>
    <row r="1683" spans="1:17" x14ac:dyDescent="0.2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7"/>
    </row>
    <row r="1684" spans="1:17" x14ac:dyDescent="0.2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7"/>
    </row>
    <row r="1685" spans="1:17" x14ac:dyDescent="0.2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7"/>
    </row>
    <row r="1686" spans="1:17" x14ac:dyDescent="0.2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7"/>
    </row>
    <row r="1687" spans="1:17" x14ac:dyDescent="0.2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7"/>
    </row>
    <row r="1688" spans="1:17" x14ac:dyDescent="0.2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7"/>
    </row>
    <row r="1689" spans="1:17" x14ac:dyDescent="0.2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7"/>
    </row>
    <row r="1690" spans="1:17" x14ac:dyDescent="0.2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7"/>
    </row>
    <row r="1691" spans="1:17" x14ac:dyDescent="0.2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7"/>
    </row>
    <row r="1692" spans="1:17" x14ac:dyDescent="0.2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7"/>
    </row>
    <row r="1693" spans="1:17" x14ac:dyDescent="0.2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7"/>
    </row>
    <row r="1694" spans="1:17" x14ac:dyDescent="0.2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7"/>
    </row>
    <row r="1695" spans="1:17" x14ac:dyDescent="0.2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7"/>
    </row>
    <row r="1696" spans="1:17" x14ac:dyDescent="0.2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7"/>
    </row>
    <row r="1697" spans="1:17" x14ac:dyDescent="0.2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7"/>
    </row>
    <row r="1698" spans="1:17" x14ac:dyDescent="0.2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7"/>
    </row>
    <row r="1699" spans="1:17" x14ac:dyDescent="0.2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7"/>
    </row>
    <row r="1700" spans="1:17" x14ac:dyDescent="0.2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7"/>
    </row>
    <row r="1701" spans="1:17" x14ac:dyDescent="0.2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7"/>
    </row>
    <row r="1702" spans="1:17" x14ac:dyDescent="0.2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7"/>
    </row>
    <row r="1703" spans="1:17" x14ac:dyDescent="0.2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7"/>
    </row>
    <row r="1704" spans="1:17" x14ac:dyDescent="0.2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7"/>
    </row>
    <row r="1705" spans="1:17" x14ac:dyDescent="0.2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7"/>
    </row>
    <row r="1706" spans="1:17" x14ac:dyDescent="0.2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7"/>
    </row>
    <row r="1707" spans="1:17" x14ac:dyDescent="0.2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7"/>
    </row>
    <row r="1708" spans="1:17" x14ac:dyDescent="0.2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7"/>
    </row>
    <row r="1709" spans="1:17" x14ac:dyDescent="0.2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7"/>
    </row>
    <row r="1710" spans="1:17" x14ac:dyDescent="0.2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7"/>
    </row>
    <row r="1711" spans="1:17" x14ac:dyDescent="0.2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7"/>
    </row>
    <row r="1712" spans="1:17" x14ac:dyDescent="0.2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7"/>
    </row>
    <row r="1713" spans="1:17" x14ac:dyDescent="0.2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7"/>
    </row>
    <row r="1714" spans="1:17" x14ac:dyDescent="0.2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7"/>
    </row>
    <row r="1715" spans="1:17" x14ac:dyDescent="0.2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7"/>
    </row>
    <row r="1716" spans="1:17" x14ac:dyDescent="0.2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7"/>
    </row>
    <row r="1717" spans="1:17" x14ac:dyDescent="0.2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7"/>
    </row>
    <row r="1718" spans="1:17" x14ac:dyDescent="0.2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7"/>
    </row>
    <row r="1719" spans="1:17" x14ac:dyDescent="0.2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7"/>
    </row>
    <row r="1720" spans="1:17" x14ac:dyDescent="0.2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7"/>
    </row>
    <row r="1721" spans="1:17" x14ac:dyDescent="0.2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7"/>
    </row>
    <row r="1722" spans="1:17" x14ac:dyDescent="0.2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7"/>
    </row>
    <row r="1723" spans="1:17" x14ac:dyDescent="0.2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7"/>
    </row>
    <row r="1724" spans="1:17" x14ac:dyDescent="0.2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7"/>
    </row>
    <row r="1725" spans="1:17" x14ac:dyDescent="0.2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7"/>
    </row>
    <row r="1726" spans="1:17" x14ac:dyDescent="0.2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7"/>
    </row>
    <row r="1727" spans="1:17" x14ac:dyDescent="0.2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7"/>
    </row>
    <row r="1728" spans="1:17" x14ac:dyDescent="0.2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7"/>
    </row>
    <row r="1729" spans="1:17" x14ac:dyDescent="0.2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7"/>
    </row>
    <row r="1730" spans="1:17" x14ac:dyDescent="0.2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7"/>
    </row>
    <row r="1731" spans="1:17" x14ac:dyDescent="0.2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7"/>
    </row>
    <row r="1732" spans="1:17" x14ac:dyDescent="0.2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7"/>
    </row>
    <row r="1733" spans="1:17" x14ac:dyDescent="0.2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7"/>
    </row>
    <row r="1734" spans="1:17" x14ac:dyDescent="0.2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7"/>
    </row>
    <row r="1735" spans="1:17" x14ac:dyDescent="0.2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7"/>
    </row>
    <row r="1736" spans="1:17" x14ac:dyDescent="0.2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7"/>
    </row>
    <row r="1737" spans="1:17" x14ac:dyDescent="0.2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7"/>
    </row>
    <row r="1738" spans="1:17" x14ac:dyDescent="0.2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7"/>
    </row>
    <row r="1739" spans="1:17" x14ac:dyDescent="0.2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7"/>
    </row>
    <row r="1740" spans="1:17" x14ac:dyDescent="0.2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7"/>
    </row>
    <row r="1741" spans="1:17" x14ac:dyDescent="0.2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7"/>
    </row>
    <row r="1742" spans="1:17" x14ac:dyDescent="0.2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7"/>
    </row>
    <row r="1743" spans="1:17" x14ac:dyDescent="0.2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7"/>
    </row>
    <row r="1744" spans="1:17" x14ac:dyDescent="0.2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7"/>
    </row>
    <row r="1745" spans="1:17" x14ac:dyDescent="0.2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7"/>
    </row>
    <row r="1746" spans="1:17" x14ac:dyDescent="0.2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7"/>
    </row>
    <row r="1747" spans="1:17" x14ac:dyDescent="0.2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7"/>
    </row>
    <row r="1748" spans="1:17" x14ac:dyDescent="0.2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7"/>
    </row>
    <row r="1749" spans="1:17" x14ac:dyDescent="0.2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7"/>
    </row>
    <row r="1750" spans="1:17" x14ac:dyDescent="0.2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7"/>
    </row>
    <row r="1751" spans="1:17" x14ac:dyDescent="0.2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7"/>
    </row>
    <row r="1752" spans="1:17" x14ac:dyDescent="0.2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7"/>
    </row>
    <row r="1753" spans="1:17" x14ac:dyDescent="0.2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7"/>
    </row>
    <row r="1754" spans="1:17" x14ac:dyDescent="0.2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7"/>
    </row>
    <row r="1755" spans="1:17" x14ac:dyDescent="0.2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7"/>
    </row>
    <row r="1756" spans="1:17" x14ac:dyDescent="0.2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7"/>
    </row>
    <row r="1757" spans="1:17" x14ac:dyDescent="0.2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7"/>
    </row>
    <row r="1758" spans="1:17" x14ac:dyDescent="0.2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7"/>
    </row>
    <row r="1759" spans="1:17" x14ac:dyDescent="0.2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7"/>
    </row>
    <row r="1760" spans="1:17" x14ac:dyDescent="0.2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7"/>
    </row>
    <row r="1761" spans="1:17" x14ac:dyDescent="0.2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7"/>
    </row>
    <row r="1762" spans="1:17" x14ac:dyDescent="0.2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7"/>
    </row>
    <row r="1763" spans="1:17" x14ac:dyDescent="0.2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7"/>
    </row>
    <row r="1764" spans="1:17" x14ac:dyDescent="0.2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7"/>
    </row>
    <row r="1765" spans="1:17" x14ac:dyDescent="0.2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7"/>
    </row>
    <row r="1766" spans="1:17" x14ac:dyDescent="0.2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7"/>
    </row>
    <row r="1767" spans="1:17" x14ac:dyDescent="0.2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7"/>
    </row>
    <row r="1768" spans="1:17" x14ac:dyDescent="0.2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7"/>
    </row>
    <row r="1769" spans="1:17" x14ac:dyDescent="0.2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7"/>
    </row>
    <row r="1770" spans="1:17" x14ac:dyDescent="0.2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7"/>
    </row>
    <row r="1771" spans="1:17" x14ac:dyDescent="0.2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7"/>
    </row>
    <row r="1772" spans="1:17" x14ac:dyDescent="0.2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7"/>
    </row>
    <row r="1773" spans="1:17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7"/>
    </row>
    <row r="1774" spans="1:17" x14ac:dyDescent="0.2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7"/>
    </row>
    <row r="1775" spans="1:17" x14ac:dyDescent="0.2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7"/>
    </row>
    <row r="1776" spans="1:17" x14ac:dyDescent="0.2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7"/>
    </row>
    <row r="1777" spans="1:17" x14ac:dyDescent="0.2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7"/>
    </row>
    <row r="1778" spans="1:17" x14ac:dyDescent="0.2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7"/>
    </row>
    <row r="1779" spans="1:17" x14ac:dyDescent="0.2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7"/>
    </row>
    <row r="1780" spans="1:17" x14ac:dyDescent="0.2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7"/>
    </row>
    <row r="1781" spans="1:17" x14ac:dyDescent="0.2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7"/>
    </row>
    <row r="1782" spans="1:17" x14ac:dyDescent="0.2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7"/>
    </row>
    <row r="1783" spans="1:17" x14ac:dyDescent="0.2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7"/>
    </row>
    <row r="1784" spans="1:17" x14ac:dyDescent="0.2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7"/>
    </row>
    <row r="1785" spans="1:17" x14ac:dyDescent="0.2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7"/>
    </row>
    <row r="1786" spans="1:17" x14ac:dyDescent="0.2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7"/>
    </row>
    <row r="1787" spans="1:17" x14ac:dyDescent="0.2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7"/>
    </row>
    <row r="1788" spans="1:17" x14ac:dyDescent="0.2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7"/>
    </row>
    <row r="1789" spans="1:17" x14ac:dyDescent="0.2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7"/>
    </row>
    <row r="1790" spans="1:17" x14ac:dyDescent="0.2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7"/>
    </row>
    <row r="1791" spans="1:17" x14ac:dyDescent="0.2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7"/>
    </row>
    <row r="1792" spans="1:17" x14ac:dyDescent="0.2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7"/>
    </row>
    <row r="1793" spans="1:17" x14ac:dyDescent="0.2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7"/>
    </row>
    <row r="1794" spans="1:17" x14ac:dyDescent="0.2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7"/>
    </row>
    <row r="1795" spans="1:17" x14ac:dyDescent="0.2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7"/>
    </row>
    <row r="1796" spans="1:17" x14ac:dyDescent="0.2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7"/>
    </row>
    <row r="1797" spans="1:17" x14ac:dyDescent="0.2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7"/>
    </row>
    <row r="1798" spans="1:17" x14ac:dyDescent="0.2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7"/>
    </row>
    <row r="1799" spans="1:17" x14ac:dyDescent="0.2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7"/>
    </row>
    <row r="1800" spans="1:17" x14ac:dyDescent="0.2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7"/>
    </row>
    <row r="1801" spans="1:17" x14ac:dyDescent="0.2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7"/>
    </row>
    <row r="1802" spans="1:17" x14ac:dyDescent="0.2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7"/>
    </row>
    <row r="1803" spans="1:17" x14ac:dyDescent="0.2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7"/>
    </row>
    <row r="1804" spans="1:17" x14ac:dyDescent="0.2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7"/>
    </row>
    <row r="1805" spans="1:17" x14ac:dyDescent="0.2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7"/>
    </row>
    <row r="1806" spans="1:17" x14ac:dyDescent="0.2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7"/>
    </row>
    <row r="1807" spans="1:17" x14ac:dyDescent="0.2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7"/>
    </row>
    <row r="1808" spans="1:17" x14ac:dyDescent="0.2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7"/>
    </row>
    <row r="1809" spans="1:17" x14ac:dyDescent="0.2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7"/>
    </row>
    <row r="1810" spans="1:17" x14ac:dyDescent="0.2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7"/>
    </row>
    <row r="1811" spans="1:17" x14ac:dyDescent="0.2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7"/>
    </row>
    <row r="1812" spans="1:17" x14ac:dyDescent="0.2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7"/>
    </row>
    <row r="1813" spans="1:17" x14ac:dyDescent="0.2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7"/>
    </row>
    <row r="1814" spans="1:17" x14ac:dyDescent="0.2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7"/>
    </row>
    <row r="1815" spans="1:17" x14ac:dyDescent="0.2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7"/>
    </row>
    <row r="1816" spans="1:17" x14ac:dyDescent="0.2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7"/>
    </row>
    <row r="1817" spans="1:17" x14ac:dyDescent="0.2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7"/>
    </row>
    <row r="1818" spans="1:17" x14ac:dyDescent="0.2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7"/>
    </row>
    <row r="1819" spans="1:17" x14ac:dyDescent="0.2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7"/>
    </row>
    <row r="1820" spans="1:17" x14ac:dyDescent="0.2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7"/>
    </row>
    <row r="1821" spans="1:17" x14ac:dyDescent="0.2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7"/>
    </row>
    <row r="1822" spans="1:17" x14ac:dyDescent="0.2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7"/>
    </row>
    <row r="1823" spans="1:17" x14ac:dyDescent="0.2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7"/>
    </row>
    <row r="1824" spans="1:17" x14ac:dyDescent="0.2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7"/>
    </row>
    <row r="1825" spans="1:17" x14ac:dyDescent="0.2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7"/>
    </row>
    <row r="1826" spans="1:17" x14ac:dyDescent="0.2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7"/>
    </row>
    <row r="1827" spans="1:17" x14ac:dyDescent="0.2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7"/>
    </row>
    <row r="1828" spans="1:17" x14ac:dyDescent="0.2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7"/>
    </row>
    <row r="1829" spans="1:17" x14ac:dyDescent="0.2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7"/>
    </row>
    <row r="1830" spans="1:17" x14ac:dyDescent="0.2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7"/>
    </row>
    <row r="1831" spans="1:17" x14ac:dyDescent="0.2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7"/>
    </row>
    <row r="1832" spans="1:17" x14ac:dyDescent="0.2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7"/>
    </row>
    <row r="1833" spans="1:17" x14ac:dyDescent="0.2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7"/>
    </row>
    <row r="1834" spans="1:17" x14ac:dyDescent="0.2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7"/>
    </row>
    <row r="1835" spans="1:17" x14ac:dyDescent="0.2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7"/>
    </row>
    <row r="1836" spans="1:17" x14ac:dyDescent="0.2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7"/>
    </row>
    <row r="1837" spans="1:17" x14ac:dyDescent="0.2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7"/>
    </row>
    <row r="1838" spans="1:17" x14ac:dyDescent="0.2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7"/>
    </row>
    <row r="1839" spans="1:17" x14ac:dyDescent="0.2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7"/>
    </row>
    <row r="1840" spans="1:17" x14ac:dyDescent="0.2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7"/>
    </row>
    <row r="1841" spans="1:17" x14ac:dyDescent="0.2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7"/>
    </row>
    <row r="1842" spans="1:17" x14ac:dyDescent="0.2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7"/>
    </row>
    <row r="1843" spans="1:17" x14ac:dyDescent="0.2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7"/>
    </row>
    <row r="1844" spans="1:17" x14ac:dyDescent="0.2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7"/>
    </row>
    <row r="1845" spans="1:17" x14ac:dyDescent="0.2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7"/>
    </row>
    <row r="1846" spans="1:17" x14ac:dyDescent="0.2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7"/>
    </row>
    <row r="1847" spans="1:17" x14ac:dyDescent="0.2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7"/>
    </row>
    <row r="1848" spans="1:17" x14ac:dyDescent="0.2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7"/>
    </row>
    <row r="1849" spans="1:17" x14ac:dyDescent="0.2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7"/>
    </row>
    <row r="1850" spans="1:17" x14ac:dyDescent="0.2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7"/>
    </row>
    <row r="1851" spans="1:17" x14ac:dyDescent="0.2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7"/>
    </row>
    <row r="1852" spans="1:17" x14ac:dyDescent="0.2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7"/>
    </row>
    <row r="1853" spans="1:17" x14ac:dyDescent="0.2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7"/>
    </row>
    <row r="1854" spans="1:17" x14ac:dyDescent="0.2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7"/>
    </row>
    <row r="1855" spans="1:17" x14ac:dyDescent="0.2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7"/>
    </row>
    <row r="1856" spans="1:17" x14ac:dyDescent="0.2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7"/>
    </row>
    <row r="1857" spans="1:17" x14ac:dyDescent="0.2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7"/>
    </row>
    <row r="1858" spans="1:17" x14ac:dyDescent="0.2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7"/>
    </row>
    <row r="1859" spans="1:17" x14ac:dyDescent="0.2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7"/>
    </row>
    <row r="1860" spans="1:17" x14ac:dyDescent="0.2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7"/>
    </row>
    <row r="1861" spans="1:17" x14ac:dyDescent="0.2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7"/>
    </row>
    <row r="1862" spans="1:17" x14ac:dyDescent="0.2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7"/>
    </row>
    <row r="1863" spans="1:17" x14ac:dyDescent="0.2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7"/>
    </row>
    <row r="1864" spans="1:17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7"/>
    </row>
    <row r="1865" spans="1:17" x14ac:dyDescent="0.2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7"/>
    </row>
    <row r="1866" spans="1:17" x14ac:dyDescent="0.2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7"/>
    </row>
    <row r="1867" spans="1:17" x14ac:dyDescent="0.2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7"/>
    </row>
    <row r="1868" spans="1:17" x14ac:dyDescent="0.2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7"/>
    </row>
    <row r="1869" spans="1:17" x14ac:dyDescent="0.2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7"/>
    </row>
    <row r="1870" spans="1:17" x14ac:dyDescent="0.2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7"/>
    </row>
    <row r="1871" spans="1:17" x14ac:dyDescent="0.2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7"/>
    </row>
    <row r="1872" spans="1:17" x14ac:dyDescent="0.2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7"/>
    </row>
    <row r="1873" spans="1:17" x14ac:dyDescent="0.2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7"/>
    </row>
    <row r="1874" spans="1:17" x14ac:dyDescent="0.2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7"/>
    </row>
    <row r="1875" spans="1:17" x14ac:dyDescent="0.2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7"/>
    </row>
    <row r="1876" spans="1:17" x14ac:dyDescent="0.2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7"/>
    </row>
    <row r="1877" spans="1:17" x14ac:dyDescent="0.2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7"/>
    </row>
    <row r="1878" spans="1:17" x14ac:dyDescent="0.2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7"/>
    </row>
    <row r="1879" spans="1:17" x14ac:dyDescent="0.2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7"/>
    </row>
    <row r="1880" spans="1:17" x14ac:dyDescent="0.2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7"/>
    </row>
    <row r="1881" spans="1:17" x14ac:dyDescent="0.2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7"/>
    </row>
    <row r="1882" spans="1:17" x14ac:dyDescent="0.2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7"/>
    </row>
    <row r="1883" spans="1:17" x14ac:dyDescent="0.2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7"/>
    </row>
    <row r="1884" spans="1:17" x14ac:dyDescent="0.2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7"/>
    </row>
    <row r="1885" spans="1:17" x14ac:dyDescent="0.2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7"/>
    </row>
    <row r="1886" spans="1:17" x14ac:dyDescent="0.2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7"/>
    </row>
    <row r="1887" spans="1:17" x14ac:dyDescent="0.2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7"/>
    </row>
    <row r="1888" spans="1:17" x14ac:dyDescent="0.2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7"/>
    </row>
    <row r="1889" spans="1:17" x14ac:dyDescent="0.2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7"/>
    </row>
    <row r="1890" spans="1:17" x14ac:dyDescent="0.2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7"/>
    </row>
    <row r="1891" spans="1:17" x14ac:dyDescent="0.2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7"/>
    </row>
    <row r="1892" spans="1:17" x14ac:dyDescent="0.2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7"/>
    </row>
    <row r="1893" spans="1:17" x14ac:dyDescent="0.2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7"/>
    </row>
    <row r="1894" spans="1:17" x14ac:dyDescent="0.2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7"/>
    </row>
    <row r="1895" spans="1:17" x14ac:dyDescent="0.2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7"/>
    </row>
    <row r="1896" spans="1:17" x14ac:dyDescent="0.2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7"/>
    </row>
    <row r="1897" spans="1:17" x14ac:dyDescent="0.2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7"/>
    </row>
    <row r="1898" spans="1:17" x14ac:dyDescent="0.2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7"/>
    </row>
    <row r="1899" spans="1:17" x14ac:dyDescent="0.2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7"/>
    </row>
    <row r="1900" spans="1:17" x14ac:dyDescent="0.2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7"/>
    </row>
    <row r="1901" spans="1:17" x14ac:dyDescent="0.2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7"/>
    </row>
    <row r="1902" spans="1:17" x14ac:dyDescent="0.2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7"/>
    </row>
    <row r="1903" spans="1:17" x14ac:dyDescent="0.2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7"/>
    </row>
    <row r="1904" spans="1:17" x14ac:dyDescent="0.2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7"/>
    </row>
    <row r="1905" spans="1:17" x14ac:dyDescent="0.2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7"/>
    </row>
    <row r="1906" spans="1:17" x14ac:dyDescent="0.2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7"/>
    </row>
    <row r="1907" spans="1:17" x14ac:dyDescent="0.2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7"/>
    </row>
    <row r="1908" spans="1:17" x14ac:dyDescent="0.2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7"/>
    </row>
    <row r="1909" spans="1:17" x14ac:dyDescent="0.2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7"/>
    </row>
    <row r="1910" spans="1:17" x14ac:dyDescent="0.2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7"/>
    </row>
    <row r="1911" spans="1:17" x14ac:dyDescent="0.2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7"/>
    </row>
    <row r="1912" spans="1:17" x14ac:dyDescent="0.2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7"/>
    </row>
    <row r="1913" spans="1:17" x14ac:dyDescent="0.2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7"/>
    </row>
    <row r="1914" spans="1:17" x14ac:dyDescent="0.2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7"/>
    </row>
    <row r="1915" spans="1:17" x14ac:dyDescent="0.2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7"/>
    </row>
    <row r="1916" spans="1:17" x14ac:dyDescent="0.2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7"/>
    </row>
    <row r="1917" spans="1:17" x14ac:dyDescent="0.2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7"/>
    </row>
    <row r="1918" spans="1:17" x14ac:dyDescent="0.2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7"/>
    </row>
    <row r="1919" spans="1:17" x14ac:dyDescent="0.2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7"/>
    </row>
    <row r="1920" spans="1:17" x14ac:dyDescent="0.2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7"/>
    </row>
    <row r="1921" spans="1:17" x14ac:dyDescent="0.2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7"/>
    </row>
    <row r="1922" spans="1:17" x14ac:dyDescent="0.2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7"/>
    </row>
    <row r="1923" spans="1:17" x14ac:dyDescent="0.2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7"/>
    </row>
    <row r="1924" spans="1:17" x14ac:dyDescent="0.2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7"/>
    </row>
    <row r="1925" spans="1:17" x14ac:dyDescent="0.2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7"/>
    </row>
    <row r="1926" spans="1:17" x14ac:dyDescent="0.2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7"/>
    </row>
    <row r="1927" spans="1:17" x14ac:dyDescent="0.2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7"/>
    </row>
    <row r="1928" spans="1:17" x14ac:dyDescent="0.2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7"/>
    </row>
    <row r="1929" spans="1:17" x14ac:dyDescent="0.2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7"/>
    </row>
    <row r="1930" spans="1:17" x14ac:dyDescent="0.2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7"/>
    </row>
    <row r="1931" spans="1:17" x14ac:dyDescent="0.2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7"/>
    </row>
    <row r="1932" spans="1:17" x14ac:dyDescent="0.2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7"/>
    </row>
    <row r="1933" spans="1:17" x14ac:dyDescent="0.2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7"/>
    </row>
    <row r="1934" spans="1:17" x14ac:dyDescent="0.2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7"/>
    </row>
    <row r="1935" spans="1:17" x14ac:dyDescent="0.2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7"/>
    </row>
    <row r="1936" spans="1:17" x14ac:dyDescent="0.2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7"/>
    </row>
    <row r="1937" spans="1:17" x14ac:dyDescent="0.2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7"/>
    </row>
    <row r="1938" spans="1:17" x14ac:dyDescent="0.2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7"/>
    </row>
    <row r="1939" spans="1:17" x14ac:dyDescent="0.2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7"/>
    </row>
    <row r="1940" spans="1:17" x14ac:dyDescent="0.2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7"/>
    </row>
    <row r="1941" spans="1:17" x14ac:dyDescent="0.2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7"/>
    </row>
    <row r="1942" spans="1:17" x14ac:dyDescent="0.2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7"/>
    </row>
    <row r="1943" spans="1:17" x14ac:dyDescent="0.2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7"/>
    </row>
    <row r="1944" spans="1:17" x14ac:dyDescent="0.2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7"/>
    </row>
    <row r="1945" spans="1:17" x14ac:dyDescent="0.2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7"/>
    </row>
    <row r="1946" spans="1:17" x14ac:dyDescent="0.2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7"/>
    </row>
    <row r="1947" spans="1:17" x14ac:dyDescent="0.2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7"/>
    </row>
    <row r="1948" spans="1:17" x14ac:dyDescent="0.2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7"/>
    </row>
    <row r="1949" spans="1:17" x14ac:dyDescent="0.2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7"/>
    </row>
    <row r="1950" spans="1:17" x14ac:dyDescent="0.2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7"/>
    </row>
    <row r="1951" spans="1:17" x14ac:dyDescent="0.2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7"/>
    </row>
    <row r="1952" spans="1:17" x14ac:dyDescent="0.2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7"/>
    </row>
    <row r="1953" spans="1:17" x14ac:dyDescent="0.2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7"/>
    </row>
    <row r="1954" spans="1:17" x14ac:dyDescent="0.2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7"/>
    </row>
    <row r="1955" spans="1:17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7"/>
    </row>
    <row r="1956" spans="1:17" x14ac:dyDescent="0.2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7"/>
    </row>
    <row r="1957" spans="1:17" x14ac:dyDescent="0.2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7"/>
    </row>
    <row r="1958" spans="1:17" x14ac:dyDescent="0.2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7"/>
    </row>
    <row r="1959" spans="1:17" x14ac:dyDescent="0.2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7"/>
    </row>
    <row r="1960" spans="1:17" x14ac:dyDescent="0.2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7"/>
    </row>
    <row r="1961" spans="1:17" x14ac:dyDescent="0.2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7"/>
    </row>
    <row r="1962" spans="1:17" x14ac:dyDescent="0.2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7"/>
    </row>
    <row r="1963" spans="1:17" x14ac:dyDescent="0.2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7"/>
    </row>
    <row r="1964" spans="1:17" x14ac:dyDescent="0.2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7"/>
    </row>
    <row r="1965" spans="1:17" x14ac:dyDescent="0.2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7"/>
    </row>
    <row r="1966" spans="1:17" x14ac:dyDescent="0.2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7"/>
    </row>
    <row r="1967" spans="1:17" x14ac:dyDescent="0.2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7"/>
    </row>
    <row r="1968" spans="1:17" x14ac:dyDescent="0.2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7"/>
    </row>
    <row r="1969" spans="1:17" x14ac:dyDescent="0.2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7"/>
    </row>
    <row r="1970" spans="1:17" x14ac:dyDescent="0.2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7"/>
    </row>
    <row r="1971" spans="1:17" x14ac:dyDescent="0.2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7"/>
    </row>
    <row r="1972" spans="1:17" x14ac:dyDescent="0.2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7"/>
    </row>
    <row r="1973" spans="1:17" x14ac:dyDescent="0.2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7"/>
    </row>
    <row r="1974" spans="1:17" x14ac:dyDescent="0.2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7"/>
    </row>
    <row r="1975" spans="1:17" x14ac:dyDescent="0.2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7"/>
    </row>
    <row r="1976" spans="1:17" x14ac:dyDescent="0.2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7"/>
    </row>
    <row r="1977" spans="1:17" x14ac:dyDescent="0.2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7"/>
    </row>
    <row r="1978" spans="1:17" x14ac:dyDescent="0.2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7"/>
    </row>
    <row r="1979" spans="1:17" x14ac:dyDescent="0.2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7"/>
    </row>
    <row r="1980" spans="1:17" x14ac:dyDescent="0.2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7"/>
    </row>
    <row r="1981" spans="1:17" x14ac:dyDescent="0.2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7"/>
    </row>
    <row r="1982" spans="1:17" x14ac:dyDescent="0.2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7"/>
    </row>
    <row r="1983" spans="1:17" x14ac:dyDescent="0.2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7"/>
    </row>
    <row r="1984" spans="1:17" x14ac:dyDescent="0.2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7"/>
    </row>
    <row r="1985" spans="1:17" x14ac:dyDescent="0.2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7"/>
    </row>
    <row r="1986" spans="1:17" x14ac:dyDescent="0.2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7"/>
    </row>
    <row r="1987" spans="1:17" x14ac:dyDescent="0.2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7"/>
    </row>
    <row r="1988" spans="1:17" x14ac:dyDescent="0.2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7"/>
    </row>
    <row r="1989" spans="1:17" x14ac:dyDescent="0.2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7"/>
    </row>
    <row r="1990" spans="1:17" x14ac:dyDescent="0.2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7"/>
    </row>
    <row r="1991" spans="1:17" x14ac:dyDescent="0.2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7"/>
    </row>
    <row r="1992" spans="1:17" x14ac:dyDescent="0.2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7"/>
    </row>
    <row r="1993" spans="1:17" x14ac:dyDescent="0.2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7"/>
    </row>
    <row r="1994" spans="1:17" x14ac:dyDescent="0.2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7"/>
    </row>
    <row r="1995" spans="1:17" x14ac:dyDescent="0.2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7"/>
    </row>
    <row r="1996" spans="1:17" x14ac:dyDescent="0.2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7"/>
    </row>
    <row r="1997" spans="1:17" x14ac:dyDescent="0.2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7"/>
    </row>
    <row r="1998" spans="1:17" x14ac:dyDescent="0.2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7"/>
    </row>
    <row r="1999" spans="1:17" x14ac:dyDescent="0.2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7"/>
    </row>
    <row r="2000" spans="1:17" x14ac:dyDescent="0.2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7"/>
    </row>
    <row r="2001" spans="1:17" x14ac:dyDescent="0.2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7"/>
    </row>
    <row r="2002" spans="1:17" x14ac:dyDescent="0.2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7"/>
    </row>
    <row r="2003" spans="1:17" x14ac:dyDescent="0.2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7"/>
    </row>
    <row r="2004" spans="1:17" x14ac:dyDescent="0.2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7"/>
    </row>
    <row r="2005" spans="1:17" x14ac:dyDescent="0.2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7"/>
    </row>
    <row r="2006" spans="1:17" x14ac:dyDescent="0.2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7"/>
    </row>
    <row r="2007" spans="1:17" x14ac:dyDescent="0.2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7"/>
    </row>
    <row r="2008" spans="1:17" x14ac:dyDescent="0.2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7"/>
    </row>
    <row r="2009" spans="1:17" x14ac:dyDescent="0.2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7"/>
    </row>
    <row r="2010" spans="1:17" x14ac:dyDescent="0.2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7"/>
    </row>
    <row r="2011" spans="1:17" x14ac:dyDescent="0.2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7"/>
    </row>
    <row r="2012" spans="1:17" x14ac:dyDescent="0.2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7"/>
    </row>
    <row r="2013" spans="1:17" x14ac:dyDescent="0.2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7"/>
    </row>
    <row r="2014" spans="1:17" x14ac:dyDescent="0.2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7"/>
    </row>
    <row r="2015" spans="1:17" x14ac:dyDescent="0.2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7"/>
    </row>
    <row r="2016" spans="1:17" x14ac:dyDescent="0.2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7"/>
    </row>
    <row r="2017" spans="1:17" x14ac:dyDescent="0.2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7"/>
    </row>
    <row r="2018" spans="1:17" x14ac:dyDescent="0.2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7"/>
    </row>
    <row r="2019" spans="1:17" x14ac:dyDescent="0.2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7"/>
    </row>
    <row r="2020" spans="1:17" x14ac:dyDescent="0.2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7"/>
    </row>
    <row r="2021" spans="1:17" x14ac:dyDescent="0.2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7"/>
    </row>
    <row r="2022" spans="1:17" x14ac:dyDescent="0.2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7"/>
    </row>
    <row r="2023" spans="1:17" x14ac:dyDescent="0.2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7"/>
    </row>
    <row r="2024" spans="1:17" x14ac:dyDescent="0.2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7"/>
    </row>
    <row r="2025" spans="1:17" x14ac:dyDescent="0.2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7"/>
    </row>
    <row r="2026" spans="1:17" x14ac:dyDescent="0.2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7"/>
    </row>
    <row r="2027" spans="1:17" x14ac:dyDescent="0.2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7"/>
    </row>
    <row r="2028" spans="1:17" x14ac:dyDescent="0.2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7"/>
    </row>
    <row r="2029" spans="1:17" x14ac:dyDescent="0.2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7"/>
    </row>
    <row r="2030" spans="1:17" x14ac:dyDescent="0.2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7"/>
    </row>
    <row r="2031" spans="1:17" x14ac:dyDescent="0.2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7"/>
    </row>
    <row r="2032" spans="1:17" x14ac:dyDescent="0.2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7"/>
    </row>
    <row r="2033" spans="1:17" x14ac:dyDescent="0.2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7"/>
    </row>
    <row r="2034" spans="1:17" x14ac:dyDescent="0.2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7"/>
    </row>
    <row r="2035" spans="1:17" x14ac:dyDescent="0.2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7"/>
    </row>
    <row r="2036" spans="1:17" x14ac:dyDescent="0.2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7"/>
    </row>
    <row r="2037" spans="1:17" x14ac:dyDescent="0.2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7"/>
    </row>
    <row r="2038" spans="1:17" x14ac:dyDescent="0.2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7"/>
    </row>
    <row r="2039" spans="1:17" x14ac:dyDescent="0.2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7"/>
    </row>
    <row r="2040" spans="1:17" x14ac:dyDescent="0.2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7"/>
    </row>
    <row r="2041" spans="1:17" x14ac:dyDescent="0.2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7"/>
    </row>
    <row r="2042" spans="1:17" x14ac:dyDescent="0.2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7"/>
    </row>
    <row r="2043" spans="1:17" x14ac:dyDescent="0.2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7"/>
    </row>
    <row r="2044" spans="1:17" x14ac:dyDescent="0.2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7"/>
    </row>
    <row r="2045" spans="1:17" x14ac:dyDescent="0.2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7"/>
    </row>
    <row r="2046" spans="1:17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7"/>
    </row>
    <row r="2047" spans="1:17" x14ac:dyDescent="0.2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7"/>
    </row>
    <row r="2048" spans="1:17" x14ac:dyDescent="0.2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7"/>
    </row>
    <row r="2049" spans="1:17" x14ac:dyDescent="0.2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7"/>
    </row>
    <row r="2050" spans="1:17" x14ac:dyDescent="0.2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7"/>
    </row>
    <row r="2051" spans="1:17" x14ac:dyDescent="0.2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7"/>
    </row>
    <row r="2052" spans="1:17" x14ac:dyDescent="0.2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7"/>
    </row>
    <row r="2053" spans="1:17" x14ac:dyDescent="0.2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7"/>
    </row>
    <row r="2054" spans="1:17" x14ac:dyDescent="0.2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7"/>
    </row>
    <row r="2055" spans="1:17" x14ac:dyDescent="0.2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7"/>
    </row>
    <row r="2056" spans="1:17" x14ac:dyDescent="0.2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7"/>
    </row>
    <row r="2057" spans="1:17" x14ac:dyDescent="0.2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7"/>
    </row>
    <row r="2058" spans="1:17" x14ac:dyDescent="0.2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7"/>
    </row>
    <row r="2059" spans="1:17" x14ac:dyDescent="0.2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7"/>
    </row>
    <row r="2060" spans="1:17" x14ac:dyDescent="0.2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7"/>
    </row>
    <row r="2061" spans="1:17" x14ac:dyDescent="0.2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7"/>
    </row>
    <row r="2062" spans="1:17" x14ac:dyDescent="0.2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7"/>
    </row>
    <row r="2063" spans="1:17" x14ac:dyDescent="0.2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7"/>
    </row>
    <row r="2064" spans="1:17" x14ac:dyDescent="0.2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7"/>
    </row>
    <row r="2065" spans="1:17" x14ac:dyDescent="0.2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7"/>
    </row>
    <row r="2066" spans="1:17" x14ac:dyDescent="0.2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7"/>
    </row>
    <row r="2067" spans="1:17" x14ac:dyDescent="0.2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7"/>
    </row>
    <row r="2068" spans="1:17" x14ac:dyDescent="0.2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7"/>
    </row>
    <row r="2069" spans="1:17" x14ac:dyDescent="0.2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7"/>
    </row>
    <row r="2070" spans="1:17" x14ac:dyDescent="0.2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7"/>
    </row>
    <row r="2071" spans="1:17" x14ac:dyDescent="0.2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7"/>
    </row>
    <row r="2072" spans="1:17" x14ac:dyDescent="0.2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7"/>
    </row>
    <row r="2073" spans="1:17" x14ac:dyDescent="0.2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7"/>
    </row>
    <row r="2074" spans="1:17" x14ac:dyDescent="0.2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7"/>
    </row>
    <row r="2075" spans="1:17" x14ac:dyDescent="0.2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7"/>
    </row>
    <row r="2076" spans="1:17" x14ac:dyDescent="0.2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7"/>
    </row>
    <row r="2077" spans="1:17" x14ac:dyDescent="0.2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7"/>
    </row>
    <row r="2078" spans="1:17" x14ac:dyDescent="0.2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7"/>
    </row>
    <row r="2079" spans="1:17" x14ac:dyDescent="0.2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7"/>
    </row>
    <row r="2080" spans="1:17" x14ac:dyDescent="0.2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7"/>
    </row>
    <row r="2081" spans="1:17" x14ac:dyDescent="0.2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7"/>
    </row>
    <row r="2082" spans="1:17" x14ac:dyDescent="0.2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7"/>
    </row>
    <row r="2083" spans="1:17" x14ac:dyDescent="0.2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7"/>
    </row>
    <row r="2084" spans="1:17" x14ac:dyDescent="0.2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7"/>
    </row>
    <row r="2085" spans="1:17" x14ac:dyDescent="0.2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7"/>
    </row>
    <row r="2086" spans="1:17" x14ac:dyDescent="0.2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7"/>
    </row>
    <row r="2087" spans="1:17" x14ac:dyDescent="0.2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7"/>
    </row>
    <row r="2088" spans="1:17" x14ac:dyDescent="0.2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7"/>
    </row>
    <row r="2089" spans="1:17" x14ac:dyDescent="0.2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7"/>
    </row>
    <row r="2090" spans="1:17" x14ac:dyDescent="0.2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7"/>
    </row>
    <row r="2091" spans="1:17" x14ac:dyDescent="0.2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7"/>
    </row>
    <row r="2092" spans="1:17" x14ac:dyDescent="0.2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7"/>
    </row>
    <row r="2093" spans="1:17" x14ac:dyDescent="0.2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7"/>
    </row>
    <row r="2094" spans="1:17" x14ac:dyDescent="0.2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7"/>
    </row>
    <row r="2095" spans="1:17" x14ac:dyDescent="0.2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7"/>
    </row>
    <row r="2096" spans="1:17" x14ac:dyDescent="0.2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7"/>
    </row>
    <row r="2097" spans="1:17" x14ac:dyDescent="0.2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7"/>
    </row>
    <row r="2098" spans="1:17" x14ac:dyDescent="0.2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7"/>
    </row>
    <row r="2099" spans="1:17" x14ac:dyDescent="0.2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7"/>
    </row>
    <row r="2100" spans="1:17" x14ac:dyDescent="0.2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7"/>
    </row>
    <row r="2101" spans="1:17" x14ac:dyDescent="0.2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7"/>
    </row>
    <row r="2102" spans="1:17" x14ac:dyDescent="0.2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7"/>
    </row>
    <row r="2103" spans="1:17" x14ac:dyDescent="0.2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7"/>
    </row>
    <row r="2104" spans="1:17" x14ac:dyDescent="0.2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7"/>
    </row>
    <row r="2105" spans="1:17" x14ac:dyDescent="0.2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7"/>
    </row>
    <row r="2106" spans="1:17" x14ac:dyDescent="0.2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7"/>
    </row>
    <row r="2107" spans="1:17" x14ac:dyDescent="0.2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7"/>
    </row>
    <row r="2108" spans="1:17" x14ac:dyDescent="0.2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7"/>
    </row>
    <row r="2109" spans="1:17" x14ac:dyDescent="0.2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7"/>
    </row>
    <row r="2110" spans="1:17" x14ac:dyDescent="0.2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7"/>
    </row>
    <row r="2111" spans="1:17" x14ac:dyDescent="0.2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7"/>
    </row>
    <row r="2112" spans="1:17" x14ac:dyDescent="0.2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7"/>
    </row>
    <row r="2113" spans="1:17" x14ac:dyDescent="0.2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7"/>
    </row>
    <row r="2114" spans="1:17" x14ac:dyDescent="0.2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7"/>
    </row>
    <row r="2115" spans="1:17" x14ac:dyDescent="0.2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7"/>
    </row>
    <row r="2116" spans="1:17" x14ac:dyDescent="0.2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7"/>
    </row>
    <row r="2117" spans="1:17" x14ac:dyDescent="0.2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7"/>
    </row>
    <row r="2118" spans="1:17" x14ac:dyDescent="0.2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7"/>
    </row>
    <row r="2119" spans="1:17" x14ac:dyDescent="0.2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7"/>
    </row>
    <row r="2120" spans="1:17" x14ac:dyDescent="0.2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7"/>
    </row>
    <row r="2121" spans="1:17" x14ac:dyDescent="0.2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7"/>
    </row>
    <row r="2122" spans="1:17" x14ac:dyDescent="0.2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7"/>
    </row>
    <row r="2123" spans="1:17" x14ac:dyDescent="0.2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7"/>
    </row>
    <row r="2124" spans="1:17" x14ac:dyDescent="0.2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7"/>
    </row>
    <row r="2125" spans="1:17" x14ac:dyDescent="0.2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7"/>
    </row>
    <row r="2126" spans="1:17" x14ac:dyDescent="0.2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7"/>
    </row>
    <row r="2127" spans="1:17" x14ac:dyDescent="0.2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7"/>
    </row>
    <row r="2128" spans="1:17" x14ac:dyDescent="0.2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7"/>
    </row>
    <row r="2129" spans="1:17" x14ac:dyDescent="0.2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7"/>
    </row>
    <row r="2130" spans="1:17" x14ac:dyDescent="0.2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7"/>
    </row>
    <row r="2131" spans="1:17" x14ac:dyDescent="0.2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7"/>
    </row>
    <row r="2132" spans="1:17" x14ac:dyDescent="0.2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7"/>
    </row>
    <row r="2133" spans="1:17" x14ac:dyDescent="0.2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7"/>
    </row>
    <row r="2134" spans="1:17" x14ac:dyDescent="0.2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7"/>
    </row>
    <row r="2135" spans="1:17" x14ac:dyDescent="0.2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7"/>
    </row>
    <row r="2136" spans="1:17" x14ac:dyDescent="0.2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7"/>
    </row>
    <row r="2137" spans="1:17" x14ac:dyDescent="0.2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7"/>
    </row>
    <row r="2138" spans="1:17" x14ac:dyDescent="0.2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7"/>
    </row>
    <row r="2139" spans="1:17" x14ac:dyDescent="0.2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7"/>
    </row>
    <row r="2140" spans="1:17" x14ac:dyDescent="0.2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7"/>
    </row>
    <row r="2141" spans="1:17" x14ac:dyDescent="0.2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7"/>
    </row>
    <row r="2142" spans="1:17" x14ac:dyDescent="0.2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7"/>
    </row>
    <row r="2143" spans="1:17" x14ac:dyDescent="0.2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7"/>
    </row>
    <row r="2144" spans="1:17" x14ac:dyDescent="0.2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7"/>
    </row>
    <row r="2145" spans="1:17" x14ac:dyDescent="0.2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7"/>
    </row>
    <row r="2146" spans="1:17" x14ac:dyDescent="0.2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7"/>
    </row>
    <row r="2147" spans="1:17" x14ac:dyDescent="0.2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7"/>
    </row>
    <row r="2148" spans="1:17" x14ac:dyDescent="0.2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7"/>
    </row>
    <row r="2149" spans="1:17" x14ac:dyDescent="0.2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7"/>
    </row>
    <row r="2150" spans="1:17" x14ac:dyDescent="0.2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7"/>
    </row>
    <row r="2151" spans="1:17" x14ac:dyDescent="0.2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7"/>
    </row>
    <row r="2152" spans="1:17" x14ac:dyDescent="0.2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7"/>
    </row>
    <row r="2153" spans="1:17" x14ac:dyDescent="0.2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7"/>
    </row>
    <row r="2154" spans="1:17" x14ac:dyDescent="0.2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7"/>
    </row>
    <row r="2155" spans="1:17" x14ac:dyDescent="0.2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7"/>
    </row>
    <row r="2156" spans="1:17" x14ac:dyDescent="0.2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7"/>
    </row>
    <row r="2157" spans="1:17" x14ac:dyDescent="0.2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7"/>
    </row>
    <row r="2158" spans="1:17" x14ac:dyDescent="0.2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7"/>
    </row>
    <row r="2159" spans="1:17" x14ac:dyDescent="0.2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7"/>
    </row>
    <row r="2160" spans="1:17" x14ac:dyDescent="0.2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7"/>
    </row>
    <row r="2161" spans="1:17" x14ac:dyDescent="0.2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7"/>
    </row>
    <row r="2162" spans="1:17" x14ac:dyDescent="0.2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7"/>
    </row>
    <row r="2163" spans="1:17" x14ac:dyDescent="0.2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7"/>
    </row>
    <row r="2164" spans="1:17" x14ac:dyDescent="0.2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7"/>
    </row>
    <row r="2165" spans="1:17" x14ac:dyDescent="0.2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7"/>
    </row>
    <row r="2166" spans="1:17" x14ac:dyDescent="0.2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7"/>
    </row>
    <row r="2167" spans="1:17" x14ac:dyDescent="0.2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7"/>
    </row>
    <row r="2168" spans="1:17" x14ac:dyDescent="0.2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7"/>
    </row>
    <row r="2169" spans="1:17" x14ac:dyDescent="0.2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7"/>
    </row>
    <row r="2170" spans="1:17" x14ac:dyDescent="0.2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7"/>
    </row>
    <row r="2171" spans="1:17" x14ac:dyDescent="0.2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7"/>
    </row>
    <row r="2172" spans="1:17" x14ac:dyDescent="0.2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7"/>
    </row>
    <row r="2173" spans="1:17" x14ac:dyDescent="0.2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7"/>
    </row>
    <row r="2174" spans="1:17" x14ac:dyDescent="0.2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7"/>
    </row>
    <row r="2175" spans="1:17" x14ac:dyDescent="0.2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7"/>
    </row>
    <row r="2176" spans="1:17" x14ac:dyDescent="0.2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7"/>
    </row>
    <row r="2177" spans="1:17" x14ac:dyDescent="0.2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7"/>
    </row>
    <row r="2178" spans="1:17" x14ac:dyDescent="0.2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7"/>
    </row>
    <row r="2179" spans="1:17" x14ac:dyDescent="0.2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7"/>
    </row>
    <row r="2180" spans="1:17" x14ac:dyDescent="0.2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7"/>
    </row>
    <row r="2181" spans="1:17" x14ac:dyDescent="0.2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7"/>
    </row>
    <row r="2182" spans="1:17" x14ac:dyDescent="0.2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7"/>
    </row>
    <row r="2183" spans="1:17" x14ac:dyDescent="0.2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7"/>
    </row>
    <row r="2184" spans="1:17" x14ac:dyDescent="0.2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7"/>
    </row>
    <row r="2185" spans="1:17" x14ac:dyDescent="0.2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7"/>
    </row>
    <row r="2186" spans="1:17" x14ac:dyDescent="0.2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7"/>
    </row>
    <row r="2187" spans="1:17" x14ac:dyDescent="0.2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7"/>
    </row>
    <row r="2188" spans="1:17" x14ac:dyDescent="0.2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7"/>
    </row>
    <row r="2189" spans="1:17" x14ac:dyDescent="0.2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7"/>
    </row>
    <row r="2190" spans="1:17" x14ac:dyDescent="0.2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7"/>
    </row>
    <row r="2191" spans="1:17" x14ac:dyDescent="0.2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7"/>
    </row>
    <row r="2192" spans="1:17" x14ac:dyDescent="0.2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7"/>
    </row>
    <row r="2193" spans="1:17" x14ac:dyDescent="0.2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7"/>
    </row>
    <row r="2194" spans="1:17" x14ac:dyDescent="0.2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7"/>
    </row>
    <row r="2195" spans="1:17" x14ac:dyDescent="0.2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7"/>
    </row>
    <row r="2196" spans="1:17" x14ac:dyDescent="0.2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7"/>
    </row>
    <row r="2197" spans="1:17" x14ac:dyDescent="0.2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7"/>
    </row>
    <row r="2198" spans="1:17" x14ac:dyDescent="0.2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7"/>
    </row>
    <row r="2199" spans="1:17" x14ac:dyDescent="0.2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7"/>
    </row>
    <row r="2200" spans="1:17" x14ac:dyDescent="0.2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7"/>
    </row>
    <row r="2201" spans="1:17" x14ac:dyDescent="0.2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7"/>
    </row>
    <row r="2202" spans="1:17" x14ac:dyDescent="0.2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7"/>
    </row>
    <row r="2203" spans="1:17" x14ac:dyDescent="0.2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7"/>
    </row>
    <row r="2204" spans="1:17" x14ac:dyDescent="0.2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7"/>
    </row>
    <row r="2205" spans="1:17" x14ac:dyDescent="0.2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7"/>
    </row>
    <row r="2206" spans="1:17" x14ac:dyDescent="0.2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7"/>
    </row>
    <row r="2207" spans="1:17" x14ac:dyDescent="0.2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7"/>
    </row>
    <row r="2208" spans="1:17" x14ac:dyDescent="0.2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7"/>
    </row>
    <row r="2209" spans="1:17" x14ac:dyDescent="0.2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7"/>
    </row>
    <row r="2210" spans="1:17" x14ac:dyDescent="0.2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7"/>
    </row>
    <row r="2211" spans="1:17" x14ac:dyDescent="0.2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7"/>
    </row>
    <row r="2212" spans="1:17" x14ac:dyDescent="0.2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7"/>
    </row>
    <row r="2213" spans="1:17" x14ac:dyDescent="0.2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7"/>
    </row>
    <row r="2214" spans="1:17" x14ac:dyDescent="0.2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7"/>
    </row>
    <row r="2215" spans="1:17" x14ac:dyDescent="0.2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7"/>
    </row>
    <row r="2216" spans="1:17" x14ac:dyDescent="0.2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7"/>
    </row>
    <row r="2217" spans="1:17" x14ac:dyDescent="0.2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7"/>
    </row>
    <row r="2218" spans="1:17" x14ac:dyDescent="0.2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7"/>
    </row>
    <row r="2219" spans="1:17" x14ac:dyDescent="0.2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7"/>
    </row>
    <row r="2220" spans="1:17" x14ac:dyDescent="0.2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7"/>
    </row>
    <row r="2221" spans="1:17" x14ac:dyDescent="0.2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7"/>
    </row>
    <row r="2222" spans="1:17" x14ac:dyDescent="0.2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7"/>
    </row>
    <row r="2223" spans="1:17" x14ac:dyDescent="0.2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7"/>
    </row>
    <row r="2224" spans="1:17" x14ac:dyDescent="0.2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7"/>
    </row>
    <row r="2225" spans="1:17" x14ac:dyDescent="0.2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7"/>
    </row>
    <row r="2226" spans="1:17" x14ac:dyDescent="0.2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7"/>
    </row>
    <row r="2227" spans="1:17" x14ac:dyDescent="0.2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7"/>
    </row>
    <row r="2228" spans="1:17" x14ac:dyDescent="0.2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7"/>
    </row>
    <row r="2229" spans="1:17" x14ac:dyDescent="0.2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7"/>
    </row>
    <row r="2230" spans="1:17" x14ac:dyDescent="0.2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7"/>
    </row>
    <row r="2231" spans="1:17" x14ac:dyDescent="0.2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7"/>
    </row>
    <row r="2232" spans="1:17" x14ac:dyDescent="0.2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7"/>
    </row>
    <row r="2233" spans="1:17" x14ac:dyDescent="0.2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7"/>
    </row>
    <row r="2234" spans="1:17" x14ac:dyDescent="0.2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7"/>
    </row>
    <row r="2235" spans="1:17" x14ac:dyDescent="0.2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7"/>
    </row>
    <row r="2236" spans="1:17" x14ac:dyDescent="0.2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7"/>
    </row>
    <row r="2237" spans="1:17" x14ac:dyDescent="0.2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7"/>
    </row>
    <row r="2238" spans="1:17" x14ac:dyDescent="0.2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7"/>
    </row>
    <row r="2239" spans="1:17" x14ac:dyDescent="0.2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7"/>
    </row>
    <row r="2240" spans="1:17" x14ac:dyDescent="0.2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7"/>
    </row>
    <row r="2241" spans="1:17" x14ac:dyDescent="0.2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7"/>
    </row>
    <row r="2242" spans="1:17" x14ac:dyDescent="0.2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7"/>
    </row>
    <row r="2243" spans="1:17" x14ac:dyDescent="0.2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7"/>
    </row>
    <row r="2244" spans="1:17" x14ac:dyDescent="0.2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7"/>
    </row>
    <row r="2245" spans="1:17" x14ac:dyDescent="0.2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7"/>
    </row>
    <row r="2246" spans="1:17" x14ac:dyDescent="0.2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7"/>
    </row>
    <row r="2247" spans="1:17" x14ac:dyDescent="0.2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7"/>
    </row>
    <row r="2248" spans="1:17" x14ac:dyDescent="0.2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7"/>
    </row>
    <row r="2249" spans="1:17" x14ac:dyDescent="0.2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7"/>
    </row>
    <row r="2250" spans="1:17" x14ac:dyDescent="0.2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7"/>
    </row>
    <row r="2251" spans="1:17" x14ac:dyDescent="0.2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7"/>
    </row>
    <row r="2252" spans="1:17" x14ac:dyDescent="0.2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7"/>
    </row>
    <row r="2253" spans="1:17" x14ac:dyDescent="0.2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7"/>
    </row>
    <row r="2254" spans="1:17" x14ac:dyDescent="0.2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7"/>
    </row>
    <row r="2255" spans="1:17" x14ac:dyDescent="0.2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7"/>
    </row>
    <row r="2256" spans="1:17" x14ac:dyDescent="0.2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7"/>
    </row>
    <row r="2257" spans="1:17" x14ac:dyDescent="0.2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7"/>
    </row>
    <row r="2258" spans="1:17" x14ac:dyDescent="0.2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7"/>
    </row>
    <row r="2259" spans="1:17" x14ac:dyDescent="0.2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7"/>
    </row>
    <row r="2260" spans="1:17" x14ac:dyDescent="0.2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7"/>
    </row>
    <row r="2261" spans="1:17" x14ac:dyDescent="0.2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7"/>
    </row>
    <row r="2262" spans="1:17" x14ac:dyDescent="0.2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7"/>
    </row>
    <row r="2263" spans="1:17" x14ac:dyDescent="0.2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7"/>
    </row>
    <row r="2264" spans="1:17" x14ac:dyDescent="0.2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7"/>
    </row>
    <row r="2265" spans="1:17" x14ac:dyDescent="0.2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7"/>
    </row>
    <row r="2266" spans="1:17" x14ac:dyDescent="0.2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7"/>
    </row>
    <row r="2267" spans="1:17" x14ac:dyDescent="0.2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7"/>
    </row>
    <row r="2268" spans="1:17" x14ac:dyDescent="0.2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7"/>
    </row>
    <row r="2269" spans="1:17" x14ac:dyDescent="0.2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7"/>
    </row>
    <row r="2270" spans="1:17" x14ac:dyDescent="0.2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7"/>
    </row>
    <row r="2271" spans="1:17" x14ac:dyDescent="0.2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7"/>
    </row>
    <row r="2272" spans="1:17" x14ac:dyDescent="0.2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7"/>
    </row>
    <row r="2273" spans="1:17" x14ac:dyDescent="0.2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7"/>
    </row>
    <row r="2274" spans="1:17" x14ac:dyDescent="0.2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7"/>
    </row>
    <row r="2275" spans="1:17" x14ac:dyDescent="0.2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7"/>
    </row>
    <row r="2276" spans="1:17" x14ac:dyDescent="0.2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7"/>
    </row>
    <row r="2277" spans="1:17" x14ac:dyDescent="0.2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7"/>
    </row>
    <row r="2278" spans="1:17" x14ac:dyDescent="0.2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7"/>
    </row>
    <row r="2279" spans="1:17" x14ac:dyDescent="0.2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7"/>
    </row>
    <row r="2280" spans="1:17" x14ac:dyDescent="0.2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7"/>
    </row>
    <row r="2281" spans="1:17" x14ac:dyDescent="0.2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7"/>
    </row>
    <row r="2282" spans="1:17" x14ac:dyDescent="0.2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7"/>
    </row>
    <row r="2283" spans="1:17" x14ac:dyDescent="0.2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7"/>
    </row>
    <row r="2284" spans="1:17" x14ac:dyDescent="0.2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7"/>
    </row>
    <row r="2285" spans="1:17" x14ac:dyDescent="0.2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7"/>
    </row>
    <row r="2286" spans="1:17" x14ac:dyDescent="0.2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7"/>
    </row>
    <row r="2287" spans="1:17" x14ac:dyDescent="0.2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7"/>
    </row>
    <row r="2288" spans="1:17" x14ac:dyDescent="0.2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7"/>
    </row>
    <row r="2289" spans="1:17" x14ac:dyDescent="0.2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7"/>
    </row>
    <row r="2290" spans="1:17" x14ac:dyDescent="0.2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7"/>
    </row>
    <row r="2291" spans="1:17" x14ac:dyDescent="0.2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7"/>
    </row>
    <row r="2292" spans="1:17" x14ac:dyDescent="0.2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7"/>
    </row>
    <row r="2293" spans="1:17" x14ac:dyDescent="0.2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7"/>
    </row>
    <row r="2294" spans="1:17" x14ac:dyDescent="0.2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7"/>
    </row>
    <row r="2295" spans="1:17" x14ac:dyDescent="0.2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7"/>
    </row>
    <row r="2296" spans="1:17" x14ac:dyDescent="0.2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7"/>
    </row>
    <row r="2297" spans="1:17" x14ac:dyDescent="0.2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7"/>
    </row>
    <row r="2298" spans="1:17" x14ac:dyDescent="0.2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7"/>
    </row>
    <row r="2299" spans="1:17" x14ac:dyDescent="0.2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7"/>
    </row>
    <row r="2300" spans="1:17" x14ac:dyDescent="0.2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7"/>
    </row>
    <row r="2301" spans="1:17" x14ac:dyDescent="0.2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7"/>
    </row>
    <row r="2302" spans="1:17" x14ac:dyDescent="0.2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7"/>
    </row>
    <row r="2303" spans="1:17" x14ac:dyDescent="0.2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7"/>
    </row>
    <row r="2304" spans="1:17" x14ac:dyDescent="0.2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7"/>
    </row>
    <row r="2305" spans="1:17" x14ac:dyDescent="0.2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7"/>
    </row>
    <row r="2306" spans="1:17" x14ac:dyDescent="0.2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7"/>
    </row>
    <row r="2307" spans="1:17" x14ac:dyDescent="0.2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7"/>
    </row>
    <row r="2308" spans="1:17" x14ac:dyDescent="0.2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7"/>
    </row>
    <row r="2309" spans="1:17" x14ac:dyDescent="0.2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7"/>
    </row>
    <row r="2310" spans="1:17" x14ac:dyDescent="0.2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7"/>
    </row>
    <row r="2311" spans="1:17" x14ac:dyDescent="0.2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7"/>
    </row>
    <row r="2312" spans="1:17" x14ac:dyDescent="0.2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7"/>
    </row>
    <row r="2313" spans="1:17" x14ac:dyDescent="0.2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7"/>
    </row>
    <row r="2314" spans="1:17" x14ac:dyDescent="0.2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7"/>
    </row>
    <row r="2315" spans="1:17" x14ac:dyDescent="0.2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7"/>
    </row>
    <row r="2316" spans="1:17" x14ac:dyDescent="0.2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7"/>
    </row>
    <row r="2317" spans="1:17" x14ac:dyDescent="0.2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7"/>
    </row>
    <row r="2318" spans="1:17" x14ac:dyDescent="0.2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7"/>
    </row>
    <row r="2319" spans="1:17" x14ac:dyDescent="0.2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7"/>
    </row>
    <row r="2320" spans="1:17" x14ac:dyDescent="0.2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7"/>
    </row>
    <row r="2321" spans="1:17" x14ac:dyDescent="0.2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7"/>
    </row>
    <row r="2322" spans="1:17" x14ac:dyDescent="0.2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7"/>
    </row>
    <row r="2323" spans="1:17" x14ac:dyDescent="0.2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7"/>
    </row>
    <row r="2324" spans="1:17" x14ac:dyDescent="0.2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7"/>
    </row>
    <row r="2325" spans="1:17" x14ac:dyDescent="0.2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7"/>
    </row>
    <row r="2326" spans="1:17" x14ac:dyDescent="0.2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7"/>
    </row>
    <row r="2327" spans="1:17" x14ac:dyDescent="0.2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7"/>
    </row>
    <row r="2328" spans="1:17" x14ac:dyDescent="0.2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7"/>
    </row>
    <row r="2329" spans="1:17" x14ac:dyDescent="0.2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7"/>
    </row>
    <row r="2330" spans="1:17" x14ac:dyDescent="0.2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7"/>
    </row>
    <row r="2331" spans="1:17" x14ac:dyDescent="0.2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7"/>
    </row>
    <row r="2332" spans="1:17" x14ac:dyDescent="0.2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7"/>
    </row>
    <row r="2333" spans="1:17" x14ac:dyDescent="0.2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7"/>
    </row>
    <row r="2334" spans="1:17" x14ac:dyDescent="0.2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7"/>
    </row>
    <row r="2335" spans="1:17" x14ac:dyDescent="0.2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7"/>
    </row>
    <row r="2336" spans="1:17" x14ac:dyDescent="0.2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7"/>
    </row>
    <row r="2337" spans="1:17" x14ac:dyDescent="0.2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7"/>
    </row>
    <row r="2338" spans="1:17" x14ac:dyDescent="0.2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7"/>
    </row>
    <row r="2339" spans="1:17" x14ac:dyDescent="0.2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7"/>
    </row>
    <row r="2340" spans="1:17" x14ac:dyDescent="0.2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7"/>
    </row>
    <row r="2341" spans="1:17" x14ac:dyDescent="0.2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7"/>
    </row>
    <row r="2342" spans="1:17" x14ac:dyDescent="0.2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7"/>
    </row>
    <row r="2343" spans="1:17" x14ac:dyDescent="0.2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7"/>
    </row>
    <row r="2344" spans="1:17" x14ac:dyDescent="0.2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7"/>
    </row>
    <row r="2345" spans="1:17" x14ac:dyDescent="0.2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7"/>
    </row>
    <row r="2346" spans="1:17" x14ac:dyDescent="0.2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7"/>
    </row>
    <row r="2347" spans="1:17" x14ac:dyDescent="0.2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7"/>
    </row>
    <row r="2348" spans="1:17" x14ac:dyDescent="0.2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7"/>
    </row>
    <row r="2349" spans="1:17" x14ac:dyDescent="0.2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7"/>
    </row>
    <row r="2350" spans="1:17" x14ac:dyDescent="0.2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7"/>
    </row>
    <row r="2351" spans="1:17" x14ac:dyDescent="0.2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7"/>
    </row>
    <row r="2352" spans="1:17" x14ac:dyDescent="0.2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7"/>
    </row>
    <row r="2353" spans="1:17" x14ac:dyDescent="0.2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7"/>
    </row>
    <row r="2354" spans="1:17" x14ac:dyDescent="0.2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7"/>
    </row>
    <row r="2355" spans="1:17" x14ac:dyDescent="0.2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7"/>
    </row>
    <row r="2356" spans="1:17" x14ac:dyDescent="0.2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7"/>
    </row>
    <row r="2357" spans="1:17" x14ac:dyDescent="0.2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7"/>
    </row>
    <row r="2358" spans="1:17" x14ac:dyDescent="0.2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7"/>
    </row>
    <row r="2359" spans="1:17" x14ac:dyDescent="0.2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7"/>
    </row>
    <row r="2360" spans="1:17" x14ac:dyDescent="0.2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7"/>
    </row>
    <row r="2361" spans="1:17" x14ac:dyDescent="0.2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7"/>
    </row>
    <row r="2362" spans="1:17" x14ac:dyDescent="0.2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7"/>
    </row>
    <row r="2363" spans="1:17" x14ac:dyDescent="0.2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7"/>
    </row>
    <row r="2364" spans="1:17" x14ac:dyDescent="0.2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7"/>
    </row>
    <row r="2365" spans="1:17" x14ac:dyDescent="0.2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7"/>
    </row>
    <row r="2366" spans="1:17" x14ac:dyDescent="0.2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7"/>
    </row>
    <row r="2367" spans="1:17" x14ac:dyDescent="0.2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7"/>
    </row>
    <row r="2368" spans="1:17" x14ac:dyDescent="0.2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7"/>
    </row>
    <row r="2369" spans="1:17" x14ac:dyDescent="0.2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7"/>
    </row>
    <row r="2370" spans="1:17" x14ac:dyDescent="0.2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7"/>
    </row>
    <row r="2371" spans="1:17" x14ac:dyDescent="0.2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7"/>
    </row>
    <row r="2372" spans="1:17" x14ac:dyDescent="0.2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7"/>
    </row>
    <row r="2373" spans="1:17" x14ac:dyDescent="0.2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7"/>
    </row>
    <row r="2374" spans="1:17" x14ac:dyDescent="0.2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7"/>
    </row>
    <row r="2375" spans="1:17" x14ac:dyDescent="0.2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7"/>
    </row>
    <row r="2376" spans="1:17" x14ac:dyDescent="0.2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7"/>
    </row>
    <row r="2377" spans="1:17" x14ac:dyDescent="0.2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7"/>
    </row>
    <row r="2378" spans="1:17" x14ac:dyDescent="0.2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7"/>
    </row>
    <row r="2379" spans="1:17" x14ac:dyDescent="0.2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7"/>
    </row>
    <row r="2380" spans="1:17" x14ac:dyDescent="0.2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7"/>
    </row>
    <row r="2381" spans="1:17" x14ac:dyDescent="0.2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7"/>
    </row>
    <row r="2382" spans="1:17" x14ac:dyDescent="0.2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7"/>
    </row>
    <row r="2383" spans="1:17" x14ac:dyDescent="0.2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7"/>
    </row>
    <row r="2384" spans="1:17" x14ac:dyDescent="0.2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7"/>
    </row>
    <row r="2385" spans="1:17" x14ac:dyDescent="0.2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7"/>
    </row>
    <row r="2386" spans="1:17" x14ac:dyDescent="0.2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7"/>
    </row>
    <row r="2387" spans="1:17" x14ac:dyDescent="0.2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7"/>
    </row>
    <row r="2388" spans="1:17" x14ac:dyDescent="0.2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7"/>
    </row>
    <row r="2389" spans="1:17" x14ac:dyDescent="0.2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7"/>
    </row>
    <row r="2390" spans="1:17" x14ac:dyDescent="0.2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7"/>
    </row>
    <row r="2391" spans="1:17" x14ac:dyDescent="0.2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7"/>
    </row>
    <row r="2392" spans="1:17" x14ac:dyDescent="0.2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7"/>
    </row>
    <row r="2393" spans="1:17" x14ac:dyDescent="0.2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7"/>
    </row>
    <row r="2394" spans="1:17" x14ac:dyDescent="0.2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7"/>
    </row>
    <row r="2395" spans="1:17" x14ac:dyDescent="0.2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7"/>
    </row>
    <row r="2396" spans="1:17" x14ac:dyDescent="0.2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7"/>
    </row>
    <row r="2397" spans="1:17" x14ac:dyDescent="0.2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7"/>
    </row>
    <row r="2398" spans="1:17" x14ac:dyDescent="0.2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7"/>
    </row>
    <row r="2399" spans="1:17" x14ac:dyDescent="0.2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7"/>
    </row>
    <row r="2400" spans="1:17" x14ac:dyDescent="0.2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7"/>
    </row>
    <row r="2401" spans="1:17" x14ac:dyDescent="0.2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7"/>
    </row>
    <row r="2402" spans="1:17" x14ac:dyDescent="0.2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7"/>
    </row>
    <row r="2403" spans="1:17" x14ac:dyDescent="0.2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7"/>
    </row>
    <row r="2404" spans="1:17" x14ac:dyDescent="0.2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7"/>
    </row>
    <row r="2405" spans="1:17" x14ac:dyDescent="0.2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7"/>
    </row>
    <row r="2406" spans="1:17" x14ac:dyDescent="0.2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7"/>
    </row>
    <row r="2407" spans="1:17" x14ac:dyDescent="0.2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7"/>
    </row>
    <row r="2408" spans="1:17" x14ac:dyDescent="0.2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7"/>
    </row>
    <row r="2409" spans="1:17" x14ac:dyDescent="0.2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7"/>
    </row>
    <row r="2410" spans="1:17" x14ac:dyDescent="0.2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7"/>
    </row>
    <row r="2411" spans="1:17" x14ac:dyDescent="0.2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7"/>
    </row>
    <row r="2412" spans="1:17" x14ac:dyDescent="0.2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7"/>
    </row>
    <row r="2413" spans="1:17" x14ac:dyDescent="0.2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7"/>
    </row>
    <row r="2414" spans="1:17" x14ac:dyDescent="0.2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7"/>
    </row>
    <row r="2415" spans="1:17" x14ac:dyDescent="0.2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7"/>
    </row>
    <row r="2416" spans="1:17" x14ac:dyDescent="0.2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7"/>
    </row>
    <row r="2417" spans="1:17" x14ac:dyDescent="0.2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7"/>
    </row>
    <row r="2418" spans="1:17" x14ac:dyDescent="0.2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7"/>
    </row>
    <row r="2419" spans="1:17" x14ac:dyDescent="0.2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7"/>
    </row>
    <row r="2420" spans="1:17" x14ac:dyDescent="0.2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7"/>
    </row>
    <row r="2421" spans="1:17" x14ac:dyDescent="0.2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7"/>
    </row>
    <row r="2422" spans="1:17" x14ac:dyDescent="0.2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7"/>
    </row>
    <row r="2423" spans="1:17" x14ac:dyDescent="0.2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7"/>
    </row>
    <row r="2424" spans="1:17" x14ac:dyDescent="0.2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7"/>
    </row>
    <row r="2425" spans="1:17" x14ac:dyDescent="0.2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7"/>
    </row>
    <row r="2426" spans="1:17" x14ac:dyDescent="0.2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7"/>
    </row>
    <row r="2427" spans="1:17" x14ac:dyDescent="0.2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7"/>
    </row>
    <row r="2428" spans="1:17" x14ac:dyDescent="0.2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7"/>
    </row>
    <row r="2429" spans="1:17" x14ac:dyDescent="0.2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7"/>
    </row>
    <row r="2430" spans="1:17" x14ac:dyDescent="0.2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7"/>
    </row>
    <row r="2431" spans="1:17" x14ac:dyDescent="0.2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7"/>
    </row>
    <row r="2432" spans="1:17" x14ac:dyDescent="0.2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7"/>
    </row>
    <row r="2433" spans="1:17" x14ac:dyDescent="0.2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7"/>
    </row>
    <row r="2434" spans="1:17" x14ac:dyDescent="0.2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7"/>
    </row>
    <row r="2435" spans="1:17" x14ac:dyDescent="0.2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7"/>
    </row>
    <row r="2436" spans="1:17" x14ac:dyDescent="0.2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7"/>
    </row>
    <row r="2437" spans="1:17" x14ac:dyDescent="0.2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7"/>
    </row>
    <row r="2438" spans="1:17" x14ac:dyDescent="0.2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7"/>
    </row>
    <row r="2439" spans="1:17" x14ac:dyDescent="0.2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7"/>
    </row>
    <row r="2440" spans="1:17" x14ac:dyDescent="0.2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7"/>
    </row>
    <row r="2441" spans="1:17" x14ac:dyDescent="0.2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7"/>
    </row>
    <row r="2442" spans="1:17" x14ac:dyDescent="0.2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7"/>
    </row>
    <row r="2443" spans="1:17" x14ac:dyDescent="0.2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7"/>
    </row>
    <row r="2444" spans="1:17" x14ac:dyDescent="0.2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7"/>
    </row>
    <row r="2445" spans="1:17" x14ac:dyDescent="0.2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7"/>
    </row>
    <row r="2446" spans="1:17" x14ac:dyDescent="0.2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7"/>
    </row>
    <row r="2447" spans="1:17" x14ac:dyDescent="0.2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7"/>
    </row>
    <row r="2448" spans="1:17" x14ac:dyDescent="0.2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7"/>
    </row>
    <row r="2449" spans="1:17" x14ac:dyDescent="0.2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7"/>
    </row>
    <row r="2450" spans="1:17" x14ac:dyDescent="0.2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7"/>
    </row>
    <row r="2451" spans="1:17" x14ac:dyDescent="0.2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7"/>
    </row>
    <row r="2452" spans="1:17" x14ac:dyDescent="0.2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7"/>
    </row>
    <row r="2453" spans="1:17" x14ac:dyDescent="0.2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7"/>
    </row>
    <row r="2454" spans="1:17" x14ac:dyDescent="0.2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7"/>
    </row>
    <row r="2455" spans="1:17" x14ac:dyDescent="0.2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7"/>
    </row>
    <row r="2456" spans="1:17" x14ac:dyDescent="0.2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7"/>
    </row>
    <row r="2457" spans="1:17" x14ac:dyDescent="0.2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7"/>
    </row>
    <row r="2458" spans="1:17" x14ac:dyDescent="0.2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7"/>
    </row>
    <row r="2459" spans="1:17" x14ac:dyDescent="0.2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7"/>
    </row>
    <row r="2460" spans="1:17" x14ac:dyDescent="0.2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7"/>
    </row>
    <row r="2461" spans="1:17" x14ac:dyDescent="0.2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7"/>
    </row>
    <row r="2462" spans="1:17" x14ac:dyDescent="0.2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7"/>
    </row>
    <row r="2463" spans="1:17" x14ac:dyDescent="0.2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7"/>
    </row>
    <row r="2464" spans="1:17" x14ac:dyDescent="0.2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7"/>
    </row>
    <row r="2465" spans="1:17" x14ac:dyDescent="0.2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7"/>
    </row>
    <row r="2466" spans="1:17" x14ac:dyDescent="0.2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7"/>
    </row>
    <row r="2467" spans="1:17" x14ac:dyDescent="0.2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7"/>
    </row>
    <row r="2468" spans="1:17" x14ac:dyDescent="0.2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7"/>
    </row>
    <row r="2469" spans="1:17" x14ac:dyDescent="0.2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7"/>
    </row>
    <row r="2470" spans="1:17" x14ac:dyDescent="0.2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7"/>
    </row>
    <row r="2471" spans="1:17" x14ac:dyDescent="0.2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7"/>
    </row>
    <row r="2472" spans="1:17" x14ac:dyDescent="0.2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7"/>
    </row>
    <row r="2473" spans="1:17" x14ac:dyDescent="0.2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7"/>
    </row>
    <row r="2474" spans="1:17" x14ac:dyDescent="0.2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7"/>
    </row>
    <row r="2475" spans="1:17" x14ac:dyDescent="0.2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7"/>
    </row>
    <row r="2476" spans="1:17" x14ac:dyDescent="0.2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7"/>
    </row>
    <row r="2477" spans="1:17" x14ac:dyDescent="0.2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7"/>
    </row>
    <row r="2478" spans="1:17" x14ac:dyDescent="0.2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7"/>
    </row>
    <row r="2479" spans="1:17" x14ac:dyDescent="0.2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7"/>
    </row>
    <row r="2480" spans="1:17" x14ac:dyDescent="0.2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7"/>
    </row>
    <row r="2481" spans="1:17" x14ac:dyDescent="0.2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7"/>
    </row>
    <row r="2482" spans="1:17" x14ac:dyDescent="0.2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7"/>
    </row>
    <row r="2483" spans="1:17" x14ac:dyDescent="0.2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7"/>
    </row>
    <row r="2484" spans="1:17" x14ac:dyDescent="0.2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7"/>
    </row>
    <row r="2485" spans="1:17" x14ac:dyDescent="0.2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7"/>
    </row>
    <row r="2486" spans="1:17" x14ac:dyDescent="0.2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7"/>
    </row>
    <row r="2487" spans="1:17" x14ac:dyDescent="0.2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7"/>
    </row>
    <row r="2488" spans="1:17" x14ac:dyDescent="0.2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7"/>
    </row>
    <row r="2489" spans="1:17" x14ac:dyDescent="0.2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7"/>
    </row>
    <row r="2490" spans="1:17" x14ac:dyDescent="0.2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7"/>
    </row>
    <row r="2491" spans="1:17" x14ac:dyDescent="0.2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7"/>
    </row>
    <row r="2492" spans="1:17" x14ac:dyDescent="0.2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7"/>
    </row>
    <row r="2493" spans="1:17" x14ac:dyDescent="0.2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7"/>
    </row>
    <row r="2494" spans="1:17" x14ac:dyDescent="0.2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7"/>
    </row>
    <row r="2495" spans="1:17" x14ac:dyDescent="0.2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7"/>
    </row>
    <row r="2496" spans="1:17" x14ac:dyDescent="0.2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7"/>
    </row>
    <row r="2497" spans="1:17" x14ac:dyDescent="0.2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7"/>
    </row>
    <row r="2498" spans="1:17" x14ac:dyDescent="0.2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7"/>
    </row>
    <row r="2499" spans="1:17" x14ac:dyDescent="0.2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7"/>
    </row>
    <row r="2500" spans="1:17" x14ac:dyDescent="0.2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7"/>
    </row>
    <row r="2501" spans="1:17" x14ac:dyDescent="0.2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7"/>
    </row>
    <row r="2502" spans="1:17" x14ac:dyDescent="0.2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7"/>
    </row>
    <row r="2503" spans="1:17" x14ac:dyDescent="0.2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7"/>
    </row>
    <row r="2504" spans="1:17" x14ac:dyDescent="0.2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7"/>
    </row>
    <row r="2505" spans="1:17" x14ac:dyDescent="0.2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7"/>
    </row>
    <row r="2506" spans="1:17" x14ac:dyDescent="0.2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7"/>
    </row>
    <row r="2507" spans="1:17" x14ac:dyDescent="0.2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7"/>
    </row>
    <row r="2508" spans="1:17" x14ac:dyDescent="0.2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7"/>
    </row>
    <row r="2509" spans="1:17" x14ac:dyDescent="0.2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7"/>
    </row>
    <row r="2510" spans="1:17" x14ac:dyDescent="0.2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7"/>
    </row>
    <row r="2511" spans="1:17" x14ac:dyDescent="0.2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7"/>
    </row>
    <row r="2512" spans="1:17" x14ac:dyDescent="0.2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7"/>
    </row>
    <row r="2513" spans="1:17" x14ac:dyDescent="0.2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7"/>
    </row>
    <row r="2514" spans="1:17" x14ac:dyDescent="0.2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7"/>
    </row>
    <row r="2515" spans="1:17" x14ac:dyDescent="0.2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7"/>
    </row>
    <row r="2516" spans="1:17" x14ac:dyDescent="0.2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7"/>
    </row>
    <row r="2517" spans="1:17" x14ac:dyDescent="0.2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7"/>
    </row>
    <row r="2518" spans="1:17" x14ac:dyDescent="0.2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7"/>
    </row>
    <row r="2519" spans="1:17" x14ac:dyDescent="0.2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7"/>
    </row>
    <row r="2520" spans="1:17" x14ac:dyDescent="0.2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7"/>
    </row>
    <row r="2521" spans="1:17" x14ac:dyDescent="0.2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7"/>
    </row>
    <row r="2522" spans="1:17" x14ac:dyDescent="0.2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7"/>
    </row>
    <row r="2523" spans="1:17" x14ac:dyDescent="0.2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7"/>
    </row>
    <row r="2524" spans="1:17" x14ac:dyDescent="0.2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7"/>
    </row>
    <row r="2525" spans="1:17" x14ac:dyDescent="0.2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7"/>
    </row>
    <row r="2526" spans="1:17" x14ac:dyDescent="0.2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7"/>
    </row>
    <row r="2527" spans="1:17" x14ac:dyDescent="0.2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7"/>
    </row>
    <row r="2528" spans="1:17" x14ac:dyDescent="0.2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7"/>
    </row>
    <row r="2529" spans="1:17" x14ac:dyDescent="0.2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7"/>
    </row>
    <row r="2530" spans="1:17" x14ac:dyDescent="0.2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7"/>
    </row>
    <row r="2531" spans="1:17" x14ac:dyDescent="0.2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7"/>
    </row>
    <row r="2532" spans="1:17" x14ac:dyDescent="0.2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7"/>
    </row>
    <row r="2533" spans="1:17" x14ac:dyDescent="0.2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7"/>
    </row>
    <row r="2534" spans="1:17" x14ac:dyDescent="0.2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7"/>
    </row>
    <row r="2535" spans="1:17" x14ac:dyDescent="0.2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7"/>
    </row>
    <row r="2536" spans="1:17" x14ac:dyDescent="0.2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7"/>
    </row>
    <row r="2537" spans="1:17" x14ac:dyDescent="0.2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7"/>
    </row>
    <row r="2538" spans="1:17" x14ac:dyDescent="0.2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7"/>
    </row>
    <row r="2539" spans="1:17" x14ac:dyDescent="0.2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7"/>
    </row>
    <row r="2540" spans="1:17" x14ac:dyDescent="0.2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7"/>
    </row>
    <row r="2541" spans="1:17" x14ac:dyDescent="0.2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7"/>
    </row>
    <row r="2542" spans="1:17" x14ac:dyDescent="0.2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7"/>
    </row>
    <row r="2543" spans="1:17" x14ac:dyDescent="0.2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7"/>
    </row>
    <row r="2544" spans="1:17" x14ac:dyDescent="0.2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7"/>
    </row>
    <row r="2545" spans="1:17" x14ac:dyDescent="0.2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7"/>
    </row>
    <row r="2546" spans="1:17" x14ac:dyDescent="0.2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7"/>
    </row>
    <row r="2547" spans="1:17" x14ac:dyDescent="0.2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7"/>
    </row>
    <row r="2548" spans="1:17" x14ac:dyDescent="0.2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7"/>
    </row>
    <row r="2549" spans="1:17" x14ac:dyDescent="0.2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7"/>
    </row>
    <row r="2550" spans="1:17" x14ac:dyDescent="0.2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7"/>
    </row>
    <row r="2551" spans="1:17" x14ac:dyDescent="0.2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7"/>
    </row>
    <row r="2552" spans="1:17" x14ac:dyDescent="0.2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7"/>
    </row>
    <row r="2553" spans="1:17" x14ac:dyDescent="0.2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7"/>
    </row>
    <row r="2554" spans="1:17" x14ac:dyDescent="0.2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7"/>
    </row>
    <row r="2555" spans="1:17" x14ac:dyDescent="0.2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7"/>
    </row>
    <row r="2556" spans="1:17" x14ac:dyDescent="0.2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7"/>
    </row>
    <row r="2557" spans="1:17" x14ac:dyDescent="0.2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7"/>
    </row>
    <row r="2558" spans="1:17" x14ac:dyDescent="0.2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7"/>
    </row>
    <row r="2559" spans="1:17" x14ac:dyDescent="0.2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7"/>
    </row>
    <row r="2560" spans="1:17" x14ac:dyDescent="0.2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7"/>
    </row>
    <row r="2561" spans="1:17" x14ac:dyDescent="0.2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7"/>
    </row>
    <row r="2562" spans="1:17" x14ac:dyDescent="0.2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7"/>
    </row>
    <row r="2563" spans="1:17" x14ac:dyDescent="0.2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7"/>
    </row>
    <row r="2564" spans="1:17" x14ac:dyDescent="0.2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7"/>
    </row>
    <row r="2565" spans="1:17" x14ac:dyDescent="0.2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7"/>
    </row>
    <row r="2566" spans="1:17" x14ac:dyDescent="0.2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7"/>
    </row>
    <row r="2567" spans="1:17" x14ac:dyDescent="0.2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7"/>
    </row>
    <row r="2568" spans="1:17" x14ac:dyDescent="0.2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7"/>
    </row>
    <row r="2569" spans="1:17" x14ac:dyDescent="0.2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7"/>
    </row>
    <row r="2570" spans="1:17" x14ac:dyDescent="0.2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7"/>
    </row>
    <row r="2571" spans="1:17" x14ac:dyDescent="0.2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7"/>
    </row>
    <row r="2572" spans="1:17" x14ac:dyDescent="0.2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7"/>
    </row>
    <row r="2573" spans="1:17" x14ac:dyDescent="0.2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7"/>
    </row>
    <row r="2574" spans="1:17" x14ac:dyDescent="0.2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7"/>
    </row>
    <row r="2575" spans="1:17" x14ac:dyDescent="0.2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7"/>
    </row>
    <row r="2576" spans="1:17" x14ac:dyDescent="0.2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7"/>
    </row>
    <row r="2577" spans="1:17" x14ac:dyDescent="0.2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7"/>
    </row>
    <row r="2578" spans="1:17" x14ac:dyDescent="0.2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7"/>
    </row>
    <row r="2579" spans="1:17" x14ac:dyDescent="0.2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7"/>
    </row>
    <row r="2580" spans="1:17" x14ac:dyDescent="0.2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7"/>
    </row>
    <row r="2581" spans="1:17" x14ac:dyDescent="0.2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7"/>
    </row>
    <row r="2582" spans="1:17" x14ac:dyDescent="0.2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7"/>
    </row>
    <row r="2583" spans="1:17" x14ac:dyDescent="0.2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7"/>
    </row>
    <row r="2584" spans="1:17" x14ac:dyDescent="0.2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7"/>
    </row>
    <row r="2585" spans="1:17" x14ac:dyDescent="0.2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7"/>
    </row>
    <row r="2586" spans="1:17" x14ac:dyDescent="0.2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7"/>
    </row>
    <row r="2587" spans="1:17" x14ac:dyDescent="0.2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7"/>
    </row>
    <row r="2588" spans="1:17" x14ac:dyDescent="0.2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7"/>
    </row>
    <row r="2589" spans="1:17" x14ac:dyDescent="0.2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7"/>
    </row>
    <row r="2590" spans="1:17" x14ac:dyDescent="0.2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7"/>
    </row>
    <row r="2591" spans="1:17" x14ac:dyDescent="0.2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7"/>
    </row>
    <row r="2592" spans="1:17" x14ac:dyDescent="0.2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7"/>
    </row>
    <row r="2593" spans="1:17" x14ac:dyDescent="0.2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7"/>
    </row>
    <row r="2594" spans="1:17" x14ac:dyDescent="0.2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7"/>
    </row>
    <row r="2595" spans="1:17" x14ac:dyDescent="0.2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7"/>
    </row>
    <row r="2596" spans="1:17" x14ac:dyDescent="0.2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7"/>
    </row>
    <row r="2597" spans="1:17" x14ac:dyDescent="0.2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7"/>
    </row>
    <row r="2598" spans="1:17" x14ac:dyDescent="0.2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7"/>
    </row>
    <row r="2599" spans="1:17" x14ac:dyDescent="0.2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7"/>
    </row>
    <row r="2600" spans="1:17" x14ac:dyDescent="0.2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7"/>
    </row>
    <row r="2601" spans="1:17" x14ac:dyDescent="0.2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7"/>
    </row>
    <row r="2602" spans="1:17" x14ac:dyDescent="0.2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7"/>
    </row>
    <row r="2603" spans="1:17" x14ac:dyDescent="0.2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7"/>
    </row>
    <row r="2604" spans="1:17" x14ac:dyDescent="0.2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7"/>
    </row>
    <row r="2605" spans="1:17" x14ac:dyDescent="0.2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7"/>
    </row>
    <row r="2606" spans="1:17" x14ac:dyDescent="0.2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7"/>
    </row>
    <row r="2607" spans="1:17" x14ac:dyDescent="0.2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7"/>
    </row>
    <row r="2608" spans="1:17" x14ac:dyDescent="0.2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7"/>
    </row>
    <row r="2609" spans="1:17" x14ac:dyDescent="0.2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7"/>
    </row>
    <row r="2610" spans="1:17" x14ac:dyDescent="0.2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7"/>
    </row>
    <row r="2611" spans="1:17" x14ac:dyDescent="0.2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7"/>
    </row>
    <row r="2612" spans="1:17" x14ac:dyDescent="0.2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7"/>
    </row>
    <row r="2613" spans="1:17" x14ac:dyDescent="0.2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7"/>
    </row>
    <row r="2614" spans="1:17" x14ac:dyDescent="0.2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7"/>
    </row>
    <row r="2615" spans="1:17" x14ac:dyDescent="0.2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7"/>
    </row>
    <row r="2616" spans="1:17" x14ac:dyDescent="0.2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7"/>
    </row>
    <row r="2617" spans="1:17" x14ac:dyDescent="0.2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7"/>
    </row>
    <row r="2618" spans="1:17" x14ac:dyDescent="0.2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7"/>
    </row>
    <row r="2619" spans="1:17" x14ac:dyDescent="0.2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7"/>
    </row>
    <row r="2620" spans="1:17" x14ac:dyDescent="0.2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7"/>
    </row>
    <row r="2621" spans="1:17" x14ac:dyDescent="0.2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7"/>
    </row>
    <row r="2622" spans="1:17" x14ac:dyDescent="0.2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7"/>
    </row>
    <row r="2623" spans="1:17" x14ac:dyDescent="0.2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7"/>
    </row>
    <row r="2624" spans="1:17" x14ac:dyDescent="0.2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7"/>
    </row>
    <row r="2625" spans="1:17" x14ac:dyDescent="0.2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7"/>
    </row>
    <row r="2626" spans="1:17" x14ac:dyDescent="0.2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7"/>
    </row>
    <row r="2627" spans="1:17" x14ac:dyDescent="0.2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7"/>
    </row>
    <row r="2628" spans="1:17" x14ac:dyDescent="0.2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7"/>
    </row>
    <row r="2629" spans="1:17" x14ac:dyDescent="0.2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7"/>
    </row>
    <row r="2630" spans="1:17" x14ac:dyDescent="0.2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7"/>
    </row>
    <row r="2631" spans="1:17" x14ac:dyDescent="0.2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7"/>
    </row>
    <row r="2632" spans="1:17" x14ac:dyDescent="0.2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7"/>
    </row>
    <row r="2633" spans="1:17" x14ac:dyDescent="0.2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7"/>
    </row>
    <row r="2634" spans="1:17" x14ac:dyDescent="0.2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7"/>
    </row>
    <row r="2635" spans="1:17" x14ac:dyDescent="0.2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7"/>
    </row>
    <row r="2636" spans="1:17" x14ac:dyDescent="0.2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7"/>
    </row>
    <row r="2637" spans="1:17" x14ac:dyDescent="0.2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7"/>
    </row>
    <row r="2638" spans="1:17" x14ac:dyDescent="0.2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7"/>
    </row>
    <row r="2639" spans="1:17" x14ac:dyDescent="0.2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7"/>
    </row>
    <row r="2640" spans="1:17" x14ac:dyDescent="0.2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7"/>
    </row>
    <row r="2641" spans="1:17" x14ac:dyDescent="0.2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7"/>
    </row>
    <row r="2642" spans="1:17" x14ac:dyDescent="0.2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7"/>
    </row>
    <row r="2643" spans="1:17" x14ac:dyDescent="0.2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7"/>
    </row>
    <row r="2644" spans="1:17" x14ac:dyDescent="0.2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7"/>
    </row>
    <row r="2645" spans="1:17" x14ac:dyDescent="0.2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7"/>
    </row>
    <row r="2646" spans="1:17" x14ac:dyDescent="0.2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7"/>
    </row>
    <row r="2647" spans="1:17" x14ac:dyDescent="0.2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7"/>
    </row>
    <row r="2648" spans="1:17" x14ac:dyDescent="0.2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7"/>
    </row>
    <row r="2649" spans="1:17" x14ac:dyDescent="0.2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7"/>
    </row>
    <row r="2650" spans="1:17" x14ac:dyDescent="0.2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7"/>
    </row>
    <row r="2651" spans="1:17" x14ac:dyDescent="0.2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7"/>
    </row>
    <row r="2652" spans="1:17" x14ac:dyDescent="0.2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7"/>
    </row>
    <row r="2653" spans="1:17" x14ac:dyDescent="0.2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7"/>
    </row>
    <row r="2654" spans="1:17" x14ac:dyDescent="0.2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7"/>
    </row>
    <row r="2655" spans="1:17" x14ac:dyDescent="0.2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7"/>
    </row>
    <row r="2656" spans="1:17" x14ac:dyDescent="0.2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7"/>
    </row>
    <row r="2657" spans="1:17" x14ac:dyDescent="0.2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7"/>
    </row>
    <row r="2658" spans="1:17" x14ac:dyDescent="0.2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7"/>
    </row>
    <row r="2659" spans="1:17" x14ac:dyDescent="0.2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7"/>
    </row>
    <row r="2660" spans="1:17" x14ac:dyDescent="0.2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7"/>
    </row>
    <row r="2661" spans="1:17" x14ac:dyDescent="0.2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7"/>
    </row>
    <row r="2662" spans="1:17" x14ac:dyDescent="0.2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7"/>
    </row>
    <row r="2663" spans="1:17" x14ac:dyDescent="0.2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7"/>
    </row>
    <row r="2664" spans="1:17" x14ac:dyDescent="0.2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7"/>
    </row>
    <row r="2665" spans="1:17" x14ac:dyDescent="0.2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7"/>
    </row>
    <row r="2666" spans="1:17" x14ac:dyDescent="0.2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7"/>
    </row>
    <row r="2667" spans="1:17" x14ac:dyDescent="0.2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7"/>
    </row>
    <row r="2668" spans="1:17" x14ac:dyDescent="0.2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7"/>
    </row>
    <row r="2669" spans="1:17" x14ac:dyDescent="0.2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7"/>
    </row>
    <row r="2670" spans="1:17" x14ac:dyDescent="0.2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7"/>
    </row>
    <row r="2671" spans="1:17" x14ac:dyDescent="0.2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7"/>
    </row>
    <row r="2672" spans="1:17" x14ac:dyDescent="0.2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7"/>
    </row>
    <row r="2673" spans="1:17" x14ac:dyDescent="0.2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7"/>
    </row>
    <row r="2674" spans="1:17" x14ac:dyDescent="0.2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7"/>
    </row>
    <row r="2675" spans="1:17" x14ac:dyDescent="0.2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7"/>
    </row>
    <row r="2676" spans="1:17" x14ac:dyDescent="0.2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7"/>
    </row>
    <row r="2677" spans="1:17" x14ac:dyDescent="0.2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7"/>
    </row>
    <row r="2678" spans="1:17" x14ac:dyDescent="0.2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7"/>
    </row>
    <row r="2679" spans="1:17" x14ac:dyDescent="0.2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7"/>
    </row>
    <row r="2680" spans="1:17" x14ac:dyDescent="0.2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7"/>
    </row>
    <row r="2681" spans="1:17" x14ac:dyDescent="0.2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7"/>
    </row>
    <row r="2682" spans="1:17" x14ac:dyDescent="0.2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7"/>
    </row>
    <row r="2683" spans="1:17" x14ac:dyDescent="0.2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7"/>
    </row>
    <row r="2684" spans="1:17" x14ac:dyDescent="0.2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7"/>
    </row>
    <row r="2685" spans="1:17" x14ac:dyDescent="0.2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7"/>
    </row>
    <row r="2686" spans="1:17" x14ac:dyDescent="0.2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7"/>
    </row>
    <row r="2687" spans="1:17" x14ac:dyDescent="0.2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7"/>
    </row>
    <row r="2688" spans="1:17" x14ac:dyDescent="0.2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7"/>
    </row>
    <row r="2689" spans="1:17" x14ac:dyDescent="0.2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7"/>
    </row>
    <row r="2690" spans="1:17" x14ac:dyDescent="0.2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7"/>
    </row>
    <row r="2691" spans="1:17" x14ac:dyDescent="0.2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7"/>
    </row>
    <row r="2692" spans="1:17" x14ac:dyDescent="0.2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7"/>
    </row>
    <row r="2693" spans="1:17" x14ac:dyDescent="0.2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7"/>
    </row>
    <row r="2694" spans="1:17" x14ac:dyDescent="0.2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7"/>
    </row>
    <row r="2695" spans="1:17" x14ac:dyDescent="0.2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7"/>
    </row>
    <row r="2696" spans="1:17" x14ac:dyDescent="0.2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7"/>
    </row>
    <row r="2697" spans="1:17" x14ac:dyDescent="0.2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7"/>
    </row>
    <row r="2698" spans="1:17" x14ac:dyDescent="0.2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7"/>
    </row>
    <row r="2699" spans="1:17" x14ac:dyDescent="0.2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7"/>
    </row>
    <row r="2700" spans="1:17" x14ac:dyDescent="0.2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7"/>
    </row>
    <row r="2701" spans="1:17" x14ac:dyDescent="0.2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7"/>
    </row>
    <row r="2702" spans="1:17" x14ac:dyDescent="0.2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7"/>
    </row>
    <row r="2703" spans="1:17" x14ac:dyDescent="0.2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7"/>
    </row>
    <row r="2704" spans="1:17" x14ac:dyDescent="0.2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7"/>
    </row>
    <row r="2705" spans="1:17" x14ac:dyDescent="0.2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7"/>
    </row>
    <row r="2706" spans="1:17" x14ac:dyDescent="0.2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7"/>
    </row>
    <row r="2707" spans="1:17" x14ac:dyDescent="0.2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7"/>
    </row>
    <row r="2708" spans="1:17" x14ac:dyDescent="0.2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7"/>
    </row>
    <row r="2709" spans="1:17" x14ac:dyDescent="0.2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7"/>
    </row>
    <row r="2710" spans="1:17" x14ac:dyDescent="0.2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7"/>
    </row>
    <row r="2711" spans="1:17" x14ac:dyDescent="0.2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7"/>
    </row>
    <row r="2712" spans="1:17" x14ac:dyDescent="0.2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7"/>
    </row>
    <row r="2713" spans="1:17" x14ac:dyDescent="0.2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7"/>
    </row>
    <row r="2714" spans="1:17" x14ac:dyDescent="0.2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7"/>
    </row>
    <row r="2715" spans="1:17" x14ac:dyDescent="0.2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7"/>
    </row>
    <row r="2716" spans="1:17" x14ac:dyDescent="0.2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7"/>
    </row>
    <row r="2717" spans="1:17" x14ac:dyDescent="0.2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7"/>
    </row>
    <row r="2718" spans="1:17" x14ac:dyDescent="0.2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7"/>
    </row>
    <row r="2719" spans="1:17" x14ac:dyDescent="0.2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7"/>
    </row>
    <row r="2720" spans="1:17" x14ac:dyDescent="0.2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7"/>
    </row>
    <row r="2721" spans="1:17" x14ac:dyDescent="0.2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7"/>
    </row>
    <row r="2722" spans="1:17" x14ac:dyDescent="0.2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7"/>
    </row>
    <row r="2723" spans="1:17" x14ac:dyDescent="0.2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7"/>
    </row>
    <row r="2724" spans="1:17" x14ac:dyDescent="0.2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7"/>
    </row>
    <row r="2725" spans="1:17" x14ac:dyDescent="0.2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7"/>
    </row>
    <row r="2726" spans="1:17" x14ac:dyDescent="0.2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7"/>
    </row>
    <row r="2727" spans="1:17" x14ac:dyDescent="0.2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7"/>
    </row>
    <row r="2728" spans="1:17" x14ac:dyDescent="0.2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7"/>
    </row>
    <row r="2729" spans="1:17" x14ac:dyDescent="0.2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7"/>
    </row>
    <row r="2730" spans="1:17" x14ac:dyDescent="0.2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7"/>
    </row>
    <row r="2731" spans="1:17" x14ac:dyDescent="0.2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7"/>
    </row>
    <row r="2732" spans="1:17" x14ac:dyDescent="0.2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7"/>
    </row>
    <row r="2733" spans="1:17" x14ac:dyDescent="0.2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7"/>
    </row>
    <row r="2734" spans="1:17" x14ac:dyDescent="0.2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7"/>
    </row>
    <row r="2735" spans="1:17" x14ac:dyDescent="0.2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7"/>
    </row>
    <row r="2736" spans="1:17" x14ac:dyDescent="0.2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7"/>
    </row>
    <row r="2737" spans="1:17" x14ac:dyDescent="0.2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7"/>
    </row>
    <row r="2738" spans="1:17" x14ac:dyDescent="0.2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7"/>
    </row>
    <row r="2739" spans="1:17" x14ac:dyDescent="0.2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7"/>
    </row>
    <row r="2740" spans="1:17" x14ac:dyDescent="0.2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7"/>
    </row>
    <row r="2741" spans="1:17" x14ac:dyDescent="0.2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7"/>
    </row>
    <row r="2742" spans="1:17" x14ac:dyDescent="0.2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7"/>
    </row>
    <row r="2743" spans="1:17" x14ac:dyDescent="0.2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7"/>
    </row>
    <row r="2744" spans="1:17" x14ac:dyDescent="0.2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7"/>
    </row>
    <row r="2745" spans="1:17" x14ac:dyDescent="0.2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7"/>
    </row>
    <row r="2746" spans="1:17" x14ac:dyDescent="0.2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7"/>
    </row>
    <row r="2747" spans="1:17" x14ac:dyDescent="0.2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7"/>
    </row>
    <row r="2748" spans="1:17" x14ac:dyDescent="0.2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7"/>
    </row>
    <row r="2749" spans="1:17" x14ac:dyDescent="0.2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7"/>
    </row>
    <row r="2750" spans="1:17" x14ac:dyDescent="0.2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7"/>
    </row>
    <row r="2751" spans="1:17" x14ac:dyDescent="0.2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7"/>
    </row>
    <row r="2752" spans="1:17" x14ac:dyDescent="0.2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7"/>
    </row>
    <row r="2753" spans="1:17" x14ac:dyDescent="0.2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7"/>
    </row>
    <row r="2754" spans="1:17" x14ac:dyDescent="0.2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7"/>
    </row>
    <row r="2755" spans="1:17" x14ac:dyDescent="0.2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7"/>
    </row>
    <row r="2756" spans="1:17" x14ac:dyDescent="0.2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7"/>
    </row>
    <row r="2757" spans="1:17" x14ac:dyDescent="0.2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7"/>
    </row>
    <row r="2758" spans="1:17" x14ac:dyDescent="0.2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7"/>
    </row>
    <row r="2759" spans="1:17" x14ac:dyDescent="0.2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7"/>
    </row>
    <row r="2760" spans="1:17" x14ac:dyDescent="0.2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7"/>
    </row>
    <row r="2761" spans="1:17" x14ac:dyDescent="0.2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7"/>
    </row>
    <row r="2762" spans="1:17" x14ac:dyDescent="0.2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7"/>
    </row>
    <row r="2763" spans="1:17" x14ac:dyDescent="0.2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7"/>
    </row>
    <row r="2764" spans="1:17" x14ac:dyDescent="0.2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7"/>
    </row>
    <row r="2765" spans="1:17" x14ac:dyDescent="0.2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7"/>
    </row>
    <row r="2766" spans="1:17" x14ac:dyDescent="0.2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7"/>
    </row>
    <row r="2767" spans="1:17" x14ac:dyDescent="0.2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7"/>
    </row>
    <row r="2768" spans="1:17" x14ac:dyDescent="0.2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7"/>
    </row>
    <row r="2769" spans="1:17" x14ac:dyDescent="0.2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7"/>
    </row>
    <row r="2770" spans="1:17" x14ac:dyDescent="0.2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7"/>
    </row>
    <row r="2771" spans="1:17" x14ac:dyDescent="0.2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7"/>
    </row>
    <row r="2772" spans="1:17" x14ac:dyDescent="0.2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7"/>
    </row>
    <row r="2773" spans="1:17" x14ac:dyDescent="0.2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7"/>
    </row>
    <row r="2774" spans="1:17" x14ac:dyDescent="0.2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7"/>
    </row>
    <row r="2775" spans="1:17" x14ac:dyDescent="0.2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7"/>
    </row>
    <row r="2776" spans="1:17" x14ac:dyDescent="0.2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7"/>
    </row>
    <row r="2777" spans="1:17" x14ac:dyDescent="0.2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7"/>
    </row>
    <row r="2778" spans="1:17" x14ac:dyDescent="0.2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7"/>
    </row>
    <row r="2779" spans="1:17" x14ac:dyDescent="0.2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7"/>
    </row>
    <row r="2780" spans="1:17" x14ac:dyDescent="0.2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7"/>
    </row>
    <row r="2781" spans="1:17" x14ac:dyDescent="0.2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7"/>
    </row>
    <row r="2782" spans="1:17" x14ac:dyDescent="0.2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7"/>
    </row>
    <row r="2783" spans="1:17" x14ac:dyDescent="0.2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7"/>
    </row>
    <row r="2784" spans="1:17" x14ac:dyDescent="0.2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7"/>
    </row>
    <row r="2785" spans="1:17" x14ac:dyDescent="0.2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7"/>
    </row>
    <row r="2786" spans="1:17" x14ac:dyDescent="0.2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7"/>
    </row>
    <row r="2787" spans="1:17" x14ac:dyDescent="0.2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7"/>
    </row>
    <row r="2788" spans="1:17" x14ac:dyDescent="0.2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7"/>
    </row>
    <row r="2789" spans="1:17" x14ac:dyDescent="0.2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7"/>
    </row>
    <row r="2790" spans="1:17" x14ac:dyDescent="0.2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7"/>
    </row>
    <row r="2791" spans="1:17" x14ac:dyDescent="0.2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7"/>
    </row>
    <row r="2792" spans="1:17" x14ac:dyDescent="0.2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7"/>
    </row>
    <row r="2793" spans="1:17" x14ac:dyDescent="0.2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7"/>
    </row>
    <row r="2794" spans="1:17" x14ac:dyDescent="0.2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7"/>
    </row>
    <row r="2795" spans="1:17" x14ac:dyDescent="0.2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7"/>
    </row>
    <row r="2796" spans="1:17" x14ac:dyDescent="0.2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7"/>
    </row>
    <row r="2797" spans="1:17" x14ac:dyDescent="0.2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7"/>
    </row>
    <row r="2798" spans="1:17" x14ac:dyDescent="0.2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7"/>
    </row>
    <row r="2799" spans="1:17" x14ac:dyDescent="0.2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7"/>
    </row>
    <row r="2800" spans="1:17" x14ac:dyDescent="0.2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7"/>
    </row>
    <row r="2801" spans="1:17" x14ac:dyDescent="0.2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7"/>
    </row>
    <row r="2802" spans="1:17" x14ac:dyDescent="0.2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7"/>
    </row>
    <row r="2803" spans="1:17" x14ac:dyDescent="0.2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7"/>
    </row>
    <row r="2804" spans="1:17" x14ac:dyDescent="0.2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7"/>
    </row>
    <row r="2805" spans="1:17" x14ac:dyDescent="0.2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7"/>
    </row>
    <row r="2806" spans="1:17" x14ac:dyDescent="0.2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7"/>
    </row>
    <row r="2807" spans="1:17" x14ac:dyDescent="0.2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7"/>
    </row>
    <row r="2808" spans="1:17" x14ac:dyDescent="0.2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7"/>
    </row>
    <row r="2809" spans="1:17" x14ac:dyDescent="0.2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7"/>
    </row>
    <row r="2810" spans="1:17" x14ac:dyDescent="0.2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7"/>
    </row>
    <row r="2811" spans="1:17" x14ac:dyDescent="0.2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7"/>
    </row>
    <row r="2812" spans="1:17" x14ac:dyDescent="0.2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7"/>
    </row>
    <row r="2813" spans="1:17" x14ac:dyDescent="0.2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7"/>
    </row>
    <row r="2814" spans="1:17" x14ac:dyDescent="0.2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7"/>
    </row>
    <row r="2815" spans="1:17" x14ac:dyDescent="0.2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7"/>
    </row>
    <row r="2816" spans="1:17" x14ac:dyDescent="0.2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7"/>
    </row>
    <row r="2817" spans="1:17" x14ac:dyDescent="0.2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7"/>
    </row>
    <row r="2818" spans="1:17" x14ac:dyDescent="0.2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7"/>
    </row>
    <row r="2819" spans="1:17" x14ac:dyDescent="0.2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7"/>
    </row>
    <row r="2820" spans="1:17" x14ac:dyDescent="0.2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7"/>
    </row>
    <row r="2821" spans="1:17" x14ac:dyDescent="0.2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7"/>
    </row>
    <row r="2822" spans="1:17" x14ac:dyDescent="0.2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7"/>
    </row>
    <row r="2823" spans="1:17" x14ac:dyDescent="0.2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7"/>
    </row>
    <row r="2824" spans="1:17" x14ac:dyDescent="0.2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7"/>
    </row>
    <row r="2825" spans="1:17" x14ac:dyDescent="0.2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7"/>
    </row>
    <row r="2826" spans="1:17" x14ac:dyDescent="0.2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7"/>
    </row>
    <row r="2827" spans="1:17" x14ac:dyDescent="0.2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7"/>
    </row>
    <row r="2828" spans="1:17" x14ac:dyDescent="0.2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7"/>
    </row>
    <row r="2829" spans="1:17" x14ac:dyDescent="0.2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7"/>
    </row>
    <row r="2830" spans="1:17" x14ac:dyDescent="0.2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7"/>
    </row>
    <row r="2831" spans="1:17" x14ac:dyDescent="0.2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7"/>
    </row>
    <row r="2832" spans="1:17" x14ac:dyDescent="0.2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7"/>
    </row>
    <row r="2833" spans="1:17" x14ac:dyDescent="0.2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7"/>
    </row>
    <row r="2834" spans="1:17" x14ac:dyDescent="0.2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7"/>
    </row>
    <row r="2835" spans="1:17" x14ac:dyDescent="0.2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7"/>
    </row>
    <row r="2836" spans="1:17" x14ac:dyDescent="0.2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7"/>
    </row>
    <row r="2837" spans="1:17" x14ac:dyDescent="0.2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7"/>
    </row>
    <row r="2838" spans="1:17" x14ac:dyDescent="0.2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7"/>
    </row>
    <row r="2839" spans="1:17" x14ac:dyDescent="0.2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7"/>
    </row>
    <row r="2840" spans="1:17" x14ac:dyDescent="0.2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7"/>
    </row>
    <row r="2841" spans="1:17" x14ac:dyDescent="0.2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7"/>
    </row>
    <row r="2842" spans="1:17" x14ac:dyDescent="0.2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7"/>
    </row>
    <row r="2843" spans="1:17" x14ac:dyDescent="0.2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7"/>
    </row>
    <row r="2844" spans="1:17" x14ac:dyDescent="0.2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7"/>
    </row>
    <row r="2845" spans="1:17" x14ac:dyDescent="0.2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7"/>
    </row>
    <row r="2846" spans="1:17" x14ac:dyDescent="0.2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7"/>
    </row>
    <row r="2847" spans="1:17" x14ac:dyDescent="0.2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7"/>
    </row>
    <row r="2848" spans="1:17" x14ac:dyDescent="0.2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7"/>
    </row>
    <row r="2849" spans="1:17" x14ac:dyDescent="0.2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7"/>
    </row>
    <row r="2850" spans="1:17" x14ac:dyDescent="0.2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7"/>
    </row>
    <row r="2851" spans="1:17" x14ac:dyDescent="0.2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7"/>
    </row>
    <row r="2852" spans="1:17" x14ac:dyDescent="0.2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7"/>
    </row>
    <row r="2853" spans="1:17" x14ac:dyDescent="0.2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7"/>
    </row>
    <row r="2854" spans="1:17" x14ac:dyDescent="0.2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7"/>
    </row>
    <row r="2855" spans="1:17" x14ac:dyDescent="0.2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7"/>
    </row>
    <row r="2856" spans="1:17" x14ac:dyDescent="0.2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7"/>
    </row>
    <row r="2857" spans="1:17" x14ac:dyDescent="0.2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7"/>
    </row>
    <row r="2858" spans="1:17" x14ac:dyDescent="0.2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7"/>
    </row>
    <row r="2859" spans="1:17" x14ac:dyDescent="0.2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7"/>
    </row>
    <row r="2860" spans="1:17" x14ac:dyDescent="0.2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7"/>
    </row>
    <row r="2861" spans="1:17" x14ac:dyDescent="0.2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7"/>
    </row>
    <row r="2862" spans="1:17" x14ac:dyDescent="0.2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7"/>
    </row>
    <row r="2863" spans="1:17" x14ac:dyDescent="0.2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7"/>
    </row>
    <row r="2864" spans="1:17" x14ac:dyDescent="0.2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7"/>
    </row>
    <row r="2865" spans="1:17" x14ac:dyDescent="0.2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7"/>
    </row>
    <row r="2866" spans="1:17" x14ac:dyDescent="0.2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7"/>
    </row>
    <row r="2867" spans="1:17" x14ac:dyDescent="0.2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7"/>
    </row>
    <row r="2868" spans="1:17" x14ac:dyDescent="0.2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7"/>
    </row>
    <row r="2869" spans="1:17" x14ac:dyDescent="0.2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7"/>
    </row>
    <row r="2870" spans="1:17" x14ac:dyDescent="0.2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7"/>
    </row>
    <row r="2871" spans="1:17" x14ac:dyDescent="0.2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7"/>
    </row>
    <row r="2872" spans="1:17" x14ac:dyDescent="0.2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7"/>
    </row>
    <row r="2873" spans="1:17" x14ac:dyDescent="0.2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7"/>
    </row>
    <row r="2874" spans="1:17" x14ac:dyDescent="0.2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7"/>
    </row>
    <row r="2875" spans="1:17" x14ac:dyDescent="0.2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7"/>
    </row>
    <row r="2876" spans="1:17" x14ac:dyDescent="0.2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7"/>
    </row>
    <row r="2877" spans="1:17" x14ac:dyDescent="0.2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7"/>
    </row>
    <row r="2878" spans="1:17" x14ac:dyDescent="0.2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7"/>
    </row>
    <row r="2879" spans="1:17" x14ac:dyDescent="0.2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7"/>
    </row>
    <row r="2880" spans="1:17" x14ac:dyDescent="0.2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7"/>
    </row>
    <row r="2881" spans="1:17" x14ac:dyDescent="0.2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7"/>
    </row>
    <row r="2882" spans="1:17" x14ac:dyDescent="0.2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7"/>
    </row>
    <row r="2883" spans="1:17" x14ac:dyDescent="0.2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7"/>
    </row>
    <row r="2884" spans="1:17" x14ac:dyDescent="0.2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7"/>
    </row>
    <row r="2885" spans="1:17" x14ac:dyDescent="0.2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7"/>
    </row>
    <row r="2886" spans="1:17" x14ac:dyDescent="0.2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7"/>
    </row>
    <row r="2887" spans="1:17" x14ac:dyDescent="0.2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7"/>
    </row>
    <row r="2888" spans="1:17" x14ac:dyDescent="0.2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7"/>
    </row>
    <row r="2889" spans="1:17" x14ac:dyDescent="0.2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7"/>
    </row>
    <row r="2890" spans="1:17" x14ac:dyDescent="0.2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7"/>
    </row>
    <row r="2891" spans="1:17" x14ac:dyDescent="0.2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7"/>
    </row>
    <row r="2892" spans="1:17" x14ac:dyDescent="0.2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7"/>
    </row>
    <row r="2893" spans="1:17" x14ac:dyDescent="0.2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7"/>
    </row>
    <row r="2894" spans="1:17" x14ac:dyDescent="0.2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7"/>
    </row>
    <row r="2895" spans="1:17" x14ac:dyDescent="0.2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7"/>
    </row>
    <row r="2896" spans="1:17" x14ac:dyDescent="0.2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7"/>
    </row>
    <row r="2897" spans="1:17" x14ac:dyDescent="0.2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7"/>
    </row>
    <row r="2898" spans="1:17" x14ac:dyDescent="0.2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7"/>
    </row>
    <row r="2899" spans="1:17" x14ac:dyDescent="0.2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7"/>
    </row>
    <row r="2900" spans="1:17" x14ac:dyDescent="0.2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7"/>
    </row>
    <row r="2901" spans="1:17" x14ac:dyDescent="0.2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7"/>
    </row>
    <row r="2902" spans="1:17" x14ac:dyDescent="0.2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7"/>
    </row>
    <row r="2903" spans="1:17" x14ac:dyDescent="0.2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7"/>
    </row>
    <row r="2904" spans="1:17" x14ac:dyDescent="0.2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7"/>
    </row>
    <row r="2905" spans="1:17" x14ac:dyDescent="0.2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7"/>
    </row>
    <row r="2906" spans="1:17" x14ac:dyDescent="0.2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7"/>
    </row>
    <row r="2907" spans="1:17" x14ac:dyDescent="0.2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7"/>
    </row>
    <row r="2908" spans="1:17" x14ac:dyDescent="0.2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7"/>
    </row>
    <row r="2909" spans="1:17" x14ac:dyDescent="0.2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7"/>
    </row>
    <row r="2910" spans="1:17" x14ac:dyDescent="0.2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7"/>
    </row>
    <row r="2911" spans="1:17" x14ac:dyDescent="0.2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7"/>
    </row>
    <row r="2912" spans="1:17" x14ac:dyDescent="0.2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7"/>
    </row>
    <row r="2913" spans="1:17" x14ac:dyDescent="0.2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7"/>
    </row>
    <row r="2914" spans="1:17" x14ac:dyDescent="0.2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7"/>
    </row>
    <row r="2915" spans="1:17" x14ac:dyDescent="0.2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7"/>
    </row>
    <row r="2916" spans="1:17" x14ac:dyDescent="0.2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7"/>
    </row>
    <row r="2917" spans="1:17" x14ac:dyDescent="0.2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7"/>
    </row>
    <row r="2918" spans="1:17" x14ac:dyDescent="0.2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7"/>
    </row>
    <row r="2919" spans="1:17" x14ac:dyDescent="0.2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7"/>
    </row>
    <row r="2920" spans="1:17" x14ac:dyDescent="0.2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7"/>
    </row>
    <row r="2921" spans="1:17" x14ac:dyDescent="0.2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7"/>
    </row>
    <row r="2922" spans="1:17" x14ac:dyDescent="0.2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7"/>
    </row>
    <row r="2923" spans="1:17" x14ac:dyDescent="0.2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7"/>
    </row>
    <row r="2924" spans="1:17" x14ac:dyDescent="0.2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7"/>
    </row>
    <row r="2925" spans="1:17" x14ac:dyDescent="0.2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7"/>
    </row>
    <row r="2926" spans="1:17" x14ac:dyDescent="0.2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7"/>
    </row>
    <row r="2927" spans="1:17" x14ac:dyDescent="0.2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7"/>
    </row>
    <row r="2928" spans="1:17" x14ac:dyDescent="0.2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7"/>
    </row>
    <row r="2929" spans="1:17" x14ac:dyDescent="0.2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7"/>
    </row>
    <row r="2930" spans="1:17" x14ac:dyDescent="0.2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7"/>
    </row>
    <row r="2931" spans="1:17" x14ac:dyDescent="0.2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7"/>
    </row>
    <row r="2932" spans="1:17" x14ac:dyDescent="0.2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7"/>
    </row>
    <row r="2933" spans="1:17" x14ac:dyDescent="0.2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7"/>
    </row>
    <row r="2934" spans="1:17" x14ac:dyDescent="0.2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7"/>
    </row>
    <row r="2935" spans="1:17" x14ac:dyDescent="0.2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7"/>
    </row>
    <row r="2936" spans="1:17" x14ac:dyDescent="0.2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7"/>
    </row>
    <row r="2937" spans="1:17" x14ac:dyDescent="0.2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7"/>
    </row>
    <row r="2938" spans="1:17" x14ac:dyDescent="0.2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7"/>
    </row>
    <row r="2939" spans="1:17" x14ac:dyDescent="0.2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7"/>
    </row>
    <row r="2940" spans="1:17" x14ac:dyDescent="0.2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7"/>
    </row>
    <row r="2941" spans="1:17" x14ac:dyDescent="0.2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7"/>
    </row>
    <row r="2942" spans="1:17" x14ac:dyDescent="0.2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7"/>
    </row>
    <row r="2943" spans="1:17" x14ac:dyDescent="0.2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7"/>
    </row>
    <row r="2944" spans="1:17" x14ac:dyDescent="0.2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7"/>
    </row>
    <row r="2945" spans="1:17" x14ac:dyDescent="0.2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7"/>
    </row>
    <row r="2946" spans="1:17" x14ac:dyDescent="0.2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7"/>
    </row>
    <row r="2947" spans="1:17" x14ac:dyDescent="0.2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7"/>
    </row>
    <row r="2948" spans="1:17" x14ac:dyDescent="0.2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7"/>
    </row>
    <row r="2949" spans="1:17" x14ac:dyDescent="0.2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7"/>
    </row>
    <row r="2950" spans="1:17" x14ac:dyDescent="0.2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7"/>
    </row>
    <row r="2951" spans="1:17" x14ac:dyDescent="0.2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7"/>
    </row>
    <row r="2952" spans="1:17" x14ac:dyDescent="0.2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7"/>
    </row>
    <row r="2953" spans="1:17" x14ac:dyDescent="0.2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7"/>
    </row>
    <row r="2954" spans="1:17" x14ac:dyDescent="0.2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7"/>
    </row>
    <row r="2955" spans="1:17" x14ac:dyDescent="0.2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7"/>
    </row>
    <row r="2956" spans="1:17" x14ac:dyDescent="0.2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7"/>
    </row>
    <row r="2957" spans="1:17" x14ac:dyDescent="0.2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7"/>
    </row>
    <row r="2958" spans="1:17" x14ac:dyDescent="0.2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7"/>
    </row>
    <row r="2959" spans="1:17" x14ac:dyDescent="0.2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7"/>
    </row>
    <row r="2960" spans="1:17" x14ac:dyDescent="0.2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7"/>
    </row>
    <row r="2961" spans="1:17" x14ac:dyDescent="0.2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7"/>
    </row>
    <row r="2962" spans="1:17" x14ac:dyDescent="0.2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7"/>
    </row>
    <row r="2963" spans="1:17" x14ac:dyDescent="0.2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7"/>
    </row>
    <row r="2964" spans="1:17" x14ac:dyDescent="0.2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7"/>
    </row>
    <row r="2965" spans="1:17" x14ac:dyDescent="0.2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7"/>
    </row>
    <row r="2966" spans="1:17" x14ac:dyDescent="0.2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7"/>
    </row>
    <row r="2967" spans="1:17" x14ac:dyDescent="0.2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7"/>
    </row>
    <row r="2968" spans="1:17" x14ac:dyDescent="0.2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7"/>
    </row>
    <row r="2969" spans="1:17" x14ac:dyDescent="0.2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7"/>
    </row>
    <row r="2970" spans="1:17" x14ac:dyDescent="0.2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7"/>
    </row>
    <row r="2971" spans="1:17" x14ac:dyDescent="0.2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7"/>
    </row>
    <row r="2972" spans="1:17" x14ac:dyDescent="0.2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7"/>
    </row>
    <row r="2973" spans="1:17" x14ac:dyDescent="0.2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7"/>
    </row>
    <row r="2974" spans="1:17" x14ac:dyDescent="0.2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7"/>
    </row>
    <row r="2975" spans="1:17" x14ac:dyDescent="0.2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7"/>
    </row>
    <row r="2976" spans="1:17" x14ac:dyDescent="0.2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7"/>
    </row>
    <row r="2977" spans="1:17" x14ac:dyDescent="0.2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7"/>
    </row>
    <row r="2978" spans="1:17" x14ac:dyDescent="0.2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7"/>
    </row>
    <row r="2979" spans="1:17" x14ac:dyDescent="0.2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7"/>
    </row>
    <row r="2980" spans="1:17" x14ac:dyDescent="0.2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7"/>
    </row>
    <row r="2981" spans="1:17" x14ac:dyDescent="0.2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7"/>
    </row>
    <row r="2982" spans="1:17" x14ac:dyDescent="0.2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7"/>
    </row>
    <row r="2983" spans="1:17" x14ac:dyDescent="0.2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7"/>
    </row>
    <row r="2984" spans="1:17" x14ac:dyDescent="0.2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7"/>
    </row>
    <row r="2985" spans="1:17" x14ac:dyDescent="0.2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7"/>
    </row>
    <row r="2986" spans="1:17" x14ac:dyDescent="0.2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7"/>
    </row>
    <row r="2987" spans="1:17" x14ac:dyDescent="0.2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7"/>
    </row>
    <row r="2988" spans="1:17" x14ac:dyDescent="0.2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7"/>
    </row>
    <row r="2989" spans="1:17" x14ac:dyDescent="0.2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7"/>
    </row>
    <row r="2990" spans="1:17" x14ac:dyDescent="0.2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7"/>
    </row>
    <row r="2991" spans="1:17" x14ac:dyDescent="0.2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7"/>
    </row>
    <row r="2992" spans="1:17" x14ac:dyDescent="0.2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7"/>
    </row>
    <row r="2993" spans="1:17" x14ac:dyDescent="0.2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7"/>
    </row>
    <row r="2994" spans="1:17" x14ac:dyDescent="0.2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7"/>
    </row>
    <row r="2995" spans="1:17" x14ac:dyDescent="0.2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7"/>
    </row>
    <row r="2996" spans="1:17" x14ac:dyDescent="0.2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7"/>
    </row>
    <row r="2997" spans="1:17" x14ac:dyDescent="0.2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7"/>
    </row>
    <row r="2998" spans="1:17" x14ac:dyDescent="0.2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7"/>
    </row>
    <row r="2999" spans="1:17" x14ac:dyDescent="0.2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7"/>
    </row>
    <row r="3000" spans="1:17" x14ac:dyDescent="0.2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7"/>
    </row>
    <row r="3001" spans="1:17" x14ac:dyDescent="0.2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7"/>
    </row>
    <row r="3002" spans="1:17" x14ac:dyDescent="0.2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7"/>
    </row>
    <row r="3003" spans="1:17" x14ac:dyDescent="0.2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7"/>
    </row>
    <row r="3004" spans="1:17" x14ac:dyDescent="0.2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7"/>
    </row>
    <row r="3005" spans="1:17" x14ac:dyDescent="0.2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7"/>
    </row>
    <row r="3006" spans="1:17" x14ac:dyDescent="0.2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7"/>
    </row>
    <row r="3007" spans="1:17" x14ac:dyDescent="0.2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7"/>
    </row>
    <row r="3008" spans="1:17" x14ac:dyDescent="0.2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7"/>
    </row>
    <row r="3009" spans="1:17" x14ac:dyDescent="0.2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7"/>
    </row>
    <row r="3010" spans="1:17" x14ac:dyDescent="0.2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7"/>
    </row>
    <row r="3011" spans="1:17" x14ac:dyDescent="0.2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7"/>
    </row>
    <row r="3012" spans="1:17" x14ac:dyDescent="0.2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7"/>
    </row>
    <row r="3013" spans="1:17" x14ac:dyDescent="0.2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7"/>
    </row>
    <row r="3014" spans="1:17" x14ac:dyDescent="0.2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7"/>
    </row>
    <row r="3015" spans="1:17" x14ac:dyDescent="0.2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7"/>
    </row>
    <row r="3016" spans="1:17" x14ac:dyDescent="0.2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7"/>
    </row>
    <row r="3017" spans="1:17" x14ac:dyDescent="0.2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7"/>
    </row>
    <row r="3018" spans="1:17" x14ac:dyDescent="0.2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7"/>
    </row>
    <row r="3019" spans="1:17" x14ac:dyDescent="0.2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7"/>
    </row>
    <row r="3020" spans="1:17" x14ac:dyDescent="0.2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7"/>
    </row>
    <row r="3021" spans="1:17" x14ac:dyDescent="0.2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7"/>
    </row>
    <row r="3022" spans="1:17" x14ac:dyDescent="0.2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7"/>
    </row>
    <row r="3023" spans="1:17" x14ac:dyDescent="0.2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7"/>
    </row>
    <row r="3024" spans="1:17" x14ac:dyDescent="0.2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7"/>
    </row>
    <row r="3025" spans="1:17" x14ac:dyDescent="0.2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7"/>
    </row>
    <row r="3026" spans="1:17" x14ac:dyDescent="0.2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7"/>
    </row>
    <row r="3027" spans="1:17" x14ac:dyDescent="0.2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7"/>
    </row>
    <row r="3028" spans="1:17" x14ac:dyDescent="0.2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7"/>
    </row>
    <row r="3029" spans="1:17" x14ac:dyDescent="0.2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7"/>
    </row>
    <row r="3030" spans="1:17" x14ac:dyDescent="0.2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7"/>
    </row>
    <row r="3031" spans="1:17" x14ac:dyDescent="0.2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7"/>
    </row>
    <row r="3032" spans="1:17" x14ac:dyDescent="0.2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7"/>
    </row>
    <row r="3033" spans="1:17" x14ac:dyDescent="0.2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7"/>
    </row>
    <row r="3034" spans="1:17" x14ac:dyDescent="0.2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7"/>
    </row>
    <row r="3035" spans="1:17" x14ac:dyDescent="0.2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7"/>
    </row>
    <row r="3036" spans="1:17" x14ac:dyDescent="0.2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7"/>
    </row>
    <row r="3037" spans="1:17" x14ac:dyDescent="0.2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7"/>
    </row>
    <row r="3038" spans="1:17" x14ac:dyDescent="0.2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7"/>
    </row>
    <row r="3039" spans="1:17" x14ac:dyDescent="0.2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7"/>
    </row>
    <row r="3040" spans="1:17" x14ac:dyDescent="0.2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7"/>
    </row>
    <row r="3041" spans="1:17" x14ac:dyDescent="0.2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7"/>
    </row>
    <row r="3042" spans="1:17" x14ac:dyDescent="0.2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7"/>
    </row>
    <row r="3043" spans="1:17" x14ac:dyDescent="0.2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7"/>
    </row>
    <row r="3044" spans="1:17" x14ac:dyDescent="0.2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7"/>
    </row>
    <row r="3045" spans="1:17" x14ac:dyDescent="0.2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7"/>
    </row>
    <row r="3046" spans="1:17" x14ac:dyDescent="0.2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7"/>
    </row>
    <row r="3047" spans="1:17" x14ac:dyDescent="0.2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7"/>
    </row>
    <row r="3048" spans="1:17" x14ac:dyDescent="0.2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7"/>
    </row>
    <row r="3049" spans="1:17" x14ac:dyDescent="0.2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7"/>
    </row>
    <row r="3050" spans="1:17" x14ac:dyDescent="0.2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7"/>
    </row>
    <row r="3051" spans="1:17" x14ac:dyDescent="0.2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7"/>
    </row>
    <row r="3052" spans="1:17" x14ac:dyDescent="0.2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7"/>
    </row>
    <row r="3053" spans="1:17" x14ac:dyDescent="0.2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7"/>
    </row>
    <row r="3054" spans="1:17" x14ac:dyDescent="0.2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7"/>
    </row>
    <row r="3055" spans="1:17" x14ac:dyDescent="0.2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7"/>
    </row>
    <row r="3056" spans="1:17" x14ac:dyDescent="0.2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7"/>
    </row>
    <row r="3057" spans="1:17" x14ac:dyDescent="0.2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7"/>
    </row>
    <row r="3058" spans="1:17" x14ac:dyDescent="0.2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7"/>
    </row>
    <row r="3059" spans="1:17" x14ac:dyDescent="0.2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7"/>
    </row>
    <row r="3060" spans="1:17" x14ac:dyDescent="0.2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7"/>
    </row>
    <row r="3061" spans="1:17" x14ac:dyDescent="0.2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7"/>
    </row>
    <row r="3062" spans="1:17" x14ac:dyDescent="0.2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7"/>
    </row>
    <row r="3063" spans="1:17" x14ac:dyDescent="0.2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7"/>
    </row>
    <row r="3064" spans="1:17" x14ac:dyDescent="0.2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7"/>
    </row>
    <row r="3065" spans="1:17" x14ac:dyDescent="0.2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7"/>
    </row>
    <row r="3066" spans="1:17" x14ac:dyDescent="0.2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7"/>
    </row>
    <row r="3067" spans="1:17" x14ac:dyDescent="0.2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7"/>
    </row>
    <row r="3068" spans="1:17" x14ac:dyDescent="0.2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7"/>
    </row>
    <row r="3069" spans="1:17" x14ac:dyDescent="0.2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7"/>
    </row>
    <row r="3070" spans="1:17" x14ac:dyDescent="0.2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7"/>
    </row>
    <row r="3071" spans="1:17" x14ac:dyDescent="0.2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7"/>
    </row>
    <row r="3072" spans="1:17" x14ac:dyDescent="0.2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7"/>
    </row>
    <row r="3073" spans="1:17" x14ac:dyDescent="0.2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7"/>
    </row>
    <row r="3074" spans="1:17" x14ac:dyDescent="0.2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7"/>
    </row>
    <row r="3075" spans="1:17" x14ac:dyDescent="0.2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7"/>
    </row>
    <row r="3076" spans="1:17" x14ac:dyDescent="0.2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7"/>
    </row>
    <row r="3077" spans="1:17" x14ac:dyDescent="0.2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7"/>
    </row>
    <row r="3078" spans="1:17" x14ac:dyDescent="0.2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7"/>
    </row>
    <row r="3079" spans="1:17" x14ac:dyDescent="0.2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7"/>
    </row>
    <row r="3080" spans="1:17" x14ac:dyDescent="0.2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7"/>
    </row>
    <row r="3081" spans="1:17" x14ac:dyDescent="0.2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7"/>
    </row>
    <row r="3082" spans="1:17" x14ac:dyDescent="0.2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7"/>
    </row>
    <row r="3083" spans="1:17" x14ac:dyDescent="0.2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7"/>
    </row>
    <row r="3084" spans="1:17" x14ac:dyDescent="0.2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7"/>
    </row>
    <row r="3085" spans="1:17" x14ac:dyDescent="0.2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7"/>
    </row>
    <row r="3086" spans="1:17" x14ac:dyDescent="0.2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7"/>
    </row>
    <row r="3087" spans="1:17" x14ac:dyDescent="0.2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7"/>
    </row>
    <row r="3088" spans="1:17" x14ac:dyDescent="0.2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7"/>
    </row>
    <row r="3089" spans="1:17" x14ac:dyDescent="0.2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7"/>
    </row>
    <row r="3090" spans="1:17" x14ac:dyDescent="0.2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7"/>
    </row>
    <row r="3091" spans="1:17" x14ac:dyDescent="0.2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7"/>
    </row>
    <row r="3092" spans="1:17" x14ac:dyDescent="0.2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7"/>
    </row>
    <row r="3093" spans="1:17" x14ac:dyDescent="0.2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7"/>
    </row>
    <row r="3094" spans="1:17" x14ac:dyDescent="0.2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7"/>
    </row>
    <row r="3095" spans="1:17" x14ac:dyDescent="0.2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7"/>
    </row>
    <row r="3096" spans="1:17" x14ac:dyDescent="0.2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7"/>
    </row>
    <row r="3097" spans="1:17" x14ac:dyDescent="0.2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7"/>
    </row>
    <row r="3098" spans="1:17" x14ac:dyDescent="0.2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7"/>
    </row>
    <row r="3099" spans="1:17" x14ac:dyDescent="0.2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7"/>
    </row>
    <row r="3100" spans="1:17" x14ac:dyDescent="0.2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7"/>
    </row>
    <row r="3101" spans="1:17" x14ac:dyDescent="0.2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7"/>
    </row>
    <row r="3102" spans="1:17" x14ac:dyDescent="0.2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7"/>
    </row>
    <row r="3103" spans="1:17" x14ac:dyDescent="0.2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7"/>
    </row>
    <row r="3104" spans="1:17" x14ac:dyDescent="0.2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7"/>
    </row>
    <row r="3105" spans="1:17" x14ac:dyDescent="0.2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7"/>
    </row>
    <row r="3106" spans="1:17" x14ac:dyDescent="0.2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7"/>
    </row>
    <row r="3107" spans="1:17" x14ac:dyDescent="0.2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7"/>
    </row>
    <row r="3108" spans="1:17" x14ac:dyDescent="0.2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7"/>
    </row>
    <row r="3109" spans="1:17" x14ac:dyDescent="0.2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7"/>
    </row>
    <row r="3110" spans="1:17" x14ac:dyDescent="0.2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7"/>
    </row>
    <row r="3111" spans="1:17" x14ac:dyDescent="0.2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7"/>
    </row>
    <row r="3112" spans="1:17" x14ac:dyDescent="0.2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7"/>
    </row>
    <row r="3113" spans="1:17" x14ac:dyDescent="0.2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7"/>
    </row>
    <row r="3114" spans="1:17" x14ac:dyDescent="0.2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7"/>
    </row>
    <row r="3115" spans="1:17" x14ac:dyDescent="0.2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7"/>
    </row>
    <row r="3116" spans="1:17" x14ac:dyDescent="0.2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7"/>
    </row>
    <row r="3117" spans="1:17" x14ac:dyDescent="0.2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7"/>
    </row>
    <row r="3118" spans="1:17" x14ac:dyDescent="0.2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7"/>
    </row>
    <row r="3119" spans="1:17" x14ac:dyDescent="0.2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7"/>
    </row>
    <row r="3120" spans="1:17" x14ac:dyDescent="0.2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7"/>
    </row>
    <row r="3121" spans="1:17" x14ac:dyDescent="0.2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7"/>
    </row>
    <row r="3122" spans="1:17" x14ac:dyDescent="0.2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7"/>
    </row>
    <row r="3123" spans="1:17" x14ac:dyDescent="0.2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7"/>
    </row>
    <row r="3124" spans="1:17" x14ac:dyDescent="0.2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7"/>
    </row>
    <row r="3125" spans="1:17" x14ac:dyDescent="0.2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7"/>
    </row>
    <row r="3126" spans="1:17" x14ac:dyDescent="0.2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7"/>
    </row>
    <row r="3127" spans="1:17" x14ac:dyDescent="0.2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7"/>
    </row>
    <row r="3128" spans="1:17" x14ac:dyDescent="0.2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7"/>
    </row>
    <row r="3129" spans="1:17" x14ac:dyDescent="0.2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7"/>
    </row>
    <row r="3130" spans="1:17" x14ac:dyDescent="0.2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7"/>
    </row>
    <row r="3131" spans="1:17" x14ac:dyDescent="0.2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7"/>
    </row>
    <row r="3132" spans="1:17" x14ac:dyDescent="0.2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7"/>
    </row>
    <row r="3133" spans="1:17" x14ac:dyDescent="0.2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7"/>
    </row>
    <row r="3134" spans="1:17" x14ac:dyDescent="0.2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7"/>
    </row>
    <row r="3135" spans="1:17" x14ac:dyDescent="0.2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7"/>
    </row>
    <row r="3136" spans="1:17" x14ac:dyDescent="0.2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7"/>
    </row>
    <row r="3137" spans="1:17" x14ac:dyDescent="0.2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7"/>
    </row>
    <row r="3138" spans="1:17" x14ac:dyDescent="0.2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7"/>
    </row>
    <row r="3139" spans="1:17" x14ac:dyDescent="0.2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7"/>
    </row>
    <row r="3140" spans="1:17" x14ac:dyDescent="0.2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7"/>
    </row>
    <row r="3141" spans="1:17" x14ac:dyDescent="0.2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7"/>
    </row>
    <row r="3142" spans="1:17" x14ac:dyDescent="0.2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7"/>
    </row>
    <row r="3143" spans="1:17" x14ac:dyDescent="0.2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7"/>
    </row>
    <row r="3144" spans="1:17" x14ac:dyDescent="0.2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7"/>
    </row>
    <row r="3145" spans="1:17" x14ac:dyDescent="0.2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7"/>
    </row>
    <row r="3146" spans="1:17" x14ac:dyDescent="0.2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7"/>
    </row>
    <row r="3147" spans="1:17" x14ac:dyDescent="0.2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7"/>
    </row>
    <row r="3148" spans="1:17" x14ac:dyDescent="0.2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7"/>
    </row>
    <row r="3149" spans="1:17" x14ac:dyDescent="0.2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7"/>
    </row>
    <row r="3150" spans="1:17" x14ac:dyDescent="0.2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7"/>
    </row>
    <row r="3151" spans="1:17" x14ac:dyDescent="0.2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7"/>
    </row>
    <row r="3152" spans="1:17" x14ac:dyDescent="0.2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7"/>
    </row>
    <row r="3153" spans="1:17" x14ac:dyDescent="0.2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7"/>
    </row>
    <row r="3154" spans="1:17" x14ac:dyDescent="0.2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7"/>
    </row>
    <row r="3155" spans="1:17" x14ac:dyDescent="0.2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7"/>
    </row>
    <row r="3156" spans="1:17" x14ac:dyDescent="0.2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7"/>
    </row>
    <row r="3157" spans="1:17" x14ac:dyDescent="0.2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7"/>
    </row>
    <row r="3158" spans="1:17" x14ac:dyDescent="0.2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7"/>
    </row>
    <row r="3159" spans="1:17" x14ac:dyDescent="0.2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7"/>
    </row>
    <row r="3160" spans="1:17" x14ac:dyDescent="0.2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7"/>
    </row>
    <row r="3161" spans="1:17" x14ac:dyDescent="0.2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7"/>
    </row>
    <row r="3162" spans="1:17" x14ac:dyDescent="0.2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7"/>
    </row>
    <row r="3163" spans="1:17" x14ac:dyDescent="0.2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7"/>
    </row>
    <row r="3164" spans="1:17" x14ac:dyDescent="0.2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7"/>
    </row>
    <row r="3165" spans="1:17" x14ac:dyDescent="0.2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7"/>
    </row>
    <row r="3166" spans="1:17" x14ac:dyDescent="0.2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7"/>
    </row>
    <row r="3167" spans="1:17" x14ac:dyDescent="0.2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7"/>
    </row>
    <row r="3168" spans="1:17" x14ac:dyDescent="0.2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7"/>
    </row>
    <row r="3169" spans="1:17" x14ac:dyDescent="0.2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7"/>
    </row>
    <row r="3170" spans="1:17" x14ac:dyDescent="0.2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7"/>
    </row>
    <row r="3171" spans="1:17" x14ac:dyDescent="0.2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7"/>
    </row>
    <row r="3172" spans="1:17" x14ac:dyDescent="0.2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7"/>
    </row>
    <row r="3173" spans="1:17" x14ac:dyDescent="0.2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7"/>
    </row>
    <row r="3174" spans="1:17" x14ac:dyDescent="0.2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7"/>
    </row>
    <row r="3175" spans="1:17" x14ac:dyDescent="0.2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7"/>
    </row>
    <row r="3176" spans="1:17" x14ac:dyDescent="0.2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7"/>
    </row>
    <row r="3177" spans="1:17" x14ac:dyDescent="0.2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7"/>
    </row>
    <row r="3178" spans="1:17" x14ac:dyDescent="0.2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7"/>
    </row>
    <row r="3179" spans="1:17" x14ac:dyDescent="0.2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7"/>
    </row>
    <row r="3180" spans="1:17" x14ac:dyDescent="0.2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7"/>
    </row>
    <row r="3181" spans="1:17" x14ac:dyDescent="0.2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7"/>
    </row>
    <row r="3182" spans="1:17" x14ac:dyDescent="0.2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7"/>
    </row>
    <row r="3183" spans="1:17" x14ac:dyDescent="0.2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7"/>
    </row>
    <row r="3184" spans="1:17" x14ac:dyDescent="0.2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7"/>
    </row>
    <row r="3185" spans="1:17" x14ac:dyDescent="0.2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7"/>
    </row>
    <row r="3186" spans="1:17" x14ac:dyDescent="0.2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7"/>
    </row>
    <row r="3187" spans="1:17" x14ac:dyDescent="0.2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7"/>
    </row>
    <row r="3188" spans="1:17" x14ac:dyDescent="0.2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7"/>
    </row>
    <row r="3189" spans="1:17" x14ac:dyDescent="0.2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7"/>
    </row>
    <row r="3190" spans="1:17" x14ac:dyDescent="0.2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7"/>
    </row>
    <row r="3191" spans="1:17" x14ac:dyDescent="0.2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7"/>
    </row>
    <row r="3192" spans="1:17" x14ac:dyDescent="0.2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7"/>
    </row>
    <row r="3193" spans="1:17" x14ac:dyDescent="0.2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7"/>
    </row>
    <row r="3194" spans="1:17" x14ac:dyDescent="0.2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7"/>
    </row>
    <row r="3195" spans="1:17" x14ac:dyDescent="0.2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7"/>
    </row>
    <row r="3196" spans="1:17" x14ac:dyDescent="0.2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7"/>
    </row>
    <row r="3197" spans="1:17" x14ac:dyDescent="0.2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7"/>
    </row>
    <row r="3198" spans="1:17" x14ac:dyDescent="0.2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7"/>
    </row>
    <row r="3199" spans="1:17" x14ac:dyDescent="0.2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7"/>
    </row>
    <row r="3200" spans="1:17" x14ac:dyDescent="0.2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7"/>
    </row>
    <row r="3201" spans="1:17" x14ac:dyDescent="0.2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7"/>
    </row>
    <row r="3202" spans="1:17" x14ac:dyDescent="0.2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7"/>
    </row>
    <row r="3203" spans="1:17" x14ac:dyDescent="0.2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7"/>
    </row>
    <row r="3204" spans="1:17" x14ac:dyDescent="0.2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7"/>
    </row>
    <row r="3205" spans="1:17" x14ac:dyDescent="0.2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7"/>
    </row>
    <row r="3206" spans="1:17" x14ac:dyDescent="0.2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7"/>
    </row>
    <row r="3207" spans="1:17" x14ac:dyDescent="0.2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7"/>
    </row>
    <row r="3208" spans="1:17" x14ac:dyDescent="0.2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7"/>
    </row>
    <row r="3209" spans="1:17" x14ac:dyDescent="0.2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7"/>
    </row>
    <row r="3210" spans="1:17" x14ac:dyDescent="0.2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7"/>
    </row>
    <row r="3211" spans="1:17" x14ac:dyDescent="0.2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7"/>
    </row>
    <row r="3212" spans="1:17" x14ac:dyDescent="0.2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7"/>
    </row>
    <row r="3213" spans="1:17" x14ac:dyDescent="0.2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7"/>
    </row>
    <row r="3214" spans="1:17" x14ac:dyDescent="0.2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7"/>
    </row>
    <row r="3215" spans="1:17" x14ac:dyDescent="0.2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7"/>
    </row>
    <row r="3216" spans="1:17" x14ac:dyDescent="0.2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7"/>
    </row>
    <row r="3217" spans="1:17" x14ac:dyDescent="0.2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7"/>
    </row>
    <row r="3218" spans="1:17" x14ac:dyDescent="0.2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7"/>
    </row>
    <row r="3219" spans="1:17" x14ac:dyDescent="0.2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7"/>
    </row>
    <row r="3220" spans="1:17" x14ac:dyDescent="0.2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7"/>
    </row>
    <row r="3221" spans="1:17" x14ac:dyDescent="0.2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7"/>
    </row>
    <row r="3222" spans="1:17" x14ac:dyDescent="0.2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7"/>
    </row>
    <row r="3223" spans="1:17" x14ac:dyDescent="0.2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7"/>
    </row>
    <row r="3224" spans="1:17" x14ac:dyDescent="0.2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7"/>
    </row>
    <row r="3225" spans="1:17" x14ac:dyDescent="0.2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7"/>
    </row>
    <row r="3226" spans="1:17" x14ac:dyDescent="0.2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7"/>
    </row>
    <row r="3227" spans="1:17" x14ac:dyDescent="0.2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7"/>
    </row>
    <row r="3228" spans="1:17" x14ac:dyDescent="0.2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7"/>
    </row>
    <row r="3229" spans="1:17" x14ac:dyDescent="0.2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7"/>
    </row>
    <row r="3230" spans="1:17" x14ac:dyDescent="0.2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7"/>
    </row>
    <row r="3231" spans="1:17" x14ac:dyDescent="0.2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7"/>
    </row>
    <row r="3232" spans="1:17" x14ac:dyDescent="0.2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7"/>
    </row>
    <row r="3233" spans="1:17" x14ac:dyDescent="0.2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7"/>
    </row>
    <row r="3234" spans="1:17" x14ac:dyDescent="0.2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7"/>
    </row>
    <row r="3235" spans="1:17" x14ac:dyDescent="0.2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7"/>
    </row>
    <row r="3236" spans="1:17" x14ac:dyDescent="0.2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7"/>
    </row>
    <row r="3237" spans="1:17" x14ac:dyDescent="0.2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7"/>
    </row>
    <row r="3238" spans="1:17" x14ac:dyDescent="0.2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7"/>
    </row>
    <row r="3239" spans="1:17" x14ac:dyDescent="0.2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7"/>
    </row>
    <row r="3240" spans="1:17" x14ac:dyDescent="0.2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7"/>
    </row>
    <row r="3241" spans="1:17" x14ac:dyDescent="0.2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7"/>
    </row>
    <row r="3242" spans="1:17" x14ac:dyDescent="0.2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7"/>
    </row>
    <row r="3243" spans="1:17" x14ac:dyDescent="0.2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7"/>
    </row>
    <row r="3244" spans="1:17" x14ac:dyDescent="0.2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7"/>
    </row>
    <row r="3245" spans="1:17" x14ac:dyDescent="0.2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7"/>
    </row>
    <row r="3246" spans="1:17" x14ac:dyDescent="0.2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7"/>
    </row>
    <row r="3247" spans="1:17" x14ac:dyDescent="0.2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7"/>
    </row>
    <row r="3248" spans="1:17" x14ac:dyDescent="0.2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7"/>
    </row>
    <row r="3249" spans="1:17" x14ac:dyDescent="0.2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7"/>
    </row>
    <row r="3250" spans="1:17" x14ac:dyDescent="0.2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7"/>
    </row>
    <row r="3251" spans="1:17" x14ac:dyDescent="0.2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7"/>
    </row>
    <row r="3252" spans="1:17" x14ac:dyDescent="0.2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7"/>
    </row>
    <row r="3253" spans="1:17" x14ac:dyDescent="0.2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7"/>
    </row>
    <row r="3254" spans="1:17" x14ac:dyDescent="0.2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7"/>
    </row>
    <row r="3255" spans="1:17" x14ac:dyDescent="0.2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7"/>
    </row>
    <row r="3256" spans="1:17" x14ac:dyDescent="0.2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7"/>
    </row>
    <row r="3257" spans="1:17" x14ac:dyDescent="0.2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7"/>
    </row>
    <row r="3258" spans="1:17" x14ac:dyDescent="0.2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7"/>
    </row>
    <row r="3259" spans="1:17" x14ac:dyDescent="0.2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7"/>
    </row>
    <row r="3260" spans="1:17" x14ac:dyDescent="0.2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7"/>
    </row>
    <row r="3261" spans="1:17" x14ac:dyDescent="0.2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7"/>
    </row>
    <row r="3262" spans="1:17" x14ac:dyDescent="0.2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7"/>
    </row>
    <row r="3263" spans="1:17" x14ac:dyDescent="0.2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7"/>
    </row>
    <row r="3264" spans="1:17" x14ac:dyDescent="0.2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7"/>
    </row>
    <row r="3265" spans="1:17" x14ac:dyDescent="0.2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7"/>
    </row>
    <row r="3266" spans="1:17" x14ac:dyDescent="0.2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7"/>
    </row>
    <row r="3267" spans="1:17" x14ac:dyDescent="0.2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7"/>
    </row>
    <row r="3268" spans="1:17" x14ac:dyDescent="0.2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7"/>
    </row>
    <row r="3269" spans="1:17" x14ac:dyDescent="0.2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7"/>
    </row>
    <row r="3270" spans="1:17" x14ac:dyDescent="0.2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7"/>
    </row>
    <row r="3271" spans="1:17" x14ac:dyDescent="0.2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7"/>
    </row>
    <row r="3272" spans="1:17" x14ac:dyDescent="0.2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7"/>
    </row>
    <row r="3273" spans="1:17" x14ac:dyDescent="0.2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7"/>
    </row>
    <row r="3274" spans="1:17" x14ac:dyDescent="0.2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7"/>
    </row>
    <row r="3275" spans="1:17" x14ac:dyDescent="0.2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7"/>
    </row>
    <row r="3276" spans="1:17" x14ac:dyDescent="0.2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7"/>
    </row>
    <row r="3277" spans="1:17" x14ac:dyDescent="0.2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7"/>
    </row>
    <row r="3278" spans="1:17" x14ac:dyDescent="0.2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7"/>
    </row>
    <row r="3279" spans="1:17" x14ac:dyDescent="0.2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7"/>
    </row>
    <row r="3280" spans="1:17" x14ac:dyDescent="0.2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7"/>
    </row>
    <row r="3281" spans="1:17" x14ac:dyDescent="0.2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7"/>
    </row>
    <row r="3282" spans="1:17" x14ac:dyDescent="0.2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7"/>
    </row>
    <row r="3283" spans="1:17" x14ac:dyDescent="0.2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7"/>
    </row>
    <row r="3284" spans="1:17" x14ac:dyDescent="0.2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7"/>
    </row>
    <row r="3285" spans="1:17" x14ac:dyDescent="0.2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7"/>
    </row>
    <row r="3286" spans="1:17" x14ac:dyDescent="0.2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7"/>
    </row>
    <row r="3287" spans="1:17" x14ac:dyDescent="0.2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7"/>
    </row>
    <row r="3288" spans="1:17" x14ac:dyDescent="0.2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7"/>
    </row>
    <row r="3289" spans="1:17" x14ac:dyDescent="0.2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7"/>
    </row>
    <row r="3290" spans="1:17" x14ac:dyDescent="0.2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7"/>
    </row>
    <row r="3291" spans="1:17" x14ac:dyDescent="0.2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7"/>
    </row>
    <row r="3292" spans="1:17" x14ac:dyDescent="0.2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7"/>
    </row>
    <row r="3293" spans="1:17" x14ac:dyDescent="0.2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7"/>
    </row>
    <row r="3294" spans="1:17" x14ac:dyDescent="0.2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7"/>
    </row>
    <row r="3295" spans="1:17" x14ac:dyDescent="0.2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7"/>
    </row>
    <row r="3296" spans="1:17" x14ac:dyDescent="0.2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7"/>
    </row>
    <row r="3297" spans="1:17" x14ac:dyDescent="0.2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7"/>
    </row>
    <row r="3298" spans="1:17" x14ac:dyDescent="0.2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7"/>
    </row>
    <row r="3299" spans="1:17" x14ac:dyDescent="0.2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7"/>
    </row>
    <row r="3300" spans="1:17" x14ac:dyDescent="0.2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7"/>
    </row>
    <row r="3301" spans="1:17" x14ac:dyDescent="0.2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7"/>
    </row>
    <row r="3302" spans="1:17" x14ac:dyDescent="0.2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7"/>
    </row>
    <row r="3303" spans="1:17" x14ac:dyDescent="0.2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7"/>
    </row>
    <row r="3304" spans="1:17" x14ac:dyDescent="0.2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7"/>
    </row>
    <row r="3305" spans="1:17" x14ac:dyDescent="0.2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7"/>
    </row>
    <row r="3306" spans="1:17" x14ac:dyDescent="0.2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7"/>
    </row>
    <row r="3307" spans="1:17" x14ac:dyDescent="0.2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7"/>
    </row>
    <row r="3308" spans="1:17" x14ac:dyDescent="0.2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7"/>
    </row>
    <row r="3309" spans="1:17" x14ac:dyDescent="0.2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7"/>
    </row>
    <row r="3310" spans="1:17" x14ac:dyDescent="0.2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7"/>
    </row>
    <row r="3311" spans="1:17" x14ac:dyDescent="0.2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7"/>
    </row>
    <row r="3312" spans="1:17" x14ac:dyDescent="0.2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7"/>
    </row>
    <row r="3313" spans="1:17" x14ac:dyDescent="0.2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7"/>
    </row>
    <row r="3314" spans="1:17" x14ac:dyDescent="0.2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7"/>
    </row>
    <row r="3315" spans="1:17" x14ac:dyDescent="0.2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7"/>
    </row>
    <row r="3316" spans="1:17" x14ac:dyDescent="0.2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7"/>
    </row>
    <row r="3317" spans="1:17" x14ac:dyDescent="0.2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7"/>
    </row>
    <row r="3318" spans="1:17" x14ac:dyDescent="0.2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7"/>
    </row>
    <row r="3319" spans="1:17" x14ac:dyDescent="0.2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7"/>
    </row>
    <row r="3320" spans="1:17" x14ac:dyDescent="0.2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7"/>
    </row>
    <row r="3321" spans="1:17" x14ac:dyDescent="0.2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7"/>
    </row>
    <row r="3322" spans="1:17" x14ac:dyDescent="0.2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7"/>
    </row>
    <row r="3323" spans="1:17" x14ac:dyDescent="0.2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7"/>
    </row>
    <row r="3324" spans="1:17" x14ac:dyDescent="0.2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7"/>
    </row>
    <row r="3325" spans="1:17" x14ac:dyDescent="0.2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7"/>
    </row>
    <row r="3326" spans="1:17" x14ac:dyDescent="0.2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7"/>
    </row>
    <row r="3327" spans="1:17" x14ac:dyDescent="0.2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7"/>
    </row>
    <row r="3328" spans="1:17" x14ac:dyDescent="0.2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7"/>
    </row>
    <row r="3329" spans="1:17" x14ac:dyDescent="0.2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7"/>
    </row>
    <row r="3330" spans="1:17" x14ac:dyDescent="0.2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7"/>
    </row>
    <row r="3331" spans="1:17" x14ac:dyDescent="0.2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7"/>
    </row>
    <row r="3332" spans="1:17" x14ac:dyDescent="0.2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7"/>
    </row>
    <row r="3333" spans="1:17" x14ac:dyDescent="0.2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7"/>
    </row>
    <row r="3334" spans="1:17" x14ac:dyDescent="0.2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7"/>
    </row>
    <row r="3335" spans="1:17" x14ac:dyDescent="0.2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7"/>
    </row>
    <row r="3336" spans="1:17" x14ac:dyDescent="0.2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7"/>
    </row>
    <row r="3337" spans="1:17" x14ac:dyDescent="0.2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7"/>
    </row>
    <row r="3338" spans="1:17" x14ac:dyDescent="0.2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7"/>
    </row>
    <row r="3339" spans="1:17" x14ac:dyDescent="0.2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7"/>
    </row>
    <row r="3340" spans="1:17" x14ac:dyDescent="0.2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7"/>
    </row>
    <row r="3341" spans="1:17" x14ac:dyDescent="0.2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7"/>
    </row>
    <row r="3342" spans="1:17" x14ac:dyDescent="0.2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7"/>
    </row>
    <row r="3343" spans="1:17" x14ac:dyDescent="0.2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7"/>
    </row>
    <row r="3344" spans="1:17" x14ac:dyDescent="0.2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7"/>
    </row>
    <row r="3345" spans="1:17" x14ac:dyDescent="0.2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7"/>
    </row>
    <row r="3346" spans="1:17" x14ac:dyDescent="0.2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7"/>
    </row>
    <row r="3347" spans="1:17" x14ac:dyDescent="0.2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7"/>
    </row>
    <row r="3348" spans="1:17" x14ac:dyDescent="0.2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7"/>
    </row>
    <row r="3349" spans="1:17" x14ac:dyDescent="0.2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7"/>
    </row>
    <row r="3350" spans="1:17" x14ac:dyDescent="0.2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7"/>
    </row>
    <row r="3351" spans="1:17" x14ac:dyDescent="0.2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7"/>
    </row>
    <row r="3352" spans="1:17" x14ac:dyDescent="0.2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7"/>
    </row>
    <row r="3353" spans="1:17" x14ac:dyDescent="0.2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7"/>
    </row>
    <row r="3354" spans="1:17" x14ac:dyDescent="0.2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7"/>
    </row>
    <row r="3355" spans="1:17" x14ac:dyDescent="0.2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7"/>
    </row>
    <row r="3356" spans="1:17" x14ac:dyDescent="0.2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7"/>
    </row>
    <row r="3357" spans="1:17" x14ac:dyDescent="0.2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7"/>
    </row>
    <row r="3358" spans="1:17" x14ac:dyDescent="0.2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7"/>
    </row>
    <row r="3359" spans="1:17" x14ac:dyDescent="0.2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7"/>
    </row>
    <row r="3360" spans="1:17" x14ac:dyDescent="0.2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7"/>
    </row>
    <row r="3361" spans="1:17" x14ac:dyDescent="0.2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7"/>
    </row>
    <row r="3362" spans="1:17" x14ac:dyDescent="0.2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7"/>
    </row>
    <row r="3363" spans="1:17" x14ac:dyDescent="0.2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7"/>
    </row>
    <row r="3364" spans="1:17" x14ac:dyDescent="0.2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7"/>
    </row>
    <row r="3365" spans="1:17" x14ac:dyDescent="0.2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7"/>
    </row>
    <row r="3366" spans="1:17" x14ac:dyDescent="0.2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7"/>
    </row>
    <row r="3367" spans="1:17" x14ac:dyDescent="0.2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7"/>
    </row>
    <row r="3368" spans="1:17" x14ac:dyDescent="0.2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7"/>
    </row>
    <row r="3369" spans="1:17" x14ac:dyDescent="0.2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7"/>
    </row>
    <row r="3370" spans="1:17" x14ac:dyDescent="0.2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7"/>
    </row>
    <row r="3371" spans="1:17" x14ac:dyDescent="0.2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7"/>
    </row>
    <row r="3372" spans="1:17" x14ac:dyDescent="0.2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7"/>
    </row>
    <row r="3373" spans="1:17" x14ac:dyDescent="0.2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7"/>
    </row>
    <row r="3374" spans="1:17" x14ac:dyDescent="0.2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7"/>
    </row>
    <row r="3375" spans="1:17" x14ac:dyDescent="0.2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7"/>
    </row>
    <row r="3376" spans="1:17" x14ac:dyDescent="0.2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7"/>
    </row>
    <row r="3377" spans="1:17" x14ac:dyDescent="0.2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7"/>
    </row>
    <row r="3378" spans="1:17" x14ac:dyDescent="0.2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7"/>
    </row>
    <row r="3379" spans="1:17" x14ac:dyDescent="0.2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7"/>
    </row>
    <row r="3380" spans="1:17" x14ac:dyDescent="0.2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7"/>
    </row>
    <row r="3381" spans="1:17" x14ac:dyDescent="0.2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7"/>
    </row>
    <row r="3382" spans="1:17" x14ac:dyDescent="0.2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7"/>
    </row>
    <row r="3383" spans="1:17" x14ac:dyDescent="0.2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7"/>
    </row>
    <row r="3384" spans="1:17" x14ac:dyDescent="0.2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7"/>
    </row>
    <row r="3385" spans="1:17" x14ac:dyDescent="0.2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7"/>
    </row>
    <row r="3386" spans="1:17" x14ac:dyDescent="0.2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7"/>
    </row>
    <row r="3387" spans="1:17" x14ac:dyDescent="0.2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7"/>
    </row>
    <row r="3388" spans="1:17" x14ac:dyDescent="0.2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7"/>
    </row>
    <row r="3389" spans="1:17" x14ac:dyDescent="0.2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7"/>
    </row>
    <row r="3390" spans="1:17" x14ac:dyDescent="0.2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7"/>
    </row>
    <row r="3391" spans="1:17" x14ac:dyDescent="0.2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7"/>
    </row>
    <row r="3392" spans="1:17" x14ac:dyDescent="0.2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7"/>
    </row>
    <row r="3393" spans="1:17" x14ac:dyDescent="0.2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7"/>
    </row>
    <row r="3394" spans="1:17" x14ac:dyDescent="0.2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7"/>
    </row>
    <row r="3395" spans="1:17" x14ac:dyDescent="0.2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7"/>
    </row>
    <row r="3396" spans="1:17" x14ac:dyDescent="0.2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7"/>
    </row>
    <row r="3397" spans="1:17" x14ac:dyDescent="0.2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7"/>
    </row>
    <row r="3398" spans="1:17" x14ac:dyDescent="0.2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7"/>
    </row>
    <row r="3399" spans="1:17" x14ac:dyDescent="0.2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7"/>
    </row>
    <row r="3400" spans="1:17" x14ac:dyDescent="0.2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7"/>
    </row>
    <row r="3401" spans="1:17" x14ac:dyDescent="0.2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7"/>
    </row>
    <row r="3402" spans="1:17" x14ac:dyDescent="0.2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7"/>
    </row>
    <row r="3403" spans="1:17" x14ac:dyDescent="0.2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7"/>
    </row>
    <row r="3404" spans="1:17" x14ac:dyDescent="0.2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7"/>
    </row>
    <row r="3405" spans="1:17" x14ac:dyDescent="0.2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7"/>
    </row>
    <row r="3406" spans="1:17" x14ac:dyDescent="0.2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7"/>
    </row>
    <row r="3407" spans="1:17" x14ac:dyDescent="0.2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7"/>
    </row>
    <row r="3408" spans="1:17" x14ac:dyDescent="0.2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7"/>
    </row>
    <row r="3409" spans="1:17" x14ac:dyDescent="0.2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7"/>
    </row>
    <row r="3410" spans="1:17" x14ac:dyDescent="0.2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7"/>
    </row>
    <row r="3411" spans="1:17" x14ac:dyDescent="0.2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7"/>
    </row>
    <row r="3412" spans="1:17" x14ac:dyDescent="0.2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7"/>
    </row>
    <row r="3413" spans="1:17" x14ac:dyDescent="0.2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7"/>
    </row>
    <row r="3414" spans="1:17" x14ac:dyDescent="0.2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7"/>
    </row>
    <row r="3415" spans="1:17" x14ac:dyDescent="0.2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7"/>
    </row>
    <row r="3416" spans="1:17" x14ac:dyDescent="0.2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7"/>
    </row>
    <row r="3417" spans="1:17" x14ac:dyDescent="0.2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7"/>
    </row>
    <row r="3418" spans="1:17" x14ac:dyDescent="0.2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7"/>
    </row>
    <row r="3419" spans="1:17" x14ac:dyDescent="0.2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7"/>
    </row>
    <row r="3420" spans="1:17" x14ac:dyDescent="0.2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7"/>
    </row>
    <row r="3421" spans="1:17" x14ac:dyDescent="0.2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7"/>
    </row>
    <row r="3422" spans="1:17" x14ac:dyDescent="0.2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7"/>
    </row>
    <row r="3423" spans="1:17" x14ac:dyDescent="0.2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7"/>
    </row>
    <row r="3424" spans="1:17" x14ac:dyDescent="0.2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7"/>
    </row>
    <row r="3425" spans="1:17" x14ac:dyDescent="0.2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7"/>
    </row>
    <row r="3426" spans="1:17" x14ac:dyDescent="0.2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7"/>
    </row>
    <row r="3427" spans="1:17" x14ac:dyDescent="0.2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7"/>
    </row>
    <row r="3428" spans="1:17" x14ac:dyDescent="0.2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7"/>
    </row>
    <row r="3429" spans="1:17" x14ac:dyDescent="0.2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7"/>
    </row>
    <row r="3430" spans="1:17" x14ac:dyDescent="0.2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7"/>
    </row>
    <row r="3431" spans="1:17" x14ac:dyDescent="0.2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7"/>
    </row>
    <row r="3432" spans="1:17" x14ac:dyDescent="0.2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7"/>
    </row>
    <row r="3433" spans="1:17" x14ac:dyDescent="0.2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7"/>
    </row>
    <row r="3434" spans="1:17" x14ac:dyDescent="0.2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7"/>
    </row>
    <row r="3435" spans="1:17" x14ac:dyDescent="0.2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7"/>
    </row>
    <row r="3436" spans="1:17" x14ac:dyDescent="0.2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7"/>
    </row>
    <row r="3437" spans="1:17" x14ac:dyDescent="0.2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7"/>
    </row>
    <row r="3438" spans="1:17" x14ac:dyDescent="0.2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7"/>
    </row>
    <row r="3439" spans="1:17" x14ac:dyDescent="0.2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7"/>
    </row>
    <row r="3440" spans="1:17" x14ac:dyDescent="0.2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7"/>
    </row>
    <row r="3441" spans="1:17" x14ac:dyDescent="0.2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7"/>
    </row>
    <row r="3442" spans="1:17" x14ac:dyDescent="0.2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7"/>
    </row>
    <row r="3443" spans="1:17" x14ac:dyDescent="0.2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7"/>
    </row>
    <row r="3444" spans="1:17" x14ac:dyDescent="0.2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7"/>
    </row>
    <row r="3445" spans="1:17" x14ac:dyDescent="0.2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7"/>
    </row>
    <row r="3446" spans="1:17" x14ac:dyDescent="0.2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7"/>
    </row>
    <row r="3447" spans="1:17" x14ac:dyDescent="0.2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7"/>
    </row>
    <row r="3448" spans="1:17" x14ac:dyDescent="0.2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7"/>
    </row>
    <row r="3449" spans="1:17" x14ac:dyDescent="0.2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7"/>
    </row>
    <row r="3450" spans="1:17" x14ac:dyDescent="0.2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7"/>
    </row>
    <row r="3451" spans="1:17" x14ac:dyDescent="0.2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7"/>
    </row>
    <row r="3452" spans="1:17" x14ac:dyDescent="0.2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7"/>
    </row>
    <row r="3453" spans="1:17" x14ac:dyDescent="0.2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7"/>
    </row>
    <row r="3454" spans="1:17" x14ac:dyDescent="0.2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7"/>
    </row>
    <row r="3455" spans="1:17" x14ac:dyDescent="0.2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7"/>
    </row>
    <row r="3456" spans="1:17" x14ac:dyDescent="0.2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7"/>
    </row>
    <row r="3457" spans="1:17" x14ac:dyDescent="0.2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7"/>
    </row>
    <row r="3458" spans="1:17" x14ac:dyDescent="0.2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7"/>
    </row>
    <row r="3459" spans="1:17" x14ac:dyDescent="0.2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7"/>
    </row>
    <row r="3460" spans="1:17" x14ac:dyDescent="0.2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7"/>
    </row>
    <row r="3461" spans="1:17" x14ac:dyDescent="0.2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7"/>
    </row>
    <row r="3462" spans="1:17" x14ac:dyDescent="0.2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7"/>
    </row>
    <row r="3463" spans="1:17" x14ac:dyDescent="0.2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7"/>
    </row>
    <row r="3464" spans="1:17" x14ac:dyDescent="0.2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7"/>
    </row>
    <row r="3465" spans="1:17" x14ac:dyDescent="0.2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7"/>
    </row>
    <row r="3466" spans="1:17" x14ac:dyDescent="0.2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7"/>
    </row>
    <row r="3467" spans="1:17" x14ac:dyDescent="0.2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7"/>
    </row>
    <row r="3468" spans="1:17" x14ac:dyDescent="0.2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7"/>
    </row>
    <row r="3469" spans="1:17" x14ac:dyDescent="0.2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7"/>
    </row>
    <row r="3470" spans="1:17" x14ac:dyDescent="0.2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7"/>
    </row>
    <row r="3471" spans="1:17" x14ac:dyDescent="0.2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7"/>
    </row>
    <row r="3472" spans="1:17" x14ac:dyDescent="0.2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7"/>
    </row>
    <row r="3473" spans="1:17" x14ac:dyDescent="0.2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7"/>
    </row>
    <row r="3474" spans="1:17" x14ac:dyDescent="0.2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7"/>
    </row>
    <row r="3475" spans="1:17" x14ac:dyDescent="0.2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7"/>
    </row>
    <row r="3476" spans="1:17" x14ac:dyDescent="0.2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7"/>
    </row>
    <row r="3477" spans="1:17" x14ac:dyDescent="0.2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7"/>
    </row>
    <row r="3478" spans="1:17" x14ac:dyDescent="0.2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7"/>
    </row>
    <row r="3479" spans="1:17" x14ac:dyDescent="0.2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7"/>
    </row>
    <row r="3480" spans="1:17" x14ac:dyDescent="0.2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7"/>
    </row>
    <row r="3481" spans="1:17" x14ac:dyDescent="0.2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7"/>
    </row>
    <row r="3482" spans="1:17" x14ac:dyDescent="0.2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7"/>
    </row>
    <row r="3483" spans="1:17" x14ac:dyDescent="0.2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7"/>
    </row>
    <row r="3484" spans="1:17" x14ac:dyDescent="0.2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7"/>
    </row>
    <row r="3485" spans="1:17" x14ac:dyDescent="0.2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7"/>
    </row>
    <row r="3486" spans="1:17" x14ac:dyDescent="0.2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7"/>
    </row>
    <row r="3487" spans="1:17" x14ac:dyDescent="0.2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7"/>
    </row>
    <row r="3488" spans="1:17" x14ac:dyDescent="0.2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7"/>
    </row>
    <row r="3489" spans="1:17" x14ac:dyDescent="0.2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7"/>
    </row>
    <row r="3490" spans="1:17" x14ac:dyDescent="0.2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7"/>
    </row>
    <row r="3491" spans="1:17" x14ac:dyDescent="0.2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7"/>
    </row>
    <row r="3492" spans="1:17" x14ac:dyDescent="0.2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7"/>
    </row>
    <row r="3493" spans="1:17" x14ac:dyDescent="0.2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7"/>
    </row>
    <row r="3494" spans="1:17" x14ac:dyDescent="0.2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7"/>
    </row>
    <row r="3495" spans="1:17" x14ac:dyDescent="0.2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7"/>
    </row>
    <row r="3496" spans="1:17" x14ac:dyDescent="0.2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7"/>
    </row>
    <row r="3497" spans="1:17" x14ac:dyDescent="0.2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7"/>
    </row>
    <row r="3498" spans="1:17" x14ac:dyDescent="0.2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7"/>
    </row>
    <row r="3499" spans="1:17" x14ac:dyDescent="0.2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7"/>
    </row>
    <row r="3500" spans="1:17" x14ac:dyDescent="0.2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7"/>
    </row>
    <row r="3501" spans="1:17" x14ac:dyDescent="0.2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7"/>
    </row>
    <row r="3502" spans="1:17" x14ac:dyDescent="0.2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7"/>
    </row>
    <row r="3503" spans="1:17" x14ac:dyDescent="0.2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7"/>
    </row>
    <row r="3504" spans="1:17" x14ac:dyDescent="0.2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7"/>
    </row>
    <row r="3505" spans="1:17" x14ac:dyDescent="0.2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7"/>
    </row>
    <row r="3506" spans="1:17" x14ac:dyDescent="0.2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7"/>
    </row>
    <row r="3507" spans="1:17" x14ac:dyDescent="0.2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7"/>
    </row>
    <row r="3508" spans="1:17" x14ac:dyDescent="0.2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7"/>
    </row>
    <row r="3509" spans="1:17" x14ac:dyDescent="0.2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7"/>
    </row>
    <row r="3510" spans="1:17" x14ac:dyDescent="0.2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7"/>
    </row>
    <row r="3511" spans="1:17" x14ac:dyDescent="0.2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7"/>
    </row>
    <row r="3512" spans="1:17" x14ac:dyDescent="0.2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7"/>
    </row>
    <row r="3513" spans="1:17" x14ac:dyDescent="0.2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7"/>
    </row>
    <row r="3514" spans="1:17" x14ac:dyDescent="0.2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7"/>
    </row>
    <row r="3515" spans="1:17" x14ac:dyDescent="0.2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7"/>
    </row>
    <row r="3516" spans="1:17" x14ac:dyDescent="0.2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7"/>
    </row>
    <row r="3517" spans="1:17" x14ac:dyDescent="0.2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7"/>
    </row>
    <row r="3518" spans="1:17" x14ac:dyDescent="0.2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7"/>
    </row>
    <row r="3519" spans="1:17" x14ac:dyDescent="0.2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7"/>
    </row>
    <row r="3520" spans="1:17" x14ac:dyDescent="0.2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7"/>
    </row>
    <row r="3521" spans="1:17" x14ac:dyDescent="0.2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7"/>
    </row>
    <row r="3522" spans="1:17" x14ac:dyDescent="0.2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7"/>
    </row>
    <row r="3523" spans="1:17" x14ac:dyDescent="0.2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7"/>
    </row>
    <row r="3524" spans="1:17" x14ac:dyDescent="0.2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7"/>
    </row>
    <row r="3525" spans="1:17" x14ac:dyDescent="0.2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7"/>
    </row>
    <row r="3526" spans="1:17" x14ac:dyDescent="0.2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7"/>
    </row>
    <row r="3527" spans="1:17" x14ac:dyDescent="0.2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7"/>
    </row>
    <row r="3528" spans="1:17" x14ac:dyDescent="0.2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7"/>
    </row>
    <row r="3529" spans="1:17" x14ac:dyDescent="0.2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7"/>
    </row>
    <row r="3530" spans="1:17" x14ac:dyDescent="0.2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7"/>
    </row>
    <row r="3531" spans="1:17" x14ac:dyDescent="0.2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7"/>
    </row>
    <row r="3532" spans="1:17" x14ac:dyDescent="0.2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7"/>
    </row>
    <row r="3533" spans="1:17" x14ac:dyDescent="0.2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7"/>
    </row>
    <row r="3534" spans="1:17" x14ac:dyDescent="0.2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7"/>
    </row>
    <row r="3535" spans="1:17" x14ac:dyDescent="0.2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7"/>
    </row>
    <row r="3536" spans="1:17" x14ac:dyDescent="0.2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7"/>
    </row>
    <row r="3537" spans="1:17" x14ac:dyDescent="0.2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7"/>
    </row>
    <row r="3538" spans="1:17" x14ac:dyDescent="0.2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7"/>
    </row>
    <row r="3539" spans="1:17" x14ac:dyDescent="0.2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7"/>
    </row>
    <row r="3540" spans="1:17" x14ac:dyDescent="0.2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7"/>
    </row>
    <row r="3541" spans="1:17" x14ac:dyDescent="0.2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7"/>
    </row>
    <row r="3542" spans="1:17" x14ac:dyDescent="0.2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7"/>
    </row>
    <row r="3543" spans="1:17" x14ac:dyDescent="0.2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7"/>
    </row>
    <row r="3544" spans="1:17" x14ac:dyDescent="0.2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7"/>
    </row>
    <row r="3545" spans="1:17" x14ac:dyDescent="0.2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7"/>
    </row>
    <row r="3546" spans="1:17" x14ac:dyDescent="0.2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7"/>
    </row>
    <row r="3547" spans="1:17" x14ac:dyDescent="0.2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7"/>
    </row>
    <row r="3548" spans="1:17" x14ac:dyDescent="0.2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7"/>
    </row>
    <row r="3549" spans="1:17" x14ac:dyDescent="0.2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7"/>
    </row>
    <row r="3550" spans="1:17" x14ac:dyDescent="0.2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7"/>
    </row>
    <row r="3551" spans="1:17" x14ac:dyDescent="0.2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7"/>
    </row>
    <row r="3552" spans="1:17" x14ac:dyDescent="0.2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7"/>
    </row>
    <row r="3553" spans="1:17" x14ac:dyDescent="0.2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7"/>
    </row>
    <row r="3554" spans="1:17" x14ac:dyDescent="0.2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7"/>
    </row>
    <row r="3555" spans="1:17" x14ac:dyDescent="0.2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7"/>
    </row>
    <row r="3556" spans="1:17" x14ac:dyDescent="0.2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7"/>
    </row>
    <row r="3557" spans="1:17" x14ac:dyDescent="0.2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7"/>
    </row>
    <row r="3558" spans="1:17" x14ac:dyDescent="0.2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7"/>
    </row>
    <row r="3559" spans="1:17" x14ac:dyDescent="0.2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7"/>
    </row>
    <row r="3560" spans="1:17" x14ac:dyDescent="0.2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7"/>
    </row>
    <row r="3561" spans="1:17" x14ac:dyDescent="0.2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7"/>
    </row>
    <row r="3562" spans="1:17" x14ac:dyDescent="0.2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7"/>
    </row>
    <row r="3563" spans="1:17" x14ac:dyDescent="0.2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7"/>
    </row>
    <row r="3564" spans="1:17" x14ac:dyDescent="0.2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7"/>
    </row>
    <row r="3565" spans="1:17" x14ac:dyDescent="0.2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7"/>
    </row>
    <row r="3566" spans="1:17" x14ac:dyDescent="0.2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7"/>
    </row>
    <row r="3567" spans="1:17" x14ac:dyDescent="0.2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7"/>
    </row>
    <row r="3568" spans="1:17" x14ac:dyDescent="0.2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7"/>
    </row>
    <row r="3569" spans="1:17" x14ac:dyDescent="0.2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7"/>
    </row>
    <row r="3570" spans="1:17" x14ac:dyDescent="0.2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7"/>
    </row>
    <row r="3571" spans="1:17" x14ac:dyDescent="0.2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7"/>
    </row>
    <row r="3572" spans="1:17" x14ac:dyDescent="0.2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7"/>
    </row>
    <row r="3573" spans="1:17" x14ac:dyDescent="0.2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7"/>
    </row>
    <row r="3574" spans="1:17" x14ac:dyDescent="0.2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7"/>
    </row>
    <row r="3575" spans="1:17" x14ac:dyDescent="0.2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7"/>
    </row>
    <row r="3576" spans="1:17" x14ac:dyDescent="0.2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7"/>
    </row>
    <row r="3577" spans="1:17" x14ac:dyDescent="0.2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7"/>
    </row>
    <row r="3578" spans="1:17" x14ac:dyDescent="0.2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7"/>
    </row>
    <row r="3579" spans="1:17" x14ac:dyDescent="0.2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7"/>
    </row>
    <row r="3580" spans="1:17" x14ac:dyDescent="0.2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7"/>
    </row>
    <row r="3581" spans="1:17" x14ac:dyDescent="0.2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7"/>
    </row>
    <row r="3582" spans="1:17" x14ac:dyDescent="0.2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7"/>
    </row>
    <row r="3583" spans="1:17" x14ac:dyDescent="0.2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7"/>
    </row>
    <row r="3584" spans="1:17" x14ac:dyDescent="0.2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7"/>
    </row>
    <row r="3585" spans="1:17" x14ac:dyDescent="0.2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7"/>
    </row>
    <row r="3586" spans="1:17" x14ac:dyDescent="0.2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7"/>
    </row>
    <row r="3587" spans="1:17" x14ac:dyDescent="0.2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7"/>
    </row>
    <row r="3588" spans="1:17" x14ac:dyDescent="0.2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7"/>
    </row>
    <row r="3589" spans="1:17" x14ac:dyDescent="0.2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7"/>
    </row>
    <row r="3590" spans="1:17" x14ac:dyDescent="0.2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7"/>
    </row>
    <row r="3591" spans="1:17" x14ac:dyDescent="0.2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7"/>
    </row>
    <row r="3592" spans="1:17" x14ac:dyDescent="0.2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7"/>
    </row>
    <row r="3593" spans="1:17" x14ac:dyDescent="0.2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7"/>
    </row>
    <row r="3594" spans="1:17" x14ac:dyDescent="0.2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7"/>
    </row>
    <row r="3595" spans="1:17" x14ac:dyDescent="0.2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7"/>
    </row>
    <row r="3596" spans="1:17" x14ac:dyDescent="0.2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7"/>
    </row>
    <row r="3597" spans="1:17" x14ac:dyDescent="0.2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7"/>
    </row>
    <row r="3598" spans="1:17" x14ac:dyDescent="0.2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7"/>
    </row>
    <row r="3599" spans="1:17" x14ac:dyDescent="0.2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7"/>
    </row>
    <row r="3600" spans="1:17" x14ac:dyDescent="0.2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7"/>
    </row>
    <row r="3601" spans="1:17" x14ac:dyDescent="0.2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7"/>
    </row>
    <row r="3602" spans="1:17" x14ac:dyDescent="0.2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7"/>
    </row>
    <row r="3603" spans="1:17" x14ac:dyDescent="0.2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7"/>
    </row>
    <row r="3604" spans="1:17" x14ac:dyDescent="0.2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7"/>
    </row>
    <row r="3605" spans="1:17" x14ac:dyDescent="0.2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7"/>
    </row>
    <row r="3606" spans="1:17" x14ac:dyDescent="0.2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7"/>
    </row>
    <row r="3607" spans="1:17" x14ac:dyDescent="0.2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7"/>
    </row>
    <row r="3608" spans="1:17" x14ac:dyDescent="0.2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7"/>
    </row>
    <row r="3609" spans="1:17" x14ac:dyDescent="0.2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7"/>
    </row>
    <row r="3610" spans="1:17" x14ac:dyDescent="0.2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7"/>
    </row>
    <row r="3611" spans="1:17" x14ac:dyDescent="0.2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7"/>
    </row>
    <row r="3612" spans="1:17" x14ac:dyDescent="0.2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7"/>
    </row>
    <row r="3613" spans="1:17" x14ac:dyDescent="0.2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7"/>
    </row>
    <row r="3614" spans="1:17" x14ac:dyDescent="0.2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7"/>
    </row>
    <row r="3615" spans="1:17" x14ac:dyDescent="0.2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7"/>
    </row>
    <row r="3616" spans="1:17" x14ac:dyDescent="0.2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7"/>
    </row>
    <row r="3617" spans="1:17" x14ac:dyDescent="0.2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7"/>
    </row>
    <row r="3618" spans="1:17" x14ac:dyDescent="0.2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7"/>
    </row>
    <row r="3619" spans="1:17" x14ac:dyDescent="0.2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7"/>
    </row>
    <row r="3620" spans="1:17" x14ac:dyDescent="0.2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7"/>
    </row>
    <row r="3621" spans="1:17" x14ac:dyDescent="0.2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7"/>
    </row>
    <row r="3622" spans="1:17" x14ac:dyDescent="0.2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7"/>
    </row>
    <row r="3623" spans="1:17" x14ac:dyDescent="0.2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7"/>
    </row>
    <row r="3624" spans="1:17" x14ac:dyDescent="0.2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7"/>
    </row>
    <row r="3625" spans="1:17" x14ac:dyDescent="0.2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7"/>
    </row>
    <row r="3626" spans="1:17" x14ac:dyDescent="0.2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7"/>
    </row>
    <row r="3627" spans="1:17" x14ac:dyDescent="0.2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7"/>
    </row>
    <row r="3628" spans="1:17" x14ac:dyDescent="0.2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7"/>
    </row>
    <row r="3629" spans="1:17" x14ac:dyDescent="0.2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7"/>
    </row>
    <row r="3630" spans="1:17" x14ac:dyDescent="0.2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7"/>
    </row>
    <row r="3631" spans="1:17" x14ac:dyDescent="0.2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7"/>
    </row>
    <row r="3632" spans="1:17" x14ac:dyDescent="0.2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7"/>
    </row>
    <row r="3633" spans="1:17" x14ac:dyDescent="0.2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7"/>
    </row>
    <row r="3634" spans="1:17" x14ac:dyDescent="0.2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7"/>
    </row>
    <row r="3635" spans="1:17" x14ac:dyDescent="0.2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7"/>
    </row>
    <row r="3636" spans="1:17" x14ac:dyDescent="0.2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7"/>
    </row>
    <row r="3637" spans="1:17" x14ac:dyDescent="0.2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7"/>
    </row>
    <row r="3638" spans="1:17" x14ac:dyDescent="0.2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7"/>
    </row>
    <row r="3639" spans="1:17" x14ac:dyDescent="0.2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7"/>
    </row>
    <row r="3640" spans="1:17" x14ac:dyDescent="0.2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7"/>
    </row>
    <row r="3641" spans="1:17" x14ac:dyDescent="0.2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7"/>
    </row>
    <row r="3642" spans="1:17" x14ac:dyDescent="0.2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7"/>
    </row>
    <row r="3643" spans="1:17" x14ac:dyDescent="0.2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7"/>
    </row>
    <row r="3644" spans="1:17" x14ac:dyDescent="0.2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7"/>
    </row>
    <row r="3645" spans="1:17" x14ac:dyDescent="0.2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7"/>
    </row>
    <row r="3646" spans="1:17" x14ac:dyDescent="0.2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7"/>
    </row>
    <row r="3647" spans="1:17" x14ac:dyDescent="0.2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7"/>
    </row>
    <row r="3648" spans="1:17" x14ac:dyDescent="0.2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7"/>
    </row>
    <row r="3649" spans="1:17" x14ac:dyDescent="0.2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7"/>
    </row>
    <row r="3650" spans="1:17" x14ac:dyDescent="0.2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7"/>
    </row>
    <row r="3651" spans="1:17" x14ac:dyDescent="0.2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7"/>
    </row>
    <row r="3652" spans="1:17" x14ac:dyDescent="0.2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7"/>
    </row>
    <row r="3653" spans="1:17" x14ac:dyDescent="0.2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7"/>
    </row>
    <row r="3654" spans="1:17" x14ac:dyDescent="0.2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7"/>
    </row>
    <row r="3655" spans="1:17" x14ac:dyDescent="0.2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7"/>
    </row>
    <row r="3656" spans="1:17" x14ac:dyDescent="0.2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7"/>
    </row>
    <row r="3657" spans="1:17" x14ac:dyDescent="0.2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7"/>
    </row>
    <row r="3658" spans="1:17" x14ac:dyDescent="0.2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7"/>
    </row>
    <row r="3659" spans="1:17" x14ac:dyDescent="0.2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7"/>
    </row>
    <row r="3660" spans="1:17" x14ac:dyDescent="0.2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7"/>
    </row>
    <row r="3661" spans="1:17" x14ac:dyDescent="0.2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7"/>
    </row>
    <row r="3662" spans="1:17" x14ac:dyDescent="0.2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7"/>
    </row>
    <row r="3663" spans="1:17" x14ac:dyDescent="0.2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7"/>
    </row>
    <row r="3664" spans="1:17" x14ac:dyDescent="0.2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7"/>
    </row>
    <row r="3665" spans="1:17" x14ac:dyDescent="0.2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7"/>
    </row>
    <row r="3666" spans="1:17" x14ac:dyDescent="0.2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7"/>
    </row>
    <row r="3667" spans="1:17" x14ac:dyDescent="0.2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7"/>
    </row>
    <row r="3668" spans="1:17" x14ac:dyDescent="0.2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7"/>
    </row>
    <row r="3669" spans="1:17" x14ac:dyDescent="0.2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7"/>
    </row>
    <row r="3670" spans="1:17" x14ac:dyDescent="0.2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7"/>
    </row>
    <row r="3671" spans="1:17" x14ac:dyDescent="0.2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7"/>
    </row>
    <row r="3672" spans="1:17" x14ac:dyDescent="0.2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7"/>
    </row>
    <row r="3673" spans="1:17" x14ac:dyDescent="0.2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7"/>
    </row>
    <row r="3674" spans="1:17" x14ac:dyDescent="0.2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7"/>
    </row>
    <row r="3675" spans="1:17" x14ac:dyDescent="0.2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7"/>
    </row>
    <row r="3676" spans="1:17" x14ac:dyDescent="0.2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7"/>
    </row>
    <row r="3677" spans="1:17" x14ac:dyDescent="0.2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7"/>
    </row>
    <row r="3678" spans="1:17" x14ac:dyDescent="0.2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7"/>
    </row>
    <row r="3679" spans="1:17" x14ac:dyDescent="0.2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7"/>
    </row>
    <row r="3680" spans="1:17" x14ac:dyDescent="0.2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7"/>
    </row>
    <row r="3681" spans="1:17" x14ac:dyDescent="0.2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7"/>
    </row>
    <row r="3682" spans="1:17" x14ac:dyDescent="0.2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7"/>
    </row>
    <row r="3683" spans="1:17" x14ac:dyDescent="0.2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7"/>
    </row>
    <row r="3684" spans="1:17" x14ac:dyDescent="0.2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7"/>
    </row>
    <row r="3685" spans="1:17" x14ac:dyDescent="0.2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7"/>
    </row>
    <row r="3686" spans="1:17" x14ac:dyDescent="0.2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7"/>
    </row>
    <row r="3687" spans="1:17" x14ac:dyDescent="0.2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7"/>
    </row>
    <row r="3688" spans="1:17" x14ac:dyDescent="0.2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7"/>
    </row>
    <row r="3689" spans="1:17" x14ac:dyDescent="0.2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7"/>
    </row>
    <row r="3690" spans="1:17" x14ac:dyDescent="0.2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7"/>
    </row>
    <row r="3691" spans="1:17" x14ac:dyDescent="0.2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7"/>
    </row>
    <row r="3692" spans="1:17" x14ac:dyDescent="0.2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7"/>
    </row>
    <row r="3693" spans="1:17" x14ac:dyDescent="0.2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7"/>
    </row>
    <row r="3694" spans="1:17" x14ac:dyDescent="0.2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7"/>
    </row>
    <row r="3695" spans="1:17" x14ac:dyDescent="0.2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7"/>
    </row>
    <row r="3696" spans="1:17" x14ac:dyDescent="0.2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7"/>
    </row>
    <row r="3697" spans="1:17" x14ac:dyDescent="0.2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7"/>
    </row>
    <row r="3698" spans="1:17" x14ac:dyDescent="0.2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7"/>
    </row>
    <row r="3699" spans="1:17" x14ac:dyDescent="0.2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7"/>
    </row>
    <row r="3700" spans="1:17" x14ac:dyDescent="0.2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7"/>
    </row>
    <row r="3701" spans="1:17" x14ac:dyDescent="0.2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7"/>
    </row>
    <row r="3702" spans="1:17" x14ac:dyDescent="0.2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7"/>
    </row>
    <row r="3703" spans="1:17" x14ac:dyDescent="0.2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7"/>
    </row>
    <row r="3704" spans="1:17" x14ac:dyDescent="0.2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7"/>
    </row>
    <row r="3705" spans="1:17" x14ac:dyDescent="0.2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7"/>
    </row>
    <row r="3706" spans="1:17" x14ac:dyDescent="0.2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7"/>
    </row>
    <row r="3707" spans="1:17" x14ac:dyDescent="0.2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7"/>
    </row>
    <row r="3708" spans="1:17" x14ac:dyDescent="0.2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7"/>
    </row>
    <row r="3709" spans="1:17" x14ac:dyDescent="0.2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7"/>
    </row>
    <row r="3710" spans="1:17" x14ac:dyDescent="0.2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7"/>
    </row>
    <row r="3711" spans="1:17" x14ac:dyDescent="0.2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7"/>
    </row>
    <row r="3712" spans="1:17" x14ac:dyDescent="0.2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7"/>
    </row>
    <row r="3713" spans="1:17" x14ac:dyDescent="0.2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7"/>
    </row>
    <row r="3714" spans="1:17" x14ac:dyDescent="0.2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7"/>
    </row>
    <row r="3715" spans="1:17" x14ac:dyDescent="0.2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7"/>
    </row>
    <row r="3716" spans="1:17" x14ac:dyDescent="0.2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7"/>
    </row>
    <row r="3717" spans="1:17" x14ac:dyDescent="0.2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7"/>
    </row>
    <row r="3718" spans="1:17" x14ac:dyDescent="0.2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7"/>
    </row>
    <row r="3719" spans="1:17" x14ac:dyDescent="0.2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7"/>
    </row>
    <row r="3720" spans="1:17" x14ac:dyDescent="0.2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7"/>
    </row>
    <row r="3721" spans="1:17" x14ac:dyDescent="0.2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7"/>
    </row>
    <row r="3722" spans="1:17" x14ac:dyDescent="0.2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7"/>
    </row>
    <row r="3723" spans="1:17" x14ac:dyDescent="0.2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7"/>
    </row>
    <row r="3724" spans="1:17" x14ac:dyDescent="0.2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7"/>
    </row>
    <row r="3725" spans="1:17" x14ac:dyDescent="0.2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7"/>
    </row>
    <row r="3726" spans="1:17" x14ac:dyDescent="0.2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7"/>
    </row>
    <row r="3727" spans="1:17" x14ac:dyDescent="0.2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7"/>
    </row>
    <row r="3728" spans="1:17" x14ac:dyDescent="0.2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7"/>
    </row>
    <row r="3729" spans="1:17" x14ac:dyDescent="0.2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7"/>
    </row>
    <row r="3730" spans="1:17" x14ac:dyDescent="0.2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7"/>
    </row>
    <row r="3731" spans="1:17" x14ac:dyDescent="0.2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7"/>
    </row>
    <row r="3732" spans="1:17" x14ac:dyDescent="0.2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7"/>
    </row>
    <row r="3733" spans="1:17" x14ac:dyDescent="0.2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7"/>
    </row>
    <row r="3734" spans="1:17" x14ac:dyDescent="0.2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7"/>
    </row>
    <row r="3735" spans="1:17" x14ac:dyDescent="0.2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7"/>
    </row>
    <row r="3736" spans="1:17" x14ac:dyDescent="0.2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7"/>
    </row>
    <row r="3737" spans="1:17" x14ac:dyDescent="0.2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7"/>
    </row>
    <row r="3738" spans="1:17" x14ac:dyDescent="0.2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7"/>
    </row>
    <row r="3739" spans="1:17" x14ac:dyDescent="0.2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7"/>
    </row>
    <row r="3740" spans="1:17" x14ac:dyDescent="0.2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7"/>
    </row>
    <row r="3741" spans="1:17" x14ac:dyDescent="0.2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7"/>
    </row>
    <row r="3742" spans="1:17" x14ac:dyDescent="0.2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7"/>
    </row>
    <row r="3743" spans="1:17" x14ac:dyDescent="0.2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7"/>
    </row>
    <row r="3744" spans="1:17" x14ac:dyDescent="0.2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7"/>
    </row>
    <row r="3745" spans="1:17" x14ac:dyDescent="0.2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7"/>
    </row>
    <row r="3746" spans="1:17" x14ac:dyDescent="0.2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7"/>
    </row>
    <row r="3747" spans="1:17" x14ac:dyDescent="0.2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7"/>
    </row>
    <row r="3748" spans="1:17" x14ac:dyDescent="0.2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7"/>
    </row>
    <row r="3749" spans="1:17" x14ac:dyDescent="0.2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7"/>
    </row>
    <row r="3750" spans="1:17" x14ac:dyDescent="0.2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7"/>
    </row>
    <row r="3751" spans="1:17" x14ac:dyDescent="0.2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7"/>
    </row>
    <row r="3752" spans="1:17" x14ac:dyDescent="0.2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7"/>
    </row>
    <row r="3753" spans="1:17" x14ac:dyDescent="0.2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7"/>
    </row>
    <row r="3754" spans="1:17" x14ac:dyDescent="0.2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7"/>
    </row>
    <row r="3755" spans="1:17" x14ac:dyDescent="0.2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7"/>
    </row>
    <row r="3756" spans="1:17" x14ac:dyDescent="0.2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7"/>
    </row>
    <row r="3757" spans="1:17" x14ac:dyDescent="0.2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7"/>
    </row>
    <row r="3758" spans="1:17" x14ac:dyDescent="0.2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7"/>
    </row>
    <row r="3759" spans="1:17" x14ac:dyDescent="0.2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7"/>
    </row>
    <row r="3760" spans="1:17" x14ac:dyDescent="0.2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7"/>
    </row>
    <row r="3761" spans="1:17" x14ac:dyDescent="0.2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7"/>
    </row>
    <row r="3762" spans="1:17" x14ac:dyDescent="0.2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7"/>
    </row>
    <row r="3763" spans="1:17" x14ac:dyDescent="0.2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7"/>
    </row>
    <row r="3764" spans="1:17" x14ac:dyDescent="0.2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7"/>
    </row>
    <row r="3765" spans="1:17" x14ac:dyDescent="0.2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7"/>
    </row>
    <row r="3766" spans="1:17" x14ac:dyDescent="0.2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7"/>
    </row>
    <row r="3767" spans="1:17" x14ac:dyDescent="0.2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7"/>
    </row>
    <row r="3768" spans="1:17" x14ac:dyDescent="0.2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7"/>
    </row>
    <row r="3769" spans="1:17" x14ac:dyDescent="0.2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7"/>
    </row>
    <row r="3770" spans="1:17" x14ac:dyDescent="0.2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7"/>
    </row>
    <row r="3771" spans="1:17" x14ac:dyDescent="0.2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7"/>
    </row>
    <row r="3772" spans="1:17" x14ac:dyDescent="0.2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7"/>
    </row>
    <row r="3773" spans="1:17" x14ac:dyDescent="0.2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7"/>
    </row>
    <row r="3774" spans="1:17" x14ac:dyDescent="0.2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7"/>
    </row>
    <row r="3775" spans="1:17" x14ac:dyDescent="0.2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7"/>
    </row>
    <row r="3776" spans="1:17" x14ac:dyDescent="0.2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7"/>
    </row>
    <row r="3777" spans="1:17" x14ac:dyDescent="0.2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7"/>
    </row>
    <row r="3778" spans="1:17" x14ac:dyDescent="0.2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7"/>
    </row>
    <row r="3779" spans="1:17" x14ac:dyDescent="0.2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7"/>
    </row>
    <row r="3780" spans="1:17" x14ac:dyDescent="0.2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7"/>
    </row>
    <row r="3781" spans="1:17" x14ac:dyDescent="0.2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7"/>
    </row>
    <row r="3782" spans="1:17" x14ac:dyDescent="0.2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7"/>
    </row>
    <row r="3783" spans="1:17" x14ac:dyDescent="0.2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7"/>
    </row>
    <row r="3784" spans="1:17" x14ac:dyDescent="0.2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7"/>
    </row>
    <row r="3785" spans="1:17" x14ac:dyDescent="0.2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7"/>
    </row>
    <row r="3786" spans="1:17" x14ac:dyDescent="0.2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7"/>
    </row>
    <row r="3787" spans="1:17" x14ac:dyDescent="0.2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7"/>
    </row>
    <row r="3788" spans="1:17" x14ac:dyDescent="0.2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7"/>
    </row>
    <row r="3789" spans="1:17" x14ac:dyDescent="0.2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7"/>
    </row>
    <row r="3790" spans="1:17" x14ac:dyDescent="0.2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7"/>
    </row>
    <row r="3791" spans="1:17" x14ac:dyDescent="0.2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7"/>
    </row>
    <row r="3792" spans="1:17" x14ac:dyDescent="0.2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7"/>
    </row>
    <row r="3793" spans="1:17" x14ac:dyDescent="0.2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7"/>
    </row>
    <row r="3794" spans="1:17" x14ac:dyDescent="0.2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7"/>
    </row>
    <row r="3795" spans="1:17" x14ac:dyDescent="0.2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7"/>
    </row>
    <row r="3796" spans="1:17" x14ac:dyDescent="0.2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7"/>
    </row>
    <row r="3797" spans="1:17" x14ac:dyDescent="0.2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7"/>
    </row>
    <row r="3798" spans="1:17" x14ac:dyDescent="0.2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7"/>
    </row>
    <row r="3799" spans="1:17" x14ac:dyDescent="0.2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7"/>
    </row>
    <row r="3800" spans="1:17" x14ac:dyDescent="0.2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7"/>
    </row>
    <row r="3801" spans="1:17" x14ac:dyDescent="0.2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7"/>
    </row>
    <row r="3802" spans="1:17" x14ac:dyDescent="0.2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7"/>
    </row>
    <row r="3803" spans="1:17" x14ac:dyDescent="0.2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7"/>
    </row>
    <row r="3804" spans="1:17" x14ac:dyDescent="0.2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7"/>
    </row>
    <row r="3805" spans="1:17" x14ac:dyDescent="0.2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7"/>
    </row>
    <row r="3806" spans="1:17" x14ac:dyDescent="0.2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7"/>
    </row>
    <row r="3807" spans="1:17" x14ac:dyDescent="0.2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7"/>
    </row>
    <row r="3808" spans="1:17" x14ac:dyDescent="0.2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7"/>
    </row>
    <row r="3809" spans="1:17" x14ac:dyDescent="0.2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7"/>
    </row>
    <row r="3810" spans="1:17" x14ac:dyDescent="0.2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7"/>
    </row>
    <row r="3811" spans="1:17" x14ac:dyDescent="0.2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7"/>
    </row>
    <row r="3812" spans="1:17" x14ac:dyDescent="0.2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7"/>
    </row>
    <row r="3813" spans="1:17" x14ac:dyDescent="0.2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7"/>
    </row>
    <row r="3814" spans="1:17" x14ac:dyDescent="0.2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7"/>
    </row>
    <row r="3815" spans="1:17" x14ac:dyDescent="0.2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7"/>
    </row>
    <row r="3816" spans="1:17" x14ac:dyDescent="0.2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7"/>
    </row>
    <row r="3817" spans="1:17" x14ac:dyDescent="0.2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7"/>
    </row>
    <row r="3818" spans="1:17" x14ac:dyDescent="0.2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7"/>
    </row>
    <row r="3819" spans="1:17" x14ac:dyDescent="0.2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7"/>
    </row>
    <row r="3820" spans="1:17" x14ac:dyDescent="0.2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7"/>
    </row>
    <row r="3821" spans="1:17" x14ac:dyDescent="0.2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7"/>
    </row>
    <row r="3822" spans="1:17" x14ac:dyDescent="0.2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7"/>
    </row>
    <row r="3823" spans="1:17" x14ac:dyDescent="0.2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7"/>
    </row>
    <row r="3824" spans="1:17" x14ac:dyDescent="0.2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7"/>
    </row>
    <row r="3825" spans="1:17" x14ac:dyDescent="0.2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7"/>
    </row>
    <row r="3826" spans="1:17" x14ac:dyDescent="0.2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7"/>
    </row>
    <row r="3827" spans="1:17" x14ac:dyDescent="0.2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7"/>
    </row>
    <row r="3828" spans="1:17" x14ac:dyDescent="0.2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7"/>
    </row>
    <row r="3829" spans="1:17" x14ac:dyDescent="0.2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7"/>
    </row>
    <row r="3830" spans="1:17" x14ac:dyDescent="0.2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7"/>
    </row>
    <row r="3831" spans="1:17" x14ac:dyDescent="0.2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7"/>
    </row>
    <row r="3832" spans="1:17" x14ac:dyDescent="0.2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7"/>
    </row>
    <row r="3833" spans="1:17" x14ac:dyDescent="0.2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7"/>
    </row>
    <row r="3834" spans="1:17" x14ac:dyDescent="0.2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7"/>
    </row>
    <row r="3835" spans="1:17" x14ac:dyDescent="0.2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7"/>
    </row>
    <row r="3836" spans="1:17" x14ac:dyDescent="0.2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7"/>
    </row>
    <row r="3837" spans="1:17" x14ac:dyDescent="0.2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7"/>
    </row>
    <row r="3838" spans="1:17" x14ac:dyDescent="0.2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7"/>
    </row>
    <row r="3839" spans="1:17" x14ac:dyDescent="0.2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7"/>
    </row>
    <row r="3840" spans="1:17" x14ac:dyDescent="0.2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7"/>
    </row>
    <row r="3841" spans="1:17" x14ac:dyDescent="0.2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7"/>
    </row>
    <row r="3842" spans="1:17" x14ac:dyDescent="0.2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7"/>
    </row>
    <row r="3843" spans="1:17" x14ac:dyDescent="0.2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7"/>
    </row>
    <row r="3844" spans="1:17" x14ac:dyDescent="0.2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7"/>
    </row>
    <row r="3845" spans="1:17" x14ac:dyDescent="0.2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7"/>
    </row>
    <row r="3846" spans="1:17" x14ac:dyDescent="0.2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7"/>
    </row>
    <row r="3847" spans="1:17" x14ac:dyDescent="0.2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7"/>
    </row>
    <row r="3848" spans="1:17" x14ac:dyDescent="0.2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7"/>
    </row>
    <row r="3849" spans="1:17" x14ac:dyDescent="0.2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7"/>
    </row>
    <row r="3850" spans="1:17" x14ac:dyDescent="0.2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7"/>
    </row>
    <row r="3851" spans="1:17" x14ac:dyDescent="0.2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7"/>
    </row>
    <row r="3852" spans="1:17" x14ac:dyDescent="0.2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7"/>
    </row>
    <row r="3853" spans="1:17" x14ac:dyDescent="0.2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7"/>
    </row>
    <row r="3854" spans="1:17" x14ac:dyDescent="0.2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7"/>
    </row>
    <row r="3855" spans="1:17" x14ac:dyDescent="0.2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7"/>
    </row>
    <row r="3856" spans="1:17" x14ac:dyDescent="0.2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7"/>
    </row>
    <row r="3857" spans="1:17" x14ac:dyDescent="0.2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7"/>
    </row>
    <row r="3858" spans="1:17" x14ac:dyDescent="0.2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7"/>
    </row>
    <row r="3859" spans="1:17" x14ac:dyDescent="0.2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7"/>
    </row>
    <row r="3860" spans="1:17" x14ac:dyDescent="0.2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7"/>
    </row>
    <row r="3861" spans="1:17" x14ac:dyDescent="0.2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7"/>
    </row>
    <row r="3862" spans="1:17" x14ac:dyDescent="0.2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7"/>
    </row>
    <row r="3863" spans="1:17" x14ac:dyDescent="0.2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7"/>
    </row>
    <row r="3864" spans="1:17" x14ac:dyDescent="0.2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7"/>
    </row>
    <row r="3865" spans="1:17" x14ac:dyDescent="0.2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7"/>
    </row>
    <row r="3866" spans="1:17" x14ac:dyDescent="0.2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7"/>
    </row>
    <row r="3867" spans="1:17" x14ac:dyDescent="0.2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7"/>
    </row>
    <row r="3868" spans="1:17" x14ac:dyDescent="0.2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7"/>
    </row>
    <row r="3869" spans="1:17" x14ac:dyDescent="0.2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7"/>
    </row>
    <row r="3870" spans="1:17" x14ac:dyDescent="0.2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7"/>
    </row>
    <row r="3871" spans="1:17" x14ac:dyDescent="0.2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7"/>
    </row>
    <row r="3872" spans="1:17" x14ac:dyDescent="0.2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7"/>
    </row>
    <row r="3873" spans="1:17" x14ac:dyDescent="0.2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7"/>
    </row>
    <row r="3874" spans="1:17" x14ac:dyDescent="0.2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7"/>
    </row>
    <row r="3875" spans="1:17" x14ac:dyDescent="0.2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7"/>
    </row>
    <row r="3876" spans="1:17" x14ac:dyDescent="0.2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7"/>
    </row>
    <row r="3877" spans="1:17" x14ac:dyDescent="0.2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7"/>
    </row>
    <row r="3878" spans="1:17" x14ac:dyDescent="0.2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7"/>
    </row>
    <row r="3879" spans="1:17" x14ac:dyDescent="0.2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7"/>
    </row>
    <row r="3880" spans="1:17" x14ac:dyDescent="0.2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7"/>
    </row>
    <row r="3881" spans="1:17" x14ac:dyDescent="0.2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7"/>
    </row>
    <row r="3882" spans="1:17" x14ac:dyDescent="0.2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7"/>
    </row>
    <row r="3883" spans="1:17" x14ac:dyDescent="0.2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7"/>
    </row>
    <row r="3884" spans="1:17" x14ac:dyDescent="0.2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7"/>
    </row>
    <row r="3885" spans="1:17" x14ac:dyDescent="0.2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7"/>
    </row>
    <row r="3886" spans="1:17" x14ac:dyDescent="0.2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7"/>
    </row>
    <row r="3887" spans="1:17" x14ac:dyDescent="0.2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7"/>
    </row>
    <row r="3888" spans="1:17" x14ac:dyDescent="0.2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7"/>
    </row>
    <row r="3889" spans="1:17" x14ac:dyDescent="0.2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7"/>
    </row>
    <row r="3890" spans="1:17" x14ac:dyDescent="0.2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7"/>
    </row>
    <row r="3891" spans="1:17" x14ac:dyDescent="0.2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7"/>
    </row>
    <row r="3892" spans="1:17" x14ac:dyDescent="0.2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7"/>
    </row>
    <row r="3893" spans="1:17" x14ac:dyDescent="0.2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7"/>
    </row>
    <row r="3894" spans="1:17" x14ac:dyDescent="0.2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7"/>
    </row>
    <row r="3895" spans="1:17" x14ac:dyDescent="0.2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7"/>
    </row>
    <row r="3896" spans="1:17" x14ac:dyDescent="0.2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7"/>
    </row>
    <row r="3897" spans="1:17" x14ac:dyDescent="0.2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7"/>
    </row>
    <row r="3898" spans="1:17" x14ac:dyDescent="0.2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7"/>
    </row>
    <row r="3899" spans="1:17" x14ac:dyDescent="0.2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7"/>
    </row>
    <row r="3900" spans="1:17" x14ac:dyDescent="0.2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7"/>
    </row>
    <row r="3901" spans="1:17" x14ac:dyDescent="0.2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7"/>
    </row>
    <row r="3902" spans="1:17" x14ac:dyDescent="0.2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7"/>
    </row>
    <row r="3903" spans="1:17" x14ac:dyDescent="0.2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7"/>
    </row>
    <row r="3904" spans="1:17" x14ac:dyDescent="0.2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7"/>
    </row>
    <row r="3905" spans="1:17" x14ac:dyDescent="0.2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7"/>
    </row>
    <row r="3906" spans="1:17" x14ac:dyDescent="0.2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7"/>
    </row>
    <row r="3907" spans="1:17" x14ac:dyDescent="0.2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7"/>
    </row>
    <row r="3908" spans="1:17" x14ac:dyDescent="0.2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7"/>
    </row>
    <row r="3909" spans="1:17" x14ac:dyDescent="0.2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7"/>
    </row>
    <row r="3910" spans="1:17" x14ac:dyDescent="0.2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7"/>
    </row>
    <row r="3911" spans="1:17" x14ac:dyDescent="0.2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7"/>
    </row>
    <row r="3912" spans="1:17" x14ac:dyDescent="0.2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7"/>
    </row>
    <row r="3913" spans="1:17" x14ac:dyDescent="0.2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7"/>
    </row>
    <row r="3914" spans="1:17" x14ac:dyDescent="0.2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7"/>
    </row>
    <row r="3915" spans="1:17" x14ac:dyDescent="0.2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7"/>
    </row>
    <row r="3916" spans="1:17" x14ac:dyDescent="0.2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7"/>
    </row>
    <row r="3917" spans="1:17" x14ac:dyDescent="0.2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7"/>
    </row>
    <row r="3918" spans="1:17" x14ac:dyDescent="0.2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7"/>
    </row>
    <row r="3919" spans="1:17" x14ac:dyDescent="0.2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7"/>
    </row>
    <row r="3920" spans="1:17" x14ac:dyDescent="0.2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7"/>
    </row>
    <row r="3921" spans="1:17" x14ac:dyDescent="0.2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7"/>
    </row>
    <row r="3922" spans="1:17" x14ac:dyDescent="0.2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7"/>
    </row>
    <row r="3923" spans="1:17" x14ac:dyDescent="0.2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7"/>
    </row>
    <row r="3924" spans="1:17" x14ac:dyDescent="0.2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7"/>
    </row>
    <row r="3925" spans="1:17" x14ac:dyDescent="0.2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7"/>
    </row>
    <row r="3926" spans="1:17" x14ac:dyDescent="0.2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7"/>
    </row>
    <row r="3927" spans="1:17" x14ac:dyDescent="0.2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7"/>
    </row>
    <row r="3928" spans="1:17" x14ac:dyDescent="0.2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7"/>
    </row>
    <row r="3929" spans="1:17" x14ac:dyDescent="0.2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7"/>
    </row>
    <row r="3930" spans="1:17" x14ac:dyDescent="0.2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7"/>
    </row>
    <row r="3931" spans="1:17" x14ac:dyDescent="0.2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7"/>
    </row>
    <row r="3932" spans="1:17" x14ac:dyDescent="0.2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7"/>
    </row>
    <row r="3933" spans="1:17" x14ac:dyDescent="0.2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7"/>
    </row>
    <row r="3934" spans="1:17" x14ac:dyDescent="0.2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7"/>
    </row>
    <row r="3935" spans="1:17" x14ac:dyDescent="0.2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7"/>
    </row>
    <row r="3936" spans="1:17" x14ac:dyDescent="0.2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7"/>
    </row>
    <row r="3937" spans="1:17" x14ac:dyDescent="0.2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7"/>
    </row>
    <row r="3938" spans="1:17" x14ac:dyDescent="0.2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7"/>
    </row>
    <row r="3939" spans="1:17" x14ac:dyDescent="0.2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7"/>
    </row>
    <row r="3940" spans="1:17" x14ac:dyDescent="0.2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7"/>
    </row>
    <row r="3941" spans="1:17" x14ac:dyDescent="0.2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7"/>
    </row>
    <row r="3942" spans="1:17" x14ac:dyDescent="0.2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7"/>
    </row>
    <row r="3943" spans="1:17" x14ac:dyDescent="0.2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7"/>
    </row>
    <row r="3944" spans="1:17" x14ac:dyDescent="0.2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7"/>
    </row>
    <row r="3945" spans="1:17" x14ac:dyDescent="0.2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7"/>
    </row>
    <row r="3946" spans="1:17" x14ac:dyDescent="0.2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7"/>
    </row>
    <row r="3947" spans="1:17" x14ac:dyDescent="0.2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7"/>
    </row>
    <row r="3948" spans="1:17" x14ac:dyDescent="0.2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7"/>
    </row>
    <row r="3949" spans="1:17" x14ac:dyDescent="0.2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7"/>
    </row>
    <row r="3950" spans="1:17" x14ac:dyDescent="0.2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7"/>
    </row>
    <row r="3951" spans="1:17" x14ac:dyDescent="0.2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7"/>
    </row>
    <row r="3952" spans="1:17" x14ac:dyDescent="0.2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7"/>
    </row>
    <row r="3953" spans="1:17" x14ac:dyDescent="0.2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7"/>
    </row>
    <row r="3954" spans="1:17" x14ac:dyDescent="0.2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7"/>
    </row>
    <row r="3955" spans="1:17" x14ac:dyDescent="0.2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7"/>
    </row>
    <row r="3956" spans="1:17" x14ac:dyDescent="0.2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7"/>
    </row>
    <row r="3957" spans="1:17" x14ac:dyDescent="0.2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7"/>
    </row>
    <row r="3958" spans="1:17" x14ac:dyDescent="0.2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7"/>
    </row>
    <row r="3959" spans="1:17" x14ac:dyDescent="0.2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7"/>
    </row>
    <row r="3960" spans="1:17" x14ac:dyDescent="0.2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7"/>
    </row>
    <row r="3961" spans="1:17" x14ac:dyDescent="0.2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7"/>
    </row>
    <row r="3962" spans="1:17" x14ac:dyDescent="0.2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7"/>
    </row>
    <row r="3963" spans="1:17" x14ac:dyDescent="0.2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7"/>
    </row>
    <row r="3964" spans="1:17" x14ac:dyDescent="0.2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7"/>
    </row>
    <row r="3965" spans="1:17" x14ac:dyDescent="0.2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7"/>
    </row>
    <row r="3966" spans="1:17" x14ac:dyDescent="0.2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7"/>
    </row>
    <row r="3967" spans="1:17" x14ac:dyDescent="0.2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7"/>
    </row>
    <row r="3968" spans="1:17" x14ac:dyDescent="0.2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7"/>
    </row>
    <row r="3969" spans="1:17" x14ac:dyDescent="0.2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7"/>
    </row>
    <row r="3970" spans="1:17" x14ac:dyDescent="0.2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7"/>
    </row>
    <row r="3971" spans="1:17" x14ac:dyDescent="0.2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7"/>
    </row>
    <row r="3972" spans="1:17" x14ac:dyDescent="0.2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7"/>
    </row>
    <row r="3973" spans="1:17" x14ac:dyDescent="0.2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7"/>
    </row>
    <row r="3974" spans="1:17" x14ac:dyDescent="0.2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7"/>
    </row>
    <row r="3975" spans="1:17" x14ac:dyDescent="0.2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7"/>
    </row>
    <row r="3976" spans="1:17" x14ac:dyDescent="0.2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7"/>
    </row>
    <row r="3977" spans="1:17" x14ac:dyDescent="0.2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7"/>
    </row>
    <row r="3978" spans="1:17" x14ac:dyDescent="0.2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7"/>
    </row>
    <row r="3979" spans="1:17" x14ac:dyDescent="0.2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7"/>
    </row>
    <row r="3980" spans="1:17" x14ac:dyDescent="0.2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7"/>
    </row>
    <row r="3981" spans="1:17" x14ac:dyDescent="0.2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7"/>
    </row>
    <row r="3982" spans="1:17" x14ac:dyDescent="0.2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7"/>
    </row>
    <row r="3983" spans="1:17" x14ac:dyDescent="0.2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7"/>
    </row>
    <row r="3984" spans="1:17" x14ac:dyDescent="0.2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7"/>
    </row>
    <row r="3985" spans="1:17" x14ac:dyDescent="0.2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7"/>
    </row>
    <row r="3986" spans="1:17" x14ac:dyDescent="0.2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7"/>
    </row>
    <row r="3987" spans="1:17" x14ac:dyDescent="0.2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7"/>
    </row>
    <row r="3988" spans="1:17" x14ac:dyDescent="0.2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7"/>
    </row>
    <row r="3989" spans="1:17" x14ac:dyDescent="0.2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7"/>
    </row>
    <row r="3990" spans="1:17" x14ac:dyDescent="0.2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7"/>
    </row>
    <row r="3991" spans="1:17" x14ac:dyDescent="0.2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7"/>
    </row>
    <row r="3992" spans="1:17" x14ac:dyDescent="0.2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7"/>
    </row>
    <row r="3993" spans="1:17" x14ac:dyDescent="0.2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7"/>
    </row>
    <row r="3994" spans="1:17" x14ac:dyDescent="0.2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7"/>
    </row>
    <row r="3995" spans="1:17" x14ac:dyDescent="0.2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7"/>
    </row>
    <row r="3996" spans="1:17" x14ac:dyDescent="0.2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7"/>
    </row>
    <row r="3997" spans="1:17" x14ac:dyDescent="0.2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7"/>
    </row>
    <row r="3998" spans="1:17" x14ac:dyDescent="0.2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7"/>
    </row>
    <row r="3999" spans="1:17" x14ac:dyDescent="0.2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7"/>
    </row>
    <row r="4000" spans="1:17" x14ac:dyDescent="0.2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7"/>
    </row>
    <row r="4001" spans="1:17" x14ac:dyDescent="0.2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7"/>
    </row>
    <row r="4002" spans="1:17" x14ac:dyDescent="0.2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7"/>
    </row>
    <row r="4003" spans="1:17" x14ac:dyDescent="0.2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7"/>
    </row>
    <row r="4004" spans="1:17" x14ac:dyDescent="0.2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7"/>
    </row>
    <row r="4005" spans="1:17" x14ac:dyDescent="0.2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7"/>
    </row>
    <row r="4006" spans="1:17" x14ac:dyDescent="0.2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7"/>
    </row>
    <row r="4007" spans="1:17" x14ac:dyDescent="0.2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7"/>
    </row>
    <row r="4008" spans="1:17" x14ac:dyDescent="0.2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7"/>
    </row>
    <row r="4009" spans="1:17" x14ac:dyDescent="0.2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7"/>
    </row>
    <row r="4010" spans="1:17" x14ac:dyDescent="0.2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7"/>
    </row>
    <row r="4011" spans="1:17" x14ac:dyDescent="0.2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7"/>
    </row>
    <row r="4012" spans="1:17" x14ac:dyDescent="0.2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7"/>
    </row>
    <row r="4013" spans="1:17" x14ac:dyDescent="0.2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7"/>
    </row>
    <row r="4014" spans="1:17" x14ac:dyDescent="0.2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7"/>
    </row>
    <row r="4015" spans="1:17" x14ac:dyDescent="0.2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7"/>
    </row>
    <row r="4016" spans="1:17" x14ac:dyDescent="0.2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7"/>
    </row>
    <row r="4017" spans="1:17" x14ac:dyDescent="0.2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7"/>
    </row>
    <row r="4018" spans="1:17" x14ac:dyDescent="0.2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7"/>
    </row>
    <row r="4019" spans="1:17" x14ac:dyDescent="0.2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7"/>
    </row>
    <row r="4020" spans="1:17" x14ac:dyDescent="0.2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7"/>
    </row>
    <row r="4021" spans="1:17" x14ac:dyDescent="0.2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7"/>
    </row>
    <row r="4022" spans="1:17" x14ac:dyDescent="0.2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7"/>
    </row>
    <row r="4023" spans="1:17" x14ac:dyDescent="0.2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7"/>
    </row>
    <row r="4024" spans="1:17" x14ac:dyDescent="0.2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7"/>
    </row>
    <row r="4025" spans="1:17" x14ac:dyDescent="0.2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7"/>
    </row>
    <row r="4026" spans="1:17" x14ac:dyDescent="0.2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7"/>
    </row>
    <row r="4027" spans="1:17" x14ac:dyDescent="0.2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7"/>
    </row>
    <row r="4028" spans="1:17" x14ac:dyDescent="0.2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7"/>
    </row>
    <row r="4029" spans="1:17" x14ac:dyDescent="0.2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7"/>
    </row>
    <row r="4030" spans="1:17" x14ac:dyDescent="0.2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7"/>
    </row>
    <row r="4031" spans="1:17" x14ac:dyDescent="0.2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7"/>
    </row>
    <row r="4032" spans="1:17" x14ac:dyDescent="0.2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7"/>
    </row>
    <row r="4033" spans="1:17" x14ac:dyDescent="0.2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7"/>
    </row>
    <row r="4034" spans="1:17" x14ac:dyDescent="0.2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7"/>
    </row>
    <row r="4035" spans="1:17" x14ac:dyDescent="0.2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7"/>
    </row>
    <row r="4036" spans="1:17" x14ac:dyDescent="0.2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7"/>
    </row>
    <row r="4037" spans="1:17" x14ac:dyDescent="0.2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7"/>
    </row>
    <row r="4038" spans="1:17" x14ac:dyDescent="0.2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7"/>
    </row>
    <row r="4039" spans="1:17" x14ac:dyDescent="0.2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7"/>
    </row>
    <row r="4040" spans="1:17" x14ac:dyDescent="0.2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7"/>
    </row>
    <row r="4041" spans="1:17" x14ac:dyDescent="0.2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7"/>
    </row>
    <row r="4042" spans="1:17" x14ac:dyDescent="0.2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7"/>
    </row>
    <row r="4043" spans="1:17" x14ac:dyDescent="0.2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7"/>
    </row>
    <row r="4044" spans="1:17" x14ac:dyDescent="0.2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7"/>
    </row>
    <row r="4045" spans="1:17" x14ac:dyDescent="0.2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7"/>
    </row>
    <row r="4046" spans="1:17" x14ac:dyDescent="0.2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7"/>
    </row>
    <row r="4047" spans="1:17" x14ac:dyDescent="0.2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7"/>
    </row>
    <row r="4048" spans="1:17" x14ac:dyDescent="0.2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7"/>
    </row>
    <row r="4049" spans="1:17" x14ac:dyDescent="0.2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7"/>
    </row>
    <row r="4050" spans="1:17" x14ac:dyDescent="0.2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7"/>
    </row>
    <row r="4051" spans="1:17" x14ac:dyDescent="0.2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7"/>
    </row>
    <row r="4052" spans="1:17" x14ac:dyDescent="0.2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7"/>
    </row>
    <row r="4053" spans="1:17" x14ac:dyDescent="0.2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7"/>
    </row>
    <row r="4054" spans="1:17" x14ac:dyDescent="0.2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7"/>
    </row>
    <row r="4055" spans="1:17" x14ac:dyDescent="0.2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7"/>
    </row>
    <row r="4056" spans="1:17" x14ac:dyDescent="0.2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7"/>
    </row>
    <row r="4057" spans="1:17" x14ac:dyDescent="0.2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7"/>
    </row>
    <row r="4058" spans="1:17" x14ac:dyDescent="0.2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7"/>
    </row>
    <row r="4059" spans="1:17" x14ac:dyDescent="0.2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7"/>
    </row>
    <row r="4060" spans="1:17" x14ac:dyDescent="0.2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7"/>
    </row>
    <row r="4061" spans="1:17" x14ac:dyDescent="0.2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7"/>
    </row>
    <row r="4062" spans="1:17" x14ac:dyDescent="0.2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7"/>
    </row>
    <row r="4063" spans="1:17" x14ac:dyDescent="0.2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7"/>
    </row>
    <row r="4064" spans="1:17" x14ac:dyDescent="0.2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7"/>
    </row>
    <row r="4065" spans="1:17" x14ac:dyDescent="0.2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7"/>
    </row>
    <row r="4066" spans="1:17" x14ac:dyDescent="0.2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7"/>
    </row>
    <row r="4067" spans="1:17" x14ac:dyDescent="0.2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7"/>
    </row>
    <row r="4068" spans="1:17" x14ac:dyDescent="0.2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7"/>
    </row>
    <row r="4069" spans="1:17" x14ac:dyDescent="0.2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7"/>
    </row>
    <row r="4070" spans="1:17" x14ac:dyDescent="0.2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7"/>
    </row>
    <row r="4071" spans="1:17" x14ac:dyDescent="0.2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7"/>
    </row>
    <row r="4072" spans="1:17" x14ac:dyDescent="0.2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7"/>
    </row>
    <row r="4073" spans="1:17" x14ac:dyDescent="0.2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7"/>
    </row>
    <row r="4074" spans="1:17" x14ac:dyDescent="0.2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7"/>
    </row>
    <row r="4075" spans="1:17" x14ac:dyDescent="0.2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7"/>
    </row>
    <row r="4076" spans="1:17" x14ac:dyDescent="0.2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7"/>
    </row>
    <row r="4077" spans="1:17" x14ac:dyDescent="0.2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7"/>
    </row>
    <row r="4078" spans="1:17" x14ac:dyDescent="0.2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7"/>
    </row>
    <row r="4079" spans="1:17" x14ac:dyDescent="0.2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7"/>
    </row>
    <row r="4080" spans="1:17" x14ac:dyDescent="0.2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7"/>
    </row>
    <row r="4081" spans="1:17" x14ac:dyDescent="0.2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7"/>
    </row>
    <row r="4082" spans="1:17" x14ac:dyDescent="0.2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7"/>
    </row>
    <row r="4083" spans="1:17" x14ac:dyDescent="0.2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7"/>
    </row>
    <row r="4084" spans="1:17" x14ac:dyDescent="0.2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7"/>
    </row>
    <row r="4085" spans="1:17" x14ac:dyDescent="0.2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7"/>
    </row>
    <row r="4086" spans="1:17" x14ac:dyDescent="0.2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7"/>
    </row>
    <row r="4087" spans="1:17" x14ac:dyDescent="0.2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7"/>
    </row>
    <row r="4088" spans="1:17" x14ac:dyDescent="0.2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7"/>
    </row>
    <row r="4089" spans="1:17" x14ac:dyDescent="0.2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7"/>
    </row>
    <row r="4090" spans="1:17" x14ac:dyDescent="0.2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7"/>
    </row>
    <row r="4091" spans="1:17" x14ac:dyDescent="0.2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7"/>
    </row>
    <row r="4092" spans="1:17" x14ac:dyDescent="0.2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7"/>
    </row>
    <row r="4093" spans="1:17" x14ac:dyDescent="0.2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7"/>
    </row>
    <row r="4094" spans="1:17" x14ac:dyDescent="0.2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7"/>
    </row>
    <row r="4095" spans="1:17" x14ac:dyDescent="0.2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7"/>
    </row>
    <row r="4096" spans="1:17" x14ac:dyDescent="0.2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7"/>
    </row>
    <row r="4097" spans="1:17" x14ac:dyDescent="0.2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7"/>
    </row>
  </sheetData>
  <pageMargins left="0" right="0" top="0.7" bottom="0" header="0.25" footer="0"/>
  <pageSetup scale="71" orientation="landscape" horizontalDpi="300" r:id="rId1"/>
  <headerFooter alignWithMargins="0">
    <oddFooter>&amp;CPage &amp;P of &amp;N</oddFooter>
  </headerFooter>
  <rowBreaks count="1" manualBreakCount="1">
    <brk id="55" max="1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"/>
  <dimension ref="A1:AR200"/>
  <sheetViews>
    <sheetView showGridLines="0" tabSelected="1" view="pageBreakPreview" zoomScale="50" zoomScaleNormal="100" zoomScaleSheetLayoutView="50" workbookViewId="0">
      <pane xSplit="4" ySplit="8" topLeftCell="E9" activePane="bottomRight" state="frozen"/>
      <selection activeCell="E28" sqref="E28"/>
      <selection pane="topRight" activeCell="E28" sqref="E28"/>
      <selection pane="bottomLeft" activeCell="E28" sqref="E28"/>
      <selection pane="bottomRight" activeCell="S23" sqref="S23"/>
    </sheetView>
  </sheetViews>
  <sheetFormatPr defaultColWidth="11.140625" defaultRowHeight="15.75" x14ac:dyDescent="0.25"/>
  <cols>
    <col min="1" max="1" width="6.42578125" style="257" customWidth="1"/>
    <col min="2" max="2" width="26.5703125" style="283" customWidth="1"/>
    <col min="3" max="3" width="15.42578125" style="257" customWidth="1"/>
    <col min="4" max="4" width="16" style="257" customWidth="1"/>
    <col min="5" max="5" width="13.140625" style="257" customWidth="1"/>
    <col min="6" max="6" width="15.140625" style="257" customWidth="1"/>
    <col min="7" max="7" width="12.42578125" style="257" customWidth="1"/>
    <col min="8" max="8" width="13.42578125" style="257" customWidth="1"/>
    <col min="9" max="9" width="12.140625" style="257" customWidth="1"/>
    <col min="10" max="10" width="14.5703125" style="257" customWidth="1"/>
    <col min="11" max="11" width="12.42578125" style="257" customWidth="1"/>
    <col min="12" max="13" width="14.5703125" style="257" customWidth="1"/>
    <col min="14" max="14" width="16" style="257" customWidth="1"/>
    <col min="15" max="18" width="14.42578125" style="257" customWidth="1"/>
    <col min="19" max="20" width="13.42578125" style="257" customWidth="1"/>
    <col min="21" max="27" width="14.5703125" style="257" customWidth="1"/>
    <col min="28" max="28" width="13.5703125" style="257" bestFit="1" customWidth="1"/>
    <col min="29" max="29" width="17.140625" style="257" bestFit="1" customWidth="1"/>
    <col min="30" max="30" width="15.42578125" style="257" bestFit="1" customWidth="1"/>
    <col min="31" max="32" width="13.85546875" style="257" bestFit="1" customWidth="1"/>
    <col min="33" max="33" width="15.42578125" style="257" bestFit="1" customWidth="1"/>
    <col min="34" max="35" width="15.42578125" style="257" customWidth="1"/>
    <col min="36" max="39" width="12.5703125" style="257" hidden="1" customWidth="1"/>
    <col min="40" max="44" width="12.5703125" style="257" customWidth="1"/>
    <col min="45" max="16384" width="11.140625" style="257"/>
  </cols>
  <sheetData>
    <row r="1" spans="1:44" x14ac:dyDescent="0.25">
      <c r="A1" s="254"/>
      <c r="B1" s="255" t="s">
        <v>167</v>
      </c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6">
        <f ca="1">NOW()</f>
        <v>43019.422352430556</v>
      </c>
      <c r="O1" s="254"/>
      <c r="P1" s="254"/>
      <c r="Q1" s="254"/>
      <c r="R1" s="254"/>
      <c r="AC1" s="258" t="s">
        <v>200</v>
      </c>
      <c r="AD1" s="259"/>
      <c r="AE1" s="260"/>
      <c r="AF1" s="261"/>
      <c r="AG1" s="262"/>
      <c r="AH1" s="262"/>
    </row>
    <row r="2" spans="1:44" x14ac:dyDescent="0.25">
      <c r="A2" s="254"/>
      <c r="B2" s="263"/>
      <c r="C2" s="255"/>
      <c r="D2" s="255"/>
      <c r="E2" s="264"/>
      <c r="F2" s="255"/>
      <c r="G2" s="255"/>
      <c r="H2" s="265" t="s">
        <v>93</v>
      </c>
      <c r="I2" s="255"/>
      <c r="J2" s="255"/>
      <c r="K2" s="255"/>
      <c r="L2" s="255"/>
      <c r="M2" s="255"/>
      <c r="N2" s="266" t="s">
        <v>168</v>
      </c>
      <c r="O2" s="255"/>
      <c r="P2" s="255"/>
      <c r="Q2" s="255"/>
      <c r="R2" s="255"/>
      <c r="AC2" s="255" t="s">
        <v>201</v>
      </c>
      <c r="AD2" s="259"/>
      <c r="AE2" s="267" t="s">
        <v>189</v>
      </c>
      <c r="AF2" s="261"/>
      <c r="AG2" s="268"/>
      <c r="AH2" s="262"/>
    </row>
    <row r="3" spans="1:44" x14ac:dyDescent="0.25">
      <c r="A3" s="254"/>
      <c r="B3" s="255"/>
      <c r="C3" s="255"/>
      <c r="D3" s="255"/>
      <c r="E3" s="264"/>
      <c r="F3" s="255"/>
      <c r="G3" s="255"/>
      <c r="H3" s="265" t="s">
        <v>169</v>
      </c>
      <c r="I3" s="255"/>
      <c r="J3" s="255"/>
      <c r="K3" s="255"/>
      <c r="L3" s="264"/>
      <c r="M3" s="255"/>
      <c r="N3" s="255"/>
      <c r="O3" s="255"/>
      <c r="P3" s="255"/>
      <c r="Q3" s="255"/>
      <c r="R3" s="255"/>
      <c r="AC3" s="265" t="s">
        <v>190</v>
      </c>
      <c r="AD3" s="259"/>
      <c r="AE3" s="267"/>
      <c r="AF3" s="261"/>
      <c r="AG3" s="269">
        <f t="shared" ref="AG3:AH5" si="0">+G19</f>
        <v>1.534</v>
      </c>
      <c r="AH3" s="270">
        <f t="shared" si="0"/>
        <v>1.825</v>
      </c>
    </row>
    <row r="4" spans="1:44" x14ac:dyDescent="0.25">
      <c r="A4" s="254"/>
      <c r="B4" s="255"/>
      <c r="C4" s="255"/>
      <c r="D4" s="255"/>
      <c r="E4" s="271"/>
      <c r="F4" s="255"/>
      <c r="G4" s="255"/>
      <c r="H4" s="265" t="str">
        <f>'Monthly Forecast'!J5</f>
        <v>TEST YEAR ENDING MAR, 31 2019</v>
      </c>
      <c r="I4" s="255"/>
      <c r="J4" s="255"/>
      <c r="K4" s="255"/>
      <c r="L4" s="271"/>
      <c r="M4" s="255"/>
      <c r="N4" s="272"/>
      <c r="O4" s="255"/>
      <c r="P4" s="255"/>
      <c r="Q4" s="255"/>
      <c r="R4" s="255"/>
      <c r="AC4" s="265" t="s">
        <v>191</v>
      </c>
      <c r="AD4" s="259"/>
      <c r="AE4" s="267"/>
      <c r="AF4" s="261"/>
      <c r="AG4" s="269">
        <f t="shared" si="0"/>
        <v>0.95</v>
      </c>
      <c r="AH4" s="270">
        <f t="shared" si="0"/>
        <v>1.1850000000000001</v>
      </c>
    </row>
    <row r="5" spans="1:44" x14ac:dyDescent="0.25">
      <c r="A5" s="254"/>
      <c r="B5" s="255"/>
      <c r="C5" s="255"/>
      <c r="D5" s="255"/>
      <c r="E5" s="271"/>
      <c r="F5" s="255"/>
      <c r="G5" s="255"/>
      <c r="H5" s="255"/>
      <c r="I5" s="271"/>
      <c r="J5" s="271"/>
      <c r="K5" s="255"/>
      <c r="L5" s="272"/>
      <c r="M5" s="271"/>
      <c r="N5" s="255"/>
      <c r="O5" s="255"/>
      <c r="P5" s="255"/>
      <c r="Q5" s="255">
        <v>10</v>
      </c>
      <c r="R5" s="255"/>
      <c r="AC5" s="265" t="s">
        <v>192</v>
      </c>
      <c r="AD5" s="259"/>
      <c r="AE5" s="272"/>
      <c r="AF5" s="261"/>
      <c r="AG5" s="269">
        <f t="shared" si="0"/>
        <v>0.74</v>
      </c>
      <c r="AH5" s="270">
        <f t="shared" si="0"/>
        <v>0.9</v>
      </c>
    </row>
    <row r="6" spans="1:44" x14ac:dyDescent="0.25">
      <c r="A6" s="265" t="s">
        <v>12</v>
      </c>
      <c r="B6" s="255"/>
      <c r="C6" s="265"/>
      <c r="D6" s="255"/>
      <c r="E6" s="265" t="s">
        <v>680</v>
      </c>
      <c r="F6" s="265" t="s">
        <v>681</v>
      </c>
      <c r="G6" s="265" t="s">
        <v>682</v>
      </c>
      <c r="H6" s="265" t="s">
        <v>171</v>
      </c>
      <c r="I6" s="265" t="s">
        <v>683</v>
      </c>
      <c r="J6" s="265"/>
      <c r="K6" s="255"/>
      <c r="L6" s="265" t="s">
        <v>219</v>
      </c>
      <c r="M6" s="265"/>
      <c r="N6" s="265" t="s">
        <v>172</v>
      </c>
      <c r="O6" s="265"/>
      <c r="P6" s="265"/>
      <c r="Q6" s="265"/>
      <c r="R6" s="265"/>
      <c r="AC6" s="265" t="s">
        <v>196</v>
      </c>
      <c r="AD6" s="272"/>
      <c r="AE6" s="272"/>
      <c r="AF6" s="279"/>
      <c r="AG6" s="269">
        <f>+G27</f>
        <v>0.90900000000000003</v>
      </c>
      <c r="AH6" s="270">
        <f>+H27</f>
        <v>1.0449999999999999</v>
      </c>
    </row>
    <row r="7" spans="1:44" x14ac:dyDescent="0.25">
      <c r="A7" s="277" t="s">
        <v>17</v>
      </c>
      <c r="B7" s="278" t="s">
        <v>173</v>
      </c>
      <c r="C7" s="277"/>
      <c r="D7" s="277" t="s">
        <v>174</v>
      </c>
      <c r="E7" s="277" t="s">
        <v>421</v>
      </c>
      <c r="F7" s="277" t="s">
        <v>6</v>
      </c>
      <c r="G7" s="277" t="s">
        <v>6</v>
      </c>
      <c r="H7" s="277" t="s">
        <v>6</v>
      </c>
      <c r="I7" s="277" t="s">
        <v>421</v>
      </c>
      <c r="J7" s="278" t="s">
        <v>173</v>
      </c>
      <c r="K7" s="277"/>
      <c r="L7" s="277" t="s">
        <v>175</v>
      </c>
      <c r="M7" s="277" t="s">
        <v>176</v>
      </c>
      <c r="N7" s="277" t="s">
        <v>175</v>
      </c>
      <c r="O7" s="280" t="s">
        <v>176</v>
      </c>
      <c r="P7" s="263"/>
      <c r="Q7" s="263"/>
      <c r="R7" s="263"/>
      <c r="AC7" s="265" t="s">
        <v>192</v>
      </c>
      <c r="AD7" s="272"/>
      <c r="AE7" s="272"/>
      <c r="AF7" s="279"/>
      <c r="AG7" s="269">
        <f>+G28</f>
        <v>0.68489999999999995</v>
      </c>
      <c r="AH7" s="270">
        <f>+H28</f>
        <v>0.76400000000000001</v>
      </c>
    </row>
    <row r="8" spans="1:44" x14ac:dyDescent="0.25">
      <c r="B8" s="255"/>
      <c r="C8" s="265" t="s">
        <v>13</v>
      </c>
      <c r="D8" s="265" t="s">
        <v>14</v>
      </c>
      <c r="E8" s="265" t="s">
        <v>15</v>
      </c>
      <c r="F8" s="265" t="s">
        <v>16</v>
      </c>
      <c r="G8" s="265" t="s">
        <v>108</v>
      </c>
      <c r="H8" s="265" t="s">
        <v>109</v>
      </c>
      <c r="I8" s="265" t="s">
        <v>110</v>
      </c>
      <c r="J8" s="265" t="s">
        <v>111</v>
      </c>
      <c r="K8" s="265" t="s">
        <v>112</v>
      </c>
      <c r="L8" s="265" t="s">
        <v>113</v>
      </c>
      <c r="M8" s="265" t="s">
        <v>114</v>
      </c>
      <c r="N8" s="265" t="s">
        <v>115</v>
      </c>
      <c r="O8" s="273" t="s">
        <v>116</v>
      </c>
      <c r="P8" s="273"/>
      <c r="Q8" s="273"/>
      <c r="R8" s="273"/>
      <c r="AC8" s="274"/>
      <c r="AD8" s="259"/>
      <c r="AE8" s="272"/>
      <c r="AF8" s="261"/>
      <c r="AG8" s="275"/>
      <c r="AH8" s="276"/>
    </row>
    <row r="9" spans="1:44" x14ac:dyDescent="0.25">
      <c r="B9" s="356"/>
      <c r="C9" s="356"/>
      <c r="D9" s="356"/>
      <c r="E9" s="356"/>
      <c r="F9" s="356"/>
      <c r="G9" s="356"/>
      <c r="H9" s="356"/>
      <c r="I9" s="356"/>
      <c r="J9" s="388"/>
      <c r="K9" s="356"/>
      <c r="L9" s="356"/>
      <c r="M9" s="356"/>
      <c r="N9" s="356"/>
      <c r="O9" s="356"/>
      <c r="P9" s="356"/>
      <c r="Q9" s="356"/>
      <c r="R9" s="356"/>
      <c r="AC9" s="255" t="s">
        <v>203</v>
      </c>
      <c r="AD9" s="272"/>
      <c r="AE9" s="267" t="s">
        <v>194</v>
      </c>
      <c r="AF9" s="279"/>
      <c r="AG9" s="276"/>
      <c r="AH9" s="276"/>
    </row>
    <row r="10" spans="1:44" x14ac:dyDescent="0.25">
      <c r="A10" s="255"/>
      <c r="B10" s="258"/>
      <c r="C10" s="255"/>
      <c r="D10" s="255"/>
      <c r="E10" s="255"/>
      <c r="F10" s="255"/>
      <c r="G10" s="255"/>
      <c r="H10" s="255"/>
      <c r="I10" s="258"/>
      <c r="J10" s="255"/>
      <c r="K10" s="255"/>
      <c r="L10" s="255"/>
      <c r="M10" s="255"/>
      <c r="N10" s="255"/>
      <c r="O10" s="272"/>
      <c r="P10" s="272"/>
      <c r="Q10" s="272"/>
      <c r="R10" s="272"/>
      <c r="U10" s="281"/>
      <c r="AC10" s="255"/>
      <c r="AD10" s="282"/>
      <c r="AE10" s="255"/>
      <c r="AF10" s="254"/>
      <c r="AG10" s="265" t="s">
        <v>170</v>
      </c>
      <c r="AH10" s="265"/>
      <c r="AI10" s="265"/>
      <c r="AJ10" s="265"/>
      <c r="AK10" s="283"/>
      <c r="AL10" s="283"/>
      <c r="AM10" s="283"/>
      <c r="AN10" s="283"/>
      <c r="AO10" s="255" t="s">
        <v>389</v>
      </c>
      <c r="AP10" s="283"/>
    </row>
    <row r="11" spans="1:44" x14ac:dyDescent="0.25">
      <c r="A11" s="255">
        <v>1</v>
      </c>
      <c r="B11" s="258" t="s">
        <v>177</v>
      </c>
      <c r="C11" s="283"/>
      <c r="D11" s="272"/>
      <c r="F11" s="473"/>
      <c r="G11" s="272"/>
      <c r="H11" s="272"/>
      <c r="J11" s="258" t="s">
        <v>178</v>
      </c>
      <c r="K11" s="272"/>
      <c r="L11" s="283"/>
      <c r="M11" s="283"/>
      <c r="N11" s="272"/>
      <c r="O11" s="284"/>
      <c r="P11" s="690" t="s">
        <v>679</v>
      </c>
      <c r="Q11" s="284"/>
      <c r="R11" s="284"/>
      <c r="S11" s="283" t="s">
        <v>648</v>
      </c>
      <c r="T11" s="283" t="s">
        <v>696</v>
      </c>
      <c r="U11" s="281"/>
      <c r="Y11" s="257" t="s">
        <v>661</v>
      </c>
      <c r="Z11" s="257" t="s">
        <v>170</v>
      </c>
      <c r="AA11" s="257" t="s">
        <v>662</v>
      </c>
      <c r="AB11" s="324" t="s">
        <v>213</v>
      </c>
      <c r="AC11" s="278" t="s">
        <v>173</v>
      </c>
      <c r="AD11" s="285"/>
      <c r="AE11" s="277" t="s">
        <v>174</v>
      </c>
      <c r="AF11" s="285"/>
      <c r="AG11" s="277" t="s">
        <v>6</v>
      </c>
      <c r="AH11" s="286" t="s">
        <v>376</v>
      </c>
      <c r="AI11" s="277"/>
      <c r="AJ11" s="286" t="s">
        <v>357</v>
      </c>
      <c r="AK11" s="286" t="s">
        <v>368</v>
      </c>
      <c r="AL11" s="286" t="s">
        <v>370</v>
      </c>
      <c r="AM11" s="286" t="s">
        <v>371</v>
      </c>
      <c r="AN11" s="283"/>
      <c r="AO11" s="286">
        <v>0.71389999999999998</v>
      </c>
      <c r="AP11" s="286">
        <v>2.2471999999999999</v>
      </c>
      <c r="AQ11" s="287"/>
      <c r="AR11" s="287"/>
    </row>
    <row r="12" spans="1:44" x14ac:dyDescent="0.25">
      <c r="A12" s="255">
        <v>2</v>
      </c>
      <c r="B12" s="255" t="s">
        <v>179</v>
      </c>
      <c r="C12" s="288"/>
      <c r="D12" s="267" t="s">
        <v>7</v>
      </c>
      <c r="E12" s="289">
        <v>17.5</v>
      </c>
      <c r="F12" s="289">
        <v>1.56</v>
      </c>
      <c r="G12" s="262">
        <f>+E12+F12</f>
        <v>19.059999999999999</v>
      </c>
      <c r="H12" s="262">
        <v>20.5</v>
      </c>
      <c r="I12" s="262"/>
      <c r="J12" s="255" t="s">
        <v>180</v>
      </c>
      <c r="K12" s="267"/>
      <c r="L12" s="291">
        <v>34</v>
      </c>
      <c r="M12" s="291">
        <v>44</v>
      </c>
      <c r="N12" s="262">
        <v>34</v>
      </c>
      <c r="O12" s="262">
        <v>44</v>
      </c>
      <c r="P12" s="262">
        <v>18.75</v>
      </c>
      <c r="Q12" s="262"/>
      <c r="R12" s="262"/>
      <c r="S12" s="283"/>
      <c r="T12" s="283"/>
      <c r="U12" s="292">
        <v>13.5</v>
      </c>
      <c r="V12" s="283">
        <v>13.25</v>
      </c>
      <c r="X12" s="257">
        <v>1.78</v>
      </c>
      <c r="AC12" s="283"/>
      <c r="AE12" s="283"/>
      <c r="AH12" s="293"/>
      <c r="AJ12" s="293"/>
      <c r="AK12" s="293"/>
      <c r="AL12" s="293"/>
      <c r="AM12" s="293"/>
      <c r="AO12" s="293"/>
      <c r="AP12" s="293"/>
      <c r="AQ12" s="293"/>
      <c r="AR12" s="293"/>
    </row>
    <row r="13" spans="1:44" x14ac:dyDescent="0.25">
      <c r="A13" s="255">
        <v>3</v>
      </c>
      <c r="B13" s="255" t="s">
        <v>181</v>
      </c>
      <c r="C13" s="288"/>
      <c r="D13" s="267" t="s">
        <v>7</v>
      </c>
      <c r="E13" s="699">
        <v>44.5</v>
      </c>
      <c r="F13" s="699">
        <v>5.24</v>
      </c>
      <c r="G13" s="262">
        <f t="shared" ref="G13:G16" si="1">+E13+F13</f>
        <v>49.74</v>
      </c>
      <c r="H13" s="546">
        <v>52.5</v>
      </c>
      <c r="I13" s="294"/>
      <c r="J13" s="255" t="s">
        <v>220</v>
      </c>
      <c r="K13" s="267"/>
      <c r="L13" s="295">
        <v>23</v>
      </c>
      <c r="M13" s="295">
        <v>28</v>
      </c>
      <c r="N13" s="262">
        <v>23</v>
      </c>
      <c r="O13" s="262">
        <v>28</v>
      </c>
      <c r="P13" s="262">
        <v>48.65</v>
      </c>
      <c r="Q13" s="262"/>
      <c r="R13" s="262"/>
      <c r="S13" s="283"/>
      <c r="T13" s="283"/>
      <c r="U13" s="292">
        <v>30</v>
      </c>
      <c r="V13" s="283">
        <v>30</v>
      </c>
      <c r="X13" s="257">
        <v>5.7</v>
      </c>
      <c r="AC13" s="258" t="s">
        <v>177</v>
      </c>
      <c r="AD13" s="272"/>
      <c r="AE13" s="272"/>
      <c r="AH13" s="296"/>
      <c r="AJ13" s="296"/>
      <c r="AK13" s="296"/>
      <c r="AL13" s="296"/>
      <c r="AM13" s="296"/>
      <c r="AO13" s="296"/>
      <c r="AP13" s="296"/>
      <c r="AQ13" s="296"/>
      <c r="AR13" s="296"/>
    </row>
    <row r="14" spans="1:44" x14ac:dyDescent="0.25">
      <c r="A14" s="255">
        <v>4</v>
      </c>
      <c r="B14" s="255" t="s">
        <v>527</v>
      </c>
      <c r="C14" s="288"/>
      <c r="D14" s="267" t="s">
        <v>522</v>
      </c>
      <c r="E14" s="699">
        <v>375</v>
      </c>
      <c r="F14" s="699">
        <v>18.350000000000001</v>
      </c>
      <c r="G14" s="262">
        <f t="shared" si="1"/>
        <v>393.35</v>
      </c>
      <c r="H14" s="546">
        <v>400</v>
      </c>
      <c r="I14" s="294"/>
      <c r="J14" s="255" t="s">
        <v>221</v>
      </c>
      <c r="K14" s="267"/>
      <c r="L14" s="295">
        <v>12</v>
      </c>
      <c r="M14" s="295">
        <v>14</v>
      </c>
      <c r="N14" s="262">
        <v>12</v>
      </c>
      <c r="O14" s="262">
        <v>14</v>
      </c>
      <c r="P14" s="262">
        <v>395</v>
      </c>
      <c r="Q14" s="262"/>
      <c r="R14" s="262"/>
      <c r="S14" s="283"/>
      <c r="T14" s="283"/>
      <c r="U14" s="292">
        <v>300</v>
      </c>
      <c r="V14" s="283">
        <v>300</v>
      </c>
      <c r="X14" s="257">
        <v>44.07</v>
      </c>
      <c r="AC14" s="255" t="s">
        <v>179</v>
      </c>
      <c r="AD14" s="259"/>
      <c r="AE14" s="267" t="s">
        <v>7</v>
      </c>
      <c r="AF14" s="261"/>
      <c r="AG14" s="289">
        <v>7.5</v>
      </c>
      <c r="AH14" s="297">
        <f>+$H$12</f>
        <v>20.5</v>
      </c>
      <c r="AI14" s="298"/>
      <c r="AJ14" s="299">
        <v>13</v>
      </c>
      <c r="AK14" s="299">
        <v>14</v>
      </c>
      <c r="AL14" s="299">
        <v>14</v>
      </c>
      <c r="AM14" s="299">
        <v>14</v>
      </c>
      <c r="AO14" s="297"/>
      <c r="AP14" s="297"/>
      <c r="AQ14" s="297"/>
      <c r="AR14" s="297"/>
    </row>
    <row r="15" spans="1:44" x14ac:dyDescent="0.25">
      <c r="A15" s="255">
        <v>5</v>
      </c>
      <c r="B15" s="255" t="s">
        <v>524</v>
      </c>
      <c r="C15" s="288"/>
      <c r="D15" s="267" t="s">
        <v>523</v>
      </c>
      <c r="E15" s="699">
        <v>375</v>
      </c>
      <c r="F15" s="699">
        <v>21.49</v>
      </c>
      <c r="G15" s="262">
        <f t="shared" si="1"/>
        <v>396.49</v>
      </c>
      <c r="H15" s="546">
        <f>+H14</f>
        <v>400</v>
      </c>
      <c r="I15" s="294"/>
      <c r="J15" s="255" t="s">
        <v>222</v>
      </c>
      <c r="K15" s="267"/>
      <c r="L15" s="295">
        <v>39</v>
      </c>
      <c r="M15" s="295">
        <v>47</v>
      </c>
      <c r="N15" s="262">
        <v>39</v>
      </c>
      <c r="O15" s="262">
        <v>47</v>
      </c>
      <c r="P15" s="262">
        <v>395</v>
      </c>
      <c r="Q15" s="262"/>
      <c r="R15" s="262"/>
      <c r="S15" s="283"/>
      <c r="T15" s="283"/>
      <c r="U15" s="292">
        <v>300</v>
      </c>
      <c r="V15" s="283">
        <v>300</v>
      </c>
      <c r="X15" s="257">
        <v>28.33</v>
      </c>
      <c r="AC15" s="255" t="s">
        <v>181</v>
      </c>
      <c r="AD15" s="259"/>
      <c r="AE15" s="267" t="s">
        <v>182</v>
      </c>
      <c r="AF15" s="261"/>
      <c r="AG15" s="300">
        <v>20</v>
      </c>
      <c r="AH15" s="301">
        <f>+$H$13</f>
        <v>52.5</v>
      </c>
      <c r="AI15" s="302"/>
      <c r="AJ15" s="303">
        <v>35</v>
      </c>
      <c r="AK15" s="303">
        <v>35</v>
      </c>
      <c r="AL15" s="303">
        <v>32</v>
      </c>
      <c r="AM15" s="303">
        <v>32</v>
      </c>
      <c r="AO15" s="301"/>
      <c r="AP15" s="301"/>
      <c r="AQ15" s="301"/>
      <c r="AR15" s="301"/>
    </row>
    <row r="16" spans="1:44" x14ac:dyDescent="0.25">
      <c r="A16" s="255">
        <v>6</v>
      </c>
      <c r="B16" s="255" t="s">
        <v>526</v>
      </c>
      <c r="C16" s="288"/>
      <c r="D16" s="267" t="s">
        <v>525</v>
      </c>
      <c r="E16" s="699">
        <v>375</v>
      </c>
      <c r="F16" s="699">
        <v>23.04</v>
      </c>
      <c r="G16" s="262">
        <f t="shared" si="1"/>
        <v>398.04</v>
      </c>
      <c r="H16" s="546">
        <f>+H15</f>
        <v>400</v>
      </c>
      <c r="I16" s="294"/>
      <c r="J16" s="255" t="s">
        <v>223</v>
      </c>
      <c r="K16" s="267"/>
      <c r="L16" s="295">
        <v>65</v>
      </c>
      <c r="M16" s="295">
        <v>73</v>
      </c>
      <c r="N16" s="262">
        <v>65</v>
      </c>
      <c r="O16" s="262">
        <v>73</v>
      </c>
      <c r="P16" s="262">
        <v>395</v>
      </c>
      <c r="Q16" s="262"/>
      <c r="R16" s="262"/>
      <c r="S16" s="283"/>
      <c r="T16" s="283"/>
      <c r="U16" s="272"/>
      <c r="V16" s="283"/>
      <c r="X16" s="257">
        <v>29.24</v>
      </c>
      <c r="AC16" s="255" t="s">
        <v>183</v>
      </c>
      <c r="AD16" s="259"/>
      <c r="AE16" s="267" t="s">
        <v>184</v>
      </c>
      <c r="AF16" s="261"/>
      <c r="AG16" s="304">
        <v>220</v>
      </c>
      <c r="AH16" s="301">
        <f>+$H$14</f>
        <v>400</v>
      </c>
      <c r="AI16" s="305"/>
      <c r="AJ16" s="306">
        <v>300</v>
      </c>
      <c r="AK16" s="303">
        <v>300</v>
      </c>
      <c r="AL16" s="303">
        <v>300</v>
      </c>
      <c r="AM16" s="303">
        <v>300</v>
      </c>
      <c r="AO16" s="301"/>
      <c r="AP16" s="301"/>
      <c r="AQ16" s="301"/>
      <c r="AR16" s="301"/>
    </row>
    <row r="17" spans="1:44" x14ac:dyDescent="0.25">
      <c r="A17" s="255">
        <v>7</v>
      </c>
      <c r="B17" s="258" t="s">
        <v>187</v>
      </c>
      <c r="C17" s="283" t="s">
        <v>551</v>
      </c>
      <c r="D17" s="283"/>
      <c r="E17" s="691">
        <v>350</v>
      </c>
      <c r="F17" s="691">
        <v>350</v>
      </c>
      <c r="G17" s="546">
        <f>E16</f>
        <v>375</v>
      </c>
      <c r="H17" s="307">
        <f>+G17</f>
        <v>375</v>
      </c>
      <c r="I17" s="307"/>
      <c r="J17" s="255" t="s">
        <v>195</v>
      </c>
      <c r="K17" s="267"/>
      <c r="L17" s="308">
        <v>0</v>
      </c>
      <c r="M17" s="308" t="s">
        <v>166</v>
      </c>
      <c r="N17" s="262">
        <f>+L17</f>
        <v>0</v>
      </c>
      <c r="O17" s="309" t="str">
        <f>+M17</f>
        <v>N/A</v>
      </c>
      <c r="P17" s="309">
        <v>350</v>
      </c>
      <c r="Q17" s="309"/>
      <c r="R17" s="309"/>
      <c r="S17" s="283"/>
      <c r="T17" s="283"/>
      <c r="U17" s="272"/>
      <c r="V17" s="283"/>
      <c r="AC17" s="255" t="s">
        <v>185</v>
      </c>
      <c r="AD17" s="259"/>
      <c r="AE17" s="267" t="s">
        <v>186</v>
      </c>
      <c r="AF17" s="261"/>
      <c r="AG17" s="304">
        <v>220</v>
      </c>
      <c r="AH17" s="301">
        <f>+$H$15</f>
        <v>400</v>
      </c>
      <c r="AI17" s="305"/>
      <c r="AJ17" s="310">
        <f>+AJ16</f>
        <v>300</v>
      </c>
      <c r="AK17" s="303">
        <v>300</v>
      </c>
      <c r="AL17" s="303">
        <v>300</v>
      </c>
      <c r="AM17" s="303">
        <v>300</v>
      </c>
      <c r="AO17" s="301"/>
      <c r="AP17" s="301"/>
      <c r="AQ17" s="301"/>
      <c r="AR17" s="301"/>
    </row>
    <row r="18" spans="1:44" x14ac:dyDescent="0.25">
      <c r="A18" s="255">
        <v>8</v>
      </c>
      <c r="B18" s="255" t="s">
        <v>403</v>
      </c>
      <c r="C18" s="288"/>
      <c r="D18" s="267" t="s">
        <v>7</v>
      </c>
      <c r="E18" s="262"/>
      <c r="F18" s="262"/>
      <c r="G18" s="262"/>
      <c r="H18" s="262"/>
      <c r="I18" s="262"/>
      <c r="J18" s="255" t="s">
        <v>224</v>
      </c>
      <c r="K18" s="267"/>
      <c r="L18" s="295">
        <v>20</v>
      </c>
      <c r="M18" s="308" t="s">
        <v>166</v>
      </c>
      <c r="N18" s="262">
        <v>20</v>
      </c>
      <c r="O18" s="309" t="str">
        <f>+M18</f>
        <v>N/A</v>
      </c>
      <c r="P18" s="309"/>
      <c r="Q18" s="309"/>
      <c r="R18" s="309"/>
      <c r="S18" s="283"/>
      <c r="T18" s="283"/>
      <c r="U18" s="272"/>
      <c r="V18" s="283"/>
      <c r="AC18" s="265" t="s">
        <v>345</v>
      </c>
      <c r="AD18" s="259"/>
      <c r="AE18" s="267" t="s">
        <v>344</v>
      </c>
      <c r="AF18" s="261"/>
      <c r="AG18" s="311" t="s">
        <v>343</v>
      </c>
      <c r="AH18" s="312"/>
      <c r="AI18" s="313"/>
      <c r="AJ18" s="314" t="s">
        <v>343</v>
      </c>
      <c r="AK18" s="314" t="s">
        <v>343</v>
      </c>
      <c r="AL18" s="315">
        <v>0.6</v>
      </c>
      <c r="AM18" s="315">
        <v>0.61</v>
      </c>
      <c r="AO18" s="312"/>
      <c r="AP18" s="312"/>
      <c r="AQ18" s="312"/>
      <c r="AR18" s="312"/>
    </row>
    <row r="19" spans="1:44" x14ac:dyDescent="0.25">
      <c r="A19" s="255">
        <v>9</v>
      </c>
      <c r="B19" s="265" t="s">
        <v>190</v>
      </c>
      <c r="C19" s="288">
        <f>+H19-G19</f>
        <v>0.29099999999999993</v>
      </c>
      <c r="D19" s="283"/>
      <c r="E19" s="700">
        <v>1.534</v>
      </c>
      <c r="F19" s="692">
        <v>0</v>
      </c>
      <c r="G19" s="692">
        <f>+E19+F19</f>
        <v>1.534</v>
      </c>
      <c r="H19" s="692">
        <v>1.825</v>
      </c>
      <c r="I19" s="692"/>
      <c r="J19" s="255" t="s">
        <v>197</v>
      </c>
      <c r="K19" s="217"/>
      <c r="L19" s="295">
        <v>25</v>
      </c>
      <c r="M19" s="308" t="s">
        <v>166</v>
      </c>
      <c r="N19" s="262">
        <v>25</v>
      </c>
      <c r="O19" s="309" t="str">
        <f>+M19</f>
        <v>N/A</v>
      </c>
      <c r="P19" s="309">
        <v>1.3250999999999999</v>
      </c>
      <c r="Q19" s="309"/>
      <c r="R19" s="309"/>
      <c r="S19" s="283"/>
      <c r="T19" s="283"/>
      <c r="U19" s="272"/>
      <c r="V19" s="283"/>
      <c r="Y19" s="257">
        <v>4.0834999999999999</v>
      </c>
      <c r="Z19" s="532">
        <f>+Y19+G19</f>
        <v>5.6174999999999997</v>
      </c>
      <c r="AA19" s="532">
        <f>+Y19+H19</f>
        <v>5.9085000000000001</v>
      </c>
      <c r="AB19" s="533">
        <f>+(AA19-Z19)/Z19</f>
        <v>5.1802403204272429E-2</v>
      </c>
      <c r="AC19" s="283"/>
      <c r="AE19" s="283"/>
      <c r="AH19" s="293"/>
      <c r="AJ19" s="293"/>
      <c r="AK19" s="293"/>
      <c r="AL19" s="293"/>
      <c r="AM19" s="293"/>
      <c r="AO19" s="293"/>
      <c r="AP19" s="293"/>
      <c r="AQ19" s="293"/>
      <c r="AR19" s="293"/>
    </row>
    <row r="20" spans="1:44" x14ac:dyDescent="0.25">
      <c r="A20" s="255">
        <v>10</v>
      </c>
      <c r="B20" s="265" t="s">
        <v>191</v>
      </c>
      <c r="C20" s="288">
        <f>+H20-G20</f>
        <v>0.2350000000000001</v>
      </c>
      <c r="D20" s="267"/>
      <c r="E20" s="700">
        <v>0.95</v>
      </c>
      <c r="F20" s="692">
        <v>0</v>
      </c>
      <c r="G20" s="692">
        <f t="shared" ref="G20:G25" si="2">+E20+F20</f>
        <v>0.95</v>
      </c>
      <c r="H20" s="692">
        <v>1.1850000000000001</v>
      </c>
      <c r="I20" s="692"/>
      <c r="J20" s="255" t="s">
        <v>202</v>
      </c>
      <c r="K20" s="217"/>
      <c r="L20" s="316">
        <v>0.05</v>
      </c>
      <c r="M20" s="316">
        <v>0.05</v>
      </c>
      <c r="N20" s="317">
        <f>+L20</f>
        <v>0.05</v>
      </c>
      <c r="O20" s="317">
        <f>+M20</f>
        <v>0.05</v>
      </c>
      <c r="P20" s="317">
        <v>0.94740000000000002</v>
      </c>
      <c r="Q20" s="317"/>
      <c r="R20" s="317"/>
      <c r="S20" s="283"/>
      <c r="T20" s="283"/>
      <c r="U20" s="292">
        <v>1.19</v>
      </c>
      <c r="V20" s="283">
        <v>1.21</v>
      </c>
      <c r="Y20" s="257">
        <f>+Y19</f>
        <v>4.0834999999999999</v>
      </c>
      <c r="Z20" s="532">
        <f>+Y20+G20</f>
        <v>5.0335000000000001</v>
      </c>
      <c r="AA20" s="532">
        <f>+Y20+H20</f>
        <v>5.2684999999999995</v>
      </c>
      <c r="AB20" s="533">
        <f>+(AA20-Z20)/Z20</f>
        <v>4.6687195788218817E-2</v>
      </c>
      <c r="AC20" s="255" t="s">
        <v>188</v>
      </c>
      <c r="AD20" s="259"/>
      <c r="AE20" s="267" t="s">
        <v>341</v>
      </c>
      <c r="AF20" s="261"/>
      <c r="AG20" s="262"/>
      <c r="AH20" s="318"/>
      <c r="AI20" s="262"/>
      <c r="AJ20" s="318"/>
      <c r="AK20" s="318"/>
      <c r="AL20" s="318"/>
      <c r="AM20" s="318"/>
      <c r="AO20" s="318"/>
      <c r="AP20" s="318"/>
      <c r="AQ20" s="318"/>
      <c r="AR20" s="318"/>
    </row>
    <row r="21" spans="1:44" x14ac:dyDescent="0.25">
      <c r="A21" s="255">
        <v>11</v>
      </c>
      <c r="B21" s="265" t="s">
        <v>192</v>
      </c>
      <c r="C21" s="288">
        <f>+H21-G21</f>
        <v>0.16000000000000003</v>
      </c>
      <c r="D21" s="272"/>
      <c r="E21" s="700">
        <v>0.74</v>
      </c>
      <c r="F21" s="692">
        <v>0</v>
      </c>
      <c r="G21" s="692">
        <f t="shared" si="2"/>
        <v>0.74</v>
      </c>
      <c r="H21" s="692">
        <v>0.9</v>
      </c>
      <c r="I21" s="692"/>
      <c r="J21" s="255" t="s">
        <v>198</v>
      </c>
      <c r="K21" s="687"/>
      <c r="L21" s="295">
        <v>75</v>
      </c>
      <c r="M21" s="308" t="s">
        <v>166</v>
      </c>
      <c r="N21" s="262">
        <v>75</v>
      </c>
      <c r="O21" s="309" t="str">
        <f>+M21</f>
        <v>N/A</v>
      </c>
      <c r="P21" s="309">
        <v>0.76859999999999995</v>
      </c>
      <c r="Q21" s="309"/>
      <c r="R21" s="309"/>
      <c r="S21" s="283"/>
      <c r="T21" s="283"/>
      <c r="U21" s="292">
        <v>0.77</v>
      </c>
      <c r="V21" s="283">
        <v>0.79</v>
      </c>
      <c r="Y21" s="257">
        <f>+Y20</f>
        <v>4.0834999999999999</v>
      </c>
      <c r="Z21" s="532">
        <f>+Y21+G21</f>
        <v>4.8235000000000001</v>
      </c>
      <c r="AA21" s="532">
        <f>+Y21+H21</f>
        <v>4.9835000000000003</v>
      </c>
      <c r="AB21" s="533">
        <f>+(AA21-Z21)/Z21</f>
        <v>3.3170933969109598E-2</v>
      </c>
      <c r="AC21" s="283"/>
      <c r="AE21" s="267" t="s">
        <v>342</v>
      </c>
      <c r="AF21" s="261"/>
      <c r="AG21" s="268"/>
      <c r="AH21" s="318"/>
      <c r="AI21" s="268"/>
      <c r="AJ21" s="318"/>
      <c r="AK21" s="318"/>
      <c r="AL21" s="318"/>
      <c r="AM21" s="318"/>
      <c r="AO21" s="318"/>
      <c r="AP21" s="318"/>
      <c r="AQ21" s="318"/>
      <c r="AR21" s="318"/>
    </row>
    <row r="22" spans="1:44" x14ac:dyDescent="0.25">
      <c r="A22" s="255">
        <v>12</v>
      </c>
      <c r="B22" s="255" t="s">
        <v>524</v>
      </c>
      <c r="C22" s="288"/>
      <c r="D22" s="267" t="s">
        <v>523</v>
      </c>
      <c r="E22" s="262"/>
      <c r="F22" s="262"/>
      <c r="G22" s="262"/>
      <c r="H22" s="262"/>
      <c r="I22" s="262"/>
      <c r="J22" s="255" t="s">
        <v>199</v>
      </c>
      <c r="K22" s="290"/>
      <c r="L22" s="295">
        <v>175</v>
      </c>
      <c r="M22" s="308" t="s">
        <v>166</v>
      </c>
      <c r="N22" s="262">
        <v>175</v>
      </c>
      <c r="O22" s="309" t="str">
        <f>+M22</f>
        <v>N/A</v>
      </c>
      <c r="P22" s="309"/>
      <c r="Q22" s="309"/>
      <c r="R22" s="309"/>
      <c r="S22" s="319"/>
      <c r="T22" s="319"/>
      <c r="U22" s="292">
        <v>0.49</v>
      </c>
      <c r="V22" s="283">
        <v>0.49149999999999999</v>
      </c>
      <c r="AC22" s="265" t="s">
        <v>190</v>
      </c>
      <c r="AD22" s="259"/>
      <c r="AE22" s="283"/>
      <c r="AF22" s="261"/>
      <c r="AG22" s="320">
        <v>1.19</v>
      </c>
      <c r="AH22" s="312">
        <f>+$H$19</f>
        <v>1.825</v>
      </c>
      <c r="AI22" s="269"/>
      <c r="AJ22" s="315">
        <v>0.89</v>
      </c>
      <c r="AK22" s="315">
        <v>0.75</v>
      </c>
      <c r="AL22" s="315">
        <v>1.05</v>
      </c>
      <c r="AM22" s="315">
        <v>1.1299999999999999</v>
      </c>
      <c r="AO22" s="312">
        <f>+AH22-$AG$22+$AO$11</f>
        <v>1.3489</v>
      </c>
      <c r="AP22" s="312"/>
      <c r="AQ22" s="312"/>
      <c r="AR22" s="312"/>
    </row>
    <row r="23" spans="1:44" x14ac:dyDescent="0.25">
      <c r="A23" s="255">
        <v>13</v>
      </c>
      <c r="B23" s="265" t="s">
        <v>190</v>
      </c>
      <c r="C23" s="288"/>
      <c r="D23" s="283"/>
      <c r="E23" s="703">
        <f>E19</f>
        <v>1.534</v>
      </c>
      <c r="F23" s="701">
        <v>8.9300000000000004E-2</v>
      </c>
      <c r="G23" s="692">
        <f t="shared" si="2"/>
        <v>1.6233</v>
      </c>
      <c r="H23" s="692">
        <f>+H19</f>
        <v>1.825</v>
      </c>
      <c r="I23" s="692"/>
      <c r="J23" s="283"/>
      <c r="K23" s="272"/>
      <c r="L23" s="283"/>
      <c r="M23" s="283"/>
      <c r="N23" s="283"/>
      <c r="O23" s="283"/>
      <c r="P23" s="283">
        <v>1.3250999999999999</v>
      </c>
      <c r="Q23" s="283"/>
      <c r="R23" s="283"/>
      <c r="S23" s="513">
        <f>E23*0.75</f>
        <v>1.1505000000000001</v>
      </c>
      <c r="T23" s="513">
        <f>S23</f>
        <v>1.1505000000000001</v>
      </c>
      <c r="U23" s="272"/>
      <c r="V23" s="283"/>
      <c r="X23" s="257">
        <v>9.2999999999999999E-2</v>
      </c>
      <c r="Z23" s="532">
        <f>+Y23+G23</f>
        <v>1.6233</v>
      </c>
      <c r="AA23" s="532">
        <f>+Y23+H23</f>
        <v>1.825</v>
      </c>
      <c r="AB23" s="533">
        <f>+(AA23-Z23)/Z23</f>
        <v>0.12425306474465594</v>
      </c>
      <c r="AC23" s="265" t="s">
        <v>191</v>
      </c>
      <c r="AD23" s="259"/>
      <c r="AE23" s="267"/>
      <c r="AF23" s="261"/>
      <c r="AG23" s="320">
        <v>0.65900000000000003</v>
      </c>
      <c r="AH23" s="312">
        <f>+$H$20</f>
        <v>1.1850000000000001</v>
      </c>
      <c r="AI23" s="269"/>
      <c r="AJ23" s="315">
        <v>0.75</v>
      </c>
      <c r="AK23" s="315">
        <v>0.75</v>
      </c>
      <c r="AL23" s="315">
        <v>0.84</v>
      </c>
      <c r="AM23" s="315">
        <v>0.75</v>
      </c>
      <c r="AO23" s="312">
        <f>+AH23-$AG$22+$AO$11</f>
        <v>0.70890000000000009</v>
      </c>
      <c r="AP23" s="312"/>
      <c r="AQ23" s="312"/>
      <c r="AR23" s="312"/>
    </row>
    <row r="24" spans="1:44" x14ac:dyDescent="0.25">
      <c r="A24" s="255">
        <v>14</v>
      </c>
      <c r="B24" s="265" t="s">
        <v>191</v>
      </c>
      <c r="C24" s="288"/>
      <c r="D24" s="267"/>
      <c r="E24" s="703">
        <f t="shared" ref="E24:E25" si="3">E20</f>
        <v>0.95</v>
      </c>
      <c r="F24" s="701">
        <v>5.5300000000000002E-2</v>
      </c>
      <c r="G24" s="692">
        <f t="shared" si="2"/>
        <v>1.0052999999999999</v>
      </c>
      <c r="H24" s="692">
        <f>+H20</f>
        <v>1.1850000000000001</v>
      </c>
      <c r="I24" s="692"/>
      <c r="J24" s="283"/>
      <c r="K24" s="272"/>
      <c r="L24" s="283"/>
      <c r="M24" s="283"/>
      <c r="N24" s="283"/>
      <c r="O24" s="283"/>
      <c r="P24" s="283">
        <v>0.94740000000000002</v>
      </c>
      <c r="Q24" s="283"/>
      <c r="R24" s="283"/>
      <c r="S24" s="513">
        <f t="shared" ref="S24:S25" si="4">E24*0.75</f>
        <v>0.71249999999999991</v>
      </c>
      <c r="T24" s="513">
        <f t="shared" ref="T24:T25" si="5">S24</f>
        <v>0.71249999999999991</v>
      </c>
      <c r="U24" s="272"/>
      <c r="V24" s="283"/>
      <c r="X24" s="257">
        <v>6.5100000000000005E-2</v>
      </c>
      <c r="Z24" s="532">
        <f>+Y24+G24</f>
        <v>1.0052999999999999</v>
      </c>
      <c r="AA24" s="532">
        <f>+Y24+H24</f>
        <v>1.1850000000000001</v>
      </c>
      <c r="AB24" s="533">
        <f>+(AA24-Z24)/Z24</f>
        <v>0.17875261116084773</v>
      </c>
      <c r="AC24" s="265" t="s">
        <v>192</v>
      </c>
      <c r="AD24" s="259"/>
      <c r="AE24" s="272"/>
      <c r="AF24" s="261"/>
      <c r="AG24" s="320">
        <v>0.43</v>
      </c>
      <c r="AH24" s="312">
        <f>+$H$21</f>
        <v>0.9</v>
      </c>
      <c r="AI24" s="269"/>
      <c r="AJ24" s="315">
        <v>0.5</v>
      </c>
      <c r="AK24" s="315">
        <v>0.5</v>
      </c>
      <c r="AL24" s="315">
        <v>0.55000000000000004</v>
      </c>
      <c r="AM24" s="315">
        <v>0.53</v>
      </c>
      <c r="AO24" s="312">
        <f>+AH24-$AG$22+$AO$11</f>
        <v>0.42390000000000005</v>
      </c>
      <c r="AP24" s="312"/>
      <c r="AQ24" s="312"/>
      <c r="AR24" s="312"/>
    </row>
    <row r="25" spans="1:44" x14ac:dyDescent="0.25">
      <c r="A25" s="255">
        <v>15</v>
      </c>
      <c r="B25" s="265" t="s">
        <v>192</v>
      </c>
      <c r="C25" s="288"/>
      <c r="D25" s="272"/>
      <c r="E25" s="703">
        <f t="shared" si="3"/>
        <v>0.74</v>
      </c>
      <c r="F25" s="701">
        <v>4.3099999999999999E-2</v>
      </c>
      <c r="G25" s="692">
        <f t="shared" si="2"/>
        <v>0.78310000000000002</v>
      </c>
      <c r="H25" s="692">
        <f>+H21</f>
        <v>0.9</v>
      </c>
      <c r="I25" s="692"/>
      <c r="J25" s="283"/>
      <c r="K25" s="290"/>
      <c r="L25" s="283"/>
      <c r="M25" s="693"/>
      <c r="N25" s="283"/>
      <c r="O25" s="283"/>
      <c r="P25" s="283">
        <v>0.76859999999999995</v>
      </c>
      <c r="Q25" s="283"/>
      <c r="R25" s="283"/>
      <c r="S25" s="513">
        <f t="shared" si="4"/>
        <v>0.55499999999999994</v>
      </c>
      <c r="T25" s="513">
        <f t="shared" si="5"/>
        <v>0.55499999999999994</v>
      </c>
      <c r="U25" s="292">
        <v>0.65</v>
      </c>
      <c r="V25" s="283">
        <v>0.65</v>
      </c>
      <c r="X25" s="257">
        <v>4.2299999999999997E-2</v>
      </c>
      <c r="Z25" s="532">
        <f>+Y25+G25</f>
        <v>0.78310000000000002</v>
      </c>
      <c r="AA25" s="532">
        <f>+Y25+H25</f>
        <v>0.9</v>
      </c>
      <c r="AB25" s="533">
        <f>+(AA25-Z25)/Z25</f>
        <v>0.1492785084918912</v>
      </c>
      <c r="AC25" s="274"/>
      <c r="AD25" s="259"/>
      <c r="AE25" s="272"/>
      <c r="AF25" s="261"/>
      <c r="AG25" s="275"/>
      <c r="AH25" s="321"/>
      <c r="AI25" s="275"/>
      <c r="AJ25" s="321"/>
      <c r="AK25" s="321"/>
      <c r="AL25" s="321"/>
      <c r="AM25" s="321"/>
      <c r="AO25" s="321"/>
      <c r="AP25" s="321"/>
      <c r="AQ25" s="321"/>
      <c r="AR25" s="321"/>
    </row>
    <row r="26" spans="1:44" x14ac:dyDescent="0.25">
      <c r="A26" s="509">
        <v>16</v>
      </c>
      <c r="B26" s="255" t="s">
        <v>527</v>
      </c>
      <c r="C26" s="279"/>
      <c r="D26" s="267" t="s">
        <v>522</v>
      </c>
      <c r="E26" s="702"/>
      <c r="F26" s="702"/>
      <c r="G26" s="276"/>
      <c r="H26" s="276"/>
      <c r="I26" s="276"/>
      <c r="J26" s="283"/>
      <c r="K26" s="290"/>
      <c r="L26" s="283"/>
      <c r="M26" s="693"/>
      <c r="N26" s="283"/>
      <c r="O26" s="283"/>
      <c r="P26" s="283"/>
      <c r="Q26" s="283"/>
      <c r="R26" s="283"/>
      <c r="S26" s="283"/>
      <c r="T26" s="283"/>
      <c r="U26" s="292"/>
      <c r="V26" s="283"/>
      <c r="AC26" s="274"/>
      <c r="AD26" s="259"/>
      <c r="AE26" s="272"/>
      <c r="AF26" s="261"/>
      <c r="AG26" s="275"/>
      <c r="AH26" s="321"/>
      <c r="AI26" s="275"/>
      <c r="AJ26" s="321"/>
      <c r="AK26" s="321"/>
      <c r="AL26" s="321"/>
      <c r="AM26" s="321"/>
      <c r="AO26" s="321"/>
      <c r="AP26" s="321"/>
      <c r="AQ26" s="321"/>
      <c r="AR26" s="321"/>
    </row>
    <row r="27" spans="1:44" x14ac:dyDescent="0.25">
      <c r="A27" s="255">
        <v>17</v>
      </c>
      <c r="B27" s="265" t="s">
        <v>196</v>
      </c>
      <c r="C27" s="288">
        <f>+H27-G27</f>
        <v>0.1359999999999999</v>
      </c>
      <c r="D27" s="272"/>
      <c r="E27" s="701">
        <v>0.85000000000000009</v>
      </c>
      <c r="F27" s="701">
        <v>5.8999999999999997E-2</v>
      </c>
      <c r="G27" s="692">
        <f>+E27+F27</f>
        <v>0.90900000000000003</v>
      </c>
      <c r="H27" s="692">
        <v>1.0449999999999999</v>
      </c>
      <c r="I27" s="692"/>
      <c r="J27" s="283"/>
      <c r="K27" s="217"/>
      <c r="L27" s="283"/>
      <c r="M27" s="693"/>
      <c r="N27" s="283"/>
      <c r="O27" s="283"/>
      <c r="P27" s="283">
        <v>0.85270000000000001</v>
      </c>
      <c r="Q27" s="283"/>
      <c r="R27" s="283"/>
      <c r="S27" s="283"/>
      <c r="T27" s="283"/>
      <c r="U27" s="292">
        <v>0.41</v>
      </c>
      <c r="V27" s="283">
        <v>0.43</v>
      </c>
      <c r="Y27" s="257">
        <v>2.7616999999999998</v>
      </c>
      <c r="Z27" s="532">
        <f>+Y27+G27</f>
        <v>3.6707000000000001</v>
      </c>
      <c r="AA27" s="532">
        <f>+Y27+H27</f>
        <v>3.8066999999999998</v>
      </c>
      <c r="AB27" s="533">
        <f>+(AA27-Z27)/Z27</f>
        <v>3.7050153921595247E-2</v>
      </c>
      <c r="AC27" s="255" t="s">
        <v>193</v>
      </c>
      <c r="AD27" s="272"/>
      <c r="AE27" s="267" t="s">
        <v>194</v>
      </c>
      <c r="AF27" s="279"/>
      <c r="AG27" s="276"/>
      <c r="AH27" s="321"/>
      <c r="AI27" s="276"/>
      <c r="AJ27" s="321"/>
      <c r="AK27" s="321"/>
      <c r="AL27" s="321"/>
      <c r="AM27" s="321"/>
      <c r="AO27" s="321"/>
      <c r="AP27" s="321"/>
      <c r="AQ27" s="321"/>
      <c r="AR27" s="321"/>
    </row>
    <row r="28" spans="1:44" x14ac:dyDescent="0.25">
      <c r="A28" s="255">
        <v>18</v>
      </c>
      <c r="B28" s="265" t="s">
        <v>192</v>
      </c>
      <c r="C28" s="288">
        <f>+H28-G28</f>
        <v>7.9100000000000059E-2</v>
      </c>
      <c r="D28" s="272"/>
      <c r="E28" s="701">
        <v>0.64049999999999996</v>
      </c>
      <c r="F28" s="701">
        <v>4.4400000000000002E-2</v>
      </c>
      <c r="G28" s="692">
        <f>+E28+F28</f>
        <v>0.68489999999999995</v>
      </c>
      <c r="H28" s="692">
        <v>0.76400000000000001</v>
      </c>
      <c r="I28" s="692"/>
      <c r="K28" s="217"/>
      <c r="M28" s="693"/>
      <c r="P28" s="257">
        <v>0.65329999999999999</v>
      </c>
      <c r="S28" s="283"/>
      <c r="T28" s="283"/>
      <c r="U28" s="272"/>
      <c r="X28" s="257">
        <v>5.7000000000000002E-2</v>
      </c>
      <c r="Y28" s="257">
        <f>+Y27</f>
        <v>2.7616999999999998</v>
      </c>
      <c r="Z28" s="532">
        <f>+Y28+G28</f>
        <v>3.4465999999999997</v>
      </c>
      <c r="AA28" s="532">
        <f>+Y28+H28</f>
        <v>3.5256999999999996</v>
      </c>
      <c r="AB28" s="533">
        <f>+(AA28-Z28)/Z28</f>
        <v>2.2950153774734507E-2</v>
      </c>
      <c r="AC28" s="265" t="s">
        <v>196</v>
      </c>
      <c r="AD28" s="272"/>
      <c r="AE28" s="272"/>
      <c r="AF28" s="279"/>
      <c r="AG28" s="320">
        <v>0.53</v>
      </c>
      <c r="AH28" s="312">
        <f>+$H$27</f>
        <v>1.0449999999999999</v>
      </c>
      <c r="AI28" s="269"/>
      <c r="AJ28" s="315">
        <v>0.61</v>
      </c>
      <c r="AK28" s="315">
        <v>0.63</v>
      </c>
      <c r="AL28" s="315">
        <v>0.63</v>
      </c>
      <c r="AM28" s="315">
        <v>0.6</v>
      </c>
      <c r="AO28" s="312">
        <f>+AH28-$AG$28+$AO$11</f>
        <v>1.2288999999999999</v>
      </c>
      <c r="AP28" s="312"/>
      <c r="AQ28" s="312"/>
      <c r="AR28" s="312"/>
    </row>
    <row r="29" spans="1:44" x14ac:dyDescent="0.25">
      <c r="A29" s="255">
        <v>19</v>
      </c>
      <c r="B29" s="255" t="s">
        <v>526</v>
      </c>
      <c r="C29" s="279"/>
      <c r="D29" s="267" t="s">
        <v>525</v>
      </c>
      <c r="E29" s="702"/>
      <c r="F29" s="702"/>
      <c r="G29" s="276"/>
      <c r="H29" s="276"/>
      <c r="I29" s="276"/>
      <c r="K29" s="369"/>
      <c r="M29" s="693"/>
      <c r="S29" s="283"/>
      <c r="T29" s="283"/>
      <c r="U29" s="281"/>
      <c r="X29" s="257">
        <v>5.7000000000000002E-2</v>
      </c>
      <c r="AC29" s="265" t="s">
        <v>192</v>
      </c>
      <c r="AD29" s="272"/>
      <c r="AE29" s="272"/>
      <c r="AF29" s="279"/>
      <c r="AG29" s="320">
        <v>0.35909999999999997</v>
      </c>
      <c r="AH29" s="312">
        <f>+$H$28</f>
        <v>0.76400000000000001</v>
      </c>
      <c r="AI29" s="269"/>
      <c r="AJ29" s="315">
        <v>0.4</v>
      </c>
      <c r="AK29" s="315">
        <v>0.41</v>
      </c>
      <c r="AL29" s="315">
        <v>0.41</v>
      </c>
      <c r="AM29" s="315">
        <v>0.41</v>
      </c>
      <c r="AO29" s="312">
        <f>+AH29-$AG$28+$AO$11</f>
        <v>0.94789999999999996</v>
      </c>
      <c r="AP29" s="312"/>
      <c r="AQ29" s="312"/>
      <c r="AR29" s="312"/>
    </row>
    <row r="30" spans="1:44" x14ac:dyDescent="0.25">
      <c r="A30" s="255">
        <v>20</v>
      </c>
      <c r="B30" s="265" t="s">
        <v>196</v>
      </c>
      <c r="C30" s="279"/>
      <c r="D30" s="272"/>
      <c r="E30" s="703">
        <f>E27</f>
        <v>0.85000000000000009</v>
      </c>
      <c r="F30" s="701">
        <v>5.3099999999999994E-2</v>
      </c>
      <c r="G30" s="692">
        <f>+E30+F30</f>
        <v>0.90310000000000012</v>
      </c>
      <c r="H30" s="692">
        <f>+H27</f>
        <v>1.0449999999999999</v>
      </c>
      <c r="I30" s="692"/>
      <c r="M30" s="693"/>
      <c r="P30" s="257">
        <v>0.85270000000000001</v>
      </c>
      <c r="S30" s="283"/>
      <c r="T30" s="283"/>
      <c r="U30" s="281"/>
      <c r="Z30" s="532">
        <f>+Y30+G30</f>
        <v>0.90310000000000012</v>
      </c>
      <c r="AA30" s="532">
        <f>+Y30+H30</f>
        <v>1.0449999999999999</v>
      </c>
      <c r="AB30" s="533">
        <f>+(AA30-Z30)/Z30</f>
        <v>0.15712545676004849</v>
      </c>
      <c r="AC30" s="319"/>
      <c r="AD30" s="281"/>
      <c r="AE30" s="281"/>
      <c r="AF30" s="281"/>
      <c r="AG30" s="281"/>
      <c r="AH30" s="323"/>
      <c r="AI30" s="281"/>
      <c r="AJ30" s="323"/>
      <c r="AK30" s="323"/>
      <c r="AL30" s="323"/>
      <c r="AM30" s="323"/>
      <c r="AO30" s="323"/>
      <c r="AP30" s="323"/>
      <c r="AQ30" s="323"/>
      <c r="AR30" s="323"/>
    </row>
    <row r="31" spans="1:44" x14ac:dyDescent="0.25">
      <c r="A31" s="255">
        <v>21</v>
      </c>
      <c r="B31" s="265" t="s">
        <v>192</v>
      </c>
      <c r="C31" s="279"/>
      <c r="D31" s="272"/>
      <c r="E31" s="703">
        <f>E28</f>
        <v>0.64049999999999996</v>
      </c>
      <c r="F31" s="701">
        <v>0.04</v>
      </c>
      <c r="G31" s="692">
        <f>+E31+F31</f>
        <v>0.68049999999999999</v>
      </c>
      <c r="H31" s="692">
        <f>+H28</f>
        <v>0.76400000000000001</v>
      </c>
      <c r="I31" s="692"/>
      <c r="M31" s="693"/>
      <c r="P31" s="257">
        <v>0.65329999999999999</v>
      </c>
      <c r="V31" s="119"/>
      <c r="W31" s="324"/>
      <c r="Z31" s="532">
        <f>+Y31+G31</f>
        <v>0.68049999999999999</v>
      </c>
      <c r="AA31" s="532">
        <f>+Y31+H31</f>
        <v>0.76400000000000001</v>
      </c>
      <c r="AB31" s="533">
        <f>+(AA31-Z31)/Z31</f>
        <v>0.12270389419544456</v>
      </c>
    </row>
    <row r="32" spans="1:44" x14ac:dyDescent="0.25">
      <c r="A32" s="255">
        <v>22</v>
      </c>
      <c r="B32" s="258" t="s">
        <v>204</v>
      </c>
      <c r="C32" s="283"/>
      <c r="D32" s="272"/>
      <c r="E32" s="276"/>
      <c r="F32" s="276"/>
      <c r="G32" s="276"/>
      <c r="H32" s="276"/>
      <c r="I32" s="276"/>
      <c r="M32" s="693"/>
      <c r="V32" s="119"/>
      <c r="W32" s="324"/>
    </row>
    <row r="33" spans="1:44" x14ac:dyDescent="0.25">
      <c r="A33" s="255">
        <v>23</v>
      </c>
      <c r="B33" s="255" t="s">
        <v>205</v>
      </c>
      <c r="C33" s="288"/>
      <c r="D33" s="267" t="s">
        <v>206</v>
      </c>
      <c r="E33" s="262">
        <v>50</v>
      </c>
      <c r="F33" s="262">
        <v>50</v>
      </c>
      <c r="G33" s="262">
        <v>50</v>
      </c>
      <c r="H33" s="262">
        <f>G33</f>
        <v>50</v>
      </c>
      <c r="I33" s="262"/>
      <c r="M33" s="322"/>
      <c r="P33" s="257">
        <v>50</v>
      </c>
      <c r="S33" s="283"/>
      <c r="T33" s="283"/>
      <c r="U33" s="281"/>
      <c r="V33" s="322"/>
      <c r="AC33" s="325" t="s">
        <v>358</v>
      </c>
      <c r="AD33" s="326"/>
      <c r="AE33" s="326"/>
      <c r="AF33" s="326"/>
      <c r="AG33" s="326"/>
      <c r="AH33" s="327">
        <f>+$N$49</f>
        <v>10416024.394184038</v>
      </c>
      <c r="AI33" s="326"/>
      <c r="AJ33" s="328">
        <v>10230823.245412879</v>
      </c>
      <c r="AK33" s="328">
        <v>9976947.6511408687</v>
      </c>
      <c r="AL33" s="328">
        <v>10043812.732589878</v>
      </c>
      <c r="AM33" s="328">
        <v>9933354.6075258628</v>
      </c>
      <c r="AO33" s="327"/>
      <c r="AP33" s="327"/>
      <c r="AQ33" s="327"/>
      <c r="AR33" s="327"/>
    </row>
    <row r="34" spans="1:44" x14ac:dyDescent="0.25">
      <c r="A34" s="255">
        <v>24</v>
      </c>
      <c r="B34" s="255" t="s">
        <v>207</v>
      </c>
      <c r="C34" s="288"/>
      <c r="D34" s="267" t="s">
        <v>186</v>
      </c>
      <c r="E34" s="547">
        <v>0.1</v>
      </c>
      <c r="F34" s="547">
        <v>0.1</v>
      </c>
      <c r="G34" s="547">
        <v>0.1</v>
      </c>
      <c r="H34" s="294">
        <f>G34</f>
        <v>0.1</v>
      </c>
      <c r="I34" s="294"/>
      <c r="P34" s="257">
        <v>0.1</v>
      </c>
      <c r="S34" s="283"/>
      <c r="T34" s="283"/>
      <c r="V34" s="119"/>
      <c r="AC34" s="255" t="s">
        <v>367</v>
      </c>
      <c r="AD34" s="254"/>
      <c r="AE34" s="254"/>
      <c r="AF34" s="254"/>
      <c r="AG34" s="254"/>
      <c r="AH34" s="329">
        <f>+$V$49</f>
        <v>6.1009016059619697E-2</v>
      </c>
      <c r="AI34" s="254"/>
      <c r="AJ34" s="330">
        <v>4.5167628786547856E-2</v>
      </c>
      <c r="AK34" s="330">
        <v>4.4046804164229833E-2</v>
      </c>
      <c r="AL34" s="330">
        <v>4.4342003983953555E-2</v>
      </c>
      <c r="AM34" s="330">
        <v>4.3854347079941798E-2</v>
      </c>
      <c r="AO34" s="329"/>
      <c r="AP34" s="329"/>
      <c r="AQ34" s="329"/>
      <c r="AR34" s="329"/>
    </row>
    <row r="35" spans="1:44" x14ac:dyDescent="0.25">
      <c r="A35" s="255">
        <v>25</v>
      </c>
      <c r="S35" s="319"/>
      <c r="T35" s="319"/>
      <c r="U35" s="281"/>
      <c r="AC35" s="255" t="s">
        <v>359</v>
      </c>
      <c r="AD35" s="331"/>
      <c r="AE35" s="331"/>
      <c r="AF35" s="331"/>
      <c r="AG35" s="331"/>
      <c r="AH35" s="332">
        <f>+$N$39</f>
        <v>5634047.5881873369</v>
      </c>
      <c r="AI35" s="331"/>
      <c r="AJ35" s="333">
        <v>7129124.5</v>
      </c>
      <c r="AK35" s="333">
        <v>7564330.3999999985</v>
      </c>
      <c r="AL35" s="333">
        <v>6053003.1499999985</v>
      </c>
      <c r="AM35" s="333">
        <v>6153758.299999997</v>
      </c>
      <c r="AO35" s="332"/>
      <c r="AP35" s="332"/>
      <c r="AQ35" s="332"/>
      <c r="AR35" s="332"/>
    </row>
    <row r="36" spans="1:44" x14ac:dyDescent="0.25">
      <c r="A36" s="255">
        <v>26</v>
      </c>
      <c r="B36" s="258" t="s">
        <v>208</v>
      </c>
      <c r="C36" s="255"/>
      <c r="D36" s="255"/>
      <c r="E36" s="255"/>
      <c r="F36" s="255"/>
      <c r="G36" s="272"/>
      <c r="H36" s="272"/>
      <c r="I36" s="279"/>
      <c r="J36" s="272"/>
      <c r="K36" s="255"/>
      <c r="L36" s="272"/>
      <c r="M36" s="279"/>
      <c r="N36" s="272"/>
      <c r="O36" s="272"/>
      <c r="P36" s="272"/>
      <c r="Q36" s="272"/>
      <c r="R36" s="272"/>
      <c r="S36" s="334"/>
      <c r="T36" s="334"/>
      <c r="U36" s="335"/>
      <c r="V36" s="335"/>
      <c r="W36" s="335"/>
      <c r="X36" s="335"/>
      <c r="Y36" s="335"/>
      <c r="Z36" s="335"/>
      <c r="AA36" s="335"/>
      <c r="AC36" s="255" t="s">
        <v>360</v>
      </c>
      <c r="AD36" s="254"/>
      <c r="AE36" s="254"/>
      <c r="AF36" s="254"/>
      <c r="AG36" s="254"/>
      <c r="AH36" s="329">
        <f>+$V$39</f>
        <v>5.7269432222992141E-2</v>
      </c>
      <c r="AI36" s="254"/>
      <c r="AJ36" s="330">
        <v>5.5105470583381375E-2</v>
      </c>
      <c r="AK36" s="336">
        <v>5.8469449697529818E-2</v>
      </c>
      <c r="AL36" s="330">
        <v>4.6787454339370808E-2</v>
      </c>
      <c r="AM36" s="330">
        <v>4.7566254029914726E-2</v>
      </c>
      <c r="AO36" s="329"/>
      <c r="AP36" s="329"/>
      <c r="AQ36" s="329"/>
      <c r="AR36" s="329"/>
    </row>
    <row r="37" spans="1:44" ht="16.5" thickBot="1" x14ac:dyDescent="0.3">
      <c r="A37" s="255">
        <v>27</v>
      </c>
      <c r="C37" s="278"/>
      <c r="D37" s="280" t="s">
        <v>209</v>
      </c>
      <c r="E37" s="337"/>
      <c r="F37" s="338"/>
      <c r="G37" s="339" t="s">
        <v>550</v>
      </c>
      <c r="H37" s="340"/>
      <c r="I37" s="278"/>
      <c r="J37" s="280" t="s">
        <v>210</v>
      </c>
      <c r="K37" s="337"/>
      <c r="L37" s="338"/>
      <c r="M37" s="341" t="s">
        <v>211</v>
      </c>
      <c r="N37" s="340"/>
      <c r="O37" s="342"/>
      <c r="P37" s="31"/>
      <c r="Q37" s="31"/>
      <c r="R37" s="31"/>
      <c r="S37" s="334"/>
      <c r="T37" s="334"/>
      <c r="U37" s="334"/>
      <c r="V37" s="334"/>
      <c r="W37" s="335"/>
      <c r="X37" s="343">
        <v>675000</v>
      </c>
      <c r="Y37" s="335"/>
      <c r="Z37" s="335"/>
      <c r="AA37" s="335"/>
      <c r="AC37" s="255" t="s">
        <v>361</v>
      </c>
      <c r="AD37" s="331"/>
      <c r="AE37" s="331"/>
      <c r="AF37" s="331"/>
      <c r="AG37" s="331"/>
      <c r="AH37" s="344">
        <f>+$N$40+$N$42</f>
        <v>2290925.041909623</v>
      </c>
      <c r="AI37" s="331"/>
      <c r="AJ37" s="345">
        <v>1999688.3370000019</v>
      </c>
      <c r="AK37" s="345">
        <v>1285688.897000001</v>
      </c>
      <c r="AL37" s="345">
        <v>2194850.3270000005</v>
      </c>
      <c r="AM37" s="345">
        <v>2532064.3770000013</v>
      </c>
      <c r="AO37" s="344"/>
      <c r="AP37" s="344"/>
      <c r="AQ37" s="344"/>
      <c r="AR37" s="344"/>
    </row>
    <row r="38" spans="1:44" ht="16.5" thickTop="1" x14ac:dyDescent="0.25">
      <c r="A38" s="255">
        <v>28</v>
      </c>
      <c r="B38" s="346" t="s">
        <v>212</v>
      </c>
      <c r="C38" s="347" t="s">
        <v>170</v>
      </c>
      <c r="D38" s="347" t="s">
        <v>171</v>
      </c>
      <c r="E38" s="348" t="s">
        <v>213</v>
      </c>
      <c r="F38" s="347" t="s">
        <v>170</v>
      </c>
      <c r="G38" s="347" t="s">
        <v>171</v>
      </c>
      <c r="H38" s="348" t="s">
        <v>213</v>
      </c>
      <c r="I38" s="347" t="s">
        <v>170</v>
      </c>
      <c r="J38" s="347" t="s">
        <v>171</v>
      </c>
      <c r="K38" s="348" t="s">
        <v>213</v>
      </c>
      <c r="L38" s="347" t="s">
        <v>170</v>
      </c>
      <c r="M38" s="347" t="s">
        <v>171</v>
      </c>
      <c r="N38" s="348" t="s">
        <v>65</v>
      </c>
      <c r="O38" s="348" t="s">
        <v>213</v>
      </c>
      <c r="P38" s="348"/>
      <c r="Q38" s="348"/>
      <c r="R38" s="348"/>
      <c r="S38" s="349"/>
      <c r="T38" s="349"/>
      <c r="U38" s="349" t="s">
        <v>296</v>
      </c>
      <c r="V38" s="334" t="s">
        <v>297</v>
      </c>
      <c r="W38" s="335"/>
      <c r="X38" s="335"/>
      <c r="Y38" s="334" t="s">
        <v>497</v>
      </c>
      <c r="Z38" s="334" t="s">
        <v>498</v>
      </c>
      <c r="AA38" s="334"/>
      <c r="AC38" s="255" t="s">
        <v>362</v>
      </c>
      <c r="AD38" s="254"/>
      <c r="AE38" s="254"/>
      <c r="AF38" s="254"/>
      <c r="AG38" s="254"/>
      <c r="AH38" s="329">
        <f>+$V$40</f>
        <v>4.8487690362169412E-2</v>
      </c>
      <c r="AI38" s="254"/>
      <c r="AJ38" s="330">
        <v>3.4866254004931846E-2</v>
      </c>
      <c r="AK38" s="330">
        <v>2.4769712590795918E-2</v>
      </c>
      <c r="AL38" s="330">
        <v>3.6090455361835264E-2</v>
      </c>
      <c r="AM38" s="330">
        <v>4.1040061779749996E-2</v>
      </c>
      <c r="AO38" s="329"/>
      <c r="AP38" s="329"/>
      <c r="AQ38" s="329"/>
      <c r="AR38" s="329"/>
    </row>
    <row r="39" spans="1:44" x14ac:dyDescent="0.25">
      <c r="A39" s="255">
        <v>29</v>
      </c>
      <c r="B39" s="255" t="s">
        <v>94</v>
      </c>
      <c r="C39" s="45">
        <f>+'Test Year Monthly - (Pres)'!Q13</f>
        <v>35954155.019999996</v>
      </c>
      <c r="D39" s="45">
        <f>+'Test Year Monthly - (Prop)'!Q13</f>
        <v>38670524</v>
      </c>
      <c r="E39" s="161">
        <f t="shared" ref="E39:E46" si="6">+(D39-C39)/C39</f>
        <v>7.5550905826850506E-2</v>
      </c>
      <c r="F39" s="350">
        <f>+'Test Year Monthly - (Pres)'!S17</f>
        <v>0</v>
      </c>
      <c r="G39" s="351"/>
      <c r="H39" s="161"/>
      <c r="I39" s="31">
        <f>+'Test Year Monthly - (Pres)'!Q14+'Test Year Monthly - (Pres)'!Q15+'Test Year Monthly - (Pres)'!Q16</f>
        <v>15380475.391812669</v>
      </c>
      <c r="J39" s="13">
        <f>+'Test Year Monthly - (Prop)'!Q14+'Test Year Monthly - (Prop)'!Q15+'Test Year Monthly - (Prop)'!Q16</f>
        <v>18298154</v>
      </c>
      <c r="K39" s="161">
        <f t="shared" ref="K39:K46" si="7">+(J39-I39)/I39</f>
        <v>0.18970015775588242</v>
      </c>
      <c r="L39" s="31">
        <f t="shared" ref="L39:M45" si="8">+C39+F39+I39</f>
        <v>51334630.411812663</v>
      </c>
      <c r="M39" s="31">
        <f t="shared" si="8"/>
        <v>56968678</v>
      </c>
      <c r="N39" s="35">
        <f t="shared" ref="N39:N45" si="9">+M39-L39</f>
        <v>5634047.5881873369</v>
      </c>
      <c r="O39" s="161">
        <f t="shared" ref="O39:O46" si="10">+(M39-L39)/L39</f>
        <v>0.10975140062352295</v>
      </c>
      <c r="P39" s="161"/>
      <c r="Q39" s="161"/>
      <c r="R39" s="161"/>
      <c r="S39" s="352">
        <f>+'Test Year Monthly - (Pres)'!Q17</f>
        <v>51334630.411812663</v>
      </c>
      <c r="T39" s="352"/>
      <c r="U39" s="35">
        <f>+'Test Year Monthly - (Prop)'!P19</f>
        <v>47043289.003379613</v>
      </c>
      <c r="V39" s="161">
        <f t="shared" ref="V39:V45" si="11">+N39/(U39+L39)</f>
        <v>5.7269432222992141E-2</v>
      </c>
      <c r="W39" s="161">
        <f t="shared" ref="W39:W45" si="12">+M39/$M$46</f>
        <v>0.56820025174400834</v>
      </c>
      <c r="X39" s="35">
        <f t="shared" ref="X39:X45" si="13">+$X$37*W39</f>
        <v>383535.16992720566</v>
      </c>
      <c r="Y39" s="353">
        <f>+X39/L81</f>
        <v>2.4398338388693546</v>
      </c>
      <c r="Z39" s="354">
        <f t="shared" ref="Z39:Z44" si="14">+Y39/12</f>
        <v>0.20331948657244622</v>
      </c>
      <c r="AA39" s="681" t="e">
        <f>N39/$N$67</f>
        <v>#DIV/0!</v>
      </c>
      <c r="AC39" s="255" t="s">
        <v>363</v>
      </c>
      <c r="AD39" s="331"/>
      <c r="AE39" s="331"/>
      <c r="AF39" s="331"/>
      <c r="AG39" s="331"/>
      <c r="AH39" s="344">
        <f>+$N$41+$N$43</f>
        <v>207847.17053298018</v>
      </c>
      <c r="AI39" s="331"/>
      <c r="AJ39" s="345">
        <v>40602.56754047994</v>
      </c>
      <c r="AK39" s="345">
        <v>9177.544668479939</v>
      </c>
      <c r="AL39" s="345">
        <v>124142.77991747996</v>
      </c>
      <c r="AM39" s="345">
        <v>102133.51625347999</v>
      </c>
      <c r="AO39" s="344"/>
      <c r="AP39" s="344"/>
      <c r="AQ39" s="344"/>
      <c r="AR39" s="344"/>
    </row>
    <row r="40" spans="1:44" x14ac:dyDescent="0.25">
      <c r="A40" s="255">
        <v>30</v>
      </c>
      <c r="B40" s="255" t="s">
        <v>97</v>
      </c>
      <c r="C40" s="45">
        <f>+'Test Year Monthly - (Pres)'!Q22</f>
        <v>10395212.34</v>
      </c>
      <c r="D40" s="45">
        <f>+'Test Year Monthly - (Prop)'!Q22</f>
        <v>10972028</v>
      </c>
      <c r="E40" s="161">
        <f t="shared" si="6"/>
        <v>5.5488588509198279E-2</v>
      </c>
      <c r="F40" s="350">
        <f>+'Test Year Monthly - (Pres)'!S26</f>
        <v>0</v>
      </c>
      <c r="G40" s="45"/>
      <c r="H40" s="161"/>
      <c r="I40" s="13">
        <f>+'Test Year Monthly - (Pres)'!Q23+'Test Year Monthly - (Pres)'!Q24+'Test Year Monthly - (Pres)'!Q25</f>
        <v>7172414.6976105254</v>
      </c>
      <c r="J40" s="13">
        <f>+'Test Year Monthly - (Prop)'!Q23+'Test Year Monthly - (Prop)'!Q24+'Test Year Monthly - (Prop)'!Q25</f>
        <v>8563217</v>
      </c>
      <c r="K40" s="161">
        <f t="shared" si="7"/>
        <v>0.19390991193702414</v>
      </c>
      <c r="L40" s="31">
        <f t="shared" ref="L40:M42" si="15">+C40+F40+I40</f>
        <v>17567627.037610523</v>
      </c>
      <c r="M40" s="31">
        <f t="shared" si="15"/>
        <v>19535245</v>
      </c>
      <c r="N40" s="35">
        <f t="shared" si="9"/>
        <v>1967617.9623894766</v>
      </c>
      <c r="O40" s="161">
        <f t="shared" si="10"/>
        <v>0.11200248947549969</v>
      </c>
      <c r="P40" s="161"/>
      <c r="Q40" s="161"/>
      <c r="R40" s="161"/>
      <c r="S40" s="352">
        <f>+'Test Year Monthly - (Pres)'!Q26</f>
        <v>17567627.037610527</v>
      </c>
      <c r="T40" s="352"/>
      <c r="U40" s="35">
        <f>+'Test Year Monthly - (Prop)'!P28</f>
        <v>23012114.9070508</v>
      </c>
      <c r="V40" s="161">
        <f t="shared" si="11"/>
        <v>4.8487690362169412E-2</v>
      </c>
      <c r="W40" s="161">
        <f t="shared" si="12"/>
        <v>0.19484270157859165</v>
      </c>
      <c r="X40" s="35">
        <f t="shared" si="13"/>
        <v>131518.82356554936</v>
      </c>
      <c r="Y40" s="353">
        <f>+X40/L82</f>
        <v>7.5516452037962987</v>
      </c>
      <c r="Z40" s="354">
        <f t="shared" si="14"/>
        <v>0.62930376698302493</v>
      </c>
      <c r="AA40" s="681" t="e">
        <f t="shared" ref="AA40:AA44" si="16">N40/$N$67</f>
        <v>#DIV/0!</v>
      </c>
      <c r="AC40" s="325" t="s">
        <v>365</v>
      </c>
      <c r="AD40" s="254"/>
      <c r="AE40" s="254"/>
      <c r="AF40" s="355"/>
      <c r="AG40" s="254"/>
      <c r="AH40" s="329">
        <f>+$AB$47</f>
        <v>3.8893093792231478E-2</v>
      </c>
      <c r="AI40" s="254"/>
      <c r="AJ40" s="330">
        <v>3.0265883083828611E-3</v>
      </c>
      <c r="AK40" s="330">
        <v>6.8411066284392204E-4</v>
      </c>
      <c r="AL40" s="330">
        <v>9.2538257806922472E-3</v>
      </c>
      <c r="AM40" s="330">
        <v>7.6132157376163695E-3</v>
      </c>
      <c r="AO40" s="329"/>
      <c r="AP40" s="329"/>
      <c r="AQ40" s="329"/>
      <c r="AR40" s="329"/>
    </row>
    <row r="41" spans="1:44" x14ac:dyDescent="0.25">
      <c r="A41" s="255">
        <v>31</v>
      </c>
      <c r="B41" s="255" t="s">
        <v>98</v>
      </c>
      <c r="C41" s="45">
        <f>+'Test Year Monthly - (Pres)'!Q31</f>
        <v>120818.46</v>
      </c>
      <c r="D41" s="45">
        <f>+'Test Year Monthly - (Prop)'!Q31</f>
        <v>127523</v>
      </c>
      <c r="E41" s="161">
        <f t="shared" si="6"/>
        <v>5.5492678850566322E-2</v>
      </c>
      <c r="F41" s="350"/>
      <c r="G41" s="45"/>
      <c r="H41" s="161"/>
      <c r="I41" s="13">
        <f>+'Test Year Monthly - (Pres)'!Q32+'Test Year Monthly - (Pres)'!Q33+'Test Year Monthly - (Pres)'!Q34</f>
        <v>681029.13687999989</v>
      </c>
      <c r="J41" s="31">
        <f>+'Test Year Monthly - (Prop)'!Q32+'Test Year Monthly - (Prop)'!Q33+'Test Year Monthly - (Prop)'!Q34</f>
        <v>828074</v>
      </c>
      <c r="K41" s="161">
        <f t="shared" si="7"/>
        <v>0.21591567108810797</v>
      </c>
      <c r="L41" s="31">
        <f t="shared" si="15"/>
        <v>801847.59687999985</v>
      </c>
      <c r="M41" s="31">
        <f t="shared" si="15"/>
        <v>955597</v>
      </c>
      <c r="N41" s="35">
        <f t="shared" si="9"/>
        <v>153749.40312000015</v>
      </c>
      <c r="O41" s="161">
        <f t="shared" si="10"/>
        <v>0.19174392205980439</v>
      </c>
      <c r="P41" s="161"/>
      <c r="Q41" s="161"/>
      <c r="R41" s="161"/>
      <c r="S41" s="352">
        <f>+'Test Year Monthly - (Pres)'!Q35</f>
        <v>801847.59687999997</v>
      </c>
      <c r="T41" s="352"/>
      <c r="U41" s="35">
        <f>+'Test Year Monthly - (Prop)'!P37</f>
        <v>2682859.382349499</v>
      </c>
      <c r="V41" s="161">
        <f t="shared" si="11"/>
        <v>4.4121185521887291E-2</v>
      </c>
      <c r="W41" s="161">
        <f t="shared" si="12"/>
        <v>9.5310348603458751E-3</v>
      </c>
      <c r="X41" s="35">
        <f t="shared" si="13"/>
        <v>6433.4485307334653</v>
      </c>
      <c r="Y41" s="353">
        <f>+X41/L83</f>
        <v>31.783195705558498</v>
      </c>
      <c r="Z41" s="354">
        <f t="shared" si="14"/>
        <v>2.648599642129875</v>
      </c>
      <c r="AA41" s="681" t="e">
        <f t="shared" si="16"/>
        <v>#DIV/0!</v>
      </c>
      <c r="AC41" s="325" t="s">
        <v>364</v>
      </c>
      <c r="AD41" s="331"/>
      <c r="AE41" s="331"/>
      <c r="AF41" s="326"/>
      <c r="AG41" s="331"/>
      <c r="AH41" s="344">
        <f>+$N$44+$N$45</f>
        <v>2212672.3536644988</v>
      </c>
      <c r="AI41" s="331"/>
      <c r="AJ41" s="345">
        <v>967158.4103723811</v>
      </c>
      <c r="AK41" s="345">
        <v>1023501.3789723804</v>
      </c>
      <c r="AL41" s="345">
        <v>1577567.0451723794</v>
      </c>
      <c r="AM41" s="345">
        <v>1051148.9837723812</v>
      </c>
      <c r="AO41" s="344"/>
      <c r="AP41" s="344"/>
      <c r="AQ41" s="344"/>
      <c r="AR41" s="344"/>
    </row>
    <row r="42" spans="1:44" x14ac:dyDescent="0.25">
      <c r="A42" s="255">
        <v>32</v>
      </c>
      <c r="B42" s="255" t="s">
        <v>294</v>
      </c>
      <c r="C42" s="45">
        <f>+'Test Year Monthly - (Pres)'!Q40</f>
        <v>924318.42</v>
      </c>
      <c r="D42" s="46">
        <f>+'Test Year Monthly - (Prop)'!Q40</f>
        <v>975608</v>
      </c>
      <c r="E42" s="161">
        <f t="shared" si="6"/>
        <v>5.5489081349260526E-2</v>
      </c>
      <c r="F42" s="350">
        <f>+'Test Year Monthly - (Pres)'!S44</f>
        <v>0</v>
      </c>
      <c r="G42" s="45"/>
      <c r="H42" s="161"/>
      <c r="I42" s="46">
        <f>+'Test Year Monthly - (Pres)'!Q41+'Test Year Monthly - (Pres)'!Q42+'Test Year Monthly - (Pres)'!Q43</f>
        <v>1391403.5004798535</v>
      </c>
      <c r="J42" s="45">
        <f>+'Test Year Monthly - (Prop)'!Q41+'Test Year Monthly - (Prop)'!Q42+'Test Year Monthly - (Prop)'!Q43</f>
        <v>1663421</v>
      </c>
      <c r="K42" s="161">
        <f t="shared" si="7"/>
        <v>0.19549864537952924</v>
      </c>
      <c r="L42" s="31">
        <f t="shared" si="15"/>
        <v>2315721.9204798536</v>
      </c>
      <c r="M42" s="31">
        <f t="shared" si="15"/>
        <v>2639029</v>
      </c>
      <c r="N42" s="35">
        <f t="shared" si="9"/>
        <v>323307.07952014636</v>
      </c>
      <c r="O42" s="161">
        <f t="shared" si="10"/>
        <v>0.13961394788418816</v>
      </c>
      <c r="P42" s="161"/>
      <c r="Q42" s="161"/>
      <c r="R42" s="161"/>
      <c r="S42" s="352">
        <f>+'Test Year Monthly - (Pres)'!Q44</f>
        <v>2315721.9204798536</v>
      </c>
      <c r="T42" s="352"/>
      <c r="U42" s="35">
        <f>+'Test Year Monthly - (Prop)'!P46</f>
        <v>4531650.4665451851</v>
      </c>
      <c r="V42" s="161">
        <f t="shared" si="11"/>
        <v>4.7216225618570862E-2</v>
      </c>
      <c r="W42" s="161">
        <f t="shared" si="12"/>
        <v>2.6321427752979253E-2</v>
      </c>
      <c r="X42" s="35">
        <f t="shared" si="13"/>
        <v>17766.963733260996</v>
      </c>
      <c r="Y42" s="353">
        <f>+X42/L84</f>
        <v>11.473043362166065</v>
      </c>
      <c r="Z42" s="354">
        <f t="shared" si="14"/>
        <v>0.9560869468471721</v>
      </c>
      <c r="AA42" s="681" t="e">
        <f t="shared" si="16"/>
        <v>#DIV/0!</v>
      </c>
      <c r="AB42" s="335"/>
      <c r="AC42" s="356" t="s">
        <v>366</v>
      </c>
      <c r="AD42" s="254"/>
      <c r="AE42" s="254"/>
      <c r="AF42" s="254"/>
      <c r="AG42" s="254"/>
      <c r="AH42" s="329">
        <f>+$AB$48</f>
        <v>0.12661098641417756</v>
      </c>
      <c r="AI42" s="254"/>
      <c r="AJ42" s="330">
        <v>0.10217904852483992</v>
      </c>
      <c r="AK42" s="330">
        <v>0.10813161106358292</v>
      </c>
      <c r="AL42" s="336">
        <v>0.16666793974090852</v>
      </c>
      <c r="AM42" s="330">
        <v>0.11105254513411142</v>
      </c>
      <c r="AO42" s="329"/>
      <c r="AP42" s="329"/>
      <c r="AQ42" s="329"/>
      <c r="AR42" s="329"/>
    </row>
    <row r="43" spans="1:44" x14ac:dyDescent="0.25">
      <c r="A43" s="255">
        <v>33</v>
      </c>
      <c r="B43" s="255" t="s">
        <v>295</v>
      </c>
      <c r="C43" s="45">
        <f>+'Test Year Monthly - (Pres)'!Q49+'Test Year Monthly - (Pres)'!Q57</f>
        <v>55855.7</v>
      </c>
      <c r="D43" s="45">
        <f>+'Test Year Monthly - (Prop)'!Q49+'Test Year Monthly - (Prop)'!Q57</f>
        <v>56800</v>
      </c>
      <c r="E43" s="161">
        <f t="shared" si="6"/>
        <v>1.6906063302402494E-2</v>
      </c>
      <c r="F43" s="45"/>
      <c r="G43" s="45"/>
      <c r="H43" s="161"/>
      <c r="I43" s="31">
        <f>+'Test Year Monthly - (Pres)'!Q50+'Test Year Monthly - (Pres)'!Q51+'Test Year Monthly - (Pres)'!Q58+'Test Year Monthly - (Pres)'!Q59</f>
        <v>364297.53258701996</v>
      </c>
      <c r="J43" s="45">
        <f>+'Test Year Monthly - (Prop)'!Q50+'Test Year Monthly - (Prop)'!Q51+'Test Year Monthly - (Prop)'!Q58+'Test Year Monthly - (Prop)'!Q59</f>
        <v>417451</v>
      </c>
      <c r="K43" s="161">
        <f t="shared" si="7"/>
        <v>0.14590674560850406</v>
      </c>
      <c r="L43" s="13">
        <f t="shared" si="8"/>
        <v>420153.23258701997</v>
      </c>
      <c r="M43" s="13">
        <f t="shared" si="8"/>
        <v>474251</v>
      </c>
      <c r="N43" s="35">
        <f t="shared" si="9"/>
        <v>54097.767412980029</v>
      </c>
      <c r="O43" s="161">
        <f t="shared" si="10"/>
        <v>0.12875723240276529</v>
      </c>
      <c r="P43" s="161"/>
      <c r="Q43" s="161"/>
      <c r="R43" s="161"/>
      <c r="S43" s="352">
        <f>+'Test Year Monthly - (Pres)'!Q52+'Test Year Monthly - (Pres)'!Q60</f>
        <v>420153.23258701997</v>
      </c>
      <c r="T43" s="352"/>
      <c r="U43" s="35">
        <f>+'Test Year Monthly - (Pres)'!P54+'Test Year Monthly - (Pres)'!P62</f>
        <v>1439203.4834839478</v>
      </c>
      <c r="V43" s="161">
        <f t="shared" si="11"/>
        <v>2.9094883701119366E-2</v>
      </c>
      <c r="W43" s="161">
        <f t="shared" si="12"/>
        <v>4.7301349978640488E-3</v>
      </c>
      <c r="X43" s="35">
        <f t="shared" si="13"/>
        <v>3192.841123558233</v>
      </c>
      <c r="Y43" s="353">
        <f>+X43/L85</f>
        <v>269.81755973731549</v>
      </c>
      <c r="Z43" s="354">
        <f t="shared" si="14"/>
        <v>22.484796644776292</v>
      </c>
      <c r="AA43" s="681" t="e">
        <f t="shared" si="16"/>
        <v>#DIV/0!</v>
      </c>
      <c r="AB43" s="335"/>
      <c r="AC43" s="356" t="s">
        <v>369</v>
      </c>
      <c r="AD43" s="357"/>
      <c r="AE43" s="357"/>
      <c r="AF43" s="357"/>
      <c r="AG43" s="358">
        <v>0.55790490477485088</v>
      </c>
      <c r="AH43" s="359">
        <f>+$J$46/$M$49</f>
        <v>0.46982499794898913</v>
      </c>
      <c r="AI43" s="359"/>
      <c r="AJ43" s="358">
        <v>0.40116413804349604</v>
      </c>
      <c r="AK43" s="358">
        <v>0.36778764100971173</v>
      </c>
      <c r="AL43" s="358">
        <v>0.38016645422294532</v>
      </c>
      <c r="AM43" s="358">
        <v>0.37902179503396488</v>
      </c>
      <c r="AO43" s="359"/>
      <c r="AP43" s="359"/>
      <c r="AQ43" s="359"/>
      <c r="AR43" s="359"/>
    </row>
    <row r="44" spans="1:44" x14ac:dyDescent="0.25">
      <c r="A44" s="255">
        <v>34</v>
      </c>
      <c r="B44" s="255" t="s">
        <v>70</v>
      </c>
      <c r="C44" s="45">
        <f>+'Test Year Monthly - (Pres)'!Q65+'Test Year Monthly - (Pres)'!Q81</f>
        <v>932279.12000000011</v>
      </c>
      <c r="D44" s="45">
        <f>+'Test Year Monthly - (Prop)'!Q65+'Test Year Monthly - (Prop)'!Q81</f>
        <v>939200</v>
      </c>
      <c r="E44" s="161">
        <f t="shared" si="6"/>
        <v>7.4236136490967294E-3</v>
      </c>
      <c r="F44" s="45">
        <f>+'Test Year Monthly - (Pres)'!Q66+'Test Year Monthly - (Pres)'!Q67+'Test Year Monthly - (Pres)'!Q68+'Test Year Monthly - (Pres)'!Q82+'Test Year Monthly - (Pres)'!Q83+'Test Year Monthly - (Pres)'!Q84</f>
        <v>244229.5</v>
      </c>
      <c r="G44" s="31">
        <f>+'Test Year Monthly - (Prop)'!Q66+'Test Year Monthly - (Prop)'!Q67+'Test Year Monthly - (Prop)'!Q68+'Test Year Monthly - (Prop)'!Q82+'Test Year Monthly - (Prop)'!Q83+'Test Year Monthly - (Prop)'!Q84</f>
        <v>244229.5</v>
      </c>
      <c r="H44" s="161">
        <f>+(G44-F44)/F44</f>
        <v>0</v>
      </c>
      <c r="I44" s="31">
        <f>'Test Year Monthly - (Pres)'!Q69+'Test Year Monthly - (Pres)'!Q70+'Test Year Monthly - (Pres)'!Q71+'Test Year Monthly - (Pres)'!Q85+'Test Year Monthly - (Pres)'!Q86+'Test Year Monthly - (Pres)'!Q76+'Test Year Monthly - (Pres)'!Q77</f>
        <v>14025579.851335501</v>
      </c>
      <c r="J44" s="31">
        <f>+'Test Year Monthly - (Prop)'!Q69+'Test Year Monthly - (Prop)'!Q70+'Test Year Monthly - (Prop)'!Q71+'Test Year Monthly - (Prop)'!Q85+'Test Year Monthly - (Prop)'!Q86+'Test Year Monthly - (Prop)'!Q76+'Test Year Monthly - (Prop)'!Q77</f>
        <v>16231331.324999999</v>
      </c>
      <c r="K44" s="161">
        <f t="shared" si="7"/>
        <v>0.15726633030822385</v>
      </c>
      <c r="L44" s="13">
        <f t="shared" si="8"/>
        <v>15202088.4713355</v>
      </c>
      <c r="M44" s="13">
        <f t="shared" si="8"/>
        <v>17414760.824999999</v>
      </c>
      <c r="N44" s="35">
        <f t="shared" si="9"/>
        <v>2212672.3536644988</v>
      </c>
      <c r="O44" s="161">
        <f t="shared" si="10"/>
        <v>0.14555055102044909</v>
      </c>
      <c r="P44" s="161"/>
      <c r="Q44" s="161"/>
      <c r="R44" s="161"/>
      <c r="S44" s="352">
        <f>+'Test Year Monthly - (Pres)'!Q72+'Test Year Monthly - (Pres)'!Q87+'Test Year Monthly - (Pres)'!Q78</f>
        <v>15202088.471335504</v>
      </c>
      <c r="T44" s="352"/>
      <c r="U44" s="35">
        <v>0</v>
      </c>
      <c r="V44" s="161">
        <f t="shared" si="11"/>
        <v>0.14555055102044909</v>
      </c>
      <c r="W44" s="161">
        <f t="shared" si="12"/>
        <v>0.17369319128006963</v>
      </c>
      <c r="X44" s="35">
        <f t="shared" si="13"/>
        <v>117242.90411404701</v>
      </c>
      <c r="Y44" s="353">
        <f>(+X44+X45)/L86</f>
        <v>632.55907000568982</v>
      </c>
      <c r="Z44" s="354">
        <f t="shared" si="14"/>
        <v>52.713255833807487</v>
      </c>
      <c r="AA44" s="681" t="e">
        <f t="shared" si="16"/>
        <v>#DIV/0!</v>
      </c>
      <c r="AB44" s="335"/>
      <c r="AC44" s="334"/>
      <c r="AN44" s="281"/>
    </row>
    <row r="45" spans="1:44" x14ac:dyDescent="0.25">
      <c r="A45" s="255">
        <v>35</v>
      </c>
      <c r="B45" s="255" t="s">
        <v>53</v>
      </c>
      <c r="C45" s="360">
        <f>'Test Year Monthly - (Pres)'!Q90</f>
        <v>62475.000000000022</v>
      </c>
      <c r="D45" s="360">
        <f>'Test Year Monthly - (Prop)'!Q90</f>
        <v>62475</v>
      </c>
      <c r="E45" s="161">
        <f t="shared" si="6"/>
        <v>-3.4938571976871183E-16</v>
      </c>
      <c r="F45" s="360">
        <f>+'Test Year Monthly - (Pres)'!Q91+'Test Year Monthly - (Pres)'!Q92+'Test Year Monthly - (Pres)'!Q93</f>
        <v>86159.2</v>
      </c>
      <c r="G45" s="361">
        <f>+'Test Year Monthly - (Prop)'!Q91+'Test Year Monthly - (Prop)'!Q92+'Test Year Monthly - (Prop)'!Q93</f>
        <v>86159.2</v>
      </c>
      <c r="H45" s="161">
        <f>+(G45-F45)/F45</f>
        <v>0</v>
      </c>
      <c r="I45" s="361">
        <f>+'Test Year Monthly - (Pres)'!P95</f>
        <v>2125425.460282953</v>
      </c>
      <c r="J45" s="361">
        <f>+'Test Year Monthly - (Prop)'!P95</f>
        <v>2125425.460282953</v>
      </c>
      <c r="K45" s="161">
        <f t="shared" si="7"/>
        <v>0</v>
      </c>
      <c r="L45" s="361">
        <f t="shared" si="8"/>
        <v>2274059.6602829532</v>
      </c>
      <c r="M45" s="361">
        <f t="shared" si="8"/>
        <v>2274059.6602829532</v>
      </c>
      <c r="N45" s="362">
        <f t="shared" si="9"/>
        <v>0</v>
      </c>
      <c r="O45" s="363">
        <f t="shared" si="10"/>
        <v>0</v>
      </c>
      <c r="P45" s="366"/>
      <c r="Q45" s="366"/>
      <c r="R45" s="366"/>
      <c r="S45" s="352">
        <f>+'Test Year Monthly - (Pres)'!Q96</f>
        <v>2274059.6602829532</v>
      </c>
      <c r="T45" s="352"/>
      <c r="U45" s="46">
        <v>0</v>
      </c>
      <c r="V45" s="161">
        <f t="shared" si="11"/>
        <v>0</v>
      </c>
      <c r="W45" s="161">
        <f t="shared" si="12"/>
        <v>2.2681257786141152E-2</v>
      </c>
      <c r="X45" s="35">
        <f t="shared" si="13"/>
        <v>15309.849005645277</v>
      </c>
      <c r="Y45" s="353"/>
      <c r="Z45" s="161"/>
      <c r="AA45" s="161"/>
      <c r="AB45" s="364">
        <f>+V39</f>
        <v>5.7269432222992141E-2</v>
      </c>
      <c r="AC45" s="334" t="s">
        <v>353</v>
      </c>
    </row>
    <row r="46" spans="1:44" x14ac:dyDescent="0.25">
      <c r="A46" s="255">
        <v>36</v>
      </c>
      <c r="B46" s="365" t="s">
        <v>214</v>
      </c>
      <c r="C46" s="31">
        <f>SUM(C39:C45)</f>
        <v>48445114.060000002</v>
      </c>
      <c r="D46" s="31">
        <f>SUM(D39:D45)</f>
        <v>51804158</v>
      </c>
      <c r="E46" s="161">
        <f t="shared" si="6"/>
        <v>6.9337104580655368E-2</v>
      </c>
      <c r="F46" s="31">
        <f>SUM(F39:F45)</f>
        <v>330388.7</v>
      </c>
      <c r="G46" s="31">
        <f>SUM(G39:G45)</f>
        <v>330388.7</v>
      </c>
      <c r="H46" s="161">
        <f>+(G46-F46)/F46</f>
        <v>0</v>
      </c>
      <c r="I46" s="31">
        <f>SUM(I39:I45)</f>
        <v>41140625.570988521</v>
      </c>
      <c r="J46" s="31">
        <f>SUM(J39:J45)</f>
        <v>48127073.785282955</v>
      </c>
      <c r="K46" s="161">
        <f t="shared" si="7"/>
        <v>0.16981871610676541</v>
      </c>
      <c r="L46" s="31">
        <f>SUM(L39:L45)</f>
        <v>89916128.330988526</v>
      </c>
      <c r="M46" s="31">
        <f>SUM(M39:M45)</f>
        <v>100261620.48528296</v>
      </c>
      <c r="N46" s="31">
        <f>SUM(N39:N45)</f>
        <v>10345492.154294439</v>
      </c>
      <c r="O46" s="161">
        <f t="shared" si="10"/>
        <v>0.1150571354252692</v>
      </c>
      <c r="P46" s="161"/>
      <c r="Q46" s="161"/>
      <c r="R46" s="161"/>
      <c r="S46" s="334"/>
      <c r="T46" s="334"/>
      <c r="U46" s="334"/>
      <c r="Y46" s="353"/>
      <c r="AB46" s="366">
        <f>+(N40+N42)/(L40+U40+L42+U42)</f>
        <v>4.8304120421238474E-2</v>
      </c>
      <c r="AC46" s="334" t="s">
        <v>354</v>
      </c>
      <c r="AN46" s="281"/>
    </row>
    <row r="47" spans="1:44" x14ac:dyDescent="0.25">
      <c r="A47" s="255">
        <v>37</v>
      </c>
      <c r="C47" s="45"/>
      <c r="D47" s="45">
        <f>D46-C46</f>
        <v>3359043.9399999976</v>
      </c>
      <c r="E47" s="45"/>
      <c r="F47" s="31"/>
      <c r="G47" s="31"/>
      <c r="H47" s="45"/>
      <c r="I47" s="31"/>
      <c r="J47" s="31"/>
      <c r="K47" s="45"/>
      <c r="L47" s="31"/>
      <c r="M47" s="31"/>
      <c r="N47" s="31"/>
      <c r="O47" s="45"/>
      <c r="P47" s="45"/>
      <c r="Q47" s="45"/>
      <c r="R47" s="45"/>
      <c r="S47" s="334"/>
      <c r="T47" s="334"/>
      <c r="U47" s="334"/>
      <c r="V47" s="335"/>
      <c r="W47" s="335"/>
      <c r="X47" s="335"/>
      <c r="Y47" s="335"/>
      <c r="Z47" s="335"/>
      <c r="AA47" s="335"/>
      <c r="AB47" s="366">
        <f>+(N41+N43)/(L41+U41+L43+U43)</f>
        <v>3.8893093792231478E-2</v>
      </c>
      <c r="AC47" s="334" t="s">
        <v>355</v>
      </c>
    </row>
    <row r="48" spans="1:44" ht="16.5" thickBot="1" x14ac:dyDescent="0.3">
      <c r="A48" s="255">
        <v>38</v>
      </c>
      <c r="B48" s="356" t="s">
        <v>215</v>
      </c>
      <c r="C48" s="45"/>
      <c r="D48" s="45"/>
      <c r="E48" s="45"/>
      <c r="F48" s="45"/>
      <c r="G48" s="31"/>
      <c r="H48" s="45"/>
      <c r="I48" s="45"/>
      <c r="J48" s="45">
        <f>J46-I46</f>
        <v>6986448.2142944336</v>
      </c>
      <c r="K48" s="45"/>
      <c r="L48" s="360">
        <f>+'Test Year Monthly - (Pres)'!P99+'Test Year Monthly - (Pres)'!P100</f>
        <v>2104018.1796976668</v>
      </c>
      <c r="M48" s="360">
        <f>+'Test Year Monthly - (Prop)'!P99+'Test Year Monthly - (Prop)'!P100</f>
        <v>2174550.4195872755</v>
      </c>
      <c r="N48" s="50">
        <f>+M48-L48</f>
        <v>70532.239889608696</v>
      </c>
      <c r="O48" s="363">
        <f>+(M48-L48)/L48</f>
        <v>3.3522638050467651E-2</v>
      </c>
      <c r="P48" s="366"/>
      <c r="Q48" s="366"/>
      <c r="R48" s="366"/>
      <c r="S48" s="334"/>
      <c r="T48" s="334"/>
      <c r="U48" s="334"/>
      <c r="V48" s="367"/>
      <c r="W48" s="367"/>
      <c r="X48" s="367"/>
      <c r="Y48" s="367"/>
      <c r="Z48" s="367"/>
      <c r="AA48" s="367"/>
      <c r="AB48" s="366">
        <f>+(N44+N45)/(L44+U44+L45+U45)</f>
        <v>0.12661098641417756</v>
      </c>
      <c r="AC48" s="334" t="s">
        <v>356</v>
      </c>
    </row>
    <row r="49" spans="1:32" ht="16.5" thickBot="1" x14ac:dyDescent="0.3">
      <c r="A49" s="255">
        <v>39</v>
      </c>
      <c r="B49" s="365" t="s">
        <v>96</v>
      </c>
      <c r="C49" s="45"/>
      <c r="D49" s="45"/>
      <c r="E49" s="45"/>
      <c r="F49" s="45"/>
      <c r="G49" s="37"/>
      <c r="H49" s="45"/>
      <c r="I49" s="45">
        <f>SUM('Test Year Monthly - (Pres)'!Q69:Q71,'Test Year Monthly - (Pres)'!Q75:Q77)</f>
        <v>7192244.1188450688</v>
      </c>
      <c r="J49" s="37">
        <f>SUM('Test Year Monthly - (Prop)'!Q69:Q71,'Test Year Monthly - (Prop)'!Q75:Q77)</f>
        <v>8391983.3249999993</v>
      </c>
      <c r="K49" s="45"/>
      <c r="L49" s="352">
        <f>+L46+L48</f>
        <v>92020146.510686189</v>
      </c>
      <c r="M49" s="352">
        <f>+M48+M46</f>
        <v>102436170.90487023</v>
      </c>
      <c r="N49" s="368">
        <f>+M49-L49</f>
        <v>10416024.394184038</v>
      </c>
      <c r="O49" s="161">
        <f>+(M49-L49)/L49</f>
        <v>0.11319286905258771</v>
      </c>
      <c r="P49" s="161"/>
      <c r="Q49" s="161"/>
      <c r="R49" s="161"/>
      <c r="S49" s="334"/>
      <c r="T49" s="334"/>
      <c r="U49" s="352">
        <f>SUM(U39:U45)</f>
        <v>78709117.242809057</v>
      </c>
      <c r="V49" s="161">
        <f>+N49/(U49+L49)</f>
        <v>6.1009016059619697E-2</v>
      </c>
      <c r="W49" s="161"/>
      <c r="X49" s="161"/>
      <c r="Y49" s="161"/>
      <c r="Z49" s="161"/>
      <c r="AA49" s="161"/>
      <c r="AB49" s="335"/>
      <c r="AC49" s="334"/>
    </row>
    <row r="50" spans="1:32" x14ac:dyDescent="0.25">
      <c r="A50" s="255">
        <v>40</v>
      </c>
      <c r="I50" s="369">
        <f>I49/I44</f>
        <v>0.51279477890250869</v>
      </c>
      <c r="J50" s="369">
        <f>J49/J44</f>
        <v>0.51702372140444242</v>
      </c>
      <c r="AB50" s="366">
        <f>+(N41+N43+N44+N45)/(L41+L43+L44+L45+U41+U43+U44+U45)</f>
        <v>0.10606910849715308</v>
      </c>
      <c r="AC50" s="283" t="s">
        <v>372</v>
      </c>
    </row>
    <row r="51" spans="1:32" ht="16.5" thickBot="1" x14ac:dyDescent="0.3">
      <c r="A51" s="255">
        <v>41</v>
      </c>
      <c r="B51" s="283" t="s">
        <v>552</v>
      </c>
      <c r="C51" s="369">
        <f>C46/L49</f>
        <v>0.52646204007482356</v>
      </c>
      <c r="D51" s="369">
        <f>D46/M49</f>
        <v>0.50572134376351452</v>
      </c>
      <c r="AB51" s="335"/>
      <c r="AC51" s="335"/>
    </row>
    <row r="52" spans="1:32" ht="16.5" thickBot="1" x14ac:dyDescent="0.3">
      <c r="A52" s="254">
        <f t="shared" ref="A52:A70" si="17">+A51+1</f>
        <v>42</v>
      </c>
      <c r="L52" s="515" t="s">
        <v>651</v>
      </c>
      <c r="M52" s="119"/>
      <c r="N52" s="368"/>
    </row>
    <row r="53" spans="1:32" ht="13.5" customHeight="1" x14ac:dyDescent="0.25">
      <c r="A53" s="254">
        <f t="shared" si="17"/>
        <v>43</v>
      </c>
      <c r="B53" s="356"/>
      <c r="C53" s="356"/>
      <c r="D53" s="356"/>
      <c r="E53" s="356"/>
      <c r="F53" s="356"/>
      <c r="G53" s="356"/>
      <c r="H53" s="356"/>
      <c r="I53" s="356"/>
      <c r="J53" s="356"/>
      <c r="K53" s="523"/>
      <c r="L53" s="352"/>
      <c r="M53" s="352"/>
      <c r="N53" s="370"/>
      <c r="O53" s="356"/>
      <c r="P53" s="356"/>
      <c r="Q53" s="356"/>
      <c r="R53" s="356"/>
      <c r="S53" s="334"/>
      <c r="T53" s="334"/>
      <c r="U53" s="334"/>
      <c r="AB53" s="335"/>
      <c r="AC53" s="335"/>
    </row>
    <row r="54" spans="1:32" ht="16.5" thickBot="1" x14ac:dyDescent="0.3">
      <c r="A54" s="254">
        <f t="shared" si="17"/>
        <v>44</v>
      </c>
      <c r="C54" s="278"/>
      <c r="D54" s="280"/>
      <c r="E54" s="371"/>
      <c r="F54" s="338"/>
      <c r="G54" s="339"/>
      <c r="H54" s="371"/>
      <c r="I54" s="278"/>
      <c r="J54" s="280"/>
      <c r="K54" s="685"/>
      <c r="L54" s="516"/>
      <c r="M54" s="517"/>
      <c r="N54" s="516"/>
      <c r="O54" s="371"/>
      <c r="P54" s="689"/>
      <c r="Q54" s="689"/>
      <c r="R54" s="689"/>
      <c r="S54" s="334"/>
      <c r="T54" s="334"/>
      <c r="U54" s="334"/>
      <c r="AB54" s="334"/>
      <c r="AC54" s="334"/>
      <c r="AD54" s="334"/>
      <c r="AE54" s="334"/>
      <c r="AF54" s="334"/>
    </row>
    <row r="55" spans="1:32" ht="16.5" thickTop="1" x14ac:dyDescent="0.25">
      <c r="A55" s="254">
        <f t="shared" si="17"/>
        <v>45</v>
      </c>
      <c r="B55" s="346"/>
      <c r="C55" s="347"/>
      <c r="D55" s="679"/>
      <c r="E55" s="372"/>
      <c r="F55" s="347"/>
      <c r="G55" s="347"/>
      <c r="H55" s="372"/>
      <c r="I55" s="347"/>
      <c r="J55" s="679"/>
      <c r="K55" s="372"/>
      <c r="L55" s="347"/>
      <c r="M55" s="518"/>
      <c r="N55" s="372"/>
      <c r="O55" s="372"/>
      <c r="P55" s="372"/>
      <c r="Q55" s="372"/>
      <c r="R55" s="372"/>
      <c r="S55" s="334"/>
      <c r="T55" s="334"/>
      <c r="U55" s="373"/>
      <c r="AE55" s="334"/>
      <c r="AF55" s="334"/>
    </row>
    <row r="56" spans="1:32" x14ac:dyDescent="0.25">
      <c r="A56" s="254"/>
      <c r="B56" s="346"/>
      <c r="C56" s="347"/>
      <c r="D56" s="347"/>
      <c r="E56" s="348"/>
      <c r="F56" s="347"/>
      <c r="G56" s="347"/>
      <c r="H56" s="348"/>
      <c r="I56" s="347"/>
      <c r="J56" s="347"/>
      <c r="K56" s="348"/>
      <c r="L56" s="347"/>
      <c r="M56" s="347"/>
      <c r="N56" s="348"/>
      <c r="O56" s="348"/>
      <c r="P56" s="348"/>
      <c r="Q56" s="348"/>
      <c r="R56" s="348"/>
      <c r="S56" s="334"/>
      <c r="T56" s="334"/>
      <c r="U56" s="373"/>
      <c r="AE56" s="334"/>
      <c r="AF56" s="334"/>
    </row>
    <row r="57" spans="1:32" x14ac:dyDescent="0.25">
      <c r="A57" s="254"/>
      <c r="B57" s="255"/>
      <c r="C57" s="45"/>
      <c r="D57" s="45"/>
      <c r="E57" s="35"/>
      <c r="F57" s="350"/>
      <c r="G57" s="351"/>
      <c r="H57" s="161"/>
      <c r="I57" s="31"/>
      <c r="J57" s="497"/>
      <c r="K57" s="35"/>
      <c r="L57" s="31"/>
      <c r="M57" s="680"/>
      <c r="N57" s="35"/>
      <c r="O57" s="161"/>
      <c r="P57" s="161"/>
      <c r="Q57" s="161"/>
      <c r="R57" s="161"/>
      <c r="S57" s="369"/>
      <c r="T57" s="369"/>
      <c r="U57" s="678"/>
      <c r="V57" s="369"/>
      <c r="W57" s="369"/>
      <c r="AE57" s="334"/>
      <c r="AF57" s="334"/>
    </row>
    <row r="58" spans="1:32" x14ac:dyDescent="0.25">
      <c r="A58" s="254"/>
      <c r="B58" s="255"/>
      <c r="C58" s="45"/>
      <c r="D58" s="45"/>
      <c r="E58" s="35"/>
      <c r="F58" s="350"/>
      <c r="G58" s="45"/>
      <c r="H58" s="161"/>
      <c r="I58" s="13"/>
      <c r="J58" s="13"/>
      <c r="K58" s="35"/>
      <c r="L58" s="31"/>
      <c r="M58" s="31"/>
      <c r="N58" s="35"/>
      <c r="O58" s="161"/>
      <c r="P58" s="161"/>
      <c r="Q58" s="161"/>
      <c r="R58" s="161"/>
      <c r="S58" s="369"/>
      <c r="T58" s="369"/>
      <c r="U58" s="678"/>
      <c r="V58" s="369"/>
      <c r="W58" s="369"/>
      <c r="AE58" s="334"/>
      <c r="AF58" s="334"/>
    </row>
    <row r="59" spans="1:32" x14ac:dyDescent="0.25">
      <c r="A59" s="254"/>
      <c r="B59" s="255"/>
      <c r="C59" s="45"/>
      <c r="D59" s="45"/>
      <c r="E59" s="35"/>
      <c r="F59" s="350"/>
      <c r="G59" s="45"/>
      <c r="H59" s="161"/>
      <c r="I59" s="13"/>
      <c r="J59" s="31"/>
      <c r="K59" s="35"/>
      <c r="L59" s="31"/>
      <c r="M59" s="31"/>
      <c r="N59" s="35"/>
      <c r="O59" s="161"/>
      <c r="P59" s="161"/>
      <c r="Q59" s="161"/>
      <c r="R59" s="161"/>
      <c r="S59" s="369"/>
      <c r="T59" s="369"/>
      <c r="U59" s="678"/>
      <c r="V59" s="369"/>
      <c r="W59" s="369"/>
      <c r="AE59" s="334"/>
      <c r="AF59" s="334"/>
    </row>
    <row r="60" spans="1:32" x14ac:dyDescent="0.25">
      <c r="A60" s="254"/>
      <c r="B60" s="255"/>
      <c r="C60" s="45"/>
      <c r="D60" s="46"/>
      <c r="E60" s="35"/>
      <c r="F60" s="350"/>
      <c r="G60" s="45"/>
      <c r="H60" s="161"/>
      <c r="I60" s="46"/>
      <c r="J60" s="45"/>
      <c r="K60" s="35"/>
      <c r="L60" s="31"/>
      <c r="M60" s="31"/>
      <c r="N60" s="35"/>
      <c r="O60" s="161"/>
      <c r="P60" s="161"/>
      <c r="Q60" s="161"/>
      <c r="R60" s="161"/>
      <c r="S60" s="369"/>
      <c r="T60" s="369"/>
      <c r="U60" s="678"/>
      <c r="V60" s="369"/>
      <c r="W60" s="369"/>
      <c r="AE60" s="334"/>
      <c r="AF60" s="334"/>
    </row>
    <row r="61" spans="1:32" x14ac:dyDescent="0.25">
      <c r="A61" s="254"/>
      <c r="B61" s="255"/>
      <c r="C61" s="45"/>
      <c r="D61" s="45"/>
      <c r="E61" s="35"/>
      <c r="F61" s="350"/>
      <c r="G61" s="45"/>
      <c r="H61" s="161"/>
      <c r="I61" s="31"/>
      <c r="J61" s="45"/>
      <c r="K61" s="35"/>
      <c r="L61" s="13"/>
      <c r="M61" s="13"/>
      <c r="N61" s="35"/>
      <c r="O61" s="161"/>
      <c r="P61" s="161"/>
      <c r="Q61" s="161"/>
      <c r="R61" s="161"/>
      <c r="S61" s="369"/>
      <c r="T61" s="369"/>
      <c r="U61" s="678"/>
      <c r="V61" s="369"/>
      <c r="W61" s="369"/>
      <c r="AE61" s="334"/>
      <c r="AF61" s="334"/>
    </row>
    <row r="62" spans="1:32" x14ac:dyDescent="0.25">
      <c r="A62" s="254"/>
      <c r="B62" s="255"/>
      <c r="C62" s="45"/>
      <c r="D62" s="45"/>
      <c r="E62" s="35"/>
      <c r="F62" s="350"/>
      <c r="G62" s="31"/>
      <c r="H62" s="161"/>
      <c r="I62" s="31"/>
      <c r="J62" s="31"/>
      <c r="K62" s="35"/>
      <c r="L62" s="13"/>
      <c r="M62" s="13"/>
      <c r="N62" s="35"/>
      <c r="O62" s="161"/>
      <c r="P62" s="161"/>
      <c r="Q62" s="161"/>
      <c r="R62" s="161"/>
      <c r="S62" s="369"/>
      <c r="T62" s="369"/>
      <c r="U62" s="678"/>
      <c r="V62" s="369"/>
      <c r="W62" s="369"/>
      <c r="AE62" s="334"/>
      <c r="AF62" s="334"/>
    </row>
    <row r="63" spans="1:32" x14ac:dyDescent="0.25">
      <c r="A63" s="254"/>
      <c r="B63" s="255"/>
      <c r="C63" s="360"/>
      <c r="D63" s="360"/>
      <c r="E63" s="35"/>
      <c r="F63" s="360"/>
      <c r="G63" s="361"/>
      <c r="H63" s="161"/>
      <c r="I63" s="361"/>
      <c r="J63" s="361"/>
      <c r="K63" s="683"/>
      <c r="L63" s="361"/>
      <c r="M63" s="361"/>
      <c r="N63" s="362"/>
      <c r="O63" s="363"/>
      <c r="P63" s="366"/>
      <c r="Q63" s="366"/>
      <c r="R63" s="366"/>
      <c r="S63" s="369"/>
      <c r="T63" s="369"/>
      <c r="U63" s="678"/>
      <c r="AE63" s="334"/>
      <c r="AF63" s="334"/>
    </row>
    <row r="64" spans="1:32" x14ac:dyDescent="0.25">
      <c r="A64" s="254"/>
      <c r="B64" s="365"/>
      <c r="C64" s="31"/>
      <c r="D64" s="680"/>
      <c r="E64" s="161"/>
      <c r="F64" s="31"/>
      <c r="G64" s="31"/>
      <c r="H64" s="161"/>
      <c r="I64" s="31"/>
      <c r="J64" s="680"/>
      <c r="K64" s="161"/>
      <c r="L64" s="31"/>
      <c r="M64" s="31"/>
      <c r="N64" s="31"/>
      <c r="O64" s="161"/>
      <c r="P64" s="161"/>
      <c r="Q64" s="161"/>
      <c r="R64" s="161"/>
      <c r="S64" s="369"/>
      <c r="T64" s="369"/>
      <c r="U64" s="678"/>
      <c r="AE64" s="334"/>
      <c r="AF64" s="334"/>
    </row>
    <row r="65" spans="1:32" x14ac:dyDescent="0.25">
      <c r="A65" s="254"/>
      <c r="C65" s="45"/>
      <c r="D65" s="45"/>
      <c r="E65" s="45"/>
      <c r="F65" s="31"/>
      <c r="G65" s="31"/>
      <c r="H65" s="45"/>
      <c r="I65" s="31"/>
      <c r="J65" s="31"/>
      <c r="K65" s="45"/>
      <c r="L65" s="31"/>
      <c r="M65" s="31"/>
      <c r="N65" s="31"/>
      <c r="O65" s="45"/>
      <c r="P65" s="45"/>
      <c r="Q65" s="45"/>
      <c r="R65" s="45"/>
      <c r="S65" s="369"/>
      <c r="T65" s="369"/>
      <c r="U65" s="678"/>
      <c r="AE65" s="334"/>
      <c r="AF65" s="334"/>
    </row>
    <row r="66" spans="1:32" ht="16.5" thickBot="1" x14ac:dyDescent="0.3">
      <c r="A66" s="254"/>
      <c r="B66" s="356"/>
      <c r="C66" s="45"/>
      <c r="D66" s="45"/>
      <c r="E66" s="45"/>
      <c r="F66" s="45"/>
      <c r="G66" s="31"/>
      <c r="H66" s="45"/>
      <c r="I66" s="45"/>
      <c r="J66" s="45"/>
      <c r="K66" s="45"/>
      <c r="L66" s="360"/>
      <c r="M66" s="360"/>
      <c r="N66" s="50"/>
      <c r="O66" s="363"/>
      <c r="P66" s="366"/>
      <c r="Q66" s="366"/>
      <c r="R66" s="366"/>
      <c r="S66" s="369"/>
      <c r="T66" s="369"/>
      <c r="U66" s="678"/>
      <c r="AE66" s="334"/>
      <c r="AF66" s="334"/>
    </row>
    <row r="67" spans="1:32" ht="16.5" thickBot="1" x14ac:dyDescent="0.3">
      <c r="A67" s="254"/>
      <c r="B67" s="365"/>
      <c r="C67" s="45"/>
      <c r="D67" s="45"/>
      <c r="E67" s="45"/>
      <c r="F67" s="45"/>
      <c r="G67" s="37"/>
      <c r="H67" s="45"/>
      <c r="I67" s="45"/>
      <c r="J67" s="684"/>
      <c r="K67" s="45"/>
      <c r="L67" s="352"/>
      <c r="M67" s="352"/>
      <c r="N67" s="368"/>
      <c r="O67" s="161"/>
      <c r="P67" s="161"/>
      <c r="Q67" s="161"/>
      <c r="R67" s="161"/>
      <c r="S67" s="369"/>
      <c r="T67" s="369"/>
      <c r="U67" s="678"/>
      <c r="AE67" s="334"/>
      <c r="AF67" s="334"/>
    </row>
    <row r="68" spans="1:32" x14ac:dyDescent="0.25">
      <c r="A68" s="254"/>
      <c r="B68" s="346"/>
      <c r="C68" s="347"/>
      <c r="D68" s="347"/>
      <c r="E68" s="372"/>
      <c r="F68" s="347"/>
      <c r="G68" s="347"/>
      <c r="H68" s="372"/>
      <c r="I68" s="347"/>
      <c r="J68" s="347"/>
      <c r="K68" s="372"/>
      <c r="L68" s="347"/>
      <c r="M68" s="518"/>
      <c r="N68" s="677"/>
      <c r="O68" s="372"/>
      <c r="P68" s="372"/>
      <c r="Q68" s="372"/>
      <c r="R68" s="372"/>
      <c r="S68" s="334"/>
      <c r="T68" s="334"/>
      <c r="U68" s="373"/>
      <c r="AE68" s="334"/>
      <c r="AF68" s="334"/>
    </row>
    <row r="69" spans="1:32" x14ac:dyDescent="0.25">
      <c r="A69" s="254">
        <f>+A55+1</f>
        <v>46</v>
      </c>
      <c r="B69" s="255"/>
      <c r="C69" s="374"/>
      <c r="D69" s="374"/>
      <c r="E69" s="681"/>
      <c r="F69" s="682"/>
      <c r="G69" s="682"/>
      <c r="H69" s="161"/>
      <c r="I69" s="682"/>
      <c r="J69" s="376"/>
      <c r="K69" s="681"/>
      <c r="L69" s="142"/>
      <c r="M69" s="377"/>
      <c r="N69" s="677"/>
      <c r="O69" s="161"/>
      <c r="P69" s="161"/>
      <c r="Q69" s="161"/>
      <c r="R69" s="161"/>
      <c r="S69" s="334"/>
      <c r="T69" s="334"/>
      <c r="U69" s="334"/>
    </row>
    <row r="70" spans="1:32" x14ac:dyDescent="0.25">
      <c r="A70" s="254">
        <f t="shared" si="17"/>
        <v>47</v>
      </c>
      <c r="B70" s="255"/>
      <c r="C70" s="374"/>
      <c r="D70" s="374"/>
      <c r="E70" s="681"/>
      <c r="F70" s="682"/>
      <c r="G70" s="682"/>
      <c r="H70" s="161"/>
      <c r="I70" s="682"/>
      <c r="J70" s="379"/>
      <c r="K70" s="681"/>
      <c r="L70" s="217"/>
      <c r="M70" s="140"/>
      <c r="N70" s="677"/>
      <c r="O70" s="161"/>
      <c r="P70" s="161"/>
      <c r="Q70" s="161"/>
      <c r="R70" s="161"/>
      <c r="S70" s="334"/>
      <c r="T70" s="334"/>
      <c r="U70" s="334"/>
    </row>
    <row r="71" spans="1:32" x14ac:dyDescent="0.25">
      <c r="A71" s="254"/>
      <c r="B71" s="255"/>
      <c r="C71" s="374"/>
      <c r="D71" s="374"/>
      <c r="E71" s="681"/>
      <c r="F71" s="682"/>
      <c r="G71" s="682"/>
      <c r="H71" s="161"/>
      <c r="I71" s="682"/>
      <c r="J71" s="379"/>
      <c r="K71" s="681"/>
      <c r="L71" s="217"/>
      <c r="M71" s="13"/>
      <c r="N71" s="353"/>
      <c r="O71" s="161"/>
      <c r="P71" s="161"/>
      <c r="Q71" s="161"/>
      <c r="R71" s="161"/>
      <c r="S71" s="334"/>
      <c r="T71" s="334"/>
      <c r="U71" s="334"/>
    </row>
    <row r="72" spans="1:32" x14ac:dyDescent="0.25">
      <c r="A72" s="254"/>
      <c r="B72" s="255"/>
      <c r="C72" s="374"/>
      <c r="D72" s="374"/>
      <c r="E72" s="681"/>
      <c r="F72" s="682"/>
      <c r="G72" s="682"/>
      <c r="H72" s="161"/>
      <c r="I72" s="682"/>
      <c r="J72" s="380"/>
      <c r="K72" s="681"/>
      <c r="L72" s="217"/>
      <c r="M72" s="13"/>
      <c r="N72" s="353"/>
      <c r="O72" s="161"/>
      <c r="P72" s="161"/>
      <c r="Q72" s="161"/>
      <c r="R72" s="161"/>
      <c r="S72" s="334"/>
      <c r="T72" s="334"/>
      <c r="U72" s="334"/>
      <c r="AE72" s="349"/>
      <c r="AF72" s="334"/>
    </row>
    <row r="73" spans="1:32" x14ac:dyDescent="0.25">
      <c r="A73" s="254"/>
      <c r="B73" s="255"/>
      <c r="C73" s="374"/>
      <c r="D73" s="374"/>
      <c r="E73" s="681"/>
      <c r="F73" s="682"/>
      <c r="G73" s="682"/>
      <c r="H73" s="31"/>
      <c r="I73" s="682"/>
      <c r="J73" s="31"/>
      <c r="K73" s="681"/>
      <c r="L73" s="142"/>
      <c r="M73" s="31"/>
      <c r="N73" s="382"/>
      <c r="O73" s="381"/>
      <c r="P73" s="381"/>
      <c r="Q73" s="381"/>
      <c r="R73" s="381"/>
      <c r="S73" s="334"/>
      <c r="T73" s="334"/>
      <c r="U73" s="334"/>
      <c r="AE73" s="334"/>
      <c r="AF73" s="334"/>
    </row>
    <row r="74" spans="1:32" x14ac:dyDescent="0.25">
      <c r="A74" s="254"/>
      <c r="B74" s="255"/>
      <c r="C74" s="374"/>
      <c r="D74" s="374"/>
      <c r="E74" s="681"/>
      <c r="F74" s="682"/>
      <c r="G74" s="682"/>
      <c r="H74" s="31"/>
      <c r="I74" s="682"/>
      <c r="J74" s="31"/>
      <c r="K74" s="681"/>
      <c r="L74" s="142"/>
      <c r="M74" s="31"/>
      <c r="N74" s="382"/>
      <c r="O74" s="381"/>
      <c r="P74" s="381"/>
      <c r="Q74" s="381"/>
      <c r="R74" s="381"/>
      <c r="S74" s="334"/>
      <c r="T74" s="334"/>
      <c r="U74" s="334"/>
      <c r="AE74" s="334"/>
      <c r="AF74" s="334"/>
    </row>
    <row r="75" spans="1:32" x14ac:dyDescent="0.25">
      <c r="A75" s="254"/>
      <c r="B75" s="365"/>
      <c r="C75" s="374"/>
      <c r="D75" s="374"/>
      <c r="E75" s="681"/>
      <c r="F75" s="682"/>
      <c r="G75" s="682"/>
      <c r="H75" s="381"/>
      <c r="I75" s="682"/>
      <c r="J75" s="31"/>
      <c r="K75" s="681"/>
      <c r="L75" s="142"/>
      <c r="M75" s="31"/>
      <c r="N75" s="31"/>
      <c r="O75" s="381"/>
      <c r="P75" s="381"/>
      <c r="Q75" s="381"/>
      <c r="R75" s="381"/>
      <c r="S75" s="334"/>
      <c r="T75" s="334"/>
      <c r="U75" s="334"/>
      <c r="AE75" s="334"/>
      <c r="AF75" s="334"/>
    </row>
    <row r="76" spans="1:32" x14ac:dyDescent="0.25">
      <c r="A76" s="254"/>
      <c r="C76" s="45"/>
      <c r="D76" s="374"/>
      <c r="E76" s="45"/>
      <c r="F76" s="31"/>
      <c r="G76" s="31"/>
      <c r="H76" s="31"/>
      <c r="I76" s="31"/>
      <c r="J76" s="31"/>
      <c r="K76" s="45"/>
      <c r="L76" s="31"/>
      <c r="M76" s="31"/>
      <c r="N76" s="31"/>
      <c r="O76" s="31"/>
      <c r="P76" s="31"/>
      <c r="Q76" s="31"/>
      <c r="R76" s="31"/>
      <c r="S76" s="352"/>
      <c r="T76" s="352"/>
      <c r="U76" s="334"/>
      <c r="AE76" s="334"/>
      <c r="AF76" s="334"/>
    </row>
    <row r="77" spans="1:32" x14ac:dyDescent="0.25">
      <c r="A77" s="356"/>
      <c r="B77" s="356"/>
      <c r="C77" s="45"/>
      <c r="D77" s="45"/>
      <c r="E77" s="45"/>
      <c r="F77" s="45"/>
      <c r="G77" s="31"/>
      <c r="H77" s="45"/>
      <c r="I77" s="45"/>
      <c r="J77" s="45"/>
      <c r="K77" s="31"/>
      <c r="L77" s="45"/>
      <c r="M77" s="45"/>
      <c r="N77" s="382"/>
      <c r="O77" s="381"/>
      <c r="P77" s="381"/>
      <c r="Q77" s="381"/>
      <c r="R77" s="381"/>
      <c r="S77" s="334"/>
      <c r="T77" s="334"/>
      <c r="U77" s="334"/>
      <c r="AE77" s="334"/>
      <c r="AF77" s="334"/>
    </row>
    <row r="78" spans="1:32" x14ac:dyDescent="0.25">
      <c r="A78" s="356"/>
      <c r="B78" s="365"/>
      <c r="C78" s="45"/>
      <c r="D78" s="45"/>
      <c r="E78" s="45"/>
      <c r="F78" s="45"/>
      <c r="G78" s="37"/>
      <c r="H78" s="45"/>
      <c r="I78" s="45"/>
      <c r="J78" s="37"/>
      <c r="K78" s="37"/>
      <c r="L78" s="352"/>
      <c r="M78" s="352"/>
      <c r="N78" s="382"/>
      <c r="O78" s="381"/>
      <c r="P78" s="381"/>
      <c r="Q78" s="381"/>
      <c r="R78" s="381"/>
      <c r="S78" s="334"/>
      <c r="T78" s="334"/>
      <c r="U78" s="334"/>
      <c r="AE78" s="334"/>
      <c r="AF78" s="334"/>
    </row>
    <row r="79" spans="1:32" x14ac:dyDescent="0.25">
      <c r="A79" s="356"/>
      <c r="B79" s="255"/>
      <c r="C79" s="254"/>
      <c r="D79" s="254"/>
      <c r="E79" s="254"/>
      <c r="F79" s="254"/>
      <c r="G79" s="254"/>
      <c r="H79" s="356"/>
      <c r="I79" s="356"/>
      <c r="J79" s="356"/>
      <c r="K79" s="356"/>
      <c r="L79" s="356"/>
      <c r="U79" s="334"/>
      <c r="AE79" s="334"/>
      <c r="AF79" s="334"/>
    </row>
    <row r="80" spans="1:32" x14ac:dyDescent="0.25">
      <c r="A80" s="356"/>
      <c r="B80" s="255"/>
      <c r="C80" s="265" t="s">
        <v>377</v>
      </c>
      <c r="D80" s="265" t="s">
        <v>378</v>
      </c>
      <c r="E80" s="265" t="s">
        <v>379</v>
      </c>
      <c r="F80" s="265" t="s">
        <v>380</v>
      </c>
      <c r="G80" s="265" t="s">
        <v>95</v>
      </c>
      <c r="H80" s="265" t="s">
        <v>381</v>
      </c>
      <c r="I80" s="263" t="s">
        <v>21</v>
      </c>
      <c r="J80" s="356"/>
      <c r="K80" s="356"/>
      <c r="L80" s="356"/>
      <c r="O80" s="356"/>
      <c r="P80" s="356"/>
      <c r="Q80" s="356"/>
      <c r="R80" s="356"/>
      <c r="S80" s="383" t="s">
        <v>557</v>
      </c>
      <c r="T80" s="383"/>
      <c r="U80" s="334"/>
      <c r="V80" s="383" t="s">
        <v>559</v>
      </c>
      <c r="AE80" s="334"/>
      <c r="AF80" s="334"/>
    </row>
    <row r="81" spans="1:32" x14ac:dyDescent="0.25">
      <c r="A81" s="356"/>
      <c r="B81" s="255" t="s">
        <v>94</v>
      </c>
      <c r="C81" s="370">
        <f>+L39+U39</f>
        <v>98377919.415192276</v>
      </c>
      <c r="D81" s="370">
        <f>+M39+U39</f>
        <v>104011967.00337961</v>
      </c>
      <c r="E81" s="370">
        <f>+D81-C81</f>
        <v>5634047.5881873369</v>
      </c>
      <c r="F81" s="161">
        <f t="shared" ref="F81:F90" si="18">+E81/C81</f>
        <v>5.7269432222992141E-2</v>
      </c>
      <c r="G81" s="35">
        <f>+'Test Year Monthly - (Pres)'!P13/12</f>
        <v>157197.25</v>
      </c>
      <c r="H81" s="384">
        <f t="shared" ref="H81:H89" si="19">+E81/(G81*12)</f>
        <v>2.9867186969382611</v>
      </c>
      <c r="I81" s="385">
        <f>+'Test Year Monthly - (Prop)'!P17</f>
        <v>10026385.522694048</v>
      </c>
      <c r="J81" s="385"/>
      <c r="K81" s="356"/>
      <c r="L81" s="385">
        <f>+G81</f>
        <v>157197.25</v>
      </c>
      <c r="M81" s="346" t="s">
        <v>212</v>
      </c>
      <c r="N81" s="356"/>
      <c r="O81" s="386" t="s">
        <v>556</v>
      </c>
      <c r="P81" s="386"/>
      <c r="Q81" s="386"/>
      <c r="R81" s="386"/>
      <c r="S81" s="387" t="s">
        <v>558</v>
      </c>
      <c r="T81" s="387"/>
      <c r="U81" s="334"/>
      <c r="V81" s="387" t="s">
        <v>421</v>
      </c>
      <c r="AE81" s="334"/>
      <c r="AF81" s="334"/>
    </row>
    <row r="82" spans="1:32" x14ac:dyDescent="0.25">
      <c r="A82" s="356"/>
      <c r="B82" s="255" t="s">
        <v>382</v>
      </c>
      <c r="C82" s="370">
        <f>+L40+U40</f>
        <v>40579741.944661319</v>
      </c>
      <c r="D82" s="370">
        <f>+M40+U40</f>
        <v>42547359.907050803</v>
      </c>
      <c r="E82" s="370">
        <f>+D82-C82</f>
        <v>1967617.962389484</v>
      </c>
      <c r="F82" s="161">
        <f t="shared" si="18"/>
        <v>4.84876903621696E-2</v>
      </c>
      <c r="G82" s="35">
        <f>+'Test Year Monthly - (Pres)'!P22/12</f>
        <v>17415.916666666668</v>
      </c>
      <c r="H82" s="384">
        <f t="shared" si="19"/>
        <v>9.4148454353990552</v>
      </c>
      <c r="I82" s="385">
        <f>+'Test Year Monthly - (Prop)'!P26</f>
        <v>4885453.3400000008</v>
      </c>
      <c r="J82" s="385"/>
      <c r="K82" s="356"/>
      <c r="L82" s="31">
        <f>+G82</f>
        <v>17415.916666666668</v>
      </c>
      <c r="M82" s="255" t="s">
        <v>94</v>
      </c>
      <c r="N82" s="388"/>
      <c r="O82" s="370">
        <v>33845619.600000001</v>
      </c>
      <c r="P82" s="370"/>
      <c r="Q82" s="370"/>
      <c r="R82" s="370"/>
      <c r="S82" s="370">
        <f>+'Test Year Monthly - (Pres)'!Y13</f>
        <v>0</v>
      </c>
      <c r="T82" s="370"/>
      <c r="U82" s="370">
        <f t="shared" ref="U82:U87" si="20">+O82+S82</f>
        <v>33845619.600000001</v>
      </c>
      <c r="V82" s="370">
        <f t="shared" ref="V82:V89" si="21">+L39</f>
        <v>51334630.411812663</v>
      </c>
      <c r="AE82" s="334"/>
      <c r="AF82" s="334"/>
    </row>
    <row r="83" spans="1:32" x14ac:dyDescent="0.25">
      <c r="A83" s="356"/>
      <c r="B83" s="255" t="s">
        <v>383</v>
      </c>
      <c r="C83" s="370">
        <f>+'Test Year Monthly - (Pres)'!P54+'Test Year Monthly - (Pres)'!Q52</f>
        <v>57323.087911715338</v>
      </c>
      <c r="D83" s="370">
        <f>+'Test Year Monthly - (Prop)'!Q52+'Test Year Monthly - (Prop)'!P54</f>
        <v>58948.308792705342</v>
      </c>
      <c r="E83" s="370">
        <f>+D83-C83</f>
        <v>1625.2208809900039</v>
      </c>
      <c r="F83" s="161">
        <f t="shared" si="18"/>
        <v>2.8351942301033148E-2</v>
      </c>
      <c r="G83" s="35">
        <f>+'Test Year Monthly - (Pres)'!P49/12</f>
        <v>2.6666666666666665</v>
      </c>
      <c r="H83" s="384">
        <f t="shared" si="19"/>
        <v>50.788152530937623</v>
      </c>
      <c r="I83" s="385">
        <f>+'Test Year Monthly - (Prop)'!P52</f>
        <v>10380.559000000001</v>
      </c>
      <c r="J83" s="389"/>
      <c r="K83" s="356"/>
      <c r="L83" s="388">
        <f>+G85</f>
        <v>202.41666666666666</v>
      </c>
      <c r="M83" s="255" t="s">
        <v>97</v>
      </c>
      <c r="N83" s="356"/>
      <c r="O83" s="370">
        <v>11206759.190000001</v>
      </c>
      <c r="P83" s="370"/>
      <c r="Q83" s="370"/>
      <c r="R83" s="370"/>
      <c r="S83" s="370">
        <f>+'Test Year Monthly - (Pres)'!Y22</f>
        <v>0</v>
      </c>
      <c r="T83" s="370"/>
      <c r="U83" s="370">
        <f t="shared" si="20"/>
        <v>11206759.190000001</v>
      </c>
      <c r="V83" s="370">
        <f t="shared" si="21"/>
        <v>17567627.037610523</v>
      </c>
      <c r="AE83" s="334"/>
      <c r="AF83" s="334"/>
    </row>
    <row r="84" spans="1:32" x14ac:dyDescent="0.25">
      <c r="A84" s="356"/>
      <c r="B84" s="255" t="s">
        <v>384</v>
      </c>
      <c r="C84" s="370">
        <f>+C82+C83</f>
        <v>40637065.032573037</v>
      </c>
      <c r="D84" s="370">
        <f>+D82+D83</f>
        <v>42606308.215843506</v>
      </c>
      <c r="E84" s="370">
        <f>+E82+E83</f>
        <v>1969243.183270474</v>
      </c>
      <c r="F84" s="161">
        <f t="shared" si="18"/>
        <v>4.845928665596317E-2</v>
      </c>
      <c r="G84" s="370">
        <f>+G82+G83</f>
        <v>17418.583333333336</v>
      </c>
      <c r="H84" s="384">
        <f t="shared" si="19"/>
        <v>9.4211794073880561</v>
      </c>
      <c r="I84" s="522">
        <f>+I82+I83</f>
        <v>4895833.8990000011</v>
      </c>
      <c r="J84" s="263"/>
      <c r="K84" s="263"/>
      <c r="L84" s="390">
        <f>+G88</f>
        <v>1548.5833333333333</v>
      </c>
      <c r="M84" s="255" t="s">
        <v>98</v>
      </c>
      <c r="N84" s="263"/>
      <c r="O84" s="370">
        <v>561233.76812900009</v>
      </c>
      <c r="P84" s="370"/>
      <c r="Q84" s="370"/>
      <c r="R84" s="370"/>
      <c r="S84" s="370">
        <f>+'Test Year Monthly - (Pres)'!Y31</f>
        <v>0</v>
      </c>
      <c r="T84" s="370"/>
      <c r="U84" s="370">
        <f t="shared" si="20"/>
        <v>561233.76812900009</v>
      </c>
      <c r="V84" s="370">
        <f t="shared" si="21"/>
        <v>801847.59687999985</v>
      </c>
    </row>
    <row r="85" spans="1:32" x14ac:dyDescent="0.25">
      <c r="A85" s="356"/>
      <c r="B85" s="255" t="s">
        <v>385</v>
      </c>
      <c r="C85" s="370">
        <f>+L41+U41</f>
        <v>3484706.9792294987</v>
      </c>
      <c r="D85" s="370">
        <f>+M41+U41</f>
        <v>3638456.382349499</v>
      </c>
      <c r="E85" s="370">
        <f t="shared" ref="E85:E90" si="22">+D85-C85</f>
        <v>153749.40312000038</v>
      </c>
      <c r="F85" s="161">
        <f t="shared" si="18"/>
        <v>4.4121185521887353E-2</v>
      </c>
      <c r="G85" s="35">
        <f>+'Test Year Monthly - (Pres)'!P31/12</f>
        <v>202.41666666666666</v>
      </c>
      <c r="H85" s="384">
        <f t="shared" si="19"/>
        <v>63.297407624537001</v>
      </c>
      <c r="I85" s="522">
        <f>+'Test Year Monthly - (Prop)'!P35</f>
        <v>568020.19999999995</v>
      </c>
      <c r="J85" s="388"/>
      <c r="K85" s="356"/>
      <c r="L85" s="352">
        <f>+G83+G86</f>
        <v>11.833333333333332</v>
      </c>
      <c r="M85" s="255" t="s">
        <v>294</v>
      </c>
      <c r="N85" s="356"/>
      <c r="O85" s="370">
        <v>1778836.8</v>
      </c>
      <c r="P85" s="370"/>
      <c r="Q85" s="370"/>
      <c r="R85" s="370"/>
      <c r="S85" s="370">
        <f>+'Test Year Monthly - (Pres)'!Y40</f>
        <v>0</v>
      </c>
      <c r="T85" s="370"/>
      <c r="U85" s="370">
        <f t="shared" si="20"/>
        <v>1778836.8</v>
      </c>
      <c r="V85" s="370">
        <f t="shared" si="21"/>
        <v>2315721.9204798536</v>
      </c>
    </row>
    <row r="86" spans="1:32" x14ac:dyDescent="0.25">
      <c r="A86" s="356"/>
      <c r="B86" s="255" t="s">
        <v>386</v>
      </c>
      <c r="C86" s="370">
        <f>+'Test Year Monthly - (Pres)'!Q60+'Test Year Monthly - (Pres)'!P62</f>
        <v>1802033.6281592525</v>
      </c>
      <c r="D86" s="370">
        <f>+'Test Year Monthly - (Prop)'!Q60+'Test Year Monthly - (Prop)'!P62</f>
        <v>1854506.1746912424</v>
      </c>
      <c r="E86" s="370">
        <f t="shared" si="22"/>
        <v>52472.546531989938</v>
      </c>
      <c r="F86" s="161">
        <f t="shared" si="18"/>
        <v>2.9118516831225717E-2</v>
      </c>
      <c r="G86" s="35">
        <f>+'Test Year Monthly - (Pres)'!P57/12</f>
        <v>9.1666666666666661</v>
      </c>
      <c r="H86" s="384">
        <f t="shared" si="19"/>
        <v>477.02315029081763</v>
      </c>
      <c r="I86" s="522">
        <f>+'Test Year Monthly - (Prop)'!P60</f>
        <v>404652.06899999996</v>
      </c>
      <c r="J86" s="263"/>
      <c r="K86" s="263"/>
      <c r="L86" s="352">
        <f>+G89</f>
        <v>209.54999999999998</v>
      </c>
      <c r="M86" s="255" t="s">
        <v>295</v>
      </c>
      <c r="N86" s="263"/>
      <c r="O86" s="370">
        <v>196998.14708900001</v>
      </c>
      <c r="P86" s="370"/>
      <c r="Q86" s="370"/>
      <c r="R86" s="370"/>
      <c r="S86" s="370">
        <f>+'Test Year Monthly - (Pres)'!Y49+'Test Year Monthly - (Pres)'!Y50+'Test Year Monthly - (Pres)'!Y51+'Test Year Monthly - (Pres)'!Y57+'Test Year Monthly - (Pres)'!Y58+'Test Year Monthly - (Pres)'!Y59</f>
        <v>0</v>
      </c>
      <c r="T86" s="370"/>
      <c r="U86" s="370">
        <f t="shared" si="20"/>
        <v>196998.14708900001</v>
      </c>
      <c r="V86" s="370">
        <f t="shared" si="21"/>
        <v>420153.23258701997</v>
      </c>
    </row>
    <row r="87" spans="1:32" x14ac:dyDescent="0.25">
      <c r="A87" s="356"/>
      <c r="B87" s="255" t="s">
        <v>387</v>
      </c>
      <c r="C87" s="370">
        <f>+C85+C86</f>
        <v>5286740.6073887516</v>
      </c>
      <c r="D87" s="370">
        <f>+D85+D86</f>
        <v>5492962.5570407417</v>
      </c>
      <c r="E87" s="370">
        <f t="shared" si="22"/>
        <v>206221.94965199009</v>
      </c>
      <c r="F87" s="161">
        <f t="shared" si="18"/>
        <v>3.9007389423225E-2</v>
      </c>
      <c r="G87" s="370">
        <f>+G85+G86</f>
        <v>211.58333333333331</v>
      </c>
      <c r="H87" s="384">
        <f t="shared" si="19"/>
        <v>81.221721012993342</v>
      </c>
      <c r="I87" s="522">
        <f>+I85+I86</f>
        <v>972672.26899999985</v>
      </c>
      <c r="J87" s="263"/>
      <c r="K87" s="263"/>
      <c r="L87" s="263"/>
      <c r="M87" s="255" t="s">
        <v>70</v>
      </c>
      <c r="N87" s="263"/>
      <c r="O87" s="370">
        <v>8279335.287800001</v>
      </c>
      <c r="P87" s="370"/>
      <c r="Q87" s="370"/>
      <c r="R87" s="370"/>
      <c r="S87" s="370">
        <f>+'Test Year Monthly - (Pres)'!Y65+'Test Year Monthly - (Pres)'!Y69+'Test Year Monthly - (Pres)'!Y70+'Test Year Monthly - (Pres)'!Y71+'Test Year Monthly - (Pres)'!Y81+'Test Year Monthly - (Pres)'!Y85+'Test Year Monthly - (Pres)'!Y86</f>
        <v>0</v>
      </c>
      <c r="T87" s="370"/>
      <c r="U87" s="370">
        <f t="shared" si="20"/>
        <v>8279335.287800001</v>
      </c>
      <c r="V87" s="370">
        <f t="shared" si="21"/>
        <v>15202088.4713355</v>
      </c>
    </row>
    <row r="88" spans="1:32" x14ac:dyDescent="0.25">
      <c r="A88" s="263"/>
      <c r="B88" s="356" t="s">
        <v>373</v>
      </c>
      <c r="C88" s="370">
        <f>+L42+U42</f>
        <v>6847372.3870250387</v>
      </c>
      <c r="D88" s="370">
        <f>+M42+U42</f>
        <v>7170679.4665451851</v>
      </c>
      <c r="E88" s="370">
        <f t="shared" si="22"/>
        <v>323307.07952014636</v>
      </c>
      <c r="F88" s="161">
        <f t="shared" si="18"/>
        <v>4.7216225618570862E-2</v>
      </c>
      <c r="G88" s="35">
        <f>+'Test Year Monthly - (Pres)'!P40/12</f>
        <v>1548.5833333333333</v>
      </c>
      <c r="H88" s="384">
        <f t="shared" si="19"/>
        <v>17.39800244955854</v>
      </c>
      <c r="I88" s="522">
        <f>+'Test Year Monthly - (Prop)'!P44</f>
        <v>963106.66999999993</v>
      </c>
      <c r="J88" s="385"/>
      <c r="K88" s="356"/>
      <c r="L88" s="356"/>
      <c r="M88" s="255" t="s">
        <v>53</v>
      </c>
      <c r="N88" s="356"/>
      <c r="O88" s="370">
        <v>1382302.7999999998</v>
      </c>
      <c r="P88" s="370"/>
      <c r="Q88" s="370"/>
      <c r="R88" s="370"/>
      <c r="S88" s="370"/>
      <c r="T88" s="370"/>
      <c r="U88" s="370">
        <f>+O88</f>
        <v>1382302.7999999998</v>
      </c>
      <c r="V88" s="370">
        <f t="shared" si="21"/>
        <v>2274059.6602829532</v>
      </c>
    </row>
    <row r="89" spans="1:32" x14ac:dyDescent="0.25">
      <c r="A89" s="263"/>
      <c r="B89" s="255" t="s">
        <v>388</v>
      </c>
      <c r="C89" s="370">
        <f>+L45+L44+U45+U44</f>
        <v>17476148.131618455</v>
      </c>
      <c r="D89" s="370">
        <f>+M45+M44+U45+U44</f>
        <v>19688820.485282954</v>
      </c>
      <c r="E89" s="370">
        <f t="shared" si="22"/>
        <v>2212672.3536644988</v>
      </c>
      <c r="F89" s="161">
        <f t="shared" si="18"/>
        <v>0.12661098641417756</v>
      </c>
      <c r="G89" s="35">
        <f>(+'Test Year Monthly - (Pres)'!P65+'Test Year Monthly - (Pres)'!P81+'Test Year Monthly - (Pres)'!P90)/12</f>
        <v>209.54999999999998</v>
      </c>
      <c r="H89" s="384">
        <f t="shared" si="19"/>
        <v>879.93014939334239</v>
      </c>
      <c r="I89" s="522">
        <f>+'Test Year Monthly - (Prop)'!P72+'Test Year Monthly - (Prop)'!P78+'Test Year Monthly - (Prop)'!P87+'Test Year Monthly - (Prop)'!P94</f>
        <v>29341928.809</v>
      </c>
      <c r="J89" s="356"/>
      <c r="K89" s="356"/>
      <c r="L89" s="356"/>
      <c r="M89" s="365" t="s">
        <v>214</v>
      </c>
      <c r="N89" s="356"/>
      <c r="O89" s="370">
        <v>57251085.593017995</v>
      </c>
      <c r="P89" s="370"/>
      <c r="Q89" s="370"/>
      <c r="R89" s="370"/>
      <c r="S89" s="370"/>
      <c r="T89" s="370"/>
      <c r="U89" s="370">
        <f>SUM(U82:U88)</f>
        <v>57251085.593017995</v>
      </c>
      <c r="V89" s="370">
        <f t="shared" si="21"/>
        <v>89916128.330988526</v>
      </c>
    </row>
    <row r="90" spans="1:32" x14ac:dyDescent="0.25">
      <c r="A90" s="356"/>
      <c r="B90" s="356" t="s">
        <v>375</v>
      </c>
      <c r="C90" s="390">
        <f>+L48</f>
        <v>2104018.1796976668</v>
      </c>
      <c r="D90" s="390">
        <f>+M48</f>
        <v>2174550.4195872755</v>
      </c>
      <c r="E90" s="370">
        <f t="shared" si="22"/>
        <v>70532.239889608696</v>
      </c>
      <c r="F90" s="161">
        <f t="shared" si="18"/>
        <v>3.3522638050467651E-2</v>
      </c>
      <c r="G90" s="35"/>
      <c r="H90" s="384"/>
      <c r="I90" s="356"/>
      <c r="J90" s="356"/>
      <c r="K90" s="356"/>
      <c r="L90" s="356"/>
      <c r="M90" s="283"/>
      <c r="N90" s="356"/>
      <c r="O90" s="356"/>
      <c r="P90" s="356"/>
      <c r="Q90" s="356"/>
      <c r="R90" s="356"/>
      <c r="S90" s="370"/>
      <c r="T90" s="370"/>
      <c r="U90" s="370"/>
      <c r="V90" s="370"/>
    </row>
    <row r="91" spans="1:32" x14ac:dyDescent="0.25">
      <c r="A91" s="356"/>
      <c r="B91" s="356"/>
      <c r="C91" s="356"/>
      <c r="D91" s="356"/>
      <c r="E91" s="356"/>
      <c r="F91" s="356"/>
      <c r="G91" s="356"/>
      <c r="H91" s="263"/>
      <c r="I91" s="263"/>
      <c r="J91" s="263"/>
      <c r="K91" s="263"/>
      <c r="L91" s="37"/>
      <c r="M91" s="356" t="s">
        <v>215</v>
      </c>
      <c r="N91" s="388"/>
      <c r="O91" s="31">
        <v>2490421.8826681441</v>
      </c>
      <c r="P91" s="31"/>
      <c r="Q91" s="31"/>
      <c r="R91" s="31"/>
      <c r="S91" s="370"/>
      <c r="T91" s="370"/>
      <c r="U91" s="370"/>
      <c r="V91" s="370">
        <f>+L48</f>
        <v>2104018.1796976668</v>
      </c>
    </row>
    <row r="92" spans="1:32" x14ac:dyDescent="0.25">
      <c r="A92" s="356"/>
      <c r="B92" s="356" t="s">
        <v>19</v>
      </c>
      <c r="C92" s="352">
        <f>SUM(C81:C91)-C84-C87</f>
        <v>170729263.75349522</v>
      </c>
      <c r="D92" s="352">
        <f>SUM(D81:D91)-D84-D87</f>
        <v>181145288.1476793</v>
      </c>
      <c r="E92" s="352">
        <f>+D92-C92</f>
        <v>10416024.394184083</v>
      </c>
      <c r="F92" s="161">
        <f>+E92/C92</f>
        <v>6.1009016059619968E-2</v>
      </c>
      <c r="G92" s="352">
        <f>SUM(G81:G91)-G84-G87</f>
        <v>176585.54999999996</v>
      </c>
      <c r="H92" s="384">
        <f>+E92/(G92*12)</f>
        <v>4.915475999302739</v>
      </c>
      <c r="I92" s="385">
        <f>+I81+I82+I83+I85+I86+I88+I89</f>
        <v>46199927.169694051</v>
      </c>
      <c r="J92" s="385"/>
      <c r="K92" s="356"/>
      <c r="L92" s="356"/>
      <c r="M92" s="365" t="s">
        <v>96</v>
      </c>
      <c r="N92" s="356"/>
      <c r="O92" s="352">
        <v>59741507.47568614</v>
      </c>
      <c r="P92" s="352"/>
      <c r="Q92" s="352"/>
      <c r="R92" s="352"/>
      <c r="S92" s="370"/>
      <c r="T92" s="370"/>
      <c r="U92" s="370"/>
      <c r="V92" s="370">
        <f>+V89+V91</f>
        <v>92020146.510686189</v>
      </c>
    </row>
    <row r="93" spans="1:32" x14ac:dyDescent="0.25">
      <c r="A93" s="356"/>
      <c r="B93" s="356"/>
      <c r="C93" s="356"/>
      <c r="D93" s="356"/>
      <c r="E93" s="356"/>
      <c r="F93" s="356"/>
      <c r="G93" s="356"/>
      <c r="H93" s="356"/>
      <c r="I93" s="263" t="s">
        <v>653</v>
      </c>
      <c r="J93" s="356" t="s">
        <v>654</v>
      </c>
      <c r="K93" s="356"/>
      <c r="L93" s="45"/>
      <c r="M93" s="391"/>
      <c r="N93" s="388"/>
      <c r="O93" s="31"/>
      <c r="P93" s="31"/>
      <c r="Q93" s="31"/>
      <c r="R93" s="31"/>
      <c r="S93" s="334"/>
      <c r="T93" s="334"/>
      <c r="U93" s="334"/>
      <c r="V93" s="322"/>
      <c r="W93" s="322"/>
      <c r="X93" s="322"/>
      <c r="Y93" s="322"/>
      <c r="Z93" s="322"/>
      <c r="AA93" s="322"/>
    </row>
    <row r="94" spans="1:32" x14ac:dyDescent="0.25">
      <c r="A94" s="356"/>
      <c r="B94" s="255" t="s">
        <v>94</v>
      </c>
      <c r="C94" s="370">
        <f>+C81</f>
        <v>98377919.415192276</v>
      </c>
      <c r="D94" s="370">
        <f>+D81</f>
        <v>104011967.00337961</v>
      </c>
      <c r="E94" s="370">
        <f>+D94-C94</f>
        <v>5634047.5881873369</v>
      </c>
      <c r="F94" s="375">
        <f>+E94/C94</f>
        <v>5.7269432222992141E-2</v>
      </c>
      <c r="G94" s="370">
        <f>+G81</f>
        <v>157197.25</v>
      </c>
      <c r="H94" s="384">
        <f>+E94/(G94*12)</f>
        <v>2.9867186969382611</v>
      </c>
      <c r="I94" s="524">
        <f>ROUND((+I81/G81/12),1)</f>
        <v>5.3</v>
      </c>
      <c r="J94" s="523">
        <f>+C94/G94/12</f>
        <v>52.152057057397776</v>
      </c>
      <c r="K94" s="374">
        <f t="shared" ref="K94" si="23">+H94/J94</f>
        <v>5.7269432222992148E-2</v>
      </c>
      <c r="L94" s="526">
        <f>+D94/G94/12</f>
        <v>55.138775754336045</v>
      </c>
      <c r="M94" s="391"/>
      <c r="N94" s="388"/>
      <c r="O94" s="31"/>
      <c r="P94" s="31"/>
      <c r="Q94" s="31"/>
      <c r="R94" s="31"/>
      <c r="S94" s="334"/>
      <c r="T94" s="334"/>
      <c r="U94" s="334"/>
    </row>
    <row r="95" spans="1:32" x14ac:dyDescent="0.25">
      <c r="A95" s="356"/>
      <c r="B95" s="356" t="s">
        <v>390</v>
      </c>
      <c r="C95" s="352">
        <f>+C87+C89</f>
        <v>22762888.739007205</v>
      </c>
      <c r="D95" s="352">
        <f>+D87+D89</f>
        <v>25181783.042323694</v>
      </c>
      <c r="E95" s="352">
        <f>+E87+E89</f>
        <v>2418894.3033164889</v>
      </c>
      <c r="F95" s="375">
        <f>+E95/C95</f>
        <v>0.10626482126459615</v>
      </c>
      <c r="G95" s="352">
        <f>+G87+G89</f>
        <v>421.13333333333333</v>
      </c>
      <c r="H95" s="384">
        <f>+E95/(G95*12)</f>
        <v>478.64775671135203</v>
      </c>
      <c r="I95" s="352">
        <f>ROUND((+(I87+I89)/(G87+G89)/12),0)</f>
        <v>5999</v>
      </c>
      <c r="J95" s="523">
        <f t="shared" ref="J95:J96" si="24">+C95/G95/12</f>
        <v>4504.2917403449437</v>
      </c>
      <c r="K95" s="374">
        <f>+H95/J95</f>
        <v>0.10626482126459612</v>
      </c>
      <c r="L95" s="526">
        <f t="shared" ref="L95:L96" si="25">+D95/G95/12</f>
        <v>4982.9394970562953</v>
      </c>
      <c r="M95" s="391"/>
      <c r="N95" s="388"/>
      <c r="O95" s="31"/>
      <c r="P95" s="31"/>
      <c r="Q95" s="31"/>
      <c r="R95" s="31"/>
      <c r="S95" s="334"/>
      <c r="T95" s="334"/>
      <c r="U95" s="334"/>
      <c r="V95" s="367"/>
      <c r="W95" s="367"/>
      <c r="X95" s="367"/>
      <c r="Y95" s="367"/>
      <c r="Z95" s="367"/>
      <c r="AA95" s="367"/>
    </row>
    <row r="96" spans="1:32" x14ac:dyDescent="0.25">
      <c r="A96" s="356"/>
      <c r="B96" s="356" t="s">
        <v>392</v>
      </c>
      <c r="C96" s="370">
        <f>+C84+C88</f>
        <v>47484437.419598073</v>
      </c>
      <c r="D96" s="370">
        <f>+D84+D88</f>
        <v>49776987.682388693</v>
      </c>
      <c r="E96" s="370">
        <f>+D96-C96</f>
        <v>2292550.2627906203</v>
      </c>
      <c r="F96" s="375">
        <f>+E96/C96</f>
        <v>4.8280034204310165E-2</v>
      </c>
      <c r="G96" s="370">
        <f>+G84+G88</f>
        <v>18967.166666666668</v>
      </c>
      <c r="H96" s="384">
        <f>+E96/(G96*12)</f>
        <v>10.072450914258061</v>
      </c>
      <c r="I96" s="525">
        <f>ROUND((+(I84+I88)/(G84+G88)/12),1)</f>
        <v>25.7</v>
      </c>
      <c r="J96" s="523">
        <f t="shared" si="24"/>
        <v>208.6255960721513</v>
      </c>
      <c r="K96" s="374">
        <f t="shared" ref="K96" si="26">+H96/J96</f>
        <v>4.8280034204310165E-2</v>
      </c>
      <c r="L96" s="526">
        <f t="shared" si="25"/>
        <v>218.69804698640937</v>
      </c>
      <c r="M96" s="57"/>
      <c r="N96" s="388"/>
      <c r="O96" s="31"/>
      <c r="P96" s="31"/>
      <c r="Q96" s="31"/>
      <c r="R96" s="31"/>
      <c r="S96" s="334"/>
      <c r="T96" s="334"/>
      <c r="U96" s="334"/>
      <c r="V96" s="367"/>
      <c r="W96" s="367"/>
      <c r="X96" s="367"/>
      <c r="Y96" s="367"/>
      <c r="Z96" s="367"/>
      <c r="AA96" s="367"/>
    </row>
    <row r="97" spans="1:30" x14ac:dyDescent="0.25">
      <c r="A97" s="356"/>
      <c r="B97" s="356" t="s">
        <v>375</v>
      </c>
      <c r="C97" s="370">
        <f>+C90</f>
        <v>2104018.1796976668</v>
      </c>
      <c r="D97" s="370">
        <f>+D90</f>
        <v>2174550.4195872755</v>
      </c>
      <c r="E97" s="370">
        <f>+D97-C97</f>
        <v>70532.239889608696</v>
      </c>
      <c r="F97" s="375">
        <f>+E97/C97</f>
        <v>3.3522638050467651E-2</v>
      </c>
      <c r="G97" s="370"/>
      <c r="H97" s="384"/>
      <c r="I97" s="392"/>
      <c r="J97" s="388"/>
      <c r="K97" s="356"/>
      <c r="L97" s="45"/>
      <c r="M97" s="57"/>
      <c r="N97" s="388"/>
      <c r="O97" s="31"/>
      <c r="P97" s="31"/>
      <c r="Q97" s="31"/>
      <c r="R97" s="31"/>
      <c r="S97" s="334"/>
      <c r="T97" s="334"/>
      <c r="U97" s="334"/>
      <c r="V97" s="367"/>
      <c r="W97" s="367"/>
      <c r="X97" s="367"/>
      <c r="Y97" s="367"/>
      <c r="Z97" s="367"/>
      <c r="AA97" s="367"/>
      <c r="AC97" s="367"/>
      <c r="AD97" s="349"/>
    </row>
    <row r="98" spans="1:30" x14ac:dyDescent="0.25">
      <c r="A98" s="356"/>
      <c r="B98" s="356"/>
      <c r="C98" s="356"/>
      <c r="D98" s="356"/>
      <c r="E98" s="356"/>
      <c r="F98" s="393"/>
      <c r="G98" s="356"/>
      <c r="H98" s="356"/>
      <c r="I98" s="356"/>
      <c r="J98" s="356"/>
      <c r="K98" s="356"/>
      <c r="L98" s="356"/>
      <c r="M98" s="356"/>
      <c r="N98" s="356"/>
      <c r="O98" s="356"/>
      <c r="P98" s="356"/>
      <c r="Q98" s="356"/>
      <c r="R98" s="356"/>
      <c r="S98" s="334"/>
      <c r="T98" s="334"/>
      <c r="U98" s="334"/>
    </row>
    <row r="99" spans="1:30" x14ac:dyDescent="0.25">
      <c r="A99" s="356"/>
      <c r="B99" s="356"/>
      <c r="C99" s="352">
        <f>SUM(C94:C98)</f>
        <v>170729263.75349522</v>
      </c>
      <c r="D99" s="352">
        <f>SUM(D94:D98)</f>
        <v>181145288.1476793</v>
      </c>
      <c r="E99" s="352">
        <f>SUM(E94:E98)</f>
        <v>10416024.394184055</v>
      </c>
      <c r="F99" s="375">
        <f>+E99/C99</f>
        <v>6.1009016059619801E-2</v>
      </c>
      <c r="G99" s="352">
        <f>SUM(G94:G98)</f>
        <v>176585.55</v>
      </c>
      <c r="H99" s="384">
        <f>+E99/(G99*12)</f>
        <v>4.9154759993027257</v>
      </c>
      <c r="I99" s="356"/>
      <c r="J99" s="356"/>
      <c r="K99" s="356"/>
      <c r="L99" s="45"/>
      <c r="M99" s="391"/>
      <c r="N99" s="388"/>
      <c r="O99" s="31"/>
      <c r="P99" s="31"/>
      <c r="Q99" s="31"/>
      <c r="R99" s="31"/>
      <c r="S99" s="334"/>
      <c r="T99" s="334"/>
      <c r="U99" s="334"/>
      <c r="V99" s="367"/>
      <c r="W99" s="367"/>
      <c r="X99" s="367"/>
      <c r="Y99" s="367"/>
      <c r="Z99" s="367"/>
      <c r="AA99" s="367"/>
      <c r="AB99" s="281"/>
      <c r="AC99" s="281"/>
      <c r="AD99" s="281"/>
    </row>
    <row r="100" spans="1:30" x14ac:dyDescent="0.25">
      <c r="A100" s="356"/>
      <c r="B100" s="356"/>
      <c r="C100" s="356"/>
      <c r="D100" s="356"/>
      <c r="E100" s="356"/>
      <c r="F100" s="356"/>
      <c r="G100" s="356"/>
      <c r="H100" s="356"/>
      <c r="I100" s="356"/>
      <c r="J100" s="356"/>
      <c r="K100" s="356"/>
      <c r="L100" s="45"/>
      <c r="M100" s="391"/>
      <c r="N100" s="388"/>
      <c r="O100" s="31"/>
      <c r="P100" s="31"/>
      <c r="Q100" s="31"/>
      <c r="R100" s="31"/>
      <c r="S100" s="334"/>
      <c r="T100" s="334"/>
      <c r="U100" s="334"/>
      <c r="V100" s="367"/>
      <c r="W100" s="367"/>
      <c r="X100" s="367"/>
      <c r="Y100" s="367"/>
      <c r="Z100" s="367"/>
      <c r="AA100" s="367"/>
      <c r="AB100" s="334"/>
      <c r="AC100" s="334"/>
      <c r="AD100" s="334"/>
    </row>
    <row r="101" spans="1:30" x14ac:dyDescent="0.25">
      <c r="A101" s="356"/>
      <c r="B101" s="356" t="s">
        <v>94</v>
      </c>
      <c r="C101" s="356"/>
      <c r="D101" s="356"/>
      <c r="E101" s="356"/>
      <c r="F101" s="356"/>
      <c r="G101" s="356"/>
      <c r="H101" s="356"/>
      <c r="I101" s="356"/>
      <c r="J101" s="356"/>
      <c r="K101" s="356"/>
      <c r="L101" s="45"/>
      <c r="M101" s="391"/>
      <c r="N101" s="388"/>
      <c r="O101" s="31"/>
      <c r="P101" s="31"/>
      <c r="Q101" s="31"/>
      <c r="R101" s="31"/>
      <c r="S101" s="334"/>
      <c r="T101" s="334"/>
      <c r="U101" s="334"/>
      <c r="V101" s="367"/>
      <c r="W101" s="367"/>
      <c r="X101" s="367"/>
      <c r="Y101" s="367"/>
      <c r="Z101" s="367"/>
      <c r="AA101" s="367"/>
      <c r="AB101" s="334"/>
      <c r="AC101" s="334"/>
      <c r="AD101" s="334"/>
    </row>
    <row r="102" spans="1:30" x14ac:dyDescent="0.25">
      <c r="A102" s="356"/>
      <c r="B102" s="356" t="s">
        <v>658</v>
      </c>
      <c r="C102" s="529">
        <f>+G12</f>
        <v>19.059999999999999</v>
      </c>
      <c r="D102" s="529">
        <f>+H12</f>
        <v>20.5</v>
      </c>
      <c r="E102" s="356"/>
      <c r="F102" s="356"/>
      <c r="G102" s="356"/>
      <c r="H102" s="388"/>
      <c r="I102" s="356"/>
      <c r="J102" s="388"/>
      <c r="K102" s="356"/>
      <c r="L102" s="385"/>
      <c r="M102" s="391"/>
      <c r="N102" s="388"/>
      <c r="O102" s="31"/>
      <c r="P102" s="31"/>
      <c r="Q102" s="31"/>
      <c r="R102" s="31"/>
      <c r="S102" s="334"/>
      <c r="T102" s="334"/>
      <c r="U102" s="334"/>
      <c r="V102" s="367"/>
      <c r="W102" s="367"/>
      <c r="X102" s="367"/>
      <c r="Y102" s="367"/>
      <c r="Z102" s="367"/>
      <c r="AA102" s="367"/>
      <c r="AB102" s="334"/>
      <c r="AC102" s="334"/>
      <c r="AD102" s="334"/>
    </row>
    <row r="103" spans="1:30" x14ac:dyDescent="0.25">
      <c r="A103" s="356"/>
      <c r="B103" s="356" t="s">
        <v>656</v>
      </c>
      <c r="C103" s="528">
        <f>+G19</f>
        <v>1.534</v>
      </c>
      <c r="D103" s="528">
        <f>+H19</f>
        <v>1.825</v>
      </c>
      <c r="E103" s="356"/>
      <c r="F103" s="356"/>
      <c r="G103" s="356"/>
      <c r="H103" s="388"/>
      <c r="I103" s="356"/>
      <c r="J103" s="388"/>
      <c r="K103" s="356"/>
      <c r="L103" s="385"/>
      <c r="M103" s="391"/>
      <c r="N103" s="388"/>
      <c r="O103" s="31"/>
      <c r="P103" s="31"/>
      <c r="Q103" s="31"/>
      <c r="R103" s="31"/>
      <c r="S103" s="334"/>
      <c r="T103" s="334"/>
      <c r="U103" s="334"/>
      <c r="V103" s="367"/>
      <c r="W103" s="367"/>
      <c r="X103" s="367"/>
      <c r="Y103" s="367"/>
      <c r="Z103" s="367"/>
      <c r="AA103" s="367"/>
      <c r="AB103" s="334"/>
      <c r="AC103" s="334"/>
      <c r="AD103" s="334"/>
    </row>
    <row r="104" spans="1:30" x14ac:dyDescent="0.25">
      <c r="A104" s="356"/>
      <c r="B104" s="356" t="s">
        <v>655</v>
      </c>
      <c r="C104" s="524">
        <f>+I94</f>
        <v>5.3</v>
      </c>
      <c r="D104" s="524">
        <f>+C104</f>
        <v>5.3</v>
      </c>
      <c r="E104" s="356"/>
      <c r="F104" s="356"/>
      <c r="G104" s="356"/>
      <c r="H104" s="388"/>
      <c r="I104" s="356"/>
      <c r="J104" s="388"/>
      <c r="K104" s="356"/>
      <c r="L104" s="388"/>
      <c r="M104" s="394"/>
      <c r="N104" s="388"/>
      <c r="O104" s="31"/>
      <c r="P104" s="31"/>
      <c r="Q104" s="31"/>
      <c r="R104" s="31"/>
      <c r="S104" s="334"/>
      <c r="T104" s="334"/>
      <c r="U104" s="334"/>
      <c r="V104" s="367"/>
      <c r="W104" s="367"/>
      <c r="X104" s="367"/>
      <c r="Y104" s="367"/>
      <c r="Z104" s="367"/>
      <c r="AA104" s="367"/>
    </row>
    <row r="105" spans="1:30" x14ac:dyDescent="0.25">
      <c r="A105" s="356"/>
      <c r="B105" s="356" t="s">
        <v>657</v>
      </c>
      <c r="C105" s="529">
        <f>ROUND((+C103*C104),2)</f>
        <v>8.1300000000000008</v>
      </c>
      <c r="D105" s="529">
        <f>ROUND((+D103*D104),2)</f>
        <v>9.67</v>
      </c>
      <c r="E105" s="356"/>
      <c r="F105" s="356"/>
      <c r="G105" s="356"/>
      <c r="H105" s="388"/>
      <c r="I105" s="356"/>
      <c r="J105" s="388"/>
      <c r="K105" s="356"/>
      <c r="L105" s="388"/>
      <c r="M105" s="394"/>
      <c r="N105" s="388"/>
      <c r="O105" s="31"/>
      <c r="P105" s="31"/>
      <c r="Q105" s="31"/>
      <c r="R105" s="31"/>
      <c r="S105" s="334"/>
      <c r="T105" s="334"/>
      <c r="U105" s="334"/>
      <c r="V105" s="367"/>
      <c r="W105" s="367"/>
      <c r="X105" s="367"/>
      <c r="Y105" s="367"/>
      <c r="Z105" s="367"/>
      <c r="AA105" s="367"/>
      <c r="AB105" s="349"/>
      <c r="AC105" s="349"/>
      <c r="AD105" s="349"/>
    </row>
    <row r="106" spans="1:30" x14ac:dyDescent="0.25">
      <c r="A106" s="356"/>
      <c r="B106" s="356" t="s">
        <v>659</v>
      </c>
      <c r="C106" s="528">
        <v>4.0834999999999999</v>
      </c>
      <c r="D106" s="528">
        <f>+C106</f>
        <v>4.0834999999999999</v>
      </c>
      <c r="E106" s="356"/>
      <c r="F106" s="356"/>
      <c r="G106" s="356"/>
      <c r="H106" s="388"/>
      <c r="I106" s="356"/>
      <c r="J106" s="388"/>
      <c r="K106" s="356"/>
      <c r="L106" s="388"/>
      <c r="M106" s="394"/>
      <c r="N106" s="388"/>
      <c r="O106" s="31"/>
      <c r="P106" s="31"/>
      <c r="Q106" s="31"/>
      <c r="R106" s="31"/>
      <c r="S106" s="334"/>
      <c r="T106" s="334"/>
      <c r="U106" s="334"/>
      <c r="V106" s="367"/>
      <c r="W106" s="367"/>
      <c r="X106" s="367"/>
      <c r="Y106" s="367"/>
      <c r="Z106" s="367"/>
      <c r="AA106" s="367"/>
      <c r="AB106" s="334"/>
      <c r="AC106" s="334"/>
      <c r="AD106" s="334"/>
    </row>
    <row r="107" spans="1:30" ht="16.5" thickBot="1" x14ac:dyDescent="0.3">
      <c r="A107" s="356"/>
      <c r="B107" s="356" t="s">
        <v>660</v>
      </c>
      <c r="C107" s="530">
        <f>ROUND((+C104*C106),2)</f>
        <v>21.64</v>
      </c>
      <c r="D107" s="530">
        <f>ROUND((+D104*D106),2)</f>
        <v>21.64</v>
      </c>
      <c r="E107" s="356"/>
      <c r="F107" s="356"/>
      <c r="G107" s="356"/>
      <c r="H107" s="388"/>
      <c r="I107" s="356"/>
      <c r="J107" s="388"/>
      <c r="K107" s="356"/>
      <c r="L107" s="388"/>
      <c r="M107" s="394"/>
      <c r="N107" s="388"/>
      <c r="O107" s="31"/>
      <c r="P107" s="31"/>
      <c r="Q107" s="31"/>
      <c r="R107" s="31"/>
      <c r="S107" s="334"/>
      <c r="T107" s="334"/>
      <c r="U107" s="334"/>
      <c r="V107" s="367"/>
      <c r="W107" s="367"/>
      <c r="X107" s="367"/>
      <c r="Y107" s="367"/>
      <c r="Z107" s="367"/>
      <c r="AA107" s="367"/>
      <c r="AB107" s="334"/>
      <c r="AC107" s="334"/>
      <c r="AD107" s="334"/>
    </row>
    <row r="108" spans="1:30" ht="16.5" thickBot="1" x14ac:dyDescent="0.3">
      <c r="A108" s="356"/>
      <c r="B108" s="356" t="s">
        <v>19</v>
      </c>
      <c r="C108" s="531">
        <f>+C102+C105+C107</f>
        <v>48.83</v>
      </c>
      <c r="D108" s="531">
        <f>+D102+D105+D107</f>
        <v>51.81</v>
      </c>
      <c r="E108" s="527">
        <f>+D108-C108</f>
        <v>2.980000000000004</v>
      </c>
      <c r="F108" s="75">
        <f>+E108/C108</f>
        <v>6.1028056522629617E-2</v>
      </c>
      <c r="G108" s="356"/>
      <c r="H108" s="388"/>
      <c r="I108" s="356"/>
      <c r="J108" s="388"/>
      <c r="K108" s="356"/>
      <c r="L108" s="388"/>
      <c r="M108" s="394"/>
      <c r="N108" s="388"/>
      <c r="O108" s="31"/>
      <c r="P108" s="31"/>
      <c r="Q108" s="31"/>
      <c r="R108" s="31"/>
      <c r="S108" s="334"/>
      <c r="T108" s="334"/>
      <c r="U108" s="334"/>
      <c r="V108" s="367"/>
      <c r="W108" s="367"/>
      <c r="X108" s="367"/>
      <c r="Y108" s="367"/>
      <c r="Z108" s="367"/>
      <c r="AA108" s="367"/>
      <c r="AB108" s="349"/>
      <c r="AC108" s="334"/>
      <c r="AD108" s="334"/>
    </row>
    <row r="109" spans="1:30" x14ac:dyDescent="0.25">
      <c r="A109" s="356"/>
      <c r="B109" s="356"/>
      <c r="C109" s="356"/>
      <c r="D109" s="356"/>
      <c r="E109" s="356"/>
      <c r="F109" s="356"/>
      <c r="G109" s="356"/>
      <c r="H109" s="388"/>
      <c r="I109" s="356"/>
      <c r="J109" s="388"/>
      <c r="K109" s="356"/>
      <c r="L109" s="388"/>
      <c r="M109" s="394"/>
      <c r="N109" s="388"/>
      <c r="O109" s="31"/>
      <c r="P109" s="31"/>
      <c r="Q109" s="31"/>
      <c r="R109" s="31"/>
      <c r="S109" s="334"/>
      <c r="T109" s="334"/>
      <c r="U109" s="334"/>
      <c r="V109" s="367"/>
      <c r="W109" s="367"/>
      <c r="X109" s="367"/>
      <c r="Y109" s="367"/>
      <c r="Z109" s="367"/>
      <c r="AA109" s="367"/>
      <c r="AB109" s="349"/>
      <c r="AC109" s="334"/>
      <c r="AD109" s="334"/>
    </row>
    <row r="110" spans="1:30" x14ac:dyDescent="0.25">
      <c r="A110" s="356"/>
      <c r="B110" s="356"/>
      <c r="C110" s="356">
        <v>48.35</v>
      </c>
      <c r="D110" s="356">
        <v>49.4</v>
      </c>
      <c r="E110" s="356">
        <f>+D110-C110</f>
        <v>1.0499999999999972</v>
      </c>
      <c r="F110" s="75">
        <f>+E110/C110</f>
        <v>2.1716649431230552E-2</v>
      </c>
      <c r="G110" s="356"/>
      <c r="H110" s="388"/>
      <c r="I110" s="356"/>
      <c r="J110" s="388"/>
      <c r="K110" s="356"/>
      <c r="L110" s="388"/>
      <c r="M110" s="394"/>
      <c r="N110" s="388"/>
      <c r="O110" s="31"/>
      <c r="P110" s="31"/>
      <c r="Q110" s="31"/>
      <c r="R110" s="31"/>
      <c r="S110" s="334"/>
      <c r="T110" s="334"/>
      <c r="U110" s="334"/>
      <c r="V110" s="367"/>
      <c r="W110" s="367"/>
      <c r="X110" s="367"/>
      <c r="Y110" s="367"/>
      <c r="Z110" s="367"/>
      <c r="AA110" s="367"/>
      <c r="AB110" s="334"/>
      <c r="AC110" s="334"/>
      <c r="AD110" s="334"/>
    </row>
    <row r="111" spans="1:30" x14ac:dyDescent="0.25">
      <c r="A111" s="356"/>
      <c r="B111" s="356"/>
      <c r="C111" s="356"/>
      <c r="D111" s="356"/>
      <c r="E111" s="356"/>
      <c r="F111" s="356"/>
      <c r="G111" s="356"/>
      <c r="H111" s="388"/>
      <c r="I111" s="356"/>
      <c r="J111" s="388"/>
      <c r="K111" s="356"/>
      <c r="L111" s="388"/>
      <c r="M111" s="394"/>
      <c r="N111" s="388"/>
      <c r="O111" s="31"/>
      <c r="P111" s="31"/>
      <c r="Q111" s="31"/>
      <c r="R111" s="31"/>
      <c r="S111" s="334"/>
      <c r="T111" s="334"/>
      <c r="U111" s="334"/>
      <c r="V111" s="367"/>
      <c r="W111" s="367"/>
      <c r="X111" s="367"/>
      <c r="Y111" s="367"/>
      <c r="Z111" s="367"/>
      <c r="AA111" s="367"/>
      <c r="AB111" s="334"/>
      <c r="AC111" s="334"/>
      <c r="AD111" s="334"/>
    </row>
    <row r="112" spans="1:30" x14ac:dyDescent="0.25">
      <c r="A112" s="356"/>
    </row>
    <row r="113" spans="1:1" x14ac:dyDescent="0.25">
      <c r="A113" s="356"/>
    </row>
    <row r="114" spans="1:1" x14ac:dyDescent="0.25">
      <c r="A114" s="356"/>
    </row>
    <row r="115" spans="1:1" x14ac:dyDescent="0.25">
      <c r="A115" s="356"/>
    </row>
    <row r="116" spans="1:1" x14ac:dyDescent="0.25">
      <c r="A116" s="356"/>
    </row>
    <row r="117" spans="1:1" x14ac:dyDescent="0.25">
      <c r="A117" s="356"/>
    </row>
    <row r="118" spans="1:1" x14ac:dyDescent="0.25">
      <c r="A118" s="356"/>
    </row>
    <row r="119" spans="1:1" x14ac:dyDescent="0.25">
      <c r="A119" s="356"/>
    </row>
    <row r="120" spans="1:1" x14ac:dyDescent="0.25">
      <c r="A120" s="356"/>
    </row>
    <row r="121" spans="1:1" x14ac:dyDescent="0.25">
      <c r="A121" s="356"/>
    </row>
    <row r="122" spans="1:1" x14ac:dyDescent="0.25">
      <c r="A122" s="356"/>
    </row>
    <row r="123" spans="1:1" x14ac:dyDescent="0.25">
      <c r="A123" s="356"/>
    </row>
    <row r="124" spans="1:1" x14ac:dyDescent="0.25">
      <c r="A124" s="356"/>
    </row>
    <row r="125" spans="1:1" x14ac:dyDescent="0.25">
      <c r="A125" s="356"/>
    </row>
    <row r="126" spans="1:1" x14ac:dyDescent="0.25">
      <c r="A126" s="356"/>
    </row>
    <row r="127" spans="1:1" x14ac:dyDescent="0.25">
      <c r="A127" s="356"/>
    </row>
    <row r="128" spans="1:1" x14ac:dyDescent="0.25">
      <c r="A128" s="356"/>
    </row>
    <row r="129" spans="1:30" x14ac:dyDescent="0.25">
      <c r="A129" s="356"/>
    </row>
    <row r="130" spans="1:30" x14ac:dyDescent="0.25">
      <c r="A130" s="356"/>
    </row>
    <row r="131" spans="1:30" x14ac:dyDescent="0.25">
      <c r="A131" s="356"/>
    </row>
    <row r="132" spans="1:30" x14ac:dyDescent="0.25">
      <c r="A132" s="356"/>
    </row>
    <row r="133" spans="1:30" x14ac:dyDescent="0.25">
      <c r="A133" s="356"/>
    </row>
    <row r="134" spans="1:30" x14ac:dyDescent="0.25">
      <c r="A134" s="263"/>
      <c r="B134" s="356"/>
      <c r="C134" s="356"/>
      <c r="D134" s="356"/>
      <c r="E134" s="356"/>
      <c r="F134" s="356"/>
      <c r="G134" s="356"/>
      <c r="H134" s="388"/>
      <c r="I134" s="356"/>
      <c r="J134" s="388"/>
      <c r="K134" s="356"/>
      <c r="L134" s="388"/>
      <c r="M134" s="394"/>
      <c r="N134" s="388"/>
      <c r="O134" s="31"/>
      <c r="P134" s="31"/>
      <c r="Q134" s="31"/>
      <c r="R134" s="31"/>
      <c r="S134" s="334"/>
      <c r="T134" s="334"/>
      <c r="U134" s="334"/>
      <c r="V134" s="367"/>
      <c r="W134" s="367"/>
      <c r="X134" s="367"/>
      <c r="Y134" s="367"/>
      <c r="Z134" s="367"/>
      <c r="AA134" s="367"/>
      <c r="AB134" s="349"/>
      <c r="AC134" s="334"/>
      <c r="AD134" s="334"/>
    </row>
    <row r="135" spans="1:30" x14ac:dyDescent="0.25">
      <c r="A135" s="263"/>
      <c r="B135" s="356"/>
      <c r="C135" s="356"/>
      <c r="D135" s="356"/>
      <c r="E135" s="356"/>
      <c r="F135" s="356"/>
      <c r="G135" s="356"/>
      <c r="H135" s="388"/>
      <c r="I135" s="356"/>
      <c r="J135" s="388"/>
      <c r="K135" s="356"/>
      <c r="L135" s="388"/>
      <c r="M135" s="394"/>
      <c r="N135" s="388"/>
      <c r="O135" s="31"/>
      <c r="P135" s="31"/>
      <c r="Q135" s="31"/>
      <c r="R135" s="31"/>
      <c r="S135" s="334"/>
      <c r="T135" s="334"/>
      <c r="U135" s="334"/>
      <c r="V135" s="367"/>
      <c r="W135" s="367"/>
      <c r="X135" s="367"/>
      <c r="Y135" s="367"/>
      <c r="Z135" s="367"/>
      <c r="AA135" s="367"/>
      <c r="AB135" s="349"/>
      <c r="AC135" s="334"/>
      <c r="AD135" s="334"/>
    </row>
    <row r="136" spans="1:30" x14ac:dyDescent="0.25">
      <c r="A136" s="356"/>
      <c r="B136" s="356"/>
      <c r="C136" s="356"/>
      <c r="D136" s="356"/>
      <c r="E136" s="356"/>
      <c r="F136" s="356"/>
      <c r="G136" s="356"/>
      <c r="H136" s="388"/>
      <c r="I136" s="395"/>
      <c r="J136" s="388"/>
      <c r="K136" s="356"/>
      <c r="L136" s="388"/>
      <c r="M136" s="394"/>
      <c r="N136" s="388"/>
      <c r="O136" s="31"/>
      <c r="P136" s="31"/>
      <c r="Q136" s="31"/>
      <c r="R136" s="31"/>
      <c r="S136" s="334"/>
      <c r="T136" s="334"/>
      <c r="U136" s="334"/>
      <c r="V136" s="367"/>
      <c r="W136" s="367"/>
      <c r="X136" s="367"/>
      <c r="Y136" s="367"/>
      <c r="Z136" s="367"/>
      <c r="AA136" s="367"/>
      <c r="AB136" s="334"/>
      <c r="AC136" s="334"/>
      <c r="AD136" s="334"/>
    </row>
    <row r="137" spans="1:30" x14ac:dyDescent="0.25">
      <c r="A137" s="356"/>
      <c r="B137" s="356"/>
      <c r="C137" s="356"/>
      <c r="D137" s="356"/>
      <c r="E137" s="356"/>
      <c r="F137" s="356"/>
      <c r="G137" s="356"/>
      <c r="H137" s="388"/>
      <c r="I137" s="395"/>
      <c r="J137" s="388"/>
      <c r="K137" s="356"/>
      <c r="L137" s="388"/>
      <c r="M137" s="394"/>
      <c r="N137" s="388"/>
      <c r="O137" s="31"/>
      <c r="P137" s="31"/>
      <c r="Q137" s="31"/>
      <c r="R137" s="31"/>
      <c r="S137" s="334"/>
      <c r="T137" s="334"/>
      <c r="U137" s="334"/>
      <c r="V137" s="367"/>
      <c r="W137" s="367"/>
      <c r="X137" s="367"/>
      <c r="Y137" s="367"/>
      <c r="Z137" s="367"/>
      <c r="AA137" s="367"/>
      <c r="AB137" s="334"/>
      <c r="AC137" s="334"/>
      <c r="AD137" s="334"/>
    </row>
    <row r="138" spans="1:30" x14ac:dyDescent="0.25">
      <c r="A138" s="356"/>
      <c r="B138" s="356"/>
      <c r="C138" s="356"/>
      <c r="D138" s="356"/>
      <c r="E138" s="356"/>
      <c r="F138" s="356"/>
      <c r="G138" s="356"/>
      <c r="H138" s="388"/>
      <c r="I138" s="395"/>
      <c r="J138" s="388"/>
      <c r="K138" s="356"/>
      <c r="L138" s="388"/>
      <c r="M138" s="394"/>
      <c r="N138" s="388"/>
      <c r="O138" s="31"/>
      <c r="P138" s="31"/>
      <c r="Q138" s="31"/>
      <c r="R138" s="31"/>
      <c r="S138" s="334"/>
      <c r="T138" s="334"/>
      <c r="U138" s="334"/>
      <c r="V138" s="367"/>
      <c r="W138" s="367"/>
      <c r="X138" s="367"/>
      <c r="Y138" s="367"/>
      <c r="Z138" s="367"/>
      <c r="AA138" s="367"/>
      <c r="AB138" s="349"/>
      <c r="AC138" s="334"/>
      <c r="AD138" s="334"/>
    </row>
    <row r="139" spans="1:30" x14ac:dyDescent="0.25">
      <c r="A139" s="254"/>
      <c r="B139" s="356"/>
      <c r="C139" s="356"/>
      <c r="D139" s="356"/>
      <c r="E139" s="356"/>
      <c r="F139" s="356"/>
      <c r="G139" s="356"/>
      <c r="H139" s="388"/>
      <c r="I139" s="395"/>
      <c r="J139" s="388"/>
      <c r="K139" s="356"/>
      <c r="L139" s="388"/>
      <c r="M139" s="394"/>
      <c r="N139" s="388"/>
      <c r="O139" s="31"/>
      <c r="P139" s="31"/>
      <c r="Q139" s="31"/>
      <c r="R139" s="31"/>
      <c r="S139" s="334"/>
      <c r="T139" s="334"/>
      <c r="U139" s="334"/>
      <c r="V139" s="367"/>
      <c r="W139" s="367"/>
      <c r="X139" s="367"/>
      <c r="Y139" s="367"/>
      <c r="Z139" s="367"/>
      <c r="AA139" s="367"/>
      <c r="AB139" s="349"/>
      <c r="AC139" s="334"/>
      <c r="AD139" s="334"/>
    </row>
    <row r="140" spans="1:30" x14ac:dyDescent="0.25">
      <c r="A140" s="254"/>
      <c r="B140" s="356"/>
      <c r="C140" s="356"/>
      <c r="D140" s="356"/>
      <c r="E140" s="356"/>
      <c r="F140" s="356"/>
      <c r="G140" s="356"/>
      <c r="H140" s="356"/>
      <c r="I140" s="356"/>
      <c r="J140" s="388"/>
      <c r="K140" s="356"/>
      <c r="L140" s="388"/>
      <c r="M140" s="394"/>
      <c r="N140" s="388"/>
      <c r="O140" s="31"/>
      <c r="P140" s="31"/>
      <c r="Q140" s="31"/>
      <c r="R140" s="31"/>
      <c r="S140" s="334"/>
      <c r="T140" s="334"/>
      <c r="U140" s="334"/>
      <c r="V140" s="367"/>
      <c r="W140" s="367"/>
      <c r="X140" s="367"/>
      <c r="Y140" s="367"/>
      <c r="Z140" s="367"/>
      <c r="AA140" s="367"/>
      <c r="AB140" s="334"/>
      <c r="AC140" s="334"/>
      <c r="AD140" s="334"/>
    </row>
    <row r="141" spans="1:30" x14ac:dyDescent="0.25">
      <c r="A141" s="254"/>
      <c r="B141" s="356"/>
      <c r="C141" s="356"/>
      <c r="D141" s="356"/>
      <c r="E141" s="356"/>
      <c r="F141" s="356"/>
      <c r="G141" s="356"/>
      <c r="H141" s="356"/>
      <c r="I141" s="356"/>
      <c r="J141" s="388"/>
      <c r="K141" s="356"/>
      <c r="L141" s="388"/>
      <c r="M141" s="394"/>
      <c r="N141" s="388"/>
      <c r="O141" s="31"/>
      <c r="P141" s="31"/>
      <c r="Q141" s="31"/>
      <c r="R141" s="31"/>
      <c r="S141" s="334"/>
      <c r="T141" s="334"/>
      <c r="U141" s="334"/>
      <c r="V141" s="367"/>
      <c r="W141" s="367"/>
      <c r="X141" s="367"/>
      <c r="Y141" s="367"/>
      <c r="Z141" s="367"/>
      <c r="AA141" s="367"/>
      <c r="AB141" s="334"/>
      <c r="AC141" s="334"/>
      <c r="AD141" s="334"/>
    </row>
    <row r="142" spans="1:30" x14ac:dyDescent="0.25">
      <c r="A142" s="254"/>
      <c r="B142" s="356"/>
      <c r="C142" s="356"/>
      <c r="D142" s="356"/>
      <c r="E142" s="356"/>
      <c r="F142" s="356"/>
      <c r="G142" s="356"/>
      <c r="H142" s="356"/>
      <c r="I142" s="356"/>
      <c r="J142" s="388"/>
      <c r="K142" s="356"/>
      <c r="L142" s="388"/>
      <c r="M142" s="394"/>
      <c r="N142" s="388"/>
      <c r="O142" s="31"/>
      <c r="P142" s="31"/>
      <c r="Q142" s="31"/>
      <c r="R142" s="31"/>
      <c r="S142" s="334"/>
      <c r="T142" s="334"/>
      <c r="U142" s="334"/>
      <c r="V142" s="367"/>
      <c r="W142" s="367"/>
      <c r="X142" s="367"/>
      <c r="Y142" s="367"/>
      <c r="Z142" s="367"/>
      <c r="AA142" s="367"/>
      <c r="AB142" s="349"/>
      <c r="AC142" s="334"/>
      <c r="AD142" s="334"/>
    </row>
    <row r="143" spans="1:30" x14ac:dyDescent="0.25">
      <c r="A143" s="254"/>
      <c r="B143" s="356"/>
      <c r="C143" s="356"/>
      <c r="D143" s="356"/>
      <c r="E143" s="356"/>
      <c r="F143" s="356"/>
      <c r="G143" s="356"/>
      <c r="H143" s="356"/>
      <c r="I143" s="356"/>
      <c r="J143" s="388"/>
      <c r="K143" s="356"/>
      <c r="L143" s="388"/>
      <c r="M143" s="394"/>
      <c r="N143" s="388"/>
      <c r="O143" s="388"/>
      <c r="P143" s="388"/>
      <c r="Q143" s="388"/>
      <c r="R143" s="388"/>
      <c r="S143" s="334"/>
      <c r="T143" s="334"/>
      <c r="U143" s="334"/>
      <c r="V143" s="334"/>
      <c r="W143" s="334"/>
      <c r="X143" s="334"/>
      <c r="Y143" s="334"/>
      <c r="Z143" s="334"/>
      <c r="AA143" s="334"/>
      <c r="AB143" s="349"/>
      <c r="AC143" s="334"/>
      <c r="AD143" s="334"/>
    </row>
    <row r="144" spans="1:30" x14ac:dyDescent="0.25">
      <c r="A144" s="254"/>
      <c r="B144" s="356"/>
      <c r="C144" s="356"/>
      <c r="D144" s="356"/>
      <c r="E144" s="356"/>
      <c r="F144" s="356"/>
      <c r="G144" s="356"/>
      <c r="H144" s="356"/>
      <c r="I144" s="356"/>
      <c r="J144" s="388"/>
      <c r="K144" s="356"/>
      <c r="L144" s="388"/>
      <c r="M144" s="394"/>
      <c r="N144" s="388"/>
      <c r="O144" s="388"/>
      <c r="P144" s="388"/>
      <c r="Q144" s="388"/>
      <c r="R144" s="388"/>
      <c r="S144" s="334"/>
      <c r="T144" s="334"/>
      <c r="U144" s="334"/>
      <c r="V144" s="334"/>
      <c r="W144" s="334"/>
      <c r="X144" s="334"/>
      <c r="Y144" s="334"/>
      <c r="Z144" s="334"/>
      <c r="AA144" s="334"/>
      <c r="AB144" s="334"/>
      <c r="AC144" s="334"/>
      <c r="AD144" s="334"/>
    </row>
    <row r="145" spans="1:30" x14ac:dyDescent="0.25">
      <c r="A145" s="254"/>
      <c r="B145" s="356"/>
      <c r="C145" s="356"/>
      <c r="D145" s="356"/>
      <c r="E145" s="356"/>
      <c r="F145" s="356"/>
      <c r="G145" s="356"/>
      <c r="H145" s="356"/>
      <c r="I145" s="356"/>
      <c r="J145" s="356"/>
      <c r="K145" s="356"/>
      <c r="L145" s="356"/>
      <c r="M145" s="356"/>
      <c r="N145" s="356"/>
      <c r="O145" s="356"/>
      <c r="P145" s="356"/>
      <c r="Q145" s="356"/>
      <c r="R145" s="356"/>
      <c r="S145" s="334"/>
      <c r="T145" s="334"/>
      <c r="U145" s="334"/>
      <c r="AB145" s="334"/>
      <c r="AC145" s="334"/>
      <c r="AD145" s="334"/>
    </row>
    <row r="146" spans="1:30" x14ac:dyDescent="0.25">
      <c r="A146" s="254"/>
      <c r="B146" s="356"/>
      <c r="C146" s="356"/>
      <c r="D146" s="356"/>
      <c r="E146" s="356"/>
      <c r="F146" s="356"/>
      <c r="G146" s="356"/>
      <c r="H146" s="356"/>
      <c r="I146" s="356"/>
      <c r="J146" s="356"/>
      <c r="K146" s="356"/>
      <c r="L146" s="356"/>
      <c r="M146" s="356"/>
      <c r="N146" s="356"/>
      <c r="O146" s="356"/>
      <c r="P146" s="356"/>
      <c r="Q146" s="356"/>
      <c r="R146" s="356"/>
      <c r="S146" s="334"/>
      <c r="T146" s="334"/>
      <c r="U146" s="334"/>
      <c r="AB146" s="334"/>
      <c r="AC146" s="334"/>
      <c r="AD146" s="334"/>
    </row>
    <row r="147" spans="1:30" x14ac:dyDescent="0.25">
      <c r="A147" s="254"/>
      <c r="B147" s="356"/>
      <c r="C147" s="356"/>
      <c r="D147" s="356"/>
      <c r="E147" s="356"/>
      <c r="F147" s="356"/>
      <c r="G147" s="356"/>
      <c r="H147" s="356"/>
      <c r="I147" s="356"/>
      <c r="J147" s="356"/>
      <c r="K147" s="356"/>
      <c r="L147" s="356"/>
      <c r="M147" s="356"/>
      <c r="N147" s="396"/>
      <c r="O147" s="356"/>
      <c r="P147" s="356"/>
      <c r="Q147" s="356"/>
      <c r="R147" s="356"/>
      <c r="S147" s="334"/>
      <c r="T147" s="334"/>
      <c r="U147" s="334"/>
      <c r="AB147" s="334"/>
      <c r="AC147" s="334"/>
      <c r="AD147" s="334"/>
    </row>
    <row r="148" spans="1:30" x14ac:dyDescent="0.25">
      <c r="A148" s="254"/>
      <c r="B148" s="356"/>
      <c r="C148" s="356"/>
      <c r="D148" s="356"/>
      <c r="E148" s="397"/>
      <c r="F148" s="356"/>
      <c r="G148" s="356"/>
      <c r="H148" s="263"/>
      <c r="I148" s="356"/>
      <c r="J148" s="356"/>
      <c r="K148" s="356"/>
      <c r="L148" s="356"/>
      <c r="M148" s="356"/>
      <c r="N148" s="383"/>
      <c r="O148" s="356"/>
      <c r="P148" s="356"/>
      <c r="Q148" s="356"/>
      <c r="R148" s="356"/>
      <c r="S148" s="334"/>
      <c r="T148" s="334"/>
      <c r="U148" s="334"/>
      <c r="AB148" s="334"/>
      <c r="AC148" s="334"/>
      <c r="AD148" s="334"/>
    </row>
    <row r="149" spans="1:30" x14ac:dyDescent="0.25">
      <c r="A149" s="254"/>
      <c r="B149" s="356"/>
      <c r="C149" s="356"/>
      <c r="D149" s="356"/>
      <c r="E149" s="397"/>
      <c r="F149" s="356"/>
      <c r="G149" s="356"/>
      <c r="H149" s="263"/>
      <c r="I149" s="356"/>
      <c r="J149" s="356"/>
      <c r="K149" s="356"/>
      <c r="L149" s="397"/>
      <c r="M149" s="356"/>
      <c r="N149" s="356"/>
      <c r="O149" s="356"/>
      <c r="P149" s="356"/>
      <c r="Q149" s="356"/>
      <c r="R149" s="356"/>
      <c r="S149" s="334"/>
      <c r="T149" s="334"/>
      <c r="U149" s="334"/>
      <c r="AB149" s="334"/>
      <c r="AC149" s="334"/>
      <c r="AD149" s="334"/>
    </row>
    <row r="150" spans="1:30" x14ac:dyDescent="0.25">
      <c r="A150" s="254"/>
      <c r="B150" s="356"/>
      <c r="C150" s="356"/>
      <c r="D150" s="356"/>
      <c r="E150" s="389"/>
      <c r="F150" s="356"/>
      <c r="G150" s="356"/>
      <c r="H150" s="263"/>
      <c r="I150" s="356"/>
      <c r="J150" s="356"/>
      <c r="K150" s="356"/>
      <c r="L150" s="389"/>
      <c r="M150" s="356"/>
      <c r="N150" s="388"/>
      <c r="O150" s="356"/>
      <c r="P150" s="356"/>
      <c r="Q150" s="356"/>
      <c r="R150" s="356"/>
      <c r="S150" s="334"/>
      <c r="T150" s="334"/>
      <c r="U150" s="334"/>
      <c r="AB150" s="334"/>
      <c r="AC150" s="334"/>
      <c r="AD150" s="334"/>
    </row>
    <row r="151" spans="1:30" x14ac:dyDescent="0.25">
      <c r="A151" s="254"/>
      <c r="B151" s="356"/>
      <c r="C151" s="356"/>
      <c r="D151" s="356"/>
      <c r="E151" s="389"/>
      <c r="F151" s="356"/>
      <c r="G151" s="356"/>
      <c r="H151" s="356"/>
      <c r="I151" s="389"/>
      <c r="J151" s="389"/>
      <c r="K151" s="356"/>
      <c r="L151" s="388"/>
      <c r="M151" s="389"/>
      <c r="N151" s="356"/>
      <c r="O151" s="356"/>
      <c r="P151" s="356"/>
      <c r="Q151" s="356"/>
      <c r="R151" s="356"/>
      <c r="S151" s="334"/>
      <c r="T151" s="334"/>
      <c r="U151" s="334"/>
    </row>
    <row r="152" spans="1:30" x14ac:dyDescent="0.25">
      <c r="A152" s="254"/>
      <c r="B152" s="356"/>
      <c r="C152" s="263"/>
      <c r="D152" s="356"/>
      <c r="E152" s="263"/>
      <c r="F152" s="263"/>
      <c r="G152" s="263"/>
      <c r="H152" s="263"/>
      <c r="I152" s="263"/>
      <c r="J152" s="263"/>
      <c r="K152" s="263"/>
      <c r="L152" s="263"/>
      <c r="M152" s="263"/>
      <c r="N152" s="263"/>
      <c r="O152" s="398"/>
      <c r="P152" s="398"/>
      <c r="Q152" s="398"/>
      <c r="R152" s="398"/>
      <c r="S152" s="334"/>
      <c r="T152" s="334"/>
      <c r="U152" s="334"/>
    </row>
    <row r="153" spans="1:30" x14ac:dyDescent="0.25">
      <c r="A153" s="254"/>
      <c r="B153" s="356"/>
      <c r="C153" s="356"/>
      <c r="D153" s="356"/>
      <c r="E153" s="356"/>
      <c r="F153" s="356"/>
      <c r="G153" s="356"/>
      <c r="H153" s="356"/>
      <c r="I153" s="356"/>
      <c r="J153" s="388"/>
      <c r="K153" s="356"/>
      <c r="L153" s="356"/>
      <c r="M153" s="356"/>
      <c r="N153" s="356"/>
      <c r="O153" s="356"/>
      <c r="P153" s="356"/>
      <c r="Q153" s="356"/>
      <c r="R153" s="356"/>
      <c r="S153" s="334"/>
      <c r="T153" s="334"/>
      <c r="U153" s="334"/>
    </row>
    <row r="154" spans="1:30" x14ac:dyDescent="0.25">
      <c r="A154" s="254"/>
      <c r="B154" s="356"/>
      <c r="C154" s="263"/>
      <c r="D154" s="356"/>
      <c r="E154" s="263"/>
      <c r="F154" s="263"/>
      <c r="G154" s="399"/>
      <c r="H154" s="347"/>
      <c r="I154" s="263"/>
      <c r="J154" s="399"/>
      <c r="K154" s="263"/>
      <c r="L154" s="263"/>
      <c r="M154" s="356"/>
      <c r="N154" s="263"/>
      <c r="O154" s="263"/>
      <c r="P154" s="263"/>
      <c r="Q154" s="263"/>
      <c r="R154" s="263"/>
      <c r="S154" s="334"/>
      <c r="T154" s="334"/>
      <c r="U154" s="334"/>
    </row>
    <row r="155" spans="1:30" x14ac:dyDescent="0.25">
      <c r="A155" s="254"/>
      <c r="B155" s="356"/>
      <c r="C155" s="263"/>
      <c r="D155" s="263"/>
      <c r="E155" s="263"/>
      <c r="F155" s="263"/>
      <c r="G155" s="263"/>
      <c r="H155" s="263"/>
      <c r="I155" s="263"/>
      <c r="J155" s="263"/>
      <c r="K155" s="263"/>
      <c r="L155" s="263"/>
      <c r="M155" s="356"/>
      <c r="N155" s="263"/>
      <c r="O155" s="263"/>
      <c r="P155" s="263"/>
      <c r="Q155" s="263"/>
      <c r="R155" s="263"/>
      <c r="S155" s="334"/>
      <c r="T155" s="334"/>
      <c r="U155" s="334"/>
    </row>
    <row r="156" spans="1:30" x14ac:dyDescent="0.25">
      <c r="A156" s="254"/>
      <c r="B156" s="356"/>
      <c r="C156" s="356"/>
      <c r="D156" s="356"/>
      <c r="E156" s="356"/>
      <c r="F156" s="356"/>
      <c r="G156" s="356"/>
      <c r="H156" s="356"/>
      <c r="I156" s="356"/>
      <c r="J156" s="356"/>
      <c r="K156" s="356"/>
      <c r="L156" s="356"/>
      <c r="M156" s="356"/>
      <c r="N156" s="356"/>
      <c r="O156" s="356"/>
      <c r="P156" s="356"/>
      <c r="Q156" s="356"/>
      <c r="R156" s="356"/>
      <c r="S156" s="334"/>
      <c r="T156" s="334"/>
      <c r="U156" s="334"/>
    </row>
    <row r="157" spans="1:30" x14ac:dyDescent="0.25">
      <c r="A157" s="254"/>
      <c r="C157" s="254"/>
      <c r="D157" s="254"/>
      <c r="E157" s="254"/>
      <c r="F157" s="254"/>
      <c r="G157" s="254"/>
      <c r="H157" s="254"/>
      <c r="I157" s="400"/>
      <c r="J157" s="400"/>
      <c r="K157" s="254"/>
      <c r="L157" s="254"/>
      <c r="M157" s="254"/>
      <c r="N157" s="254"/>
      <c r="O157" s="254"/>
      <c r="P157" s="254"/>
      <c r="Q157" s="254"/>
      <c r="R157" s="254"/>
    </row>
    <row r="158" spans="1:30" x14ac:dyDescent="0.25">
      <c r="A158" s="254"/>
      <c r="C158" s="254"/>
      <c r="D158" s="254"/>
      <c r="E158" s="35"/>
      <c r="F158" s="254"/>
      <c r="G158" s="370"/>
      <c r="H158" s="254"/>
      <c r="I158" s="254"/>
      <c r="J158" s="378"/>
      <c r="K158" s="401"/>
      <c r="L158" s="254"/>
      <c r="M158" s="254"/>
      <c r="N158" s="238"/>
      <c r="O158" s="255"/>
      <c r="P158" s="255"/>
      <c r="Q158" s="255"/>
      <c r="R158" s="255"/>
    </row>
    <row r="159" spans="1:30" x14ac:dyDescent="0.25">
      <c r="C159" s="254"/>
      <c r="D159" s="254"/>
      <c r="E159" s="35"/>
      <c r="F159" s="254"/>
      <c r="G159" s="370"/>
      <c r="H159" s="254"/>
      <c r="I159" s="254"/>
      <c r="J159" s="353"/>
      <c r="K159" s="402"/>
      <c r="L159" s="254"/>
      <c r="M159" s="254"/>
      <c r="N159" s="238"/>
      <c r="O159" s="255"/>
      <c r="P159" s="255"/>
      <c r="Q159" s="255"/>
      <c r="R159" s="255"/>
    </row>
    <row r="160" spans="1:30" x14ac:dyDescent="0.25">
      <c r="C160" s="254"/>
      <c r="D160" s="254"/>
      <c r="E160" s="35"/>
      <c r="F160" s="254"/>
      <c r="G160" s="370"/>
      <c r="H160" s="254"/>
      <c r="I160" s="254"/>
      <c r="J160" s="353"/>
      <c r="K160" s="402"/>
      <c r="L160" s="254"/>
      <c r="M160" s="254"/>
      <c r="N160" s="238"/>
      <c r="O160" s="255"/>
      <c r="P160" s="255"/>
      <c r="Q160" s="255"/>
      <c r="R160" s="255"/>
    </row>
    <row r="161" spans="3:18" x14ac:dyDescent="0.25">
      <c r="C161" s="254"/>
      <c r="D161" s="254"/>
      <c r="E161" s="35"/>
      <c r="F161" s="254"/>
      <c r="G161" s="370"/>
      <c r="H161" s="254"/>
      <c r="I161" s="254"/>
      <c r="J161" s="353"/>
      <c r="K161" s="402"/>
      <c r="L161" s="254"/>
      <c r="M161" s="254"/>
      <c r="N161" s="238"/>
      <c r="O161" s="255"/>
      <c r="P161" s="255"/>
      <c r="Q161" s="255"/>
      <c r="R161" s="255"/>
    </row>
    <row r="162" spans="3:18" x14ac:dyDescent="0.25">
      <c r="C162" s="254"/>
      <c r="D162" s="254"/>
      <c r="E162" s="35"/>
      <c r="F162" s="254"/>
      <c r="G162" s="370"/>
      <c r="H162" s="254"/>
      <c r="I162" s="254"/>
      <c r="J162" s="353"/>
      <c r="K162" s="402"/>
      <c r="L162" s="254"/>
      <c r="M162" s="254"/>
      <c r="N162" s="238"/>
      <c r="O162" s="255"/>
      <c r="P162" s="255"/>
      <c r="Q162" s="255"/>
      <c r="R162" s="255"/>
    </row>
    <row r="163" spans="3:18" x14ac:dyDescent="0.25">
      <c r="C163" s="254"/>
      <c r="D163" s="254"/>
      <c r="E163" s="35"/>
      <c r="F163" s="254"/>
      <c r="G163" s="370"/>
      <c r="H163" s="254"/>
      <c r="I163" s="254"/>
      <c r="J163" s="353"/>
      <c r="K163" s="402"/>
      <c r="L163" s="254"/>
      <c r="M163" s="254"/>
      <c r="N163" s="238"/>
      <c r="O163" s="255"/>
      <c r="P163" s="255"/>
      <c r="Q163" s="255"/>
      <c r="R163" s="255"/>
    </row>
    <row r="164" spans="3:18" x14ac:dyDescent="0.25">
      <c r="C164" s="254"/>
      <c r="D164" s="254"/>
      <c r="E164" s="35"/>
      <c r="F164" s="254"/>
      <c r="G164" s="370"/>
      <c r="H164" s="254"/>
      <c r="I164" s="254"/>
      <c r="J164" s="353"/>
      <c r="K164" s="402"/>
      <c r="L164" s="254"/>
      <c r="M164" s="254"/>
      <c r="N164" s="238"/>
      <c r="O164" s="255"/>
      <c r="P164" s="255"/>
      <c r="Q164" s="255"/>
      <c r="R164" s="255"/>
    </row>
    <row r="165" spans="3:18" x14ac:dyDescent="0.25">
      <c r="C165" s="254"/>
      <c r="D165" s="254"/>
      <c r="E165" s="35"/>
      <c r="F165" s="254"/>
      <c r="G165" s="370"/>
      <c r="H165" s="254"/>
      <c r="I165" s="254"/>
      <c r="J165" s="353"/>
      <c r="K165" s="402"/>
      <c r="L165" s="254"/>
      <c r="M165" s="254"/>
      <c r="N165" s="238"/>
      <c r="O165" s="255"/>
      <c r="P165" s="255"/>
      <c r="Q165" s="255"/>
      <c r="R165" s="255"/>
    </row>
    <row r="166" spans="3:18" x14ac:dyDescent="0.25">
      <c r="C166" s="254"/>
      <c r="D166" s="254"/>
      <c r="E166" s="35"/>
      <c r="F166" s="254"/>
      <c r="G166" s="370"/>
      <c r="H166" s="254"/>
      <c r="I166" s="254"/>
      <c r="J166" s="353"/>
      <c r="K166" s="402"/>
      <c r="L166" s="254"/>
      <c r="M166" s="254"/>
      <c r="N166" s="238"/>
      <c r="O166" s="255"/>
      <c r="P166" s="255"/>
      <c r="Q166" s="255"/>
      <c r="R166" s="255"/>
    </row>
    <row r="167" spans="3:18" x14ac:dyDescent="0.25">
      <c r="C167" s="254"/>
      <c r="D167" s="254"/>
      <c r="E167" s="35"/>
      <c r="F167" s="254"/>
      <c r="G167" s="370"/>
      <c r="H167" s="254"/>
      <c r="I167" s="254"/>
      <c r="J167" s="353"/>
      <c r="K167" s="402"/>
      <c r="L167" s="254"/>
      <c r="M167" s="254"/>
      <c r="N167" s="238"/>
      <c r="O167" s="255"/>
      <c r="P167" s="255"/>
      <c r="Q167" s="255"/>
      <c r="R167" s="255"/>
    </row>
    <row r="168" spans="3:18" x14ac:dyDescent="0.25">
      <c r="C168" s="254"/>
      <c r="D168" s="254"/>
      <c r="E168" s="35"/>
      <c r="F168" s="254"/>
      <c r="G168" s="370"/>
      <c r="H168" s="254"/>
      <c r="I168" s="254"/>
      <c r="J168" s="353"/>
      <c r="K168" s="402"/>
      <c r="L168" s="254"/>
      <c r="M168" s="254"/>
      <c r="N168" s="238"/>
      <c r="O168" s="255"/>
      <c r="P168" s="255"/>
      <c r="Q168" s="255"/>
      <c r="R168" s="255"/>
    </row>
    <row r="169" spans="3:18" x14ac:dyDescent="0.25">
      <c r="C169" s="254"/>
      <c r="D169" s="254"/>
      <c r="E169" s="403"/>
      <c r="F169" s="254"/>
      <c r="G169" s="403"/>
      <c r="H169" s="403"/>
      <c r="I169" s="254"/>
      <c r="J169" s="353"/>
      <c r="K169" s="402"/>
      <c r="L169" s="254"/>
      <c r="M169" s="254"/>
      <c r="N169" s="238"/>
      <c r="O169" s="255"/>
      <c r="P169" s="255"/>
      <c r="Q169" s="255"/>
      <c r="R169" s="255"/>
    </row>
    <row r="170" spans="3:18" x14ac:dyDescent="0.25">
      <c r="C170" s="254"/>
      <c r="D170" s="254"/>
      <c r="E170" s="35"/>
      <c r="F170" s="254"/>
      <c r="G170" s="370"/>
      <c r="H170" s="404"/>
      <c r="I170" s="254"/>
      <c r="J170" s="353"/>
      <c r="K170" s="404"/>
      <c r="L170" s="254"/>
      <c r="M170" s="254"/>
      <c r="N170" s="238"/>
      <c r="O170" s="255"/>
      <c r="P170" s="255"/>
      <c r="Q170" s="255"/>
      <c r="R170" s="255"/>
    </row>
    <row r="171" spans="3:18" x14ac:dyDescent="0.25">
      <c r="C171" s="254"/>
      <c r="D171" s="254"/>
      <c r="E171" s="35"/>
      <c r="F171" s="254"/>
      <c r="G171" s="370"/>
      <c r="H171" s="404"/>
      <c r="I171" s="254"/>
      <c r="J171" s="353"/>
      <c r="K171" s="404"/>
      <c r="L171" s="254"/>
      <c r="M171" s="254"/>
      <c r="N171" s="238"/>
      <c r="O171" s="255"/>
      <c r="P171" s="255"/>
      <c r="Q171" s="255"/>
      <c r="R171" s="255"/>
    </row>
    <row r="172" spans="3:18" x14ac:dyDescent="0.25">
      <c r="C172" s="254"/>
      <c r="D172" s="254"/>
      <c r="E172" s="35"/>
      <c r="F172" s="254"/>
      <c r="G172" s="370"/>
      <c r="H172" s="404"/>
      <c r="I172" s="254"/>
      <c r="J172" s="353"/>
      <c r="K172" s="404"/>
      <c r="L172" s="254"/>
      <c r="M172" s="254"/>
      <c r="N172" s="238"/>
      <c r="O172" s="255"/>
      <c r="P172" s="255"/>
      <c r="Q172" s="255"/>
      <c r="R172" s="255"/>
    </row>
    <row r="173" spans="3:18" x14ac:dyDescent="0.25">
      <c r="C173" s="254"/>
      <c r="D173" s="254"/>
      <c r="E173" s="35"/>
      <c r="F173" s="254"/>
      <c r="G173" s="254"/>
      <c r="H173" s="254"/>
      <c r="I173" s="254"/>
      <c r="J173" s="353"/>
      <c r="K173" s="402"/>
      <c r="L173" s="254"/>
      <c r="M173" s="254"/>
      <c r="N173" s="238"/>
      <c r="O173" s="255"/>
      <c r="P173" s="255"/>
      <c r="Q173" s="255"/>
      <c r="R173" s="255"/>
    </row>
    <row r="174" spans="3:18" x14ac:dyDescent="0.25">
      <c r="C174" s="254"/>
      <c r="D174" s="254"/>
      <c r="E174" s="35"/>
      <c r="F174" s="254"/>
      <c r="G174" s="254"/>
      <c r="H174" s="254"/>
      <c r="I174" s="254"/>
      <c r="J174" s="353"/>
      <c r="K174" s="402"/>
      <c r="L174" s="254"/>
      <c r="M174" s="254"/>
      <c r="N174" s="238"/>
      <c r="O174" s="255"/>
      <c r="P174" s="255"/>
      <c r="Q174" s="255"/>
      <c r="R174" s="255"/>
    </row>
    <row r="175" spans="3:18" x14ac:dyDescent="0.25">
      <c r="C175" s="254"/>
      <c r="D175" s="254"/>
      <c r="E175" s="35"/>
      <c r="F175" s="254"/>
      <c r="G175" s="254"/>
      <c r="H175" s="254"/>
      <c r="I175" s="254"/>
      <c r="J175" s="353"/>
      <c r="K175" s="404"/>
      <c r="L175" s="254"/>
      <c r="M175" s="254"/>
      <c r="N175" s="238"/>
      <c r="O175" s="255"/>
      <c r="P175" s="255"/>
      <c r="Q175" s="255"/>
      <c r="R175" s="255"/>
    </row>
    <row r="176" spans="3:18" x14ac:dyDescent="0.25">
      <c r="C176" s="254"/>
      <c r="D176" s="254"/>
      <c r="E176" s="254"/>
      <c r="F176" s="254"/>
      <c r="G176" s="254"/>
      <c r="H176" s="254"/>
      <c r="I176" s="254"/>
      <c r="J176" s="254"/>
      <c r="K176" s="254"/>
      <c r="L176" s="254"/>
      <c r="M176" s="254"/>
      <c r="N176" s="400"/>
      <c r="O176" s="255"/>
      <c r="P176" s="255"/>
      <c r="Q176" s="255"/>
      <c r="R176" s="255"/>
    </row>
    <row r="177" spans="15:18" x14ac:dyDescent="0.25">
      <c r="O177" s="283"/>
      <c r="P177" s="283"/>
      <c r="Q177" s="283"/>
      <c r="R177" s="283"/>
    </row>
    <row r="178" spans="15:18" x14ac:dyDescent="0.25">
      <c r="O178" s="283"/>
      <c r="P178" s="283"/>
      <c r="Q178" s="283"/>
      <c r="R178" s="283"/>
    </row>
    <row r="179" spans="15:18" x14ac:dyDescent="0.25">
      <c r="O179" s="283"/>
      <c r="P179" s="283"/>
      <c r="Q179" s="283"/>
      <c r="R179" s="283"/>
    </row>
    <row r="180" spans="15:18" x14ac:dyDescent="0.25">
      <c r="O180" s="283"/>
      <c r="P180" s="283"/>
      <c r="Q180" s="283"/>
      <c r="R180" s="283"/>
    </row>
    <row r="181" spans="15:18" x14ac:dyDescent="0.25">
      <c r="O181" s="283"/>
      <c r="P181" s="283"/>
      <c r="Q181" s="283"/>
      <c r="R181" s="283"/>
    </row>
    <row r="182" spans="15:18" x14ac:dyDescent="0.25">
      <c r="O182" s="283"/>
      <c r="P182" s="283"/>
      <c r="Q182" s="283"/>
      <c r="R182" s="283"/>
    </row>
    <row r="183" spans="15:18" x14ac:dyDescent="0.25">
      <c r="O183" s="283"/>
      <c r="P183" s="283"/>
      <c r="Q183" s="283"/>
      <c r="R183" s="283"/>
    </row>
    <row r="184" spans="15:18" x14ac:dyDescent="0.25">
      <c r="O184" s="283"/>
      <c r="P184" s="283"/>
      <c r="Q184" s="283"/>
      <c r="R184" s="283"/>
    </row>
    <row r="185" spans="15:18" x14ac:dyDescent="0.25">
      <c r="O185" s="283"/>
      <c r="P185" s="283"/>
      <c r="Q185" s="283"/>
      <c r="R185" s="283"/>
    </row>
    <row r="186" spans="15:18" x14ac:dyDescent="0.25">
      <c r="O186" s="283"/>
      <c r="P186" s="283"/>
      <c r="Q186" s="283"/>
      <c r="R186" s="283"/>
    </row>
    <row r="187" spans="15:18" x14ac:dyDescent="0.25">
      <c r="O187" s="283"/>
      <c r="P187" s="283"/>
      <c r="Q187" s="283"/>
      <c r="R187" s="283"/>
    </row>
    <row r="188" spans="15:18" x14ac:dyDescent="0.25">
      <c r="O188" s="283"/>
      <c r="P188" s="283"/>
      <c r="Q188" s="283"/>
      <c r="R188" s="283"/>
    </row>
    <row r="189" spans="15:18" x14ac:dyDescent="0.25">
      <c r="O189" s="283"/>
      <c r="P189" s="283"/>
      <c r="Q189" s="283"/>
      <c r="R189" s="283"/>
    </row>
    <row r="190" spans="15:18" x14ac:dyDescent="0.25">
      <c r="O190" s="283"/>
      <c r="P190" s="283"/>
      <c r="Q190" s="283"/>
      <c r="R190" s="283"/>
    </row>
    <row r="191" spans="15:18" x14ac:dyDescent="0.25">
      <c r="O191" s="283"/>
      <c r="P191" s="283"/>
      <c r="Q191" s="283"/>
      <c r="R191" s="283"/>
    </row>
    <row r="192" spans="15:18" x14ac:dyDescent="0.25">
      <c r="O192" s="283"/>
      <c r="P192" s="283"/>
      <c r="Q192" s="283"/>
      <c r="R192" s="283"/>
    </row>
    <row r="193" spans="15:18" x14ac:dyDescent="0.25">
      <c r="O193" s="283"/>
      <c r="P193" s="283"/>
      <c r="Q193" s="283"/>
      <c r="R193" s="283"/>
    </row>
    <row r="194" spans="15:18" x14ac:dyDescent="0.25">
      <c r="O194" s="283"/>
      <c r="P194" s="283"/>
      <c r="Q194" s="283"/>
      <c r="R194" s="283"/>
    </row>
    <row r="195" spans="15:18" x14ac:dyDescent="0.25">
      <c r="O195" s="283"/>
      <c r="P195" s="283"/>
      <c r="Q195" s="283"/>
      <c r="R195" s="283"/>
    </row>
    <row r="196" spans="15:18" x14ac:dyDescent="0.25">
      <c r="O196" s="283"/>
      <c r="P196" s="283"/>
      <c r="Q196" s="283"/>
      <c r="R196" s="283"/>
    </row>
    <row r="197" spans="15:18" x14ac:dyDescent="0.25">
      <c r="O197" s="283"/>
      <c r="P197" s="283"/>
      <c r="Q197" s="283"/>
      <c r="R197" s="283"/>
    </row>
    <row r="198" spans="15:18" x14ac:dyDescent="0.25">
      <c r="O198" s="283"/>
      <c r="P198" s="283"/>
      <c r="Q198" s="283"/>
      <c r="R198" s="283"/>
    </row>
    <row r="199" spans="15:18" x14ac:dyDescent="0.25">
      <c r="O199" s="283"/>
      <c r="P199" s="283"/>
      <c r="Q199" s="283"/>
      <c r="R199" s="283"/>
    </row>
    <row r="200" spans="15:18" x14ac:dyDescent="0.25">
      <c r="O200" s="283"/>
      <c r="P200" s="283"/>
      <c r="Q200" s="283"/>
      <c r="R200" s="283"/>
    </row>
  </sheetData>
  <phoneticPr fontId="15" type="noConversion"/>
  <pageMargins left="0.39" right="0" top="0.45" bottom="0.3" header="0.25" footer="0.25"/>
  <pageSetup scale="42" fitToHeight="2" orientation="landscape" horizontalDpi="300" verticalDpi="300" r:id="rId1"/>
  <headerFooter alignWithMargins="0">
    <oddFooter>&amp;A&amp;RPage &amp;P</oddFooter>
  </headerFooter>
  <rowBreaks count="1" manualBreakCount="1">
    <brk id="51" max="16383" man="1"/>
  </rowBreaks>
  <colBreaks count="1" manualBreakCount="1">
    <brk id="18" max="1048575" man="1"/>
  </colBreaks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19">
    <tabColor rgb="FF00FF00"/>
  </sheetPr>
  <dimension ref="A1:CK4259"/>
  <sheetViews>
    <sheetView showGridLines="0" view="pageBreakPreview" zoomScale="90" zoomScaleNormal="100" zoomScaleSheetLayoutView="90" workbookViewId="0">
      <pane xSplit="3" ySplit="9" topLeftCell="D94" activePane="bottomRight" state="frozen"/>
      <selection activeCell="E28" sqref="E28"/>
      <selection pane="topRight" activeCell="E28" sqref="E28"/>
      <selection pane="bottomLeft" activeCell="E28" sqref="E28"/>
      <selection pane="bottomRight" activeCell="E28" sqref="E28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3" width="8.5703125" style="3" customWidth="1"/>
    <col min="4" max="20" width="10.5703125" style="3" customWidth="1"/>
    <col min="21" max="50" width="10.5703125" style="18" customWidth="1"/>
    <col min="51" max="64" width="10.5703125" style="3" customWidth="1"/>
    <col min="65" max="65" width="10.140625" style="3" bestFit="1" customWidth="1"/>
    <col min="66" max="90" width="10.5703125" style="3" customWidth="1"/>
    <col min="91" max="16384" width="12.5703125" style="3"/>
  </cols>
  <sheetData>
    <row r="1" spans="1:87" x14ac:dyDescent="0.2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</row>
    <row r="2" spans="1:87" x14ac:dyDescent="0.2">
      <c r="C2" s="2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520"/>
      <c r="T2" s="52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520"/>
      <c r="AG2" s="520"/>
      <c r="AH2" s="520"/>
      <c r="AI2" s="520"/>
      <c r="AJ2" s="520"/>
      <c r="AK2" s="520"/>
      <c r="AL2" s="520"/>
      <c r="AM2" s="520"/>
      <c r="AN2" s="520"/>
      <c r="AO2" s="520"/>
      <c r="AP2" s="520"/>
      <c r="AQ2" s="520"/>
      <c r="AR2" s="520"/>
      <c r="AS2" s="520"/>
      <c r="AT2" s="520"/>
      <c r="AU2" s="520"/>
      <c r="AV2" s="520"/>
      <c r="AW2" s="520"/>
      <c r="AX2" s="520"/>
      <c r="AY2" s="520"/>
      <c r="AZ2" s="520"/>
      <c r="BA2" s="520"/>
      <c r="BB2" s="520"/>
      <c r="BC2" s="520"/>
      <c r="BD2" s="520"/>
      <c r="BE2" s="520"/>
      <c r="BF2" s="520"/>
      <c r="BG2" s="520"/>
      <c r="BH2" s="520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</row>
    <row r="3" spans="1:87" s="2" customFormat="1" x14ac:dyDescent="0.2">
      <c r="A3" s="8"/>
      <c r="C3" s="147"/>
      <c r="D3" s="19"/>
      <c r="E3" s="19"/>
      <c r="F3" s="19"/>
      <c r="G3" s="19"/>
      <c r="H3" s="19"/>
      <c r="I3" s="19"/>
      <c r="J3" s="5" t="s">
        <v>93</v>
      </c>
      <c r="K3" s="19"/>
      <c r="L3" s="19"/>
      <c r="M3" s="19"/>
      <c r="N3" s="19"/>
      <c r="O3" s="19"/>
      <c r="P3" s="72"/>
      <c r="Q3" s="72"/>
      <c r="R3" s="20"/>
      <c r="S3" s="73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</row>
    <row r="4" spans="1:87" s="2" customFormat="1" x14ac:dyDescent="0.2">
      <c r="A4" s="8"/>
      <c r="B4" s="204"/>
      <c r="C4" s="20"/>
      <c r="D4" s="19"/>
      <c r="E4" s="19"/>
      <c r="F4" s="19"/>
      <c r="G4" s="19"/>
      <c r="H4" s="19"/>
      <c r="I4" s="19"/>
      <c r="J4" s="5" t="s">
        <v>225</v>
      </c>
      <c r="K4" s="19"/>
      <c r="L4" s="19"/>
      <c r="M4" s="19"/>
      <c r="N4" s="19"/>
      <c r="O4" s="19"/>
      <c r="P4" s="19"/>
      <c r="Q4" s="19"/>
      <c r="R4" s="20"/>
      <c r="S4" s="19"/>
      <c r="U4" s="17"/>
      <c r="V4" s="17"/>
      <c r="W4" s="17"/>
      <c r="X4" s="17"/>
      <c r="Y4" s="519"/>
      <c r="Z4" s="519"/>
      <c r="AA4" s="519"/>
      <c r="AB4" s="519"/>
      <c r="AC4" s="519"/>
      <c r="AD4" s="519"/>
      <c r="AE4" s="519"/>
      <c r="AF4" s="519"/>
      <c r="AG4" s="519"/>
      <c r="AH4" s="519"/>
      <c r="AI4" s="519"/>
      <c r="AJ4" s="519"/>
      <c r="AK4" s="86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</row>
    <row r="5" spans="1:87" s="2" customFormat="1" x14ac:dyDescent="0.2">
      <c r="A5" s="8"/>
      <c r="B5" s="19"/>
      <c r="C5" s="74"/>
      <c r="D5" s="19"/>
      <c r="E5" s="19"/>
      <c r="F5" s="19"/>
      <c r="G5" s="19"/>
      <c r="H5" s="19"/>
      <c r="I5" s="19"/>
      <c r="J5" s="5" t="str">
        <f>'Test Year Revenue Present'!G6</f>
        <v>TEST YEAR ENDING MAR, 31 2019</v>
      </c>
      <c r="K5" s="19"/>
      <c r="L5" s="19"/>
      <c r="M5" s="8"/>
      <c r="N5" s="19"/>
      <c r="O5" s="19"/>
      <c r="P5" s="19"/>
      <c r="Q5" s="19"/>
      <c r="R5" s="74"/>
      <c r="S5" s="19"/>
      <c r="U5" s="17"/>
      <c r="V5" s="17"/>
      <c r="W5" s="17"/>
      <c r="X5" s="17"/>
      <c r="Y5" s="23"/>
      <c r="Z5" s="17"/>
      <c r="AA5" s="23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</row>
    <row r="6" spans="1:87" s="2" customFormat="1" x14ac:dyDescent="0.2"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</row>
    <row r="7" spans="1:87" s="2" customFormat="1" x14ac:dyDescent="0.2">
      <c r="A7" s="8" t="s">
        <v>12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5"/>
      <c r="S7" s="5"/>
      <c r="T7" s="16"/>
      <c r="U7" s="16"/>
      <c r="V7" s="17"/>
      <c r="W7" s="16"/>
      <c r="X7" s="16"/>
      <c r="Y7" s="16"/>
      <c r="Z7" s="16"/>
      <c r="AA7" s="16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</row>
    <row r="8" spans="1:87" s="2" customFormat="1" x14ac:dyDescent="0.2">
      <c r="A8" s="9" t="s">
        <v>17</v>
      </c>
      <c r="B8" s="10" t="s">
        <v>27</v>
      </c>
      <c r="C8" s="11" t="s">
        <v>6</v>
      </c>
      <c r="D8" s="218">
        <f>WNA!C10</f>
        <v>42582</v>
      </c>
      <c r="E8" s="219">
        <f>WNA!D10</f>
        <v>42613</v>
      </c>
      <c r="F8" s="219">
        <f>WNA!E10</f>
        <v>42643</v>
      </c>
      <c r="G8" s="219">
        <f>WNA!F10</f>
        <v>42674</v>
      </c>
      <c r="H8" s="219">
        <f>WNA!G10</f>
        <v>42704</v>
      </c>
      <c r="I8" s="219">
        <f>WNA!H10</f>
        <v>42735</v>
      </c>
      <c r="J8" s="219">
        <f>WNA!I10</f>
        <v>42766</v>
      </c>
      <c r="K8" s="219">
        <f>WNA!J10</f>
        <v>42794</v>
      </c>
      <c r="L8" s="219">
        <f>WNA!K10</f>
        <v>42825</v>
      </c>
      <c r="M8" s="219">
        <f>WNA!L10</f>
        <v>42855</v>
      </c>
      <c r="N8" s="219">
        <f>WNA!M10</f>
        <v>42886</v>
      </c>
      <c r="O8" s="220">
        <f>WNA!N10</f>
        <v>42916</v>
      </c>
      <c r="P8" s="66">
        <f>WNA!O10</f>
        <v>42947</v>
      </c>
      <c r="Q8" s="66">
        <f>WNA!P10</f>
        <v>42978</v>
      </c>
      <c r="R8" s="66">
        <f>WNA!Q10</f>
        <v>43008</v>
      </c>
      <c r="S8" s="66">
        <f>WNA!R10</f>
        <v>43039</v>
      </c>
      <c r="T8" s="66">
        <f>WNA!S10</f>
        <v>43069</v>
      </c>
      <c r="U8" s="66">
        <f>WNA!T10</f>
        <v>43100</v>
      </c>
      <c r="V8" s="66">
        <f>WNA!U10</f>
        <v>43131</v>
      </c>
      <c r="W8" s="66">
        <f>WNA!V10</f>
        <v>43159</v>
      </c>
      <c r="X8" s="66">
        <f>WNA!W10</f>
        <v>43190</v>
      </c>
      <c r="Y8" s="218">
        <f>WNA!X10</f>
        <v>43220</v>
      </c>
      <c r="Z8" s="219">
        <f>WNA!Y10</f>
        <v>43251</v>
      </c>
      <c r="AA8" s="219">
        <f>WNA!Z10</f>
        <v>43281</v>
      </c>
      <c r="AB8" s="219">
        <f>WNA!AA10</f>
        <v>43312</v>
      </c>
      <c r="AC8" s="219">
        <f>WNA!AB10</f>
        <v>43343</v>
      </c>
      <c r="AD8" s="219">
        <f>WNA!AC10</f>
        <v>43373</v>
      </c>
      <c r="AE8" s="219">
        <f>WNA!AD10</f>
        <v>43404</v>
      </c>
      <c r="AF8" s="219">
        <f>WNA!AE10</f>
        <v>43434</v>
      </c>
      <c r="AG8" s="219">
        <f>WNA!AF10</f>
        <v>43465</v>
      </c>
      <c r="AH8" s="219">
        <f>WNA!AG10</f>
        <v>43496</v>
      </c>
      <c r="AI8" s="219">
        <f>WNA!AH10</f>
        <v>43524</v>
      </c>
      <c r="AJ8" s="220">
        <f>WNA!AI10</f>
        <v>43555</v>
      </c>
      <c r="AK8" s="66">
        <f>WNA!AJ10</f>
        <v>43585</v>
      </c>
      <c r="AL8" s="66">
        <f>WNA!AK10</f>
        <v>43616</v>
      </c>
      <c r="AM8" s="66">
        <f>WNA!AL10</f>
        <v>43646</v>
      </c>
      <c r="AN8" s="66">
        <f>WNA!AM10</f>
        <v>43677</v>
      </c>
      <c r="AO8" s="66">
        <f>WNA!AN10</f>
        <v>43708</v>
      </c>
      <c r="AP8" s="66">
        <f>WNA!AO10</f>
        <v>43738</v>
      </c>
      <c r="AQ8" s="66">
        <f>WNA!AP10</f>
        <v>43769</v>
      </c>
      <c r="AR8" s="66">
        <f>WNA!AQ10</f>
        <v>43799</v>
      </c>
      <c r="AS8" s="66">
        <f>WNA!AR10</f>
        <v>43830</v>
      </c>
      <c r="AT8" s="66">
        <f>WNA!AS10</f>
        <v>43861</v>
      </c>
      <c r="AU8" s="66">
        <f>WNA!AT10</f>
        <v>43890</v>
      </c>
      <c r="AV8" s="66">
        <f>WNA!AU10</f>
        <v>43921</v>
      </c>
      <c r="AW8" s="66">
        <f>WNA!AV10</f>
        <v>43951</v>
      </c>
      <c r="AX8" s="66">
        <f>WNA!AW10</f>
        <v>43982</v>
      </c>
      <c r="AY8" s="66">
        <f>WNA!AX10</f>
        <v>44012</v>
      </c>
      <c r="AZ8" s="66">
        <f>WNA!AY10</f>
        <v>44043</v>
      </c>
      <c r="BA8" s="66">
        <f>WNA!AZ10</f>
        <v>44074</v>
      </c>
      <c r="BB8" s="66">
        <f>WNA!BA10</f>
        <v>44104</v>
      </c>
      <c r="BC8" s="66">
        <f>WNA!BB10</f>
        <v>44135</v>
      </c>
      <c r="BD8" s="66">
        <f>WNA!BC10</f>
        <v>44165</v>
      </c>
      <c r="BE8" s="66">
        <f>WNA!BD10</f>
        <v>44196</v>
      </c>
      <c r="BF8" s="66">
        <f>WNA!BE10</f>
        <v>44227</v>
      </c>
      <c r="BG8" s="66">
        <f>WNA!BF10</f>
        <v>44255</v>
      </c>
      <c r="BH8" s="66">
        <f>WNA!BG10</f>
        <v>44286</v>
      </c>
      <c r="BI8" s="66">
        <f>WNA!BH10</f>
        <v>44316</v>
      </c>
      <c r="BJ8" s="66">
        <f>WNA!BI10</f>
        <v>44347</v>
      </c>
      <c r="BK8" s="66">
        <f>WNA!BJ10</f>
        <v>44377</v>
      </c>
      <c r="BL8" s="66">
        <f>WNA!BK10</f>
        <v>44408</v>
      </c>
      <c r="BM8" s="66">
        <f>WNA!BL10</f>
        <v>44439</v>
      </c>
      <c r="BN8" s="66">
        <f>WNA!BM10</f>
        <v>44469</v>
      </c>
      <c r="BO8" s="66">
        <f>WNA!BN10</f>
        <v>44500</v>
      </c>
      <c r="BP8" s="66">
        <f>WNA!BO10</f>
        <v>44530</v>
      </c>
      <c r="BQ8" s="66">
        <f>WNA!BP10</f>
        <v>44561</v>
      </c>
      <c r="BR8" s="66">
        <f>WNA!BQ10</f>
        <v>44592</v>
      </c>
      <c r="BS8" s="66">
        <f>WNA!BR10</f>
        <v>44620</v>
      </c>
      <c r="BT8" s="66">
        <f>WNA!BS10</f>
        <v>44651</v>
      </c>
      <c r="BU8" s="66">
        <f>WNA!BT10</f>
        <v>44681</v>
      </c>
      <c r="BV8" s="66">
        <f>WNA!BU10</f>
        <v>44712</v>
      </c>
      <c r="BW8" s="66">
        <f>WNA!BV10</f>
        <v>44742</v>
      </c>
      <c r="BX8" s="66">
        <f>WNA!BW10</f>
        <v>44773</v>
      </c>
      <c r="BY8" s="66">
        <f>WNA!BX10</f>
        <v>44804</v>
      </c>
      <c r="BZ8" s="66">
        <f>WNA!BY10</f>
        <v>44834</v>
      </c>
      <c r="CA8" s="66">
        <f>WNA!BZ10</f>
        <v>44865</v>
      </c>
      <c r="CB8" s="66">
        <f>WNA!CA10</f>
        <v>44895</v>
      </c>
      <c r="CC8" s="66">
        <f>WNA!CB10</f>
        <v>44926</v>
      </c>
      <c r="CD8" s="66">
        <f>WNA!CC10</f>
        <v>44957</v>
      </c>
      <c r="CE8" s="66">
        <f>WNA!CD10</f>
        <v>44985</v>
      </c>
      <c r="CF8" s="66">
        <f>WNA!CE10</f>
        <v>45016</v>
      </c>
      <c r="CG8" s="66">
        <f>WNA!CF10</f>
        <v>45046</v>
      </c>
      <c r="CH8" s="66">
        <f>WNA!CG10</f>
        <v>45077</v>
      </c>
      <c r="CI8" s="66">
        <f>WNA!CH10</f>
        <v>45107</v>
      </c>
    </row>
    <row r="9" spans="1:87" s="2" customFormat="1" x14ac:dyDescent="0.2">
      <c r="B9" s="82" t="s">
        <v>13</v>
      </c>
      <c r="C9" s="82" t="s">
        <v>14</v>
      </c>
      <c r="D9" s="5" t="s">
        <v>15</v>
      </c>
      <c r="E9" s="96" t="s">
        <v>16</v>
      </c>
      <c r="F9" s="97" t="s">
        <v>108</v>
      </c>
      <c r="G9" s="97" t="s">
        <v>109</v>
      </c>
      <c r="H9" s="97" t="s">
        <v>110</v>
      </c>
      <c r="I9" s="97" t="s">
        <v>111</v>
      </c>
      <c r="J9" s="97" t="s">
        <v>112</v>
      </c>
      <c r="K9" s="97" t="s">
        <v>113</v>
      </c>
      <c r="L9" s="97" t="s">
        <v>114</v>
      </c>
      <c r="M9" s="97" t="s">
        <v>115</v>
      </c>
      <c r="N9" s="97" t="s">
        <v>116</v>
      </c>
      <c r="O9" s="97" t="s">
        <v>234</v>
      </c>
      <c r="P9" s="97" t="s">
        <v>235</v>
      </c>
      <c r="Q9" s="97" t="s">
        <v>236</v>
      </c>
      <c r="R9" s="97" t="s">
        <v>237</v>
      </c>
      <c r="S9" s="97" t="s">
        <v>238</v>
      </c>
      <c r="T9" s="97" t="s">
        <v>239</v>
      </c>
      <c r="U9" s="97" t="s">
        <v>240</v>
      </c>
      <c r="V9" s="97" t="s">
        <v>241</v>
      </c>
      <c r="W9" s="97" t="s">
        <v>242</v>
      </c>
      <c r="X9" s="97" t="s">
        <v>243</v>
      </c>
      <c r="Y9" s="97" t="s">
        <v>244</v>
      </c>
      <c r="Z9" s="97" t="s">
        <v>245</v>
      </c>
      <c r="AA9" s="97" t="s">
        <v>246</v>
      </c>
      <c r="AB9" s="97" t="s">
        <v>247</v>
      </c>
      <c r="AC9" s="97" t="s">
        <v>248</v>
      </c>
      <c r="AD9" s="97" t="s">
        <v>249</v>
      </c>
      <c r="AE9" s="97" t="s">
        <v>250</v>
      </c>
      <c r="AF9" s="97" t="s">
        <v>251</v>
      </c>
      <c r="AG9" s="97" t="s">
        <v>252</v>
      </c>
      <c r="AH9" s="97" t="s">
        <v>253</v>
      </c>
      <c r="AI9" s="97" t="s">
        <v>254</v>
      </c>
      <c r="AJ9" s="97" t="s">
        <v>255</v>
      </c>
      <c r="AK9" s="97" t="s">
        <v>256</v>
      </c>
      <c r="AL9" s="97" t="s">
        <v>257</v>
      </c>
      <c r="AM9" s="97" t="s">
        <v>258</v>
      </c>
      <c r="AN9" s="97" t="s">
        <v>259</v>
      </c>
      <c r="AO9" s="97" t="s">
        <v>260</v>
      </c>
      <c r="AP9" s="97" t="s">
        <v>261</v>
      </c>
      <c r="AQ9" s="97" t="s">
        <v>262</v>
      </c>
      <c r="AR9" s="97" t="s">
        <v>263</v>
      </c>
      <c r="AS9" s="97" t="s">
        <v>264</v>
      </c>
      <c r="AT9" s="97" t="s">
        <v>265</v>
      </c>
      <c r="AU9" s="97" t="s">
        <v>266</v>
      </c>
      <c r="AV9" s="97" t="s">
        <v>267</v>
      </c>
      <c r="AW9" s="97" t="s">
        <v>268</v>
      </c>
      <c r="AX9" s="97" t="s">
        <v>269</v>
      </c>
      <c r="AY9" s="97" t="s">
        <v>270</v>
      </c>
      <c r="AZ9" s="97" t="s">
        <v>271</v>
      </c>
      <c r="BA9" s="97" t="s">
        <v>272</v>
      </c>
      <c r="BB9" s="97" t="s">
        <v>273</v>
      </c>
      <c r="BC9" s="97" t="s">
        <v>274</v>
      </c>
      <c r="BD9" s="97" t="s">
        <v>275</v>
      </c>
      <c r="BE9" s="97" t="s">
        <v>276</v>
      </c>
      <c r="BF9" s="97" t="s">
        <v>277</v>
      </c>
      <c r="BG9" s="97" t="s">
        <v>278</v>
      </c>
      <c r="BH9" s="97" t="s">
        <v>279</v>
      </c>
      <c r="BI9" s="97" t="s">
        <v>280</v>
      </c>
      <c r="BJ9" s="97" t="s">
        <v>281</v>
      </c>
      <c r="BK9" s="97" t="s">
        <v>282</v>
      </c>
      <c r="BL9" s="97" t="s">
        <v>298</v>
      </c>
      <c r="BM9" s="97" t="s">
        <v>299</v>
      </c>
      <c r="BN9" s="97" t="s">
        <v>300</v>
      </c>
      <c r="BO9" s="97" t="s">
        <v>301</v>
      </c>
      <c r="BP9" s="97" t="s">
        <v>302</v>
      </c>
      <c r="BQ9" s="97" t="s">
        <v>303</v>
      </c>
      <c r="BR9" s="97" t="s">
        <v>304</v>
      </c>
      <c r="BS9" s="97" t="s">
        <v>305</v>
      </c>
      <c r="BT9" s="97" t="s">
        <v>306</v>
      </c>
      <c r="BU9" s="97" t="s">
        <v>307</v>
      </c>
      <c r="BV9" s="97" t="s">
        <v>308</v>
      </c>
      <c r="BW9" s="97" t="s">
        <v>309</v>
      </c>
      <c r="BX9" s="97" t="s">
        <v>329</v>
      </c>
      <c r="BY9" s="97" t="s">
        <v>330</v>
      </c>
      <c r="BZ9" s="97" t="s">
        <v>331</v>
      </c>
      <c r="CA9" s="97" t="s">
        <v>332</v>
      </c>
      <c r="CB9" s="97" t="s">
        <v>333</v>
      </c>
      <c r="CC9" s="97" t="s">
        <v>334</v>
      </c>
      <c r="CD9" s="97" t="s">
        <v>335</v>
      </c>
      <c r="CE9" s="97" t="s">
        <v>336</v>
      </c>
      <c r="CF9" s="97" t="s">
        <v>337</v>
      </c>
      <c r="CG9" s="97" t="s">
        <v>338</v>
      </c>
      <c r="CH9" s="97" t="s">
        <v>339</v>
      </c>
      <c r="CI9" s="97" t="s">
        <v>340</v>
      </c>
    </row>
    <row r="10" spans="1:87" x14ac:dyDescent="0.2">
      <c r="C10" s="2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</row>
    <row r="11" spans="1:87" x14ac:dyDescent="0.2">
      <c r="A11" s="2">
        <v>1</v>
      </c>
      <c r="B11" s="36" t="s">
        <v>30</v>
      </c>
      <c r="C11" s="16"/>
      <c r="D11" s="103">
        <f>D12*$C$12+D13*$C$13+D14*$C$14+D15*$C$15</f>
        <v>3179349.2390000001</v>
      </c>
      <c r="E11" s="103">
        <f t="shared" ref="E11:BP11" si="0">E12*$C$12+E13*$C$13+E14*$C$14+E15*$C$15</f>
        <v>3197155.8391999998</v>
      </c>
      <c r="F11" s="103">
        <f t="shared" si="0"/>
        <v>3153784.2621399998</v>
      </c>
      <c r="G11" s="103">
        <f t="shared" si="0"/>
        <v>3425202.8516800003</v>
      </c>
      <c r="H11" s="103">
        <f t="shared" si="0"/>
        <v>4280032.4927399997</v>
      </c>
      <c r="I11" s="103">
        <f t="shared" si="0"/>
        <v>5336757.7687999997</v>
      </c>
      <c r="J11" s="103">
        <f t="shared" si="0"/>
        <v>5960711.1065400001</v>
      </c>
      <c r="K11" s="103">
        <f t="shared" si="0"/>
        <v>6104342.8980400003</v>
      </c>
      <c r="L11" s="103">
        <f t="shared" si="0"/>
        <v>5218396.8116199998</v>
      </c>
      <c r="M11" s="103">
        <f t="shared" si="0"/>
        <v>4344483.1354200002</v>
      </c>
      <c r="N11" s="103">
        <f t="shared" si="0"/>
        <v>3661833.72224</v>
      </c>
      <c r="O11" s="103">
        <f t="shared" si="0"/>
        <v>3298209.2801999999</v>
      </c>
      <c r="P11" s="103">
        <f t="shared" si="0"/>
        <v>3185525.029186693</v>
      </c>
      <c r="Q11" s="103">
        <f t="shared" si="0"/>
        <v>3203331.378584397</v>
      </c>
      <c r="R11" s="103">
        <f t="shared" si="0"/>
        <v>3159972.4329973506</v>
      </c>
      <c r="S11" s="103">
        <f t="shared" si="0"/>
        <v>3431909.6754546193</v>
      </c>
      <c r="T11" s="103">
        <f t="shared" si="0"/>
        <v>4288366.079186704</v>
      </c>
      <c r="U11" s="103">
        <f t="shared" si="0"/>
        <v>5346946.1833020635</v>
      </c>
      <c r="V11" s="103">
        <f t="shared" si="0"/>
        <v>5972015.1799781006</v>
      </c>
      <c r="W11" s="103">
        <f t="shared" si="0"/>
        <v>6115867.8950910997</v>
      </c>
      <c r="X11" s="103">
        <f t="shared" si="0"/>
        <v>5228240.0793018192</v>
      </c>
      <c r="Y11" s="103">
        <f t="shared" si="0"/>
        <v>4352793.4047424188</v>
      </c>
      <c r="Z11" s="103">
        <f t="shared" si="0"/>
        <v>3668731.4377885461</v>
      </c>
      <c r="AA11" s="103">
        <f t="shared" si="0"/>
        <v>3304515.973910789</v>
      </c>
      <c r="AB11" s="103">
        <f t="shared" si="0"/>
        <v>3191700.6416945672</v>
      </c>
      <c r="AC11" s="103">
        <f t="shared" si="0"/>
        <v>3209506.9910922712</v>
      </c>
      <c r="AD11" s="103">
        <f t="shared" si="0"/>
        <v>3166159.9646852249</v>
      </c>
      <c r="AE11" s="103">
        <f t="shared" si="0"/>
        <v>3438615.8985624933</v>
      </c>
      <c r="AF11" s="103">
        <f t="shared" si="0"/>
        <v>4296699.8020489784</v>
      </c>
      <c r="AG11" s="103">
        <f t="shared" si="0"/>
        <v>5357110.7311759368</v>
      </c>
      <c r="AH11" s="103">
        <f t="shared" si="0"/>
        <v>5983319.1790635744</v>
      </c>
      <c r="AI11" s="103">
        <f t="shared" si="0"/>
        <v>6127417.2551755738</v>
      </c>
      <c r="AJ11" s="103">
        <f t="shared" si="0"/>
        <v>5238059.1318722926</v>
      </c>
      <c r="AK11" s="103">
        <f t="shared" si="0"/>
        <v>4361103.7153898934</v>
      </c>
      <c r="AL11" s="103">
        <f t="shared" si="0"/>
        <v>3675652.9393884204</v>
      </c>
      <c r="AM11" s="103">
        <f t="shared" si="0"/>
        <v>3310822.7434186633</v>
      </c>
      <c r="AN11" s="103">
        <f t="shared" si="0"/>
        <v>3197876.2542024413</v>
      </c>
      <c r="AO11" s="103">
        <f t="shared" si="0"/>
        <v>3215682.6036001453</v>
      </c>
      <c r="AP11" s="103">
        <f t="shared" si="0"/>
        <v>3172347.4963730993</v>
      </c>
      <c r="AQ11" s="103">
        <f t="shared" si="0"/>
        <v>3445322.1216703672</v>
      </c>
      <c r="AR11" s="103">
        <f t="shared" si="0"/>
        <v>4305033.6169512523</v>
      </c>
      <c r="AS11" s="103">
        <f t="shared" si="0"/>
        <v>5367299.7294758111</v>
      </c>
      <c r="AT11" s="103">
        <f t="shared" si="0"/>
        <v>5994623.3622290492</v>
      </c>
      <c r="AU11" s="103">
        <f t="shared" si="0"/>
        <v>6138942.2732878476</v>
      </c>
      <c r="AV11" s="103">
        <f t="shared" si="0"/>
        <v>5247902.9338453673</v>
      </c>
      <c r="AW11" s="103">
        <f t="shared" si="0"/>
        <v>4369414.1180773675</v>
      </c>
      <c r="AX11" s="103">
        <f t="shared" si="0"/>
        <v>3682549.9614162948</v>
      </c>
      <c r="AY11" s="103">
        <f t="shared" si="0"/>
        <v>3317129.5129265375</v>
      </c>
      <c r="AZ11" s="103">
        <f t="shared" si="0"/>
        <v>3204051.8667103159</v>
      </c>
      <c r="BA11" s="103">
        <f t="shared" si="0"/>
        <v>3221858.2161080195</v>
      </c>
      <c r="BB11" s="103">
        <f t="shared" si="0"/>
        <v>3178535.0280609736</v>
      </c>
      <c r="BC11" s="103">
        <f t="shared" si="0"/>
        <v>3452028.3447782416</v>
      </c>
      <c r="BD11" s="103">
        <f t="shared" si="0"/>
        <v>4313367.5238935268</v>
      </c>
      <c r="BE11" s="103">
        <f t="shared" si="0"/>
        <v>5377488.9118556855</v>
      </c>
      <c r="BF11" s="103">
        <f t="shared" si="0"/>
        <v>6005952.2860533223</v>
      </c>
      <c r="BG11" s="103">
        <f t="shared" si="0"/>
        <v>6150467.4754801225</v>
      </c>
      <c r="BH11" s="103">
        <f t="shared" si="0"/>
        <v>5257722.216515841</v>
      </c>
      <c r="BI11" s="103">
        <f t="shared" si="0"/>
        <v>4377724.6128048413</v>
      </c>
      <c r="BJ11" s="103">
        <f t="shared" si="0"/>
        <v>3689446.9834441692</v>
      </c>
      <c r="BK11" s="103">
        <f t="shared" si="0"/>
        <v>3323436.2824344118</v>
      </c>
      <c r="BL11" s="103">
        <f t="shared" si="0"/>
        <v>3210227.4792181901</v>
      </c>
      <c r="BM11" s="103">
        <f t="shared" si="0"/>
        <v>3228033.8286158936</v>
      </c>
      <c r="BN11" s="103">
        <f t="shared" si="0"/>
        <v>3184722.5597488475</v>
      </c>
      <c r="BO11" s="103">
        <f t="shared" si="0"/>
        <v>3458758.3027011156</v>
      </c>
      <c r="BP11" s="103">
        <f t="shared" si="0"/>
        <v>4321701.5228758007</v>
      </c>
      <c r="BQ11" s="103">
        <f t="shared" ref="BQ11:CI11" si="1">BQ12*$C$12+BQ13*$C$13+BQ14*$C$14+BQ15*$C$15</f>
        <v>5387653.8278895598</v>
      </c>
      <c r="BR11" s="103">
        <f t="shared" si="1"/>
        <v>6017256.8833987974</v>
      </c>
      <c r="BS11" s="103">
        <f t="shared" si="1"/>
        <v>6161992.8617523964</v>
      </c>
      <c r="BT11" s="103">
        <f t="shared" si="1"/>
        <v>5267566.3406289155</v>
      </c>
      <c r="BU11" s="103">
        <f t="shared" si="1"/>
        <v>4386035.1995723154</v>
      </c>
      <c r="BV11" s="103">
        <f t="shared" si="1"/>
        <v>3696368.6691240431</v>
      </c>
      <c r="BW11" s="103">
        <f t="shared" si="1"/>
        <v>3329743.0519422861</v>
      </c>
      <c r="BX11" s="103">
        <f t="shared" si="1"/>
        <v>3216403.0917260642</v>
      </c>
      <c r="BY11" s="103">
        <f t="shared" si="1"/>
        <v>3234209.4411237678</v>
      </c>
      <c r="BZ11" s="103">
        <f t="shared" si="1"/>
        <v>3190910.0914367219</v>
      </c>
      <c r="CA11" s="103">
        <f t="shared" si="1"/>
        <v>3465464.5718289902</v>
      </c>
      <c r="CB11" s="103">
        <f t="shared" si="1"/>
        <v>4330035.6138980752</v>
      </c>
      <c r="CC11" s="103">
        <f t="shared" si="1"/>
        <v>5397843.332409434</v>
      </c>
      <c r="CD11" s="103">
        <f t="shared" si="1"/>
        <v>6028561.6648242716</v>
      </c>
      <c r="CE11" s="103">
        <f t="shared" si="1"/>
        <v>6173543.188256871</v>
      </c>
      <c r="CF11" s="103">
        <f t="shared" si="1"/>
        <v>5277410.6488219891</v>
      </c>
      <c r="CG11" s="103">
        <f t="shared" si="1"/>
        <v>4394345.8783797901</v>
      </c>
      <c r="CH11" s="103">
        <f t="shared" si="1"/>
        <v>3703265.7371719172</v>
      </c>
      <c r="CI11" s="103">
        <f t="shared" si="1"/>
        <v>3336049.8214501599</v>
      </c>
    </row>
    <row r="12" spans="1:87" x14ac:dyDescent="0.2">
      <c r="A12" s="2">
        <v>2</v>
      </c>
      <c r="B12" s="2" t="s">
        <v>23</v>
      </c>
      <c r="C12" s="12">
        <f>'Rate Design'!G12</f>
        <v>19.059999999999999</v>
      </c>
      <c r="D12" s="71">
        <f>'Bill Frequency'!C13</f>
        <v>154447</v>
      </c>
      <c r="E12" s="71">
        <f>'Bill Frequency'!D13</f>
        <v>155312</v>
      </c>
      <c r="F12" s="71">
        <f>'Bill Frequency'!E13</f>
        <v>152910</v>
      </c>
      <c r="G12" s="71">
        <f>'Bill Frequency'!F13</f>
        <v>153225</v>
      </c>
      <c r="H12" s="71">
        <f>'Bill Frequency'!G13</f>
        <v>154516</v>
      </c>
      <c r="I12" s="71">
        <f>'Bill Frequency'!H13</f>
        <v>157890</v>
      </c>
      <c r="J12" s="71">
        <f>'Bill Frequency'!I13</f>
        <v>158882</v>
      </c>
      <c r="K12" s="71">
        <f>'Bill Frequency'!J13</f>
        <v>159583</v>
      </c>
      <c r="L12" s="71">
        <f>'Bill Frequency'!K13</f>
        <v>159839</v>
      </c>
      <c r="M12" s="71">
        <f>'Bill Frequency'!L13</f>
        <v>157294</v>
      </c>
      <c r="N12" s="71">
        <f>'Bill Frequency'!M13</f>
        <v>159280</v>
      </c>
      <c r="O12" s="71">
        <f>'Bill Frequency'!N13</f>
        <v>156889</v>
      </c>
      <c r="P12" s="71">
        <f>WNA!O30</f>
        <v>154747</v>
      </c>
      <c r="Q12" s="71">
        <f>WNA!P30</f>
        <v>155612</v>
      </c>
      <c r="R12" s="71">
        <f>WNA!Q30</f>
        <v>153210</v>
      </c>
      <c r="S12" s="71">
        <f>WNA!R30</f>
        <v>153525</v>
      </c>
      <c r="T12" s="71">
        <f>WNA!S30</f>
        <v>154816</v>
      </c>
      <c r="U12" s="71">
        <f>WNA!T30</f>
        <v>158190</v>
      </c>
      <c r="V12" s="71">
        <f>WNA!U30</f>
        <v>159182</v>
      </c>
      <c r="W12" s="71">
        <f>WNA!V30</f>
        <v>159883</v>
      </c>
      <c r="X12" s="71">
        <f>WNA!W30</f>
        <v>160139</v>
      </c>
      <c r="Y12" s="71">
        <f>WNA!X30</f>
        <v>157594</v>
      </c>
      <c r="Z12" s="71">
        <f>WNA!Y30</f>
        <v>159580</v>
      </c>
      <c r="AA12" s="71">
        <f>WNA!Z30</f>
        <v>157189</v>
      </c>
      <c r="AB12" s="71">
        <f>WNA!AA30</f>
        <v>155047</v>
      </c>
      <c r="AC12" s="71">
        <f>WNA!AB30</f>
        <v>155912</v>
      </c>
      <c r="AD12" s="71">
        <f>WNA!AC30</f>
        <v>153510</v>
      </c>
      <c r="AE12" s="71">
        <f>WNA!AD30</f>
        <v>153825</v>
      </c>
      <c r="AF12" s="71">
        <f>WNA!AE30</f>
        <v>155116</v>
      </c>
      <c r="AG12" s="71">
        <f>WNA!AF30</f>
        <v>158490</v>
      </c>
      <c r="AH12" s="71">
        <f>WNA!AG30</f>
        <v>159482</v>
      </c>
      <c r="AI12" s="71">
        <f>WNA!AH30</f>
        <v>160183</v>
      </c>
      <c r="AJ12" s="71">
        <f>WNA!AI30</f>
        <v>160439</v>
      </c>
      <c r="AK12" s="71">
        <f>WNA!AJ30</f>
        <v>157894</v>
      </c>
      <c r="AL12" s="71">
        <f>WNA!AK30</f>
        <v>159880</v>
      </c>
      <c r="AM12" s="71">
        <f>WNA!AL30</f>
        <v>157489</v>
      </c>
      <c r="AN12" s="71">
        <f>WNA!AM30</f>
        <v>155347</v>
      </c>
      <c r="AO12" s="71">
        <f>WNA!AN30</f>
        <v>156212</v>
      </c>
      <c r="AP12" s="71">
        <f>WNA!AO30</f>
        <v>153810</v>
      </c>
      <c r="AQ12" s="71">
        <f>WNA!AP30</f>
        <v>154125</v>
      </c>
      <c r="AR12" s="71">
        <f>WNA!AQ30</f>
        <v>155416</v>
      </c>
      <c r="AS12" s="71">
        <f>WNA!AR30</f>
        <v>158790</v>
      </c>
      <c r="AT12" s="71">
        <f>WNA!AS30</f>
        <v>159782</v>
      </c>
      <c r="AU12" s="71">
        <f>WNA!AT30</f>
        <v>160483</v>
      </c>
      <c r="AV12" s="71">
        <f>WNA!AU30</f>
        <v>160739</v>
      </c>
      <c r="AW12" s="71">
        <f>WNA!AV30</f>
        <v>158194</v>
      </c>
      <c r="AX12" s="71">
        <f>WNA!AW30</f>
        <v>160180</v>
      </c>
      <c r="AY12" s="71">
        <f>WNA!AX30</f>
        <v>157789</v>
      </c>
      <c r="AZ12" s="71">
        <f>WNA!AY30</f>
        <v>155647</v>
      </c>
      <c r="BA12" s="71">
        <f>WNA!AZ30</f>
        <v>156512</v>
      </c>
      <c r="BB12" s="71">
        <f>WNA!BA30</f>
        <v>154110</v>
      </c>
      <c r="BC12" s="71">
        <f>WNA!BB30</f>
        <v>154425</v>
      </c>
      <c r="BD12" s="71">
        <f>WNA!BC30</f>
        <v>155716</v>
      </c>
      <c r="BE12" s="71">
        <f>WNA!BD30</f>
        <v>159090</v>
      </c>
      <c r="BF12" s="71">
        <f>WNA!BE30</f>
        <v>160082</v>
      </c>
      <c r="BG12" s="71">
        <f>WNA!BF30</f>
        <v>160783</v>
      </c>
      <c r="BH12" s="71">
        <f>WNA!BG30</f>
        <v>161039</v>
      </c>
      <c r="BI12" s="71">
        <f>WNA!BH30</f>
        <v>158494</v>
      </c>
      <c r="BJ12" s="71">
        <f>WNA!BI30</f>
        <v>160480</v>
      </c>
      <c r="BK12" s="71">
        <f>WNA!BJ30</f>
        <v>158089</v>
      </c>
      <c r="BL12" s="71">
        <f>WNA!BK30</f>
        <v>155947</v>
      </c>
      <c r="BM12" s="71">
        <f>WNA!BL30</f>
        <v>156812</v>
      </c>
      <c r="BN12" s="71">
        <f>WNA!BM30</f>
        <v>154410</v>
      </c>
      <c r="BO12" s="71">
        <f>WNA!BN30</f>
        <v>154725</v>
      </c>
      <c r="BP12" s="71">
        <f>WNA!BO30</f>
        <v>156016</v>
      </c>
      <c r="BQ12" s="71">
        <f>WNA!BP30</f>
        <v>159390</v>
      </c>
      <c r="BR12" s="71">
        <f>WNA!BQ30</f>
        <v>160382</v>
      </c>
      <c r="BS12" s="71">
        <f>WNA!BR30</f>
        <v>161083</v>
      </c>
      <c r="BT12" s="71">
        <f>WNA!BS30</f>
        <v>161339</v>
      </c>
      <c r="BU12" s="71">
        <f>WNA!BT30</f>
        <v>158794</v>
      </c>
      <c r="BV12" s="71">
        <f>WNA!BU30</f>
        <v>160780</v>
      </c>
      <c r="BW12" s="71">
        <f>WNA!BV30</f>
        <v>158389</v>
      </c>
      <c r="BX12" s="71">
        <f>WNA!BW30</f>
        <v>156247</v>
      </c>
      <c r="BY12" s="71">
        <f>WNA!BX30</f>
        <v>157112</v>
      </c>
      <c r="BZ12" s="71">
        <f>WNA!BY30</f>
        <v>154710</v>
      </c>
      <c r="CA12" s="71">
        <f>WNA!BZ30</f>
        <v>155025</v>
      </c>
      <c r="CB12" s="71">
        <f>WNA!CA30</f>
        <v>156316</v>
      </c>
      <c r="CC12" s="71">
        <f>WNA!CB30</f>
        <v>159690</v>
      </c>
      <c r="CD12" s="71">
        <f>WNA!CC30</f>
        <v>160682</v>
      </c>
      <c r="CE12" s="71">
        <f>WNA!CD30</f>
        <v>161383</v>
      </c>
      <c r="CF12" s="71">
        <f>WNA!CE30</f>
        <v>161639</v>
      </c>
      <c r="CG12" s="71">
        <f>WNA!CF30</f>
        <v>159094</v>
      </c>
      <c r="CH12" s="71">
        <f>WNA!CG30</f>
        <v>161080</v>
      </c>
      <c r="CI12" s="71">
        <f>WNA!CH30</f>
        <v>158689</v>
      </c>
    </row>
    <row r="13" spans="1:87" x14ac:dyDescent="0.2">
      <c r="A13" s="2">
        <v>3</v>
      </c>
      <c r="B13" s="2" t="s">
        <v>24</v>
      </c>
      <c r="C13" s="15">
        <f>'Rate Design'!G19</f>
        <v>1.534</v>
      </c>
      <c r="D13" s="71">
        <f>'Bill Frequency'!C14+WNA!C38+'Contract &amp; Vol Adj'!C14</f>
        <v>153578.5</v>
      </c>
      <c r="E13" s="71">
        <f>'Bill Frequency'!D14+WNA!D38+'Contract &amp; Vol Adj'!D14</f>
        <v>154438.80000000002</v>
      </c>
      <c r="F13" s="71">
        <f>'Bill Frequency'!E14+WNA!E38+'Contract &amp; Vol Adj'!E14</f>
        <v>156010.21000000002</v>
      </c>
      <c r="G13" s="71">
        <f>'Bill Frequency'!F14+WNA!F38+'Contract &amp; Vol Adj'!F14</f>
        <v>329031.52000000008</v>
      </c>
      <c r="H13" s="71">
        <f>'Bill Frequency'!G14+WNA!G38+'Contract &amp; Vol Adj'!G14</f>
        <v>870246.1100000001</v>
      </c>
      <c r="I13" s="71">
        <f>'Bill Frequency'!H14+WNA!H38+'Contract &amp; Vol Adj'!H14</f>
        <v>1517193.2</v>
      </c>
      <c r="J13" s="71">
        <f>'Bill Frequency'!I14+WNA!I38+'Contract &amp; Vol Adj'!I14</f>
        <v>1911616.81</v>
      </c>
      <c r="K13" s="71">
        <f>'Bill Frequency'!J14+WNA!J38+'Contract &amp; Vol Adj'!J14</f>
        <v>1996539.06</v>
      </c>
      <c r="L13" s="71">
        <f>'Bill Frequency'!K14+WNA!K38+'Contract &amp; Vol Adj'!K14</f>
        <v>1415818.43</v>
      </c>
      <c r="M13" s="71">
        <f>'Bill Frequency'!L14+WNA!L38+'Contract &amp; Vol Adj'!L14</f>
        <v>877744.13</v>
      </c>
      <c r="N13" s="71">
        <f>'Bill Frequency'!M14+WNA!M38+'Contract &amp; Vol Adj'!M14</f>
        <v>408055.36</v>
      </c>
      <c r="O13" s="71">
        <f>'Bill Frequency'!N14+WNA!N38+'Contract &amp; Vol Adj'!N14</f>
        <v>200720.30000000002</v>
      </c>
      <c r="P13" s="71">
        <f>WNA!O31</f>
        <v>153876.92906564099</v>
      </c>
      <c r="Q13" s="71">
        <f>WNA!P31</f>
        <v>154737.06557001124</v>
      </c>
      <c r="R13" s="71">
        <f>WNA!Q31</f>
        <v>156316.70990700857</v>
      </c>
      <c r="S13" s="71">
        <f>WNA!R31</f>
        <v>329676.12480744399</v>
      </c>
      <c r="T13" s="71">
        <f>WNA!S31</f>
        <v>871951.18591049837</v>
      </c>
      <c r="U13" s="71">
        <f>WNA!T31</f>
        <v>1520107.4206662732</v>
      </c>
      <c r="V13" s="71">
        <f>WNA!U31</f>
        <v>1915258.3181082793</v>
      </c>
      <c r="W13" s="71">
        <f>WNA!V31</f>
        <v>2000324.5861089306</v>
      </c>
      <c r="X13" s="71">
        <f>WNA!W31</f>
        <v>1418507.6527391258</v>
      </c>
      <c r="Y13" s="71">
        <f>WNA!X31</f>
        <v>879434.00569909997</v>
      </c>
      <c r="Z13" s="71">
        <f>WNA!Y31</f>
        <v>408824.40533803555</v>
      </c>
      <c r="AA13" s="71">
        <f>WNA!Z31</f>
        <v>201104.06382711162</v>
      </c>
      <c r="AB13" s="71">
        <f>WNA!AA31</f>
        <v>154175.24230415092</v>
      </c>
      <c r="AC13" s="71">
        <f>WNA!AB31</f>
        <v>155035.37880852114</v>
      </c>
      <c r="AD13" s="71">
        <f>WNA!AC31</f>
        <v>156622.79314551849</v>
      </c>
      <c r="AE13" s="71">
        <f>WNA!AD31</f>
        <v>330320.33804595389</v>
      </c>
      <c r="AF13" s="71">
        <f>WNA!AE31</f>
        <v>873656.35074900824</v>
      </c>
      <c r="AG13" s="71">
        <f>WNA!AF31</f>
        <v>1523006.0829047831</v>
      </c>
      <c r="AH13" s="71">
        <f>WNA!AG31</f>
        <v>1918899.7777467889</v>
      </c>
      <c r="AI13" s="71">
        <f>WNA!AH31</f>
        <v>2004125.9942474405</v>
      </c>
      <c r="AJ13" s="71">
        <f>WNA!AI31</f>
        <v>1421181.0898776357</v>
      </c>
      <c r="AK13" s="71">
        <f>WNA!AJ31</f>
        <v>881123.90833760984</v>
      </c>
      <c r="AL13" s="71">
        <f>WNA!AK31</f>
        <v>409608.95657654549</v>
      </c>
      <c r="AM13" s="71">
        <f>WNA!AL31</f>
        <v>201487.87706562155</v>
      </c>
      <c r="AN13" s="71">
        <f>WNA!AM31</f>
        <v>154473.55554266082</v>
      </c>
      <c r="AO13" s="71">
        <f>WNA!AN31</f>
        <v>155333.69204703104</v>
      </c>
      <c r="AP13" s="71">
        <f>WNA!AO31</f>
        <v>156928.87638402838</v>
      </c>
      <c r="AQ13" s="71">
        <f>WNA!AP31</f>
        <v>330964.55128446379</v>
      </c>
      <c r="AR13" s="71">
        <f>WNA!AQ31</f>
        <v>875361.57558751805</v>
      </c>
      <c r="AS13" s="71">
        <f>WNA!AR31</f>
        <v>1525920.684143293</v>
      </c>
      <c r="AT13" s="71">
        <f>WNA!AS31</f>
        <v>1922541.3573852992</v>
      </c>
      <c r="AU13" s="71">
        <f>WNA!AT31</f>
        <v>2007911.5340859506</v>
      </c>
      <c r="AV13" s="71">
        <f>WNA!AU31</f>
        <v>1423870.6609161454</v>
      </c>
      <c r="AW13" s="71">
        <f>WNA!AV31</f>
        <v>882813.87097611977</v>
      </c>
      <c r="AX13" s="71">
        <f>WNA!AW31</f>
        <v>410377.54981505539</v>
      </c>
      <c r="AY13" s="71">
        <f>WNA!AX31</f>
        <v>201871.69030413145</v>
      </c>
      <c r="AZ13" s="71">
        <f>WNA!AY31</f>
        <v>154771.86878117072</v>
      </c>
      <c r="BA13" s="71">
        <f>WNA!AZ31</f>
        <v>155632.00528554094</v>
      </c>
      <c r="BB13" s="71">
        <f>WNA!BA31</f>
        <v>157234.9596225383</v>
      </c>
      <c r="BC13" s="71">
        <f>WNA!BB31</f>
        <v>331608.76452297368</v>
      </c>
      <c r="BD13" s="71">
        <f>WNA!BC31</f>
        <v>877066.86042602791</v>
      </c>
      <c r="BE13" s="71">
        <f>WNA!BD31</f>
        <v>1528835.4053818029</v>
      </c>
      <c r="BF13" s="71">
        <f>WNA!BE31</f>
        <v>1926199.0652238089</v>
      </c>
      <c r="BG13" s="71">
        <f>WNA!BF31</f>
        <v>2011697.1939244603</v>
      </c>
      <c r="BH13" s="71">
        <f>WNA!BG31</f>
        <v>1426544.2480546553</v>
      </c>
      <c r="BI13" s="71">
        <f>WNA!BH31</f>
        <v>884503.89361462963</v>
      </c>
      <c r="BJ13" s="71">
        <f>WNA!BI31</f>
        <v>411146.14305356529</v>
      </c>
      <c r="BK13" s="71">
        <f>WNA!BJ31</f>
        <v>202255.50354264135</v>
      </c>
      <c r="BL13" s="71">
        <f>WNA!BK31</f>
        <v>155070.18201968062</v>
      </c>
      <c r="BM13" s="71">
        <f>WNA!BL31</f>
        <v>155930.31852405085</v>
      </c>
      <c r="BN13" s="71">
        <f>WNA!BM31</f>
        <v>157541.04286104819</v>
      </c>
      <c r="BO13" s="71">
        <f>WNA!BN31</f>
        <v>332268.45026148361</v>
      </c>
      <c r="BP13" s="71">
        <f>WNA!BO31</f>
        <v>878772.20526453794</v>
      </c>
      <c r="BQ13" s="71">
        <f>WNA!BP31</f>
        <v>1531734.3076203128</v>
      </c>
      <c r="BR13" s="71">
        <f>WNA!BQ31</f>
        <v>1929840.9148623187</v>
      </c>
      <c r="BS13" s="71">
        <f>WNA!BR31</f>
        <v>2015482.9737629702</v>
      </c>
      <c r="BT13" s="71">
        <f>WNA!BS31</f>
        <v>1429234.0290931654</v>
      </c>
      <c r="BU13" s="71">
        <f>WNA!BT31</f>
        <v>886193.97625313967</v>
      </c>
      <c r="BV13" s="71">
        <f>WNA!BU31</f>
        <v>411930.81429207523</v>
      </c>
      <c r="BW13" s="71">
        <f>WNA!BV31</f>
        <v>202639.31678115125</v>
      </c>
      <c r="BX13" s="71">
        <f>WNA!BW31</f>
        <v>155368.49525819052</v>
      </c>
      <c r="BY13" s="71">
        <f>WNA!BX31</f>
        <v>156228.63176256075</v>
      </c>
      <c r="BZ13" s="71">
        <f>WNA!BY31</f>
        <v>157847.12609955811</v>
      </c>
      <c r="CA13" s="71">
        <f>WNA!BZ31</f>
        <v>332912.69349999353</v>
      </c>
      <c r="CB13" s="71">
        <f>WNA!CA31</f>
        <v>880477.6101030478</v>
      </c>
      <c r="CC13" s="71">
        <f>WNA!CB31</f>
        <v>1534649.2388588227</v>
      </c>
      <c r="CD13" s="71">
        <f>WNA!CC31</f>
        <v>1933482.8845008288</v>
      </c>
      <c r="CE13" s="71">
        <f>WNA!CD31</f>
        <v>2019285.0119014804</v>
      </c>
      <c r="CF13" s="71">
        <f>WNA!CE31</f>
        <v>1431923.9301316752</v>
      </c>
      <c r="CG13" s="71">
        <f>WNA!CF31</f>
        <v>887884.11889164953</v>
      </c>
      <c r="CH13" s="71">
        <f>WNA!CG31</f>
        <v>412699.43753058516</v>
      </c>
      <c r="CI13" s="71">
        <f>WNA!CH31</f>
        <v>203023.13001966116</v>
      </c>
    </row>
    <row r="14" spans="1:87" x14ac:dyDescent="0.2">
      <c r="A14" s="2">
        <v>4</v>
      </c>
      <c r="B14" s="2" t="s">
        <v>25</v>
      </c>
      <c r="C14" s="15">
        <f>'Rate Design'!G20</f>
        <v>0.95</v>
      </c>
      <c r="D14" s="71">
        <f>'Bill Frequency'!C15+WNA!C39+'Contract &amp; Vol Adj'!C15</f>
        <v>0</v>
      </c>
      <c r="E14" s="71">
        <f>'Bill Frequency'!D15+WNA!D39+'Contract &amp; Vol Adj'!D15</f>
        <v>0</v>
      </c>
      <c r="F14" s="71">
        <f>'Bill Frequency'!E15+WNA!E39+'Contract &amp; Vol Adj'!E15</f>
        <v>0</v>
      </c>
      <c r="G14" s="71">
        <f>'Bill Frequency'!F15+WNA!F39+'Contract &amp; Vol Adj'!F15</f>
        <v>0</v>
      </c>
      <c r="H14" s="71">
        <f>'Bill Frequency'!G15+WNA!G39+'Contract &amp; Vol Adj'!G15</f>
        <v>0</v>
      </c>
      <c r="I14" s="71">
        <f>'Bill Frequency'!H15+WNA!H39+'Contract &amp; Vol Adj'!H15</f>
        <v>0</v>
      </c>
      <c r="J14" s="71">
        <f>'Bill Frequency'!I15+WNA!I39+'Contract &amp; Vol Adj'!I15</f>
        <v>0</v>
      </c>
      <c r="K14" s="71">
        <f>'Bill Frequency'!J15+WNA!J39+'Contract &amp; Vol Adj'!J15</f>
        <v>0</v>
      </c>
      <c r="L14" s="71">
        <f>'Bill Frequency'!K15+WNA!K39+'Contract &amp; Vol Adj'!K15</f>
        <v>0</v>
      </c>
      <c r="M14" s="71">
        <f>'Bill Frequency'!L15+WNA!L39+'Contract &amp; Vol Adj'!L15</f>
        <v>0</v>
      </c>
      <c r="N14" s="71">
        <f>'Bill Frequency'!M15+WNA!M39+'Contract &amp; Vol Adj'!M15</f>
        <v>0</v>
      </c>
      <c r="O14" s="71">
        <f>'Bill Frequency'!N15+WNA!N39+'Contract &amp; Vol Adj'!N15</f>
        <v>0</v>
      </c>
      <c r="P14" s="71">
        <f>D14+WNA!O39</f>
        <v>0</v>
      </c>
      <c r="Q14" s="71">
        <f>E14+WNA!P39</f>
        <v>0</v>
      </c>
      <c r="R14" s="71">
        <f>F14+WNA!Q39</f>
        <v>0</v>
      </c>
      <c r="S14" s="71">
        <f>G14+WNA!R39</f>
        <v>0</v>
      </c>
      <c r="T14" s="71">
        <f>H14+WNA!S39</f>
        <v>0</v>
      </c>
      <c r="U14" s="71">
        <f>I14+WNA!T39</f>
        <v>0</v>
      </c>
      <c r="V14" s="71">
        <f>J14+WNA!U39</f>
        <v>0</v>
      </c>
      <c r="W14" s="71">
        <f>K14+WNA!V39</f>
        <v>0</v>
      </c>
      <c r="X14" s="71">
        <f>L14+WNA!W39</f>
        <v>0</v>
      </c>
      <c r="Y14" s="71">
        <f>M14+WNA!X39</f>
        <v>0</v>
      </c>
      <c r="Z14" s="71">
        <f>N14+WNA!Y39</f>
        <v>0</v>
      </c>
      <c r="AA14" s="71">
        <f>O14+WNA!Z39</f>
        <v>0</v>
      </c>
      <c r="AB14" s="71">
        <f>P14+WNA!AA39</f>
        <v>0</v>
      </c>
      <c r="AC14" s="71">
        <f>Q14+WNA!AB39</f>
        <v>0</v>
      </c>
      <c r="AD14" s="71">
        <f>R14+WNA!AC39</f>
        <v>0</v>
      </c>
      <c r="AE14" s="71">
        <f>S14+WNA!AD39</f>
        <v>0</v>
      </c>
      <c r="AF14" s="71">
        <f>T14+WNA!AE39</f>
        <v>0</v>
      </c>
      <c r="AG14" s="71">
        <f>U14+WNA!AF39</f>
        <v>0</v>
      </c>
      <c r="AH14" s="71">
        <f>V14+WNA!AG39</f>
        <v>0</v>
      </c>
      <c r="AI14" s="71">
        <f>W14+WNA!AH39</f>
        <v>0</v>
      </c>
      <c r="AJ14" s="71">
        <f>X14+WNA!AI39</f>
        <v>0</v>
      </c>
      <c r="AK14" s="71">
        <f>Y14+WNA!AJ39</f>
        <v>0</v>
      </c>
      <c r="AL14" s="71">
        <f>Z14+WNA!AK39</f>
        <v>0</v>
      </c>
      <c r="AM14" s="71">
        <f>AA14+WNA!AL39</f>
        <v>0</v>
      </c>
      <c r="AN14" s="71">
        <f>AB14+WNA!AM39</f>
        <v>0</v>
      </c>
      <c r="AO14" s="71">
        <f>AC14+WNA!AN39</f>
        <v>0</v>
      </c>
      <c r="AP14" s="71">
        <f>AD14+WNA!AO39</f>
        <v>0</v>
      </c>
      <c r="AQ14" s="71">
        <f>AE14+WNA!AP39</f>
        <v>0</v>
      </c>
      <c r="AR14" s="71">
        <f>AF14+WNA!AQ39</f>
        <v>0</v>
      </c>
      <c r="AS14" s="71">
        <f>AG14+WNA!AR39</f>
        <v>0</v>
      </c>
      <c r="AT14" s="71">
        <f>AH14+WNA!AS39</f>
        <v>0</v>
      </c>
      <c r="AU14" s="71">
        <f>AI14+WNA!AT39</f>
        <v>0</v>
      </c>
      <c r="AV14" s="71">
        <f>AJ14+WNA!AU39</f>
        <v>0</v>
      </c>
      <c r="AW14" s="71">
        <f>AK14+WNA!AV39</f>
        <v>0</v>
      </c>
      <c r="AX14" s="71">
        <f>AL14+WNA!AW39</f>
        <v>0</v>
      </c>
      <c r="AY14" s="71">
        <f>AM14+WNA!AX39</f>
        <v>0</v>
      </c>
      <c r="AZ14" s="71">
        <f>AN14+WNA!AY39</f>
        <v>0</v>
      </c>
      <c r="BA14" s="71">
        <f>AO14+WNA!AZ39</f>
        <v>0</v>
      </c>
      <c r="BB14" s="71">
        <f>AP14+WNA!BA39</f>
        <v>0</v>
      </c>
      <c r="BC14" s="71">
        <f>AQ14+WNA!BB39</f>
        <v>0</v>
      </c>
      <c r="BD14" s="71">
        <f>AR14+WNA!BC39</f>
        <v>0</v>
      </c>
      <c r="BE14" s="71">
        <f>AS14+WNA!BD39</f>
        <v>0</v>
      </c>
      <c r="BF14" s="71">
        <f>AT14+WNA!BE39</f>
        <v>0</v>
      </c>
      <c r="BG14" s="71">
        <f>AU14+WNA!BF39</f>
        <v>0</v>
      </c>
      <c r="BH14" s="71">
        <f>AV14+WNA!BG39</f>
        <v>0</v>
      </c>
      <c r="BI14" s="71">
        <f>AW14+WNA!BH39</f>
        <v>0</v>
      </c>
      <c r="BJ14" s="71">
        <f>AX14+WNA!BI39</f>
        <v>0</v>
      </c>
      <c r="BK14" s="71">
        <f>AY14+WNA!BJ39</f>
        <v>0</v>
      </c>
      <c r="BL14" s="71">
        <f>AZ14+WNA!BK39</f>
        <v>0</v>
      </c>
      <c r="BM14" s="71">
        <f>BA14+WNA!BL39</f>
        <v>0</v>
      </c>
      <c r="BN14" s="71">
        <f>BB14+WNA!BM39</f>
        <v>0</v>
      </c>
      <c r="BO14" s="71">
        <f>BC14+WNA!BN39</f>
        <v>0</v>
      </c>
      <c r="BP14" s="71">
        <f>BD14+WNA!BO39</f>
        <v>0</v>
      </c>
      <c r="BQ14" s="71">
        <f>BE14+WNA!BP39</f>
        <v>0</v>
      </c>
      <c r="BR14" s="71">
        <f>BF14+WNA!BQ39</f>
        <v>0</v>
      </c>
      <c r="BS14" s="71">
        <f>BG14+WNA!BR39</f>
        <v>0</v>
      </c>
      <c r="BT14" s="71">
        <f>BH14+WNA!BS39</f>
        <v>0</v>
      </c>
      <c r="BU14" s="71">
        <f>BI14+WNA!BT39</f>
        <v>0</v>
      </c>
      <c r="BV14" s="71">
        <f>BJ14+WNA!BU39</f>
        <v>0</v>
      </c>
      <c r="BW14" s="71">
        <f>BK14+WNA!BV39</f>
        <v>0</v>
      </c>
      <c r="BX14" s="71">
        <f>BL14+WNA!BW39</f>
        <v>0</v>
      </c>
      <c r="BY14" s="71">
        <f>BM14+WNA!BX39</f>
        <v>0</v>
      </c>
      <c r="BZ14" s="71">
        <f>BN14+WNA!BY39</f>
        <v>0</v>
      </c>
      <c r="CA14" s="71">
        <f>BO14+WNA!BZ39</f>
        <v>0</v>
      </c>
      <c r="CB14" s="71">
        <f>BP14+WNA!CA39</f>
        <v>0</v>
      </c>
      <c r="CC14" s="71">
        <f>BQ14+WNA!CB39</f>
        <v>0</v>
      </c>
      <c r="CD14" s="71">
        <f>BR14+WNA!CC39</f>
        <v>0</v>
      </c>
      <c r="CE14" s="71">
        <f>BS14+WNA!CD39</f>
        <v>0</v>
      </c>
      <c r="CF14" s="71">
        <f>BT14+WNA!CE39</f>
        <v>0</v>
      </c>
      <c r="CG14" s="71">
        <f>BU14+WNA!CF39</f>
        <v>0</v>
      </c>
      <c r="CH14" s="71">
        <f>BV14+WNA!CG39</f>
        <v>0</v>
      </c>
      <c r="CI14" s="71">
        <f>BW14+WNA!CH39</f>
        <v>0</v>
      </c>
    </row>
    <row r="15" spans="1:87" x14ac:dyDescent="0.2">
      <c r="A15" s="2">
        <v>5</v>
      </c>
      <c r="B15" s="2" t="s">
        <v>81</v>
      </c>
      <c r="C15" s="15">
        <f>'Rate Design'!G21</f>
        <v>0.74</v>
      </c>
      <c r="D15" s="71">
        <f>'Bill Frequency'!C16+WNA!C40+'Contract &amp; Vol Adj'!C16</f>
        <v>0</v>
      </c>
      <c r="E15" s="71">
        <f>'Bill Frequency'!D16+WNA!D40+'Contract &amp; Vol Adj'!D16</f>
        <v>0</v>
      </c>
      <c r="F15" s="71">
        <f>'Bill Frequency'!E16+WNA!E40+'Contract &amp; Vol Adj'!E16</f>
        <v>0</v>
      </c>
      <c r="G15" s="71">
        <f>'Bill Frequency'!F16+WNA!F40+'Contract &amp; Vol Adj'!F16</f>
        <v>0</v>
      </c>
      <c r="H15" s="71">
        <f>'Bill Frequency'!G16+WNA!G40+'Contract &amp; Vol Adj'!G16</f>
        <v>0</v>
      </c>
      <c r="I15" s="71">
        <f>'Bill Frequency'!H16+WNA!H40+'Contract &amp; Vol Adj'!H16</f>
        <v>0</v>
      </c>
      <c r="J15" s="71">
        <f>'Bill Frequency'!I16+WNA!I40+'Contract &amp; Vol Adj'!I16</f>
        <v>0</v>
      </c>
      <c r="K15" s="71">
        <f>'Bill Frequency'!J16+WNA!J40+'Contract &amp; Vol Adj'!J16</f>
        <v>0</v>
      </c>
      <c r="L15" s="71">
        <f>'Bill Frequency'!K16+WNA!K40+'Contract &amp; Vol Adj'!K16</f>
        <v>0</v>
      </c>
      <c r="M15" s="71">
        <f>'Bill Frequency'!L16+WNA!L40+'Contract &amp; Vol Adj'!L16</f>
        <v>0</v>
      </c>
      <c r="N15" s="71">
        <f>'Bill Frequency'!M16+WNA!M40+'Contract &amp; Vol Adj'!M16</f>
        <v>0</v>
      </c>
      <c r="O15" s="71">
        <f>'Bill Frequency'!N16+WNA!N40+'Contract &amp; Vol Adj'!N16</f>
        <v>0</v>
      </c>
      <c r="P15" s="71">
        <f>D15+WNA!O40</f>
        <v>0</v>
      </c>
      <c r="Q15" s="71">
        <f>E15+WNA!P40</f>
        <v>0</v>
      </c>
      <c r="R15" s="71">
        <f>F15+WNA!Q40</f>
        <v>0</v>
      </c>
      <c r="S15" s="71">
        <f>G15+WNA!R40</f>
        <v>0</v>
      </c>
      <c r="T15" s="71">
        <f>H15+WNA!S40</f>
        <v>0</v>
      </c>
      <c r="U15" s="71">
        <f>I15+WNA!T40</f>
        <v>0</v>
      </c>
      <c r="V15" s="71">
        <f>J15+WNA!U40</f>
        <v>0</v>
      </c>
      <c r="W15" s="71">
        <f>K15+WNA!V40</f>
        <v>0</v>
      </c>
      <c r="X15" s="71">
        <f>L15+WNA!W40</f>
        <v>0</v>
      </c>
      <c r="Y15" s="71">
        <f>M15+WNA!X40</f>
        <v>0</v>
      </c>
      <c r="Z15" s="71">
        <f>N15+WNA!Y40</f>
        <v>0</v>
      </c>
      <c r="AA15" s="71">
        <f>O15+WNA!Z40</f>
        <v>0</v>
      </c>
      <c r="AB15" s="71">
        <f>P15+WNA!AA40</f>
        <v>0</v>
      </c>
      <c r="AC15" s="71">
        <f>Q15+WNA!AB40</f>
        <v>0</v>
      </c>
      <c r="AD15" s="71">
        <f>R15+WNA!AC40</f>
        <v>0</v>
      </c>
      <c r="AE15" s="71">
        <f>S15+WNA!AD40</f>
        <v>0</v>
      </c>
      <c r="AF15" s="71">
        <f>T15+WNA!AE40</f>
        <v>0</v>
      </c>
      <c r="AG15" s="71">
        <f>U15+WNA!AF40</f>
        <v>0</v>
      </c>
      <c r="AH15" s="71">
        <f>V15+WNA!AG40</f>
        <v>0</v>
      </c>
      <c r="AI15" s="71">
        <f>W15+WNA!AH40</f>
        <v>0</v>
      </c>
      <c r="AJ15" s="71">
        <f>X15+WNA!AI40</f>
        <v>0</v>
      </c>
      <c r="AK15" s="71">
        <f>Y15+WNA!AJ40</f>
        <v>0</v>
      </c>
      <c r="AL15" s="71">
        <f>Z15+WNA!AK40</f>
        <v>0</v>
      </c>
      <c r="AM15" s="71">
        <f>AA15+WNA!AL40</f>
        <v>0</v>
      </c>
      <c r="AN15" s="71">
        <f>AB15+WNA!AM40</f>
        <v>0</v>
      </c>
      <c r="AO15" s="71">
        <f>AC15+WNA!AN40</f>
        <v>0</v>
      </c>
      <c r="AP15" s="71">
        <f>AD15+WNA!AO40</f>
        <v>0</v>
      </c>
      <c r="AQ15" s="71">
        <f>AE15+WNA!AP40</f>
        <v>0</v>
      </c>
      <c r="AR15" s="71">
        <f>AF15+WNA!AQ40</f>
        <v>0</v>
      </c>
      <c r="AS15" s="71">
        <f>AG15+WNA!AR40</f>
        <v>0</v>
      </c>
      <c r="AT15" s="71">
        <f>AH15+WNA!AS40</f>
        <v>0</v>
      </c>
      <c r="AU15" s="71">
        <f>AI15+WNA!AT40</f>
        <v>0</v>
      </c>
      <c r="AV15" s="71">
        <f>AJ15+WNA!AU40</f>
        <v>0</v>
      </c>
      <c r="AW15" s="71">
        <f>AK15+WNA!AV40</f>
        <v>0</v>
      </c>
      <c r="AX15" s="71">
        <f>AL15+WNA!AW40</f>
        <v>0</v>
      </c>
      <c r="AY15" s="71">
        <f>AM15+WNA!AX40</f>
        <v>0</v>
      </c>
      <c r="AZ15" s="71">
        <f>AN15+WNA!AY40</f>
        <v>0</v>
      </c>
      <c r="BA15" s="71">
        <f>AO15+WNA!AZ40</f>
        <v>0</v>
      </c>
      <c r="BB15" s="71">
        <f>AP15+WNA!BA40</f>
        <v>0</v>
      </c>
      <c r="BC15" s="71">
        <f>AQ15+WNA!BB40</f>
        <v>0</v>
      </c>
      <c r="BD15" s="71">
        <f>AR15+WNA!BC40</f>
        <v>0</v>
      </c>
      <c r="BE15" s="71">
        <f>AS15+WNA!BD40</f>
        <v>0</v>
      </c>
      <c r="BF15" s="71">
        <f>AT15+WNA!BE40</f>
        <v>0</v>
      </c>
      <c r="BG15" s="71">
        <f>AU15+WNA!BF40</f>
        <v>0</v>
      </c>
      <c r="BH15" s="71">
        <f>AV15+WNA!BG40</f>
        <v>0</v>
      </c>
      <c r="BI15" s="71">
        <f>AW15+WNA!BH40</f>
        <v>0</v>
      </c>
      <c r="BJ15" s="71">
        <f>AX15+WNA!BI40</f>
        <v>0</v>
      </c>
      <c r="BK15" s="71">
        <f>AY15+WNA!BJ40</f>
        <v>0</v>
      </c>
      <c r="BL15" s="71">
        <f>AZ15+WNA!BK40</f>
        <v>0</v>
      </c>
      <c r="BM15" s="71">
        <f>BA15+WNA!BL40</f>
        <v>0</v>
      </c>
      <c r="BN15" s="71">
        <f>BB15+WNA!BM40</f>
        <v>0</v>
      </c>
      <c r="BO15" s="71">
        <f>BC15+WNA!BN40</f>
        <v>0</v>
      </c>
      <c r="BP15" s="71">
        <f>BD15+WNA!BO40</f>
        <v>0</v>
      </c>
      <c r="BQ15" s="71">
        <f>BE15+WNA!BP40</f>
        <v>0</v>
      </c>
      <c r="BR15" s="71">
        <f>BF15+WNA!BQ40</f>
        <v>0</v>
      </c>
      <c r="BS15" s="71">
        <f>BG15+WNA!BR40</f>
        <v>0</v>
      </c>
      <c r="BT15" s="71">
        <f>BH15+WNA!BS40</f>
        <v>0</v>
      </c>
      <c r="BU15" s="71">
        <f>BI15+WNA!BT40</f>
        <v>0</v>
      </c>
      <c r="BV15" s="71">
        <f>BJ15+WNA!BU40</f>
        <v>0</v>
      </c>
      <c r="BW15" s="71">
        <f>BK15+WNA!BV40</f>
        <v>0</v>
      </c>
      <c r="BX15" s="71">
        <f>BL15+WNA!BW40</f>
        <v>0</v>
      </c>
      <c r="BY15" s="71">
        <f>BM15+WNA!BX40</f>
        <v>0</v>
      </c>
      <c r="BZ15" s="71">
        <f>BN15+WNA!BY40</f>
        <v>0</v>
      </c>
      <c r="CA15" s="71">
        <f>BO15+WNA!BZ40</f>
        <v>0</v>
      </c>
      <c r="CB15" s="71">
        <f>BP15+WNA!CA40</f>
        <v>0</v>
      </c>
      <c r="CC15" s="71">
        <f>BQ15+WNA!CB40</f>
        <v>0</v>
      </c>
      <c r="CD15" s="71">
        <f>BR15+WNA!CC40</f>
        <v>0</v>
      </c>
      <c r="CE15" s="71">
        <f>BS15+WNA!CD40</f>
        <v>0</v>
      </c>
      <c r="CF15" s="71">
        <f>BT15+WNA!CE40</f>
        <v>0</v>
      </c>
      <c r="CG15" s="71">
        <f>BU15+WNA!CF40</f>
        <v>0</v>
      </c>
      <c r="CH15" s="71">
        <f>BV15+WNA!CG40</f>
        <v>0</v>
      </c>
      <c r="CI15" s="71">
        <f>BW15+WNA!CH40</f>
        <v>0</v>
      </c>
    </row>
    <row r="16" spans="1:87" x14ac:dyDescent="0.2">
      <c r="A16" s="2">
        <v>6</v>
      </c>
      <c r="B16" s="33" t="s">
        <v>79</v>
      </c>
      <c r="C16" s="33"/>
      <c r="D16" s="32">
        <f t="shared" ref="D16:BO16" si="2">D13+D14+D15</f>
        <v>153578.5</v>
      </c>
      <c r="E16" s="32">
        <f t="shared" si="2"/>
        <v>154438.80000000002</v>
      </c>
      <c r="F16" s="32">
        <f t="shared" si="2"/>
        <v>156010.21000000002</v>
      </c>
      <c r="G16" s="32">
        <f t="shared" si="2"/>
        <v>329031.52000000008</v>
      </c>
      <c r="H16" s="32">
        <f t="shared" si="2"/>
        <v>870246.1100000001</v>
      </c>
      <c r="I16" s="32">
        <f t="shared" si="2"/>
        <v>1517193.2</v>
      </c>
      <c r="J16" s="32">
        <f t="shared" si="2"/>
        <v>1911616.81</v>
      </c>
      <c r="K16" s="32">
        <f t="shared" si="2"/>
        <v>1996539.06</v>
      </c>
      <c r="L16" s="32">
        <f t="shared" si="2"/>
        <v>1415818.43</v>
      </c>
      <c r="M16" s="32">
        <f t="shared" si="2"/>
        <v>877744.13</v>
      </c>
      <c r="N16" s="32">
        <f t="shared" si="2"/>
        <v>408055.36</v>
      </c>
      <c r="O16" s="32">
        <f t="shared" si="2"/>
        <v>200720.30000000002</v>
      </c>
      <c r="P16" s="32">
        <f t="shared" si="2"/>
        <v>153876.92906564099</v>
      </c>
      <c r="Q16" s="32">
        <f t="shared" si="2"/>
        <v>154737.06557001124</v>
      </c>
      <c r="R16" s="32">
        <f t="shared" si="2"/>
        <v>156316.70990700857</v>
      </c>
      <c r="S16" s="32">
        <f t="shared" si="2"/>
        <v>329676.12480744399</v>
      </c>
      <c r="T16" s="32">
        <f t="shared" si="2"/>
        <v>871951.18591049837</v>
      </c>
      <c r="U16" s="32">
        <f t="shared" si="2"/>
        <v>1520107.4206662732</v>
      </c>
      <c r="V16" s="32">
        <f t="shared" si="2"/>
        <v>1915258.3181082793</v>
      </c>
      <c r="W16" s="32">
        <f t="shared" si="2"/>
        <v>2000324.5861089306</v>
      </c>
      <c r="X16" s="32">
        <f t="shared" si="2"/>
        <v>1418507.6527391258</v>
      </c>
      <c r="Y16" s="32">
        <f t="shared" si="2"/>
        <v>879434.00569909997</v>
      </c>
      <c r="Z16" s="32">
        <f t="shared" si="2"/>
        <v>408824.40533803555</v>
      </c>
      <c r="AA16" s="32">
        <f t="shared" si="2"/>
        <v>201104.06382711162</v>
      </c>
      <c r="AB16" s="32">
        <f t="shared" si="2"/>
        <v>154175.24230415092</v>
      </c>
      <c r="AC16" s="32">
        <f t="shared" si="2"/>
        <v>155035.37880852114</v>
      </c>
      <c r="AD16" s="32">
        <f t="shared" si="2"/>
        <v>156622.79314551849</v>
      </c>
      <c r="AE16" s="32">
        <f t="shared" si="2"/>
        <v>330320.33804595389</v>
      </c>
      <c r="AF16" s="32">
        <f t="shared" si="2"/>
        <v>873656.35074900824</v>
      </c>
      <c r="AG16" s="32">
        <f t="shared" si="2"/>
        <v>1523006.0829047831</v>
      </c>
      <c r="AH16" s="32">
        <f t="shared" si="2"/>
        <v>1918899.7777467889</v>
      </c>
      <c r="AI16" s="32">
        <f t="shared" si="2"/>
        <v>2004125.9942474405</v>
      </c>
      <c r="AJ16" s="32">
        <f t="shared" si="2"/>
        <v>1421181.0898776357</v>
      </c>
      <c r="AK16" s="32">
        <f t="shared" si="2"/>
        <v>881123.90833760984</v>
      </c>
      <c r="AL16" s="32">
        <f t="shared" si="2"/>
        <v>409608.95657654549</v>
      </c>
      <c r="AM16" s="32">
        <f t="shared" si="2"/>
        <v>201487.87706562155</v>
      </c>
      <c r="AN16" s="32">
        <f t="shared" si="2"/>
        <v>154473.55554266082</v>
      </c>
      <c r="AO16" s="32">
        <f t="shared" si="2"/>
        <v>155333.69204703104</v>
      </c>
      <c r="AP16" s="32">
        <f t="shared" si="2"/>
        <v>156928.87638402838</v>
      </c>
      <c r="AQ16" s="32">
        <f t="shared" si="2"/>
        <v>330964.55128446379</v>
      </c>
      <c r="AR16" s="32">
        <f t="shared" si="2"/>
        <v>875361.57558751805</v>
      </c>
      <c r="AS16" s="32">
        <f t="shared" si="2"/>
        <v>1525920.684143293</v>
      </c>
      <c r="AT16" s="32">
        <f t="shared" si="2"/>
        <v>1922541.3573852992</v>
      </c>
      <c r="AU16" s="32">
        <f t="shared" si="2"/>
        <v>2007911.5340859506</v>
      </c>
      <c r="AV16" s="32">
        <f t="shared" si="2"/>
        <v>1423870.6609161454</v>
      </c>
      <c r="AW16" s="32">
        <f t="shared" si="2"/>
        <v>882813.87097611977</v>
      </c>
      <c r="AX16" s="32">
        <f t="shared" si="2"/>
        <v>410377.54981505539</v>
      </c>
      <c r="AY16" s="32">
        <f t="shared" si="2"/>
        <v>201871.69030413145</v>
      </c>
      <c r="AZ16" s="32">
        <f t="shared" si="2"/>
        <v>154771.86878117072</v>
      </c>
      <c r="BA16" s="32">
        <f t="shared" si="2"/>
        <v>155632.00528554094</v>
      </c>
      <c r="BB16" s="32">
        <f t="shared" si="2"/>
        <v>157234.9596225383</v>
      </c>
      <c r="BC16" s="32">
        <f t="shared" si="2"/>
        <v>331608.76452297368</v>
      </c>
      <c r="BD16" s="32">
        <f t="shared" si="2"/>
        <v>877066.86042602791</v>
      </c>
      <c r="BE16" s="32">
        <f t="shared" si="2"/>
        <v>1528835.4053818029</v>
      </c>
      <c r="BF16" s="32">
        <f t="shared" si="2"/>
        <v>1926199.0652238089</v>
      </c>
      <c r="BG16" s="32">
        <f t="shared" si="2"/>
        <v>2011697.1939244603</v>
      </c>
      <c r="BH16" s="32">
        <f t="shared" si="2"/>
        <v>1426544.2480546553</v>
      </c>
      <c r="BI16" s="32">
        <f t="shared" si="2"/>
        <v>884503.89361462963</v>
      </c>
      <c r="BJ16" s="32">
        <f t="shared" si="2"/>
        <v>411146.14305356529</v>
      </c>
      <c r="BK16" s="32">
        <f t="shared" si="2"/>
        <v>202255.50354264135</v>
      </c>
      <c r="BL16" s="32">
        <f t="shared" si="2"/>
        <v>155070.18201968062</v>
      </c>
      <c r="BM16" s="32">
        <f t="shared" si="2"/>
        <v>155930.31852405085</v>
      </c>
      <c r="BN16" s="32">
        <f t="shared" si="2"/>
        <v>157541.04286104819</v>
      </c>
      <c r="BO16" s="32">
        <f t="shared" si="2"/>
        <v>332268.45026148361</v>
      </c>
      <c r="BP16" s="32">
        <f t="shared" ref="BP16:CI16" si="3">BP13+BP14+BP15</f>
        <v>878772.20526453794</v>
      </c>
      <c r="BQ16" s="32">
        <f t="shared" si="3"/>
        <v>1531734.3076203128</v>
      </c>
      <c r="BR16" s="32">
        <f t="shared" si="3"/>
        <v>1929840.9148623187</v>
      </c>
      <c r="BS16" s="32">
        <f t="shared" si="3"/>
        <v>2015482.9737629702</v>
      </c>
      <c r="BT16" s="32">
        <f t="shared" si="3"/>
        <v>1429234.0290931654</v>
      </c>
      <c r="BU16" s="32">
        <f t="shared" si="3"/>
        <v>886193.97625313967</v>
      </c>
      <c r="BV16" s="32">
        <f t="shared" si="3"/>
        <v>411930.81429207523</v>
      </c>
      <c r="BW16" s="32">
        <f t="shared" si="3"/>
        <v>202639.31678115125</v>
      </c>
      <c r="BX16" s="32">
        <f t="shared" si="3"/>
        <v>155368.49525819052</v>
      </c>
      <c r="BY16" s="32">
        <f t="shared" si="3"/>
        <v>156228.63176256075</v>
      </c>
      <c r="BZ16" s="32">
        <f t="shared" si="3"/>
        <v>157847.12609955811</v>
      </c>
      <c r="CA16" s="32">
        <f t="shared" si="3"/>
        <v>332912.69349999353</v>
      </c>
      <c r="CB16" s="32">
        <f t="shared" si="3"/>
        <v>880477.6101030478</v>
      </c>
      <c r="CC16" s="32">
        <f t="shared" si="3"/>
        <v>1534649.2388588227</v>
      </c>
      <c r="CD16" s="32">
        <f t="shared" si="3"/>
        <v>1933482.8845008288</v>
      </c>
      <c r="CE16" s="32">
        <f t="shared" si="3"/>
        <v>2019285.0119014804</v>
      </c>
      <c r="CF16" s="32">
        <f t="shared" si="3"/>
        <v>1431923.9301316752</v>
      </c>
      <c r="CG16" s="32">
        <f t="shared" si="3"/>
        <v>887884.11889164953</v>
      </c>
      <c r="CH16" s="32">
        <f t="shared" si="3"/>
        <v>412699.43753058516</v>
      </c>
      <c r="CI16" s="32">
        <f t="shared" si="3"/>
        <v>203023.13001966116</v>
      </c>
    </row>
    <row r="17" spans="1:87" x14ac:dyDescent="0.2">
      <c r="A17" s="2">
        <v>7</v>
      </c>
      <c r="B17" s="17" t="s">
        <v>226</v>
      </c>
      <c r="C17" s="17"/>
      <c r="D17" s="708">
        <v>3.6865999999999999</v>
      </c>
      <c r="E17" s="708">
        <v>4.0933999999999999</v>
      </c>
      <c r="F17" s="708">
        <v>4.0933999999999999</v>
      </c>
      <c r="G17" s="708">
        <v>4.0933999999999999</v>
      </c>
      <c r="H17" s="708">
        <v>4.1377000000000006</v>
      </c>
      <c r="I17" s="708">
        <v>4.1377000000000006</v>
      </c>
      <c r="J17" s="708">
        <v>4.1377000000000006</v>
      </c>
      <c r="K17" s="708">
        <v>4.3841999999999999</v>
      </c>
      <c r="L17" s="708">
        <v>4.3841999999999999</v>
      </c>
      <c r="M17" s="708">
        <v>4.3841999999999999</v>
      </c>
      <c r="N17" s="708">
        <v>4.9828999999999999</v>
      </c>
      <c r="O17" s="708">
        <v>5.1480000000000006</v>
      </c>
      <c r="P17" s="708">
        <v>5.1480000000000006</v>
      </c>
      <c r="Q17" s="708">
        <v>5.0563999999999991</v>
      </c>
      <c r="R17" s="708">
        <f>Q17</f>
        <v>5.0563999999999991</v>
      </c>
      <c r="S17" s="708">
        <f>R17</f>
        <v>5.0563999999999991</v>
      </c>
      <c r="T17" s="95">
        <f>'Gas Cost Worksheet'!L97</f>
        <v>4.7457025946093809</v>
      </c>
      <c r="U17" s="95">
        <f>'Gas Cost Worksheet'!M97</f>
        <v>4.7457025946093809</v>
      </c>
      <c r="V17" s="95">
        <f>'Gas Cost Worksheet'!N97</f>
        <v>4.7457025946093809</v>
      </c>
      <c r="W17" s="95">
        <f>'Gas Cost Worksheet'!O97</f>
        <v>4.6493144113040463</v>
      </c>
      <c r="X17" s="95">
        <f>'Gas Cost Worksheet'!P97</f>
        <v>4.6493144113040463</v>
      </c>
      <c r="Y17" s="95">
        <f>'Gas Cost Worksheet'!Q97</f>
        <v>4.6493144113040463</v>
      </c>
      <c r="Z17" s="95">
        <f>'Gas Cost Worksheet'!R97</f>
        <v>4.8747402727505156</v>
      </c>
      <c r="AA17" s="95">
        <f>'Gas Cost Worksheet'!S97</f>
        <v>4.8747402727505156</v>
      </c>
      <c r="AB17" s="95">
        <f>'Gas Cost Worksheet'!T97</f>
        <v>4.8747402727505156</v>
      </c>
      <c r="AC17" s="95">
        <f>'Gas Cost Worksheet'!U97</f>
        <v>4.8549770121409086</v>
      </c>
      <c r="AD17" s="95">
        <f>'Gas Cost Worksheet'!V97</f>
        <v>4.8549770121409086</v>
      </c>
      <c r="AE17" s="95">
        <f>'Gas Cost Worksheet'!W97</f>
        <v>4.8549770121409086</v>
      </c>
      <c r="AF17" s="95">
        <f>'Gas Cost Worksheet'!X97</f>
        <v>4.6982867815053471</v>
      </c>
      <c r="AG17" s="95">
        <f>'Gas Cost Worksheet'!Y97</f>
        <v>4.6982867815053471</v>
      </c>
      <c r="AH17" s="95">
        <f>'Gas Cost Worksheet'!Z97</f>
        <v>4.6982867815053471</v>
      </c>
      <c r="AI17" s="95">
        <f>'Gas Cost Worksheet'!AA97</f>
        <v>4.6235786988289602</v>
      </c>
      <c r="AJ17" s="95">
        <f>'Gas Cost Worksheet'!AB97</f>
        <v>4.6235786988289602</v>
      </c>
      <c r="AK17" s="95">
        <f>'Gas Cost Worksheet'!AC97</f>
        <v>4.6235786988289602</v>
      </c>
      <c r="AL17" s="95">
        <f>'Gas Cost Worksheet'!AD97</f>
        <v>4.6856917749816356</v>
      </c>
      <c r="AM17" s="95">
        <f>'Gas Cost Worksheet'!AE97</f>
        <v>4.6856917749816356</v>
      </c>
      <c r="AN17" s="95">
        <f>'Gas Cost Worksheet'!AF97</f>
        <v>4.6856917749816356</v>
      </c>
      <c r="AO17" s="95">
        <f>'Gas Cost Worksheet'!AG97</f>
        <v>4.6723633592542724</v>
      </c>
      <c r="AP17" s="95">
        <f>'Gas Cost Worksheet'!AH97</f>
        <v>4.6723633592542724</v>
      </c>
      <c r="AQ17" s="95">
        <f>'Gas Cost Worksheet'!AI97</f>
        <v>4.6723633592542724</v>
      </c>
      <c r="AR17" s="95">
        <f>'Gas Cost Worksheet'!AJ97</f>
        <v>4.5892930954093805</v>
      </c>
      <c r="AS17" s="95">
        <f>'Gas Cost Worksheet'!AK97</f>
        <v>4.5892930954093805</v>
      </c>
      <c r="AT17" s="95">
        <f>'Gas Cost Worksheet'!AL97</f>
        <v>4.5892930954093805</v>
      </c>
      <c r="AU17" s="95">
        <f>'Gas Cost Worksheet'!AM97</f>
        <v>4.5369016932337054</v>
      </c>
      <c r="AV17" s="95">
        <f>'Gas Cost Worksheet'!AN97</f>
        <v>4.5369016932337054</v>
      </c>
      <c r="AW17" s="95">
        <f>'Gas Cost Worksheet'!AO97</f>
        <v>4.5369016932337054</v>
      </c>
      <c r="AX17" s="95">
        <f>'Gas Cost Worksheet'!AP97</f>
        <v>4.6299697154129769</v>
      </c>
      <c r="AY17" s="95">
        <f>'Gas Cost Worksheet'!AQ97</f>
        <v>4.6299697154129769</v>
      </c>
      <c r="AZ17" s="95">
        <f>'Gas Cost Worksheet'!AR97</f>
        <v>4.6299697154129769</v>
      </c>
      <c r="BA17" s="95">
        <f>'Gas Cost Worksheet'!AS97</f>
        <v>4.6508552650625932</v>
      </c>
      <c r="BB17" s="95">
        <f>'Gas Cost Worksheet'!AT97</f>
        <v>4.6508552650625932</v>
      </c>
      <c r="BC17" s="95">
        <f>'Gas Cost Worksheet'!AU97</f>
        <v>4.6508552650625932</v>
      </c>
      <c r="BD17" s="95">
        <f>'Gas Cost Worksheet'!AV97</f>
        <v>4.5688240664492845</v>
      </c>
      <c r="BE17" s="95">
        <f>'Gas Cost Worksheet'!AW97</f>
        <v>4.5688240664492845</v>
      </c>
      <c r="BF17" s="95">
        <f>'Gas Cost Worksheet'!AX97</f>
        <v>4.5688240664492845</v>
      </c>
      <c r="BG17" s="95">
        <f>'Gas Cost Worksheet'!AY97</f>
        <v>4.5074579308191165</v>
      </c>
      <c r="BH17" s="95">
        <f>'Gas Cost Worksheet'!AZ97</f>
        <v>4.5074579308191165</v>
      </c>
      <c r="BI17" s="95">
        <f>'Gas Cost Worksheet'!BA97</f>
        <v>4.5074579308191165</v>
      </c>
      <c r="BJ17" s="95">
        <f>'Gas Cost Worksheet'!BB97</f>
        <v>4.6286843481216708</v>
      </c>
      <c r="BK17" s="95">
        <f>'Gas Cost Worksheet'!BC97</f>
        <v>4.6286843481216708</v>
      </c>
      <c r="BL17" s="95">
        <f>'Gas Cost Worksheet'!BD97</f>
        <v>4.6286843481216708</v>
      </c>
      <c r="BM17" s="95">
        <f>'Gas Cost Worksheet'!BE97</f>
        <v>4.6567193704796717</v>
      </c>
      <c r="BN17" s="95">
        <f>'Gas Cost Worksheet'!BF97</f>
        <v>4.6567193704796717</v>
      </c>
      <c r="BO17" s="95">
        <f>'Gas Cost Worksheet'!BG97</f>
        <v>4.6567193704796717</v>
      </c>
      <c r="BP17" s="95">
        <f>'Gas Cost Worksheet'!BH97</f>
        <v>4.5792599203715536</v>
      </c>
      <c r="BQ17" s="95">
        <f>'Gas Cost Worksheet'!BI97</f>
        <v>4.5792599203715536</v>
      </c>
      <c r="BR17" s="95">
        <f>'Gas Cost Worksheet'!BJ97</f>
        <v>4.5792599203715536</v>
      </c>
      <c r="BS17" s="95">
        <f>'Gas Cost Worksheet'!BK97</f>
        <v>4.5143191992924905</v>
      </c>
      <c r="BT17" s="95">
        <f>'Gas Cost Worksheet'!BL97</f>
        <v>4.5143191992924905</v>
      </c>
      <c r="BU17" s="95">
        <f>'Gas Cost Worksheet'!BM97</f>
        <v>4.5143191992924905</v>
      </c>
      <c r="BV17" s="95">
        <f>'Gas Cost Worksheet'!BN97</f>
        <v>4.6576773448947426</v>
      </c>
      <c r="BW17" s="95">
        <f>'Gas Cost Worksheet'!BO97</f>
        <v>4.6576773448947426</v>
      </c>
      <c r="BX17" s="95">
        <f>'Gas Cost Worksheet'!BP97</f>
        <v>4.6576773448947426</v>
      </c>
      <c r="BY17" s="95">
        <f>'Gas Cost Worksheet'!BQ97</f>
        <v>4.6912790895580949</v>
      </c>
      <c r="BZ17" s="95">
        <f>'Gas Cost Worksheet'!BR97</f>
        <v>4.6912790895580949</v>
      </c>
      <c r="CA17" s="95">
        <f>'Gas Cost Worksheet'!BS97</f>
        <v>4.6912790895580949</v>
      </c>
      <c r="CB17" s="95">
        <f>'Gas Cost Worksheet'!BT97</f>
        <v>4.7021368584552379</v>
      </c>
      <c r="CC17" s="95">
        <f>'Gas Cost Worksheet'!BU97</f>
        <v>4.7021368584552379</v>
      </c>
      <c r="CD17" s="95">
        <f>'Gas Cost Worksheet'!BV97</f>
        <v>4.7021368584552379</v>
      </c>
      <c r="CE17" s="95">
        <f>'Gas Cost Worksheet'!BW97</f>
        <v>4.6342390958986908</v>
      </c>
      <c r="CF17" s="95">
        <f>'Gas Cost Worksheet'!BX97</f>
        <v>4.6342390958986908</v>
      </c>
      <c r="CG17" s="95">
        <f>'Gas Cost Worksheet'!BY97</f>
        <v>4.6342390958986908</v>
      </c>
      <c r="CH17" s="95">
        <f>'Gas Cost Worksheet'!BZ97</f>
        <v>4.788000164492809</v>
      </c>
      <c r="CI17" s="95">
        <f>'Gas Cost Worksheet'!CA97</f>
        <v>4.788000164492809</v>
      </c>
    </row>
    <row r="18" spans="1:87" x14ac:dyDescent="0.2">
      <c r="A18" s="2">
        <v>8</v>
      </c>
      <c r="B18" s="17" t="s">
        <v>218</v>
      </c>
      <c r="C18" s="17"/>
      <c r="D18" s="39">
        <f t="shared" ref="D18:J18" si="4">D17*D16</f>
        <v>566182.49809999997</v>
      </c>
      <c r="E18" s="39">
        <f t="shared" si="4"/>
        <v>632179.78392000007</v>
      </c>
      <c r="F18" s="39">
        <f t="shared" si="4"/>
        <v>638612.19361400011</v>
      </c>
      <c r="G18" s="39">
        <f t="shared" si="4"/>
        <v>1346857.6239680003</v>
      </c>
      <c r="H18" s="39">
        <f t="shared" si="4"/>
        <v>3600817.3293470009</v>
      </c>
      <c r="I18" s="39">
        <f t="shared" si="4"/>
        <v>6277690.3036400005</v>
      </c>
      <c r="J18" s="39">
        <f t="shared" si="4"/>
        <v>7909696.874737001</v>
      </c>
      <c r="K18" s="39">
        <f t="shared" ref="K18:P18" si="5">K17*K16</f>
        <v>8753226.5468520001</v>
      </c>
      <c r="L18" s="39">
        <f t="shared" si="5"/>
        <v>6207231.1608059993</v>
      </c>
      <c r="M18" s="39">
        <f t="shared" si="5"/>
        <v>3848205.8147459999</v>
      </c>
      <c r="N18" s="39">
        <f t="shared" si="5"/>
        <v>2033299.0533439999</v>
      </c>
      <c r="O18" s="39">
        <f t="shared" si="5"/>
        <v>1033308.1044000002</v>
      </c>
      <c r="P18" s="39">
        <f t="shared" si="5"/>
        <v>792158.43082991987</v>
      </c>
      <c r="Q18" s="39">
        <f t="shared" ref="Q18:BW18" si="6">Q17*Q16</f>
        <v>782412.49834820465</v>
      </c>
      <c r="R18" s="39">
        <f t="shared" si="6"/>
        <v>790399.81197379797</v>
      </c>
      <c r="S18" s="39">
        <f t="shared" si="6"/>
        <v>1666974.3574763595</v>
      </c>
      <c r="T18" s="39">
        <f t="shared" si="6"/>
        <v>4138021.005348179</v>
      </c>
      <c r="U18" s="39">
        <f t="shared" si="6"/>
        <v>7213977.7303409064</v>
      </c>
      <c r="V18" s="39">
        <f t="shared" si="6"/>
        <v>9089246.3695936594</v>
      </c>
      <c r="W18" s="39">
        <f t="shared" si="6"/>
        <v>9300137.9254820533</v>
      </c>
      <c r="X18" s="39">
        <f t="shared" si="6"/>
        <v>6595088.0724250935</v>
      </c>
      <c r="Y18" s="39">
        <f t="shared" si="6"/>
        <v>4088765.1964876703</v>
      </c>
      <c r="Z18" s="39">
        <f t="shared" si="6"/>
        <v>1992912.7931846026</v>
      </c>
      <c r="AA18" s="39">
        <f t="shared" si="6"/>
        <v>980330.07895181119</v>
      </c>
      <c r="AB18" s="39">
        <f t="shared" si="6"/>
        <v>751564.26272111351</v>
      </c>
      <c r="AC18" s="39">
        <f t="shared" si="6"/>
        <v>752693.2001839279</v>
      </c>
      <c r="AD18" s="39">
        <f t="shared" si="6"/>
        <v>760400.0602987929</v>
      </c>
      <c r="AE18" s="39">
        <f t="shared" si="6"/>
        <v>1603697.64785572</v>
      </c>
      <c r="AF18" s="39">
        <f t="shared" si="6"/>
        <v>4104688.0843022647</v>
      </c>
      <c r="AG18" s="39">
        <f t="shared" si="6"/>
        <v>7155519.3474637792</v>
      </c>
      <c r="AH18" s="39">
        <f t="shared" si="6"/>
        <v>9015541.4608212858</v>
      </c>
      <c r="AI18" s="39">
        <f t="shared" si="6"/>
        <v>9266234.2567718774</v>
      </c>
      <c r="AJ18" s="39">
        <f t="shared" si="6"/>
        <v>6570942.6143367626</v>
      </c>
      <c r="AK18" s="39">
        <f t="shared" si="6"/>
        <v>4073945.7336186944</v>
      </c>
      <c r="AL18" s="39">
        <f t="shared" si="6"/>
        <v>1919301.3187895291</v>
      </c>
      <c r="AM18" s="39">
        <f t="shared" si="6"/>
        <v>944110.08832489385</v>
      </c>
      <c r="AN18" s="39">
        <f t="shared" si="6"/>
        <v>723815.46865841467</v>
      </c>
      <c r="AO18" s="39">
        <f t="shared" si="6"/>
        <v>725775.45117823465</v>
      </c>
      <c r="AP18" s="39">
        <f t="shared" si="6"/>
        <v>733228.73202567734</v>
      </c>
      <c r="AQ18" s="39">
        <f t="shared" si="6"/>
        <v>1546386.6426335601</v>
      </c>
      <c r="AR18" s="39">
        <f t="shared" si="6"/>
        <v>4017290.8348304732</v>
      </c>
      <c r="AS18" s="39">
        <f t="shared" si="6"/>
        <v>7002897.2598811723</v>
      </c>
      <c r="AT18" s="39">
        <f t="shared" si="6"/>
        <v>8823105.7770873308</v>
      </c>
      <c r="AU18" s="39">
        <f t="shared" si="6"/>
        <v>9109697.2388580367</v>
      </c>
      <c r="AV18" s="39">
        <f t="shared" si="6"/>
        <v>6459961.2124562552</v>
      </c>
      <c r="AW18" s="39">
        <f t="shared" si="6"/>
        <v>4005239.7460417598</v>
      </c>
      <c r="AX18" s="39">
        <f t="shared" si="6"/>
        <v>1900035.6275290868</v>
      </c>
      <c r="AY18" s="39">
        <f t="shared" si="6"/>
        <v>934659.81250735605</v>
      </c>
      <c r="AZ18" s="39">
        <f t="shared" si="6"/>
        <v>716589.06525469164</v>
      </c>
      <c r="BA18" s="39">
        <f t="shared" si="6"/>
        <v>723821.9311945074</v>
      </c>
      <c r="BB18" s="39">
        <f t="shared" si="6"/>
        <v>731277.0398123865</v>
      </c>
      <c r="BC18" s="39">
        <f t="shared" si="6"/>
        <v>1542264.3684225739</v>
      </c>
      <c r="BD18" s="39">
        <f t="shared" si="6"/>
        <v>4007164.1797995521</v>
      </c>
      <c r="BE18" s="39">
        <f t="shared" si="6"/>
        <v>6984979.9937481293</v>
      </c>
      <c r="BF18" s="39">
        <f t="shared" si="6"/>
        <v>8800464.6459666528</v>
      </c>
      <c r="BG18" s="39">
        <f t="shared" si="6"/>
        <v>9067640.4711613711</v>
      </c>
      <c r="BH18" s="39">
        <f t="shared" si="6"/>
        <v>6430088.1845583487</v>
      </c>
      <c r="BI18" s="39">
        <f t="shared" si="6"/>
        <v>3986864.0901136505</v>
      </c>
      <c r="BJ18" s="39">
        <f t="shared" si="6"/>
        <v>1903065.7171426311</v>
      </c>
      <c r="BK18" s="39">
        <f t="shared" si="6"/>
        <v>936176.88356929121</v>
      </c>
      <c r="BL18" s="39">
        <f t="shared" si="6"/>
        <v>717770.92437487422</v>
      </c>
      <c r="BM18" s="39">
        <f t="shared" si="6"/>
        <v>726123.73471601272</v>
      </c>
      <c r="BN18" s="39">
        <f t="shared" si="6"/>
        <v>733624.42593661125</v>
      </c>
      <c r="BO18" s="39">
        <f t="shared" si="6"/>
        <v>1547280.9285319122</v>
      </c>
      <c r="BP18" s="39">
        <f t="shared" si="6"/>
        <v>4024126.3387044226</v>
      </c>
      <c r="BQ18" s="39">
        <f t="shared" si="6"/>
        <v>7014209.5235437704</v>
      </c>
      <c r="BR18" s="39">
        <f t="shared" si="6"/>
        <v>8837243.1541221868</v>
      </c>
      <c r="BS18" s="39">
        <f t="shared" si="6"/>
        <v>9098533.4843052998</v>
      </c>
      <c r="BT18" s="39">
        <f t="shared" si="6"/>
        <v>6452018.6178174382</v>
      </c>
      <c r="BU18" s="39">
        <f t="shared" si="6"/>
        <v>4000562.4812969016</v>
      </c>
      <c r="BV18" s="39">
        <f t="shared" si="6"/>
        <v>1918640.8213922423</v>
      </c>
      <c r="BW18" s="39">
        <f t="shared" si="6"/>
        <v>943828.55495651718</v>
      </c>
      <c r="BX18" s="39">
        <f t="shared" ref="BX18:CI18" si="7">BX17*BX16</f>
        <v>723656.32047446026</v>
      </c>
      <c r="BY18" s="39">
        <f t="shared" si="7"/>
        <v>732912.11337797286</v>
      </c>
      <c r="BZ18" s="39">
        <f t="shared" si="7"/>
        <v>740504.92201769678</v>
      </c>
      <c r="CA18" s="39">
        <f t="shared" si="7"/>
        <v>1561786.3576649828</v>
      </c>
      <c r="CB18" s="39">
        <f t="shared" si="7"/>
        <v>4140126.223510121</v>
      </c>
      <c r="CC18" s="39">
        <f t="shared" si="7"/>
        <v>7216130.7508383468</v>
      </c>
      <c r="CD18" s="39">
        <f t="shared" si="7"/>
        <v>9091501.1364036985</v>
      </c>
      <c r="CE18" s="39">
        <f t="shared" si="7"/>
        <v>9357849.5479160938</v>
      </c>
      <c r="CF18" s="39">
        <f t="shared" si="7"/>
        <v>6635877.859369115</v>
      </c>
      <c r="CG18" s="39">
        <f t="shared" si="7"/>
        <v>4114667.2963952436</v>
      </c>
      <c r="CH18" s="39">
        <f t="shared" si="7"/>
        <v>1976004.9747825314</v>
      </c>
      <c r="CI18" s="39">
        <f t="shared" si="7"/>
        <v>972074.7799299825</v>
      </c>
    </row>
    <row r="19" spans="1:87" x14ac:dyDescent="0.2">
      <c r="A19" s="2">
        <v>9</v>
      </c>
      <c r="C19" s="7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71"/>
      <c r="Q19" s="71"/>
      <c r="R19" s="71"/>
      <c r="S19" s="71"/>
      <c r="T19" s="2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2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2"/>
    </row>
    <row r="20" spans="1:87" x14ac:dyDescent="0.2">
      <c r="A20" s="2">
        <v>10</v>
      </c>
      <c r="B20" s="36" t="s">
        <v>31</v>
      </c>
      <c r="C20" s="2"/>
      <c r="D20" s="103">
        <f>D21*$C$21+D22*$C$22+D23*$C$23+D24*$C$24</f>
        <v>1075681.1675065244</v>
      </c>
      <c r="E20" s="103">
        <f t="shared" ref="E20:BP20" si="8">E21*$C$21+E22*$C$22+E23*$C$23+E24*$C$24</f>
        <v>1082694.0020386502</v>
      </c>
      <c r="F20" s="103">
        <f t="shared" si="8"/>
        <v>1068863.9717112763</v>
      </c>
      <c r="G20" s="103">
        <f t="shared" si="8"/>
        <v>1135530.2696805838</v>
      </c>
      <c r="H20" s="103">
        <f t="shared" si="8"/>
        <v>1492583.7690231262</v>
      </c>
      <c r="I20" s="103">
        <f t="shared" si="8"/>
        <v>1837289.4596443027</v>
      </c>
      <c r="J20" s="103">
        <f t="shared" si="8"/>
        <v>2055380.121862096</v>
      </c>
      <c r="K20" s="103">
        <f t="shared" si="8"/>
        <v>2115801.9648411828</v>
      </c>
      <c r="L20" s="103">
        <f t="shared" si="8"/>
        <v>1811644.0131547034</v>
      </c>
      <c r="M20" s="103">
        <f t="shared" si="8"/>
        <v>1502555.5398549528</v>
      </c>
      <c r="N20" s="103">
        <f t="shared" si="8"/>
        <v>1261151.7936975779</v>
      </c>
      <c r="O20" s="103">
        <f t="shared" si="8"/>
        <v>1128450.9645955486</v>
      </c>
      <c r="P20" s="103">
        <f t="shared" si="8"/>
        <v>1075681.1675065244</v>
      </c>
      <c r="Q20" s="103">
        <f t="shared" si="8"/>
        <v>1082694.0020386502</v>
      </c>
      <c r="R20" s="103">
        <f t="shared" si="8"/>
        <v>1068863.9717112763</v>
      </c>
      <c r="S20" s="103">
        <f t="shared" si="8"/>
        <v>1135530.2696805838</v>
      </c>
      <c r="T20" s="103">
        <f t="shared" si="8"/>
        <v>1492583.7690231262</v>
      </c>
      <c r="U20" s="103">
        <f t="shared" si="8"/>
        <v>1837289.4596443027</v>
      </c>
      <c r="V20" s="103">
        <f t="shared" si="8"/>
        <v>2055380.121862096</v>
      </c>
      <c r="W20" s="103">
        <f t="shared" si="8"/>
        <v>2115801.9648411828</v>
      </c>
      <c r="X20" s="103">
        <f t="shared" si="8"/>
        <v>1811644.0131547034</v>
      </c>
      <c r="Y20" s="103">
        <f t="shared" si="8"/>
        <v>1502555.5398549528</v>
      </c>
      <c r="Z20" s="103">
        <f t="shared" si="8"/>
        <v>1261151.7936975779</v>
      </c>
      <c r="AA20" s="103">
        <f t="shared" si="8"/>
        <v>1128450.9645955486</v>
      </c>
      <c r="AB20" s="103">
        <f t="shared" si="8"/>
        <v>1075681.1675065244</v>
      </c>
      <c r="AC20" s="103">
        <f t="shared" si="8"/>
        <v>1082694.0020386502</v>
      </c>
      <c r="AD20" s="103">
        <f t="shared" si="8"/>
        <v>1068863.9717112763</v>
      </c>
      <c r="AE20" s="103">
        <f t="shared" si="8"/>
        <v>1135530.2696805838</v>
      </c>
      <c r="AF20" s="103">
        <f t="shared" si="8"/>
        <v>1492583.7690231262</v>
      </c>
      <c r="AG20" s="103">
        <f t="shared" si="8"/>
        <v>1837289.4596443027</v>
      </c>
      <c r="AH20" s="103">
        <f t="shared" si="8"/>
        <v>2055380.121862096</v>
      </c>
      <c r="AI20" s="103">
        <f t="shared" si="8"/>
        <v>2115801.9648411828</v>
      </c>
      <c r="AJ20" s="103">
        <f t="shared" si="8"/>
        <v>1811644.0131547034</v>
      </c>
      <c r="AK20" s="103">
        <f t="shared" si="8"/>
        <v>1502555.5398549528</v>
      </c>
      <c r="AL20" s="103">
        <f t="shared" si="8"/>
        <v>1261151.7936975779</v>
      </c>
      <c r="AM20" s="103">
        <f t="shared" si="8"/>
        <v>1128450.9645955486</v>
      </c>
      <c r="AN20" s="103">
        <f t="shared" si="8"/>
        <v>1075681.1675065244</v>
      </c>
      <c r="AO20" s="103">
        <f t="shared" si="8"/>
        <v>1082694.0020386502</v>
      </c>
      <c r="AP20" s="103">
        <f t="shared" si="8"/>
        <v>1068863.9717112763</v>
      </c>
      <c r="AQ20" s="103">
        <f t="shared" si="8"/>
        <v>1135530.2696805838</v>
      </c>
      <c r="AR20" s="103">
        <f t="shared" si="8"/>
        <v>1492583.7690231262</v>
      </c>
      <c r="AS20" s="103">
        <f t="shared" si="8"/>
        <v>1837289.4596443027</v>
      </c>
      <c r="AT20" s="103">
        <f t="shared" si="8"/>
        <v>2055380.121862096</v>
      </c>
      <c r="AU20" s="103">
        <f t="shared" si="8"/>
        <v>2115801.9648411828</v>
      </c>
      <c r="AV20" s="103">
        <f t="shared" si="8"/>
        <v>1811644.0131547034</v>
      </c>
      <c r="AW20" s="103">
        <f t="shared" si="8"/>
        <v>1502555.5398549528</v>
      </c>
      <c r="AX20" s="103">
        <f t="shared" si="8"/>
        <v>1261151.7936975779</v>
      </c>
      <c r="AY20" s="103">
        <f t="shared" si="8"/>
        <v>1128450.9645955486</v>
      </c>
      <c r="AZ20" s="103">
        <f t="shared" si="8"/>
        <v>1075681.1675065244</v>
      </c>
      <c r="BA20" s="103">
        <f t="shared" si="8"/>
        <v>1082694.0020386502</v>
      </c>
      <c r="BB20" s="103">
        <f t="shared" si="8"/>
        <v>1068863.9717112763</v>
      </c>
      <c r="BC20" s="103">
        <f t="shared" si="8"/>
        <v>1135530.2696805838</v>
      </c>
      <c r="BD20" s="103">
        <f t="shared" si="8"/>
        <v>1492583.7690231262</v>
      </c>
      <c r="BE20" s="103">
        <f t="shared" si="8"/>
        <v>1837289.4596443027</v>
      </c>
      <c r="BF20" s="103">
        <f t="shared" si="8"/>
        <v>2055380.121862096</v>
      </c>
      <c r="BG20" s="103">
        <f t="shared" si="8"/>
        <v>2115801.9648411828</v>
      </c>
      <c r="BH20" s="103">
        <f t="shared" si="8"/>
        <v>1811644.0131547034</v>
      </c>
      <c r="BI20" s="103">
        <f t="shared" si="8"/>
        <v>1502555.5398549528</v>
      </c>
      <c r="BJ20" s="103">
        <f t="shared" si="8"/>
        <v>1261151.7936975779</v>
      </c>
      <c r="BK20" s="103">
        <f t="shared" si="8"/>
        <v>1128450.9645955486</v>
      </c>
      <c r="BL20" s="103">
        <f t="shared" si="8"/>
        <v>1075681.1675065244</v>
      </c>
      <c r="BM20" s="103">
        <f t="shared" si="8"/>
        <v>1082694.0020386502</v>
      </c>
      <c r="BN20" s="103">
        <f t="shared" si="8"/>
        <v>1068863.9717112763</v>
      </c>
      <c r="BO20" s="103">
        <f t="shared" si="8"/>
        <v>1135530.2696805838</v>
      </c>
      <c r="BP20" s="103">
        <f t="shared" si="8"/>
        <v>1492583.7690231262</v>
      </c>
      <c r="BQ20" s="103">
        <f t="shared" ref="BQ20:CI20" si="9">BQ21*$C$21+BQ22*$C$22+BQ23*$C$23+BQ24*$C$24</f>
        <v>1837289.4596443027</v>
      </c>
      <c r="BR20" s="103">
        <f t="shared" si="9"/>
        <v>2055380.121862096</v>
      </c>
      <c r="BS20" s="103">
        <f t="shared" si="9"/>
        <v>2115801.9648411828</v>
      </c>
      <c r="BT20" s="103">
        <f t="shared" si="9"/>
        <v>1811644.0131547034</v>
      </c>
      <c r="BU20" s="103">
        <f t="shared" si="9"/>
        <v>1502555.5398549528</v>
      </c>
      <c r="BV20" s="103">
        <f t="shared" si="9"/>
        <v>1261151.7936975779</v>
      </c>
      <c r="BW20" s="103">
        <f t="shared" si="9"/>
        <v>1128450.9645955486</v>
      </c>
      <c r="BX20" s="103">
        <f t="shared" si="9"/>
        <v>1075681.1675065244</v>
      </c>
      <c r="BY20" s="103">
        <f t="shared" si="9"/>
        <v>1082694.0020386502</v>
      </c>
      <c r="BZ20" s="103">
        <f t="shared" si="9"/>
        <v>1068863.9717112763</v>
      </c>
      <c r="CA20" s="103">
        <f t="shared" si="9"/>
        <v>1135530.2696805838</v>
      </c>
      <c r="CB20" s="103">
        <f t="shared" si="9"/>
        <v>1492583.7690231262</v>
      </c>
      <c r="CC20" s="103">
        <f t="shared" si="9"/>
        <v>1837289.4596443027</v>
      </c>
      <c r="CD20" s="103">
        <f t="shared" si="9"/>
        <v>2055380.121862096</v>
      </c>
      <c r="CE20" s="103">
        <f t="shared" si="9"/>
        <v>2115801.9648411828</v>
      </c>
      <c r="CF20" s="103">
        <f t="shared" si="9"/>
        <v>1811644.0131547034</v>
      </c>
      <c r="CG20" s="103">
        <f t="shared" si="9"/>
        <v>1502555.5398549528</v>
      </c>
      <c r="CH20" s="103">
        <f t="shared" si="9"/>
        <v>1261151.7936975779</v>
      </c>
      <c r="CI20" s="103">
        <f t="shared" si="9"/>
        <v>1128450.9645955486</v>
      </c>
    </row>
    <row r="21" spans="1:87" x14ac:dyDescent="0.2">
      <c r="A21" s="2">
        <v>11</v>
      </c>
      <c r="B21" s="2" t="s">
        <v>23</v>
      </c>
      <c r="C21" s="101">
        <f>'Rate Design'!G13</f>
        <v>49.74</v>
      </c>
      <c r="D21" s="71">
        <f>'Bill Frequency'!C20</f>
        <v>17024</v>
      </c>
      <c r="E21" s="71">
        <f>'Bill Frequency'!D20</f>
        <v>17149</v>
      </c>
      <c r="F21" s="71">
        <f>'Bill Frequency'!E20</f>
        <v>16872</v>
      </c>
      <c r="G21" s="71">
        <f>'Bill Frequency'!F20</f>
        <v>16778</v>
      </c>
      <c r="H21" s="71">
        <f>'Bill Frequency'!G20</f>
        <v>17200</v>
      </c>
      <c r="I21" s="71">
        <f>'Bill Frequency'!H20</f>
        <v>17535</v>
      </c>
      <c r="J21" s="71">
        <f>'Bill Frequency'!I20</f>
        <v>17874</v>
      </c>
      <c r="K21" s="71">
        <f>'Bill Frequency'!J20</f>
        <v>17890</v>
      </c>
      <c r="L21" s="71">
        <f>'Bill Frequency'!K20</f>
        <v>17938</v>
      </c>
      <c r="M21" s="71">
        <f>'Bill Frequency'!L20</f>
        <v>17568</v>
      </c>
      <c r="N21" s="71">
        <f>'Bill Frequency'!M20</f>
        <v>17819</v>
      </c>
      <c r="O21" s="71">
        <f>'Bill Frequency'!N20</f>
        <v>17344</v>
      </c>
      <c r="P21" s="71">
        <f>WNA!O57</f>
        <v>17024</v>
      </c>
      <c r="Q21" s="71">
        <f>WNA!P57</f>
        <v>17149</v>
      </c>
      <c r="R21" s="71">
        <f>WNA!Q57</f>
        <v>16872</v>
      </c>
      <c r="S21" s="71">
        <f>WNA!R57</f>
        <v>16778</v>
      </c>
      <c r="T21" s="71">
        <f>WNA!S57</f>
        <v>17200</v>
      </c>
      <c r="U21" s="71">
        <f>WNA!T57</f>
        <v>17535</v>
      </c>
      <c r="V21" s="71">
        <f>WNA!U57</f>
        <v>17874</v>
      </c>
      <c r="W21" s="71">
        <f>WNA!V57</f>
        <v>17890</v>
      </c>
      <c r="X21" s="71">
        <f>WNA!W57</f>
        <v>17938</v>
      </c>
      <c r="Y21" s="71">
        <f>WNA!X57</f>
        <v>17568</v>
      </c>
      <c r="Z21" s="71">
        <f>WNA!Y57</f>
        <v>17819</v>
      </c>
      <c r="AA21" s="71">
        <f>WNA!Z57</f>
        <v>17344</v>
      </c>
      <c r="AB21" s="71">
        <f>WNA!AA57</f>
        <v>17024</v>
      </c>
      <c r="AC21" s="71">
        <f>WNA!AB57</f>
        <v>17149</v>
      </c>
      <c r="AD21" s="71">
        <f>WNA!AC57</f>
        <v>16872</v>
      </c>
      <c r="AE21" s="71">
        <f>WNA!AD57</f>
        <v>16778</v>
      </c>
      <c r="AF21" s="71">
        <f>WNA!AE57</f>
        <v>17200</v>
      </c>
      <c r="AG21" s="71">
        <f>WNA!AF57</f>
        <v>17535</v>
      </c>
      <c r="AH21" s="71">
        <f>WNA!AG57</f>
        <v>17874</v>
      </c>
      <c r="AI21" s="71">
        <f>WNA!AH57</f>
        <v>17890</v>
      </c>
      <c r="AJ21" s="71">
        <f>WNA!AI57</f>
        <v>17938</v>
      </c>
      <c r="AK21" s="71">
        <f>WNA!AJ57</f>
        <v>17568</v>
      </c>
      <c r="AL21" s="71">
        <f>WNA!AK57</f>
        <v>17819</v>
      </c>
      <c r="AM21" s="71">
        <f>WNA!AL57</f>
        <v>17344</v>
      </c>
      <c r="AN21" s="71">
        <f>WNA!AM57</f>
        <v>17024</v>
      </c>
      <c r="AO21" s="71">
        <f>WNA!AN57</f>
        <v>17149</v>
      </c>
      <c r="AP21" s="71">
        <f>WNA!AO57</f>
        <v>16872</v>
      </c>
      <c r="AQ21" s="71">
        <f>WNA!AP57</f>
        <v>16778</v>
      </c>
      <c r="AR21" s="71">
        <f>WNA!AQ57</f>
        <v>17200</v>
      </c>
      <c r="AS21" s="71">
        <f>WNA!AR57</f>
        <v>17535</v>
      </c>
      <c r="AT21" s="71">
        <f>WNA!AS57</f>
        <v>17874</v>
      </c>
      <c r="AU21" s="71">
        <f>WNA!AT57</f>
        <v>17890</v>
      </c>
      <c r="AV21" s="71">
        <f>WNA!AU57</f>
        <v>17938</v>
      </c>
      <c r="AW21" s="71">
        <f>WNA!AV57</f>
        <v>17568</v>
      </c>
      <c r="AX21" s="71">
        <f>WNA!AW57</f>
        <v>17819</v>
      </c>
      <c r="AY21" s="71">
        <f>WNA!AX57</f>
        <v>17344</v>
      </c>
      <c r="AZ21" s="71">
        <f>WNA!AY57</f>
        <v>17024</v>
      </c>
      <c r="BA21" s="71">
        <f>WNA!AZ57</f>
        <v>17149</v>
      </c>
      <c r="BB21" s="71">
        <f>WNA!BA57</f>
        <v>16872</v>
      </c>
      <c r="BC21" s="71">
        <f>WNA!BB57</f>
        <v>16778</v>
      </c>
      <c r="BD21" s="71">
        <f>WNA!BC57</f>
        <v>17200</v>
      </c>
      <c r="BE21" s="71">
        <f>WNA!BD57</f>
        <v>17535</v>
      </c>
      <c r="BF21" s="71">
        <f>WNA!BE57</f>
        <v>17874</v>
      </c>
      <c r="BG21" s="71">
        <f>WNA!BF57</f>
        <v>17890</v>
      </c>
      <c r="BH21" s="71">
        <f>WNA!BG57</f>
        <v>17938</v>
      </c>
      <c r="BI21" s="71">
        <f>WNA!BH57</f>
        <v>17568</v>
      </c>
      <c r="BJ21" s="71">
        <f>WNA!BI57</f>
        <v>17819</v>
      </c>
      <c r="BK21" s="71">
        <f>WNA!BJ57</f>
        <v>17344</v>
      </c>
      <c r="BL21" s="71">
        <f>WNA!BK57</f>
        <v>17024</v>
      </c>
      <c r="BM21" s="71">
        <f>WNA!BL57</f>
        <v>17149</v>
      </c>
      <c r="BN21" s="71">
        <f>WNA!BM57</f>
        <v>16872</v>
      </c>
      <c r="BO21" s="71">
        <f>WNA!BN57</f>
        <v>16778</v>
      </c>
      <c r="BP21" s="71">
        <f>WNA!BO57</f>
        <v>17200</v>
      </c>
      <c r="BQ21" s="71">
        <f>WNA!BP57</f>
        <v>17535</v>
      </c>
      <c r="BR21" s="71">
        <f>WNA!BQ57</f>
        <v>17874</v>
      </c>
      <c r="BS21" s="71">
        <f>WNA!BR57</f>
        <v>17890</v>
      </c>
      <c r="BT21" s="71">
        <f>WNA!BS57</f>
        <v>17938</v>
      </c>
      <c r="BU21" s="71">
        <f>WNA!BT57</f>
        <v>17568</v>
      </c>
      <c r="BV21" s="71">
        <f>WNA!BU57</f>
        <v>17819</v>
      </c>
      <c r="BW21" s="71">
        <f>WNA!BV57</f>
        <v>17344</v>
      </c>
      <c r="BX21" s="71">
        <f>WNA!BW57</f>
        <v>17024</v>
      </c>
      <c r="BY21" s="71">
        <f>WNA!BX57</f>
        <v>17149</v>
      </c>
      <c r="BZ21" s="71">
        <f>WNA!BY57</f>
        <v>16872</v>
      </c>
      <c r="CA21" s="71">
        <f>WNA!BZ57</f>
        <v>16778</v>
      </c>
      <c r="CB21" s="71">
        <f>WNA!CA57</f>
        <v>17200</v>
      </c>
      <c r="CC21" s="71">
        <f>WNA!CB57</f>
        <v>17535</v>
      </c>
      <c r="CD21" s="71">
        <f>WNA!CC57</f>
        <v>17874</v>
      </c>
      <c r="CE21" s="71">
        <f>WNA!CD57</f>
        <v>17890</v>
      </c>
      <c r="CF21" s="71">
        <f>WNA!CE57</f>
        <v>17938</v>
      </c>
      <c r="CG21" s="71">
        <f>WNA!CF57</f>
        <v>17568</v>
      </c>
      <c r="CH21" s="71">
        <f>WNA!CG57</f>
        <v>17819</v>
      </c>
      <c r="CI21" s="71">
        <f>WNA!CH57</f>
        <v>17344</v>
      </c>
    </row>
    <row r="22" spans="1:87" x14ac:dyDescent="0.2">
      <c r="A22" s="2">
        <v>12</v>
      </c>
      <c r="B22" s="2" t="s">
        <v>24</v>
      </c>
      <c r="C22" s="15">
        <f>C13</f>
        <v>1.534</v>
      </c>
      <c r="D22" s="71">
        <f>'Bill Frequency'!C21+WNA!C65+'Contract &amp; Vol Adj'!C21</f>
        <v>134403.7971002126</v>
      </c>
      <c r="E22" s="71">
        <f>'Bill Frequency'!D21+WNA!D65+'Contract &amp; Vol Adj'!D21</f>
        <v>133874.06513467498</v>
      </c>
      <c r="F22" s="71">
        <f>'Bill Frequency'!E21+WNA!E65+'Contract &amp; Vol Adj'!E21</f>
        <v>135673.12793026792</v>
      </c>
      <c r="G22" s="71">
        <f>'Bill Frequency'!F21+WNA!F65+'Contract &amp; Vol Adj'!F21</f>
        <v>159657.46006949278</v>
      </c>
      <c r="H22" s="71">
        <f>'Bill Frequency'!G21+WNA!G65+'Contract &amp; Vol Adj'!G21</f>
        <v>410418.60962864093</v>
      </c>
      <c r="I22" s="71">
        <f>'Bill Frequency'!H21+WNA!H65+'Contract &amp; Vol Adj'!H21</f>
        <v>591520.67319229885</v>
      </c>
      <c r="J22" s="71">
        <f>'Bill Frequency'!I21+WNA!I65+'Contract &amp; Vol Adj'!I21</f>
        <v>687483.46209263033</v>
      </c>
      <c r="K22" s="71">
        <f>'Bill Frequency'!J21+WNA!J65+'Contract &amp; Vol Adj'!J21</f>
        <v>743241.35931709385</v>
      </c>
      <c r="L22" s="71">
        <f>'Bill Frequency'!K21+WNA!K65+'Contract &amp; Vol Adj'!K21</f>
        <v>559898.38040188956</v>
      </c>
      <c r="M22" s="71">
        <f>'Bill Frequency'!L21+WNA!L65+'Contract &amp; Vol Adj'!L21</f>
        <v>386388.61276533036</v>
      </c>
      <c r="N22" s="71">
        <f>'Bill Frequency'!M21+WNA!M65+'Contract &amp; Vol Adj'!M21</f>
        <v>225116.38818078395</v>
      </c>
      <c r="O22" s="71">
        <f>'Bill Frequency'!N21+WNA!N65+'Contract &amp; Vol Adj'!N21</f>
        <v>166628.90084854182</v>
      </c>
      <c r="P22" s="71">
        <f>D22+WNA!O65</f>
        <v>134403.7971002126</v>
      </c>
      <c r="Q22" s="71">
        <f>E22+WNA!P65</f>
        <v>133874.06513467498</v>
      </c>
      <c r="R22" s="71">
        <f>F22+WNA!Q65</f>
        <v>135673.12793026792</v>
      </c>
      <c r="S22" s="71">
        <f>G22+WNA!R65</f>
        <v>159657.46006949278</v>
      </c>
      <c r="T22" s="71">
        <f>H22+WNA!S65</f>
        <v>410418.60962864093</v>
      </c>
      <c r="U22" s="71">
        <f>I22+WNA!T65</f>
        <v>591520.67319229885</v>
      </c>
      <c r="V22" s="71">
        <f>J22+WNA!U65</f>
        <v>687483.46209263033</v>
      </c>
      <c r="W22" s="71">
        <f>K22+WNA!V65</f>
        <v>743241.35931709385</v>
      </c>
      <c r="X22" s="71">
        <f>L22+WNA!W65</f>
        <v>559898.38040188956</v>
      </c>
      <c r="Y22" s="71">
        <f>M22+WNA!X65</f>
        <v>386388.61276533036</v>
      </c>
      <c r="Z22" s="71">
        <f>N22+WNA!Y65</f>
        <v>225116.38818078395</v>
      </c>
      <c r="AA22" s="71">
        <f>O22+WNA!Z65</f>
        <v>166628.90084854182</v>
      </c>
      <c r="AB22" s="71">
        <f>P22+WNA!AA65</f>
        <v>134403.7971002126</v>
      </c>
      <c r="AC22" s="71">
        <f>Q22+WNA!AB65</f>
        <v>133874.06513467498</v>
      </c>
      <c r="AD22" s="71">
        <f>R22+WNA!AC65</f>
        <v>135673.12793026792</v>
      </c>
      <c r="AE22" s="71">
        <f>S22+WNA!AD65</f>
        <v>159657.46006949278</v>
      </c>
      <c r="AF22" s="71">
        <f>T22+WNA!AE65</f>
        <v>410418.60962864093</v>
      </c>
      <c r="AG22" s="71">
        <f>U22+WNA!AF65</f>
        <v>591520.67319229885</v>
      </c>
      <c r="AH22" s="71">
        <f>V22+WNA!AG65</f>
        <v>687483.46209263033</v>
      </c>
      <c r="AI22" s="71">
        <f>W22+WNA!AH65</f>
        <v>743241.35931709385</v>
      </c>
      <c r="AJ22" s="71">
        <f>X22+WNA!AI65</f>
        <v>559898.38040188956</v>
      </c>
      <c r="AK22" s="71">
        <f>Y22+WNA!AJ65</f>
        <v>386388.61276533036</v>
      </c>
      <c r="AL22" s="71">
        <f>Z22+WNA!AK65</f>
        <v>225116.38818078395</v>
      </c>
      <c r="AM22" s="71">
        <f>AA22+WNA!AL65</f>
        <v>166628.90084854182</v>
      </c>
      <c r="AN22" s="71">
        <f>AB22+WNA!AM65</f>
        <v>134403.7971002126</v>
      </c>
      <c r="AO22" s="71">
        <f>AC22+WNA!AN65</f>
        <v>133874.06513467498</v>
      </c>
      <c r="AP22" s="71">
        <f>AD22+WNA!AO65</f>
        <v>135673.12793026792</v>
      </c>
      <c r="AQ22" s="71">
        <f>AE22+WNA!AP65</f>
        <v>159657.46006949278</v>
      </c>
      <c r="AR22" s="71">
        <f>AF22+WNA!AQ65</f>
        <v>410418.60962864093</v>
      </c>
      <c r="AS22" s="71">
        <f>AG22+WNA!AR65</f>
        <v>591520.67319229885</v>
      </c>
      <c r="AT22" s="71">
        <f>AH22+WNA!AS65</f>
        <v>687483.46209263033</v>
      </c>
      <c r="AU22" s="71">
        <f>AI22+WNA!AT65</f>
        <v>743241.35931709385</v>
      </c>
      <c r="AV22" s="71">
        <f>AJ22+WNA!AU65</f>
        <v>559898.38040188956</v>
      </c>
      <c r="AW22" s="71">
        <f>AK22+WNA!AV65</f>
        <v>386388.61276533036</v>
      </c>
      <c r="AX22" s="71">
        <f>AL22+WNA!AW65</f>
        <v>225116.38818078395</v>
      </c>
      <c r="AY22" s="71">
        <f>AM22+WNA!AX65</f>
        <v>166628.90084854182</v>
      </c>
      <c r="AZ22" s="71">
        <f>AN22+WNA!AY65</f>
        <v>134403.7971002126</v>
      </c>
      <c r="BA22" s="71">
        <f>AO22+WNA!AZ65</f>
        <v>133874.06513467498</v>
      </c>
      <c r="BB22" s="71">
        <f>AP22+WNA!BA65</f>
        <v>135673.12793026792</v>
      </c>
      <c r="BC22" s="71">
        <f>AQ22+WNA!BB65</f>
        <v>159657.46006949278</v>
      </c>
      <c r="BD22" s="71">
        <f>AR22+WNA!BC65</f>
        <v>410418.60962864093</v>
      </c>
      <c r="BE22" s="71">
        <f>AS22+WNA!BD65</f>
        <v>591520.67319229885</v>
      </c>
      <c r="BF22" s="71">
        <f>AT22+WNA!BE65</f>
        <v>687483.46209263033</v>
      </c>
      <c r="BG22" s="71">
        <f>AU22+WNA!BF65</f>
        <v>743241.35931709385</v>
      </c>
      <c r="BH22" s="71">
        <f>AV22+WNA!BG65</f>
        <v>559898.38040188956</v>
      </c>
      <c r="BI22" s="71">
        <f>AW22+WNA!BH65</f>
        <v>386388.61276533036</v>
      </c>
      <c r="BJ22" s="71">
        <f>AX22+WNA!BI65</f>
        <v>225116.38818078395</v>
      </c>
      <c r="BK22" s="71">
        <f>AY22+WNA!BJ65</f>
        <v>166628.90084854182</v>
      </c>
      <c r="BL22" s="71">
        <f>AZ22+WNA!BK65</f>
        <v>134403.7971002126</v>
      </c>
      <c r="BM22" s="71">
        <f>BA22+WNA!BL65</f>
        <v>133874.06513467498</v>
      </c>
      <c r="BN22" s="71">
        <f>BB22+WNA!BM65</f>
        <v>135673.12793026792</v>
      </c>
      <c r="BO22" s="71">
        <f>BC22+WNA!BN65</f>
        <v>159657.46006949278</v>
      </c>
      <c r="BP22" s="71">
        <f>BD22+WNA!BO65</f>
        <v>410418.60962864093</v>
      </c>
      <c r="BQ22" s="71">
        <f>BE22+WNA!BP65</f>
        <v>591520.67319229885</v>
      </c>
      <c r="BR22" s="71">
        <f>BF22+WNA!BQ65</f>
        <v>687483.46209263033</v>
      </c>
      <c r="BS22" s="71">
        <f>BG22+WNA!BR65</f>
        <v>743241.35931709385</v>
      </c>
      <c r="BT22" s="71">
        <f>BH22+WNA!BS65</f>
        <v>559898.38040188956</v>
      </c>
      <c r="BU22" s="71">
        <f>BI22+WNA!BT65</f>
        <v>386388.61276533036</v>
      </c>
      <c r="BV22" s="71">
        <f>BJ22+WNA!BU65</f>
        <v>225116.38818078395</v>
      </c>
      <c r="BW22" s="71">
        <f>BK22+WNA!BV65</f>
        <v>166628.90084854182</v>
      </c>
      <c r="BX22" s="71">
        <f>BL22+WNA!BW65</f>
        <v>134403.7971002126</v>
      </c>
      <c r="BY22" s="71">
        <f>BM22+WNA!BX65</f>
        <v>133874.06513467498</v>
      </c>
      <c r="BZ22" s="71">
        <f>BN22+WNA!BY65</f>
        <v>135673.12793026792</v>
      </c>
      <c r="CA22" s="71">
        <f>BO22+WNA!BZ65</f>
        <v>159657.46006949278</v>
      </c>
      <c r="CB22" s="71">
        <f>BP22+WNA!CA65</f>
        <v>410418.60962864093</v>
      </c>
      <c r="CC22" s="71">
        <f>BQ22+WNA!CB65</f>
        <v>591520.67319229885</v>
      </c>
      <c r="CD22" s="71">
        <f>BR22+WNA!CC65</f>
        <v>687483.46209263033</v>
      </c>
      <c r="CE22" s="71">
        <f>BS22+WNA!CD65</f>
        <v>743241.35931709385</v>
      </c>
      <c r="CF22" s="71">
        <f>BT22+WNA!CE65</f>
        <v>559898.38040188956</v>
      </c>
      <c r="CG22" s="71">
        <f>BU22+WNA!CF65</f>
        <v>386388.61276533036</v>
      </c>
      <c r="CH22" s="71">
        <f>BV22+WNA!CG65</f>
        <v>225116.38818078395</v>
      </c>
      <c r="CI22" s="71">
        <f>BW22+WNA!CH65</f>
        <v>166628.90084854182</v>
      </c>
    </row>
    <row r="23" spans="1:87" x14ac:dyDescent="0.2">
      <c r="A23" s="2">
        <v>13</v>
      </c>
      <c r="B23" s="2" t="s">
        <v>25</v>
      </c>
      <c r="C23" s="15">
        <f>C14</f>
        <v>0.95</v>
      </c>
      <c r="D23" s="71">
        <f>'Bill Frequency'!C22+WNA!C66+'Contract &amp; Vol Adj'!C22</f>
        <v>23928.402899787401</v>
      </c>
      <c r="E23" s="71">
        <f>'Bill Frequency'!D22+WNA!D66+'Contract &amp; Vol Adj'!D22</f>
        <v>25620.974865325028</v>
      </c>
      <c r="F23" s="71">
        <f>'Bill Frequency'!E22+WNA!E66+'Contract &amp; Vol Adj'!E22</f>
        <v>22661.172069732063</v>
      </c>
      <c r="G23" s="71">
        <f>'Bill Frequency'!F22+WNA!F66+'Contract &amp; Vol Adj'!F22</f>
        <v>59029.479930507223</v>
      </c>
      <c r="H23" s="71">
        <f>'Bill Frequency'!G22+WNA!G66+'Contract &amp; Vol Adj'!G22</f>
        <v>7866.9703713590061</v>
      </c>
      <c r="I23" s="71">
        <f>'Bill Frequency'!H22+WNA!H66+'Contract &amp; Vol Adj'!H22</f>
        <v>60742.99680770118</v>
      </c>
      <c r="J23" s="71">
        <f>'Bill Frequency'!I22+WNA!I66+'Contract &amp; Vol Adj'!I22</f>
        <v>117608.13790736967</v>
      </c>
      <c r="K23" s="71">
        <f>'Bill Frequency'!J22+WNA!J66+'Contract &amp; Vol Adj'!J22</f>
        <v>90338.020682906121</v>
      </c>
      <c r="L23" s="71">
        <f>'Bill Frequency'!K22+WNA!K66+'Contract &amp; Vol Adj'!K22</f>
        <v>63709.239598110413</v>
      </c>
      <c r="M23" s="71">
        <f>'Bill Frequency'!L22+WNA!L66+'Contract &amp; Vol Adj'!L22</f>
        <v>37897.987234669585</v>
      </c>
      <c r="N23" s="71">
        <f>'Bill Frequency'!M22+WNA!M66+'Contract &amp; Vol Adj'!M22</f>
        <v>31059.151819216066</v>
      </c>
      <c r="O23" s="71">
        <f>'Bill Frequency'!N22+WNA!N66+'Contract &amp; Vol Adj'!N22</f>
        <v>10685.969151458166</v>
      </c>
      <c r="P23" s="71">
        <f>D23+WNA!O66</f>
        <v>23928.402899787401</v>
      </c>
      <c r="Q23" s="71">
        <f>E23+WNA!P66</f>
        <v>25620.974865325028</v>
      </c>
      <c r="R23" s="71">
        <f>F23+WNA!Q66</f>
        <v>22661.172069732063</v>
      </c>
      <c r="S23" s="71">
        <f>G23+WNA!R66</f>
        <v>59029.479930507223</v>
      </c>
      <c r="T23" s="71">
        <f>H23+WNA!S66</f>
        <v>7866.9703713590061</v>
      </c>
      <c r="U23" s="71">
        <f>I23+WNA!T66</f>
        <v>60742.99680770118</v>
      </c>
      <c r="V23" s="71">
        <f>J23+WNA!U66</f>
        <v>117608.13790736967</v>
      </c>
      <c r="W23" s="71">
        <f>K23+WNA!V66</f>
        <v>90338.020682906121</v>
      </c>
      <c r="X23" s="71">
        <f>L23+WNA!W66</f>
        <v>63709.239598110413</v>
      </c>
      <c r="Y23" s="71">
        <f>M23+WNA!X66</f>
        <v>37897.987234669585</v>
      </c>
      <c r="Z23" s="71">
        <f>N23+WNA!Y66</f>
        <v>31059.151819216066</v>
      </c>
      <c r="AA23" s="71">
        <f>O23+WNA!Z66</f>
        <v>10685.969151458166</v>
      </c>
      <c r="AB23" s="71">
        <f>P23+WNA!AA66</f>
        <v>23928.402899787401</v>
      </c>
      <c r="AC23" s="71">
        <f>Q23+WNA!AB66</f>
        <v>25620.974865325028</v>
      </c>
      <c r="AD23" s="71">
        <f>R23+WNA!AC66</f>
        <v>22661.172069732063</v>
      </c>
      <c r="AE23" s="71">
        <f>S23+WNA!AD66</f>
        <v>59029.479930507223</v>
      </c>
      <c r="AF23" s="71">
        <f>T23+WNA!AE66</f>
        <v>7866.9703713590061</v>
      </c>
      <c r="AG23" s="71">
        <f>U23+WNA!AF66</f>
        <v>60742.99680770118</v>
      </c>
      <c r="AH23" s="71">
        <f>V23+WNA!AG66</f>
        <v>117608.13790736967</v>
      </c>
      <c r="AI23" s="71">
        <f>W23+WNA!AH66</f>
        <v>90338.020682906121</v>
      </c>
      <c r="AJ23" s="71">
        <f>X23+WNA!AI66</f>
        <v>63709.239598110413</v>
      </c>
      <c r="AK23" s="71">
        <f>Y23+WNA!AJ66</f>
        <v>37897.987234669585</v>
      </c>
      <c r="AL23" s="71">
        <f>Z23+WNA!AK66</f>
        <v>31059.151819216066</v>
      </c>
      <c r="AM23" s="71">
        <f>AA23+WNA!AL66</f>
        <v>10685.969151458166</v>
      </c>
      <c r="AN23" s="71">
        <f>AB23+WNA!AM66</f>
        <v>23928.402899787401</v>
      </c>
      <c r="AO23" s="71">
        <f>AC23+WNA!AN66</f>
        <v>25620.974865325028</v>
      </c>
      <c r="AP23" s="71">
        <f>AD23+WNA!AO66</f>
        <v>22661.172069732063</v>
      </c>
      <c r="AQ23" s="71">
        <f>AE23+WNA!AP66</f>
        <v>59029.479930507223</v>
      </c>
      <c r="AR23" s="71">
        <f>AF23+WNA!AQ66</f>
        <v>7866.9703713590061</v>
      </c>
      <c r="AS23" s="71">
        <f>AG23+WNA!AR66</f>
        <v>60742.99680770118</v>
      </c>
      <c r="AT23" s="71">
        <f>AH23+WNA!AS66</f>
        <v>117608.13790736967</v>
      </c>
      <c r="AU23" s="71">
        <f>AI23+WNA!AT66</f>
        <v>90338.020682906121</v>
      </c>
      <c r="AV23" s="71">
        <f>AJ23+WNA!AU66</f>
        <v>63709.239598110413</v>
      </c>
      <c r="AW23" s="71">
        <f>AK23+WNA!AV66</f>
        <v>37897.987234669585</v>
      </c>
      <c r="AX23" s="71">
        <f>AL23+WNA!AW66</f>
        <v>31059.151819216066</v>
      </c>
      <c r="AY23" s="71">
        <f>AM23+WNA!AX66</f>
        <v>10685.969151458166</v>
      </c>
      <c r="AZ23" s="71">
        <f>AN23+WNA!AY66</f>
        <v>23928.402899787401</v>
      </c>
      <c r="BA23" s="71">
        <f>AO23+WNA!AZ66</f>
        <v>25620.974865325028</v>
      </c>
      <c r="BB23" s="71">
        <f>AP23+WNA!BA66</f>
        <v>22661.172069732063</v>
      </c>
      <c r="BC23" s="71">
        <f>AQ23+WNA!BB66</f>
        <v>59029.479930507223</v>
      </c>
      <c r="BD23" s="71">
        <f>AR23+WNA!BC66</f>
        <v>7866.9703713590061</v>
      </c>
      <c r="BE23" s="71">
        <f>AS23+WNA!BD66</f>
        <v>60742.99680770118</v>
      </c>
      <c r="BF23" s="71">
        <f>AT23+WNA!BE66</f>
        <v>117608.13790736967</v>
      </c>
      <c r="BG23" s="71">
        <f>AU23+WNA!BF66</f>
        <v>90338.020682906121</v>
      </c>
      <c r="BH23" s="71">
        <f>AV23+WNA!BG66</f>
        <v>63709.239598110413</v>
      </c>
      <c r="BI23" s="71">
        <f>AW23+WNA!BH66</f>
        <v>37897.987234669585</v>
      </c>
      <c r="BJ23" s="71">
        <f>AX23+WNA!BI66</f>
        <v>31059.151819216066</v>
      </c>
      <c r="BK23" s="71">
        <f>AY23+WNA!BJ66</f>
        <v>10685.969151458166</v>
      </c>
      <c r="BL23" s="71">
        <f>AZ23+WNA!BK66</f>
        <v>23928.402899787401</v>
      </c>
      <c r="BM23" s="71">
        <f>BA23+WNA!BL66</f>
        <v>25620.974865325028</v>
      </c>
      <c r="BN23" s="71">
        <f>BB23+WNA!BM66</f>
        <v>22661.172069732063</v>
      </c>
      <c r="BO23" s="71">
        <f>BC23+WNA!BN66</f>
        <v>59029.479930507223</v>
      </c>
      <c r="BP23" s="71">
        <f>BD23+WNA!BO66</f>
        <v>7866.9703713590061</v>
      </c>
      <c r="BQ23" s="71">
        <f>BE23+WNA!BP66</f>
        <v>60742.99680770118</v>
      </c>
      <c r="BR23" s="71">
        <f>BF23+WNA!BQ66</f>
        <v>117608.13790736967</v>
      </c>
      <c r="BS23" s="71">
        <f>BG23+WNA!BR66</f>
        <v>90338.020682906121</v>
      </c>
      <c r="BT23" s="71">
        <f>BH23+WNA!BS66</f>
        <v>63709.239598110413</v>
      </c>
      <c r="BU23" s="71">
        <f>BI23+WNA!BT66</f>
        <v>37897.987234669585</v>
      </c>
      <c r="BV23" s="71">
        <f>BJ23+WNA!BU66</f>
        <v>31059.151819216066</v>
      </c>
      <c r="BW23" s="71">
        <f>BK23+WNA!BV66</f>
        <v>10685.969151458166</v>
      </c>
      <c r="BX23" s="71">
        <f>BL23+WNA!BW66</f>
        <v>23928.402899787401</v>
      </c>
      <c r="BY23" s="71">
        <f>BM23+WNA!BX66</f>
        <v>25620.974865325028</v>
      </c>
      <c r="BZ23" s="71">
        <f>BN23+WNA!BY66</f>
        <v>22661.172069732063</v>
      </c>
      <c r="CA23" s="71">
        <f>BO23+WNA!BZ66</f>
        <v>59029.479930507223</v>
      </c>
      <c r="CB23" s="71">
        <f>BP23+WNA!CA66</f>
        <v>7866.9703713590061</v>
      </c>
      <c r="CC23" s="71">
        <f>BQ23+WNA!CB66</f>
        <v>60742.99680770118</v>
      </c>
      <c r="CD23" s="71">
        <f>BR23+WNA!CC66</f>
        <v>117608.13790736967</v>
      </c>
      <c r="CE23" s="71">
        <f>BS23+WNA!CD66</f>
        <v>90338.020682906121</v>
      </c>
      <c r="CF23" s="71">
        <f>BT23+WNA!CE66</f>
        <v>63709.239598110413</v>
      </c>
      <c r="CG23" s="71">
        <f>BU23+WNA!CF66</f>
        <v>37897.987234669585</v>
      </c>
      <c r="CH23" s="71">
        <f>BV23+WNA!CG66</f>
        <v>31059.151819216066</v>
      </c>
      <c r="CI23" s="71">
        <f>BW23+WNA!CH66</f>
        <v>10685.969151458166</v>
      </c>
    </row>
    <row r="24" spans="1:87" x14ac:dyDescent="0.2">
      <c r="A24" s="2">
        <v>14</v>
      </c>
      <c r="B24" s="2" t="s">
        <v>81</v>
      </c>
      <c r="C24" s="15">
        <f>C15</f>
        <v>0.74</v>
      </c>
      <c r="D24" s="71">
        <f>'Bill Frequency'!C23+WNA!C67+'Contract &amp; Vol Adj'!C23</f>
        <v>0</v>
      </c>
      <c r="E24" s="71">
        <f>'Bill Frequency'!D23+WNA!D67+'Contract &amp; Vol Adj'!D23</f>
        <v>0</v>
      </c>
      <c r="F24" s="71">
        <f>'Bill Frequency'!E23+WNA!E67+'Contract &amp; Vol Adj'!E23</f>
        <v>0</v>
      </c>
      <c r="G24" s="71">
        <f>'Bill Frequency'!F23+WNA!F67+'Contract &amp; Vol Adj'!F23</f>
        <v>0</v>
      </c>
      <c r="H24" s="71">
        <f>'Bill Frequency'!G23+WNA!G67+'Contract &amp; Vol Adj'!G23</f>
        <v>0</v>
      </c>
      <c r="I24" s="71">
        <f>'Bill Frequency'!H23+WNA!H67+'Contract &amp; Vol Adj'!H23</f>
        <v>0</v>
      </c>
      <c r="J24" s="71">
        <f>'Bill Frequency'!I23+WNA!I67+'Contract &amp; Vol Adj'!I23</f>
        <v>0</v>
      </c>
      <c r="K24" s="71">
        <f>'Bill Frequency'!J23+WNA!J67+'Contract &amp; Vol Adj'!J23</f>
        <v>0</v>
      </c>
      <c r="L24" s="71">
        <f>'Bill Frequency'!K23+WNA!K67+'Contract &amp; Vol Adj'!K23</f>
        <v>0</v>
      </c>
      <c r="M24" s="71">
        <f>'Bill Frequency'!L23+WNA!L67+'Contract &amp; Vol Adj'!L23</f>
        <v>0</v>
      </c>
      <c r="N24" s="71">
        <f>'Bill Frequency'!M23+WNA!M67+'Contract &amp; Vol Adj'!M23</f>
        <v>0</v>
      </c>
      <c r="O24" s="71">
        <f>'Bill Frequency'!N23+WNA!N67+'Contract &amp; Vol Adj'!N23</f>
        <v>0</v>
      </c>
      <c r="P24" s="71">
        <f>D24+WNA!O67</f>
        <v>0</v>
      </c>
      <c r="Q24" s="71">
        <f>E24+WNA!P67</f>
        <v>0</v>
      </c>
      <c r="R24" s="71">
        <f>F24+WNA!Q67</f>
        <v>0</v>
      </c>
      <c r="S24" s="71">
        <f>G24+WNA!R67</f>
        <v>0</v>
      </c>
      <c r="T24" s="71">
        <f>H24+WNA!S67</f>
        <v>0</v>
      </c>
      <c r="U24" s="71">
        <f>I24+WNA!T67</f>
        <v>0</v>
      </c>
      <c r="V24" s="71">
        <f>J24+WNA!U67</f>
        <v>0</v>
      </c>
      <c r="W24" s="71">
        <f>K24+WNA!V67</f>
        <v>0</v>
      </c>
      <c r="X24" s="71">
        <f>L24+WNA!W67</f>
        <v>0</v>
      </c>
      <c r="Y24" s="71">
        <f>M24+WNA!X67</f>
        <v>0</v>
      </c>
      <c r="Z24" s="71">
        <f>N24+WNA!Y67</f>
        <v>0</v>
      </c>
      <c r="AA24" s="71">
        <f>O24+WNA!Z67</f>
        <v>0</v>
      </c>
      <c r="AB24" s="71">
        <f>P24+WNA!AA67</f>
        <v>0</v>
      </c>
      <c r="AC24" s="71">
        <f>Q24+WNA!AB67</f>
        <v>0</v>
      </c>
      <c r="AD24" s="71">
        <f>R24+WNA!AC67</f>
        <v>0</v>
      </c>
      <c r="AE24" s="71">
        <f>S24+WNA!AD67</f>
        <v>0</v>
      </c>
      <c r="AF24" s="71">
        <f>T24+WNA!AE67</f>
        <v>0</v>
      </c>
      <c r="AG24" s="71">
        <f>U24+WNA!AF67</f>
        <v>0</v>
      </c>
      <c r="AH24" s="71">
        <f>V24+WNA!AG67</f>
        <v>0</v>
      </c>
      <c r="AI24" s="71">
        <f>W24+WNA!AH67</f>
        <v>0</v>
      </c>
      <c r="AJ24" s="71">
        <f>X24+WNA!AI67</f>
        <v>0</v>
      </c>
      <c r="AK24" s="71">
        <f>Y24+WNA!AJ67</f>
        <v>0</v>
      </c>
      <c r="AL24" s="71">
        <f>Z24+WNA!AK67</f>
        <v>0</v>
      </c>
      <c r="AM24" s="71">
        <f>AA24+WNA!AL67</f>
        <v>0</v>
      </c>
      <c r="AN24" s="71">
        <f>AB24+WNA!AM67</f>
        <v>0</v>
      </c>
      <c r="AO24" s="71">
        <f>AC24+WNA!AN67</f>
        <v>0</v>
      </c>
      <c r="AP24" s="71">
        <f>AD24+WNA!AO67</f>
        <v>0</v>
      </c>
      <c r="AQ24" s="71">
        <f>AE24+WNA!AP67</f>
        <v>0</v>
      </c>
      <c r="AR24" s="71">
        <f>AF24+WNA!AQ67</f>
        <v>0</v>
      </c>
      <c r="AS24" s="71">
        <f>AG24+WNA!AR67</f>
        <v>0</v>
      </c>
      <c r="AT24" s="71">
        <f>AH24+WNA!AS67</f>
        <v>0</v>
      </c>
      <c r="AU24" s="71">
        <f>AI24+WNA!AT67</f>
        <v>0</v>
      </c>
      <c r="AV24" s="71">
        <f>AJ24+WNA!AU67</f>
        <v>0</v>
      </c>
      <c r="AW24" s="71">
        <f>AK24+WNA!AV67</f>
        <v>0</v>
      </c>
      <c r="AX24" s="71">
        <f>AL24+WNA!AW67</f>
        <v>0</v>
      </c>
      <c r="AY24" s="71">
        <f>AM24+WNA!AX67</f>
        <v>0</v>
      </c>
      <c r="AZ24" s="71">
        <f>AN24+WNA!AY67</f>
        <v>0</v>
      </c>
      <c r="BA24" s="71">
        <f>AO24+WNA!AZ67</f>
        <v>0</v>
      </c>
      <c r="BB24" s="71">
        <f>AP24+WNA!BA67</f>
        <v>0</v>
      </c>
      <c r="BC24" s="71">
        <f>AQ24+WNA!BB67</f>
        <v>0</v>
      </c>
      <c r="BD24" s="71">
        <f>AR24+WNA!BC67</f>
        <v>0</v>
      </c>
      <c r="BE24" s="71">
        <f>AS24+WNA!BD67</f>
        <v>0</v>
      </c>
      <c r="BF24" s="71">
        <f>AT24+WNA!BE67</f>
        <v>0</v>
      </c>
      <c r="BG24" s="71">
        <f>AU24+WNA!BF67</f>
        <v>0</v>
      </c>
      <c r="BH24" s="71">
        <f>AV24+WNA!BG67</f>
        <v>0</v>
      </c>
      <c r="BI24" s="71">
        <f>AW24+WNA!BH67</f>
        <v>0</v>
      </c>
      <c r="BJ24" s="71">
        <f>AX24+WNA!BI67</f>
        <v>0</v>
      </c>
      <c r="BK24" s="71">
        <f>AY24+WNA!BJ67</f>
        <v>0</v>
      </c>
      <c r="BL24" s="71">
        <f>AZ24+WNA!BK67</f>
        <v>0</v>
      </c>
      <c r="BM24" s="71">
        <f>BA24+WNA!BL67</f>
        <v>0</v>
      </c>
      <c r="BN24" s="71">
        <f>BB24+WNA!BM67</f>
        <v>0</v>
      </c>
      <c r="BO24" s="71">
        <f>BC24+WNA!BN67</f>
        <v>0</v>
      </c>
      <c r="BP24" s="71">
        <f>BD24+WNA!BO67</f>
        <v>0</v>
      </c>
      <c r="BQ24" s="71">
        <f>BE24+WNA!BP67</f>
        <v>0</v>
      </c>
      <c r="BR24" s="71">
        <f>BF24+WNA!BQ67</f>
        <v>0</v>
      </c>
      <c r="BS24" s="71">
        <f>BG24+WNA!BR67</f>
        <v>0</v>
      </c>
      <c r="BT24" s="71">
        <f>BH24+WNA!BS67</f>
        <v>0</v>
      </c>
      <c r="BU24" s="71">
        <f>BI24+WNA!BT67</f>
        <v>0</v>
      </c>
      <c r="BV24" s="71">
        <f>BJ24+WNA!BU67</f>
        <v>0</v>
      </c>
      <c r="BW24" s="71">
        <f>BK24+WNA!BV67</f>
        <v>0</v>
      </c>
      <c r="BX24" s="71">
        <f>BL24+WNA!BW67</f>
        <v>0</v>
      </c>
      <c r="BY24" s="71">
        <f>BM24+WNA!BX67</f>
        <v>0</v>
      </c>
      <c r="BZ24" s="71">
        <f>BN24+WNA!BY67</f>
        <v>0</v>
      </c>
      <c r="CA24" s="71">
        <f>BO24+WNA!BZ67</f>
        <v>0</v>
      </c>
      <c r="CB24" s="71">
        <f>BP24+WNA!CA67</f>
        <v>0</v>
      </c>
      <c r="CC24" s="71">
        <f>BQ24+WNA!CB67</f>
        <v>0</v>
      </c>
      <c r="CD24" s="71">
        <f>BR24+WNA!CC67</f>
        <v>0</v>
      </c>
      <c r="CE24" s="71">
        <f>BS24+WNA!CD67</f>
        <v>0</v>
      </c>
      <c r="CF24" s="71">
        <f>BT24+WNA!CE67</f>
        <v>0</v>
      </c>
      <c r="CG24" s="71">
        <f>BU24+WNA!CF67</f>
        <v>0</v>
      </c>
      <c r="CH24" s="71">
        <f>BV24+WNA!CG67</f>
        <v>0</v>
      </c>
      <c r="CI24" s="71">
        <f>BW24+WNA!CH67</f>
        <v>0</v>
      </c>
    </row>
    <row r="25" spans="1:87" x14ac:dyDescent="0.2">
      <c r="A25" s="2">
        <v>15</v>
      </c>
      <c r="B25" s="33" t="s">
        <v>79</v>
      </c>
      <c r="C25" s="33"/>
      <c r="D25" s="32">
        <f t="shared" ref="D25:AI25" si="10">D22+D23+D24</f>
        <v>158332.20000000001</v>
      </c>
      <c r="E25" s="32">
        <f t="shared" si="10"/>
        <v>159495.04000000001</v>
      </c>
      <c r="F25" s="32">
        <f t="shared" si="10"/>
        <v>158334.29999999999</v>
      </c>
      <c r="G25" s="32">
        <f t="shared" si="10"/>
        <v>218686.94</v>
      </c>
      <c r="H25" s="32">
        <f t="shared" si="10"/>
        <v>418285.57999999996</v>
      </c>
      <c r="I25" s="32">
        <f t="shared" si="10"/>
        <v>652263.67000000004</v>
      </c>
      <c r="J25" s="32">
        <f t="shared" si="10"/>
        <v>805091.6</v>
      </c>
      <c r="K25" s="32">
        <f t="shared" si="10"/>
        <v>833579.38</v>
      </c>
      <c r="L25" s="32">
        <f t="shared" si="10"/>
        <v>623607.62</v>
      </c>
      <c r="M25" s="32">
        <f t="shared" si="10"/>
        <v>424286.59999999992</v>
      </c>
      <c r="N25" s="32">
        <f t="shared" si="10"/>
        <v>256175.54</v>
      </c>
      <c r="O25" s="32">
        <f t="shared" si="10"/>
        <v>177314.87</v>
      </c>
      <c r="P25" s="32">
        <f t="shared" si="10"/>
        <v>158332.20000000001</v>
      </c>
      <c r="Q25" s="32">
        <f t="shared" si="10"/>
        <v>159495.04000000001</v>
      </c>
      <c r="R25" s="32">
        <f t="shared" si="10"/>
        <v>158334.29999999999</v>
      </c>
      <c r="S25" s="32">
        <f t="shared" si="10"/>
        <v>218686.94</v>
      </c>
      <c r="T25" s="32">
        <f t="shared" si="10"/>
        <v>418285.57999999996</v>
      </c>
      <c r="U25" s="32">
        <f t="shared" si="10"/>
        <v>652263.67000000004</v>
      </c>
      <c r="V25" s="32">
        <f t="shared" si="10"/>
        <v>805091.6</v>
      </c>
      <c r="W25" s="32">
        <f t="shared" si="10"/>
        <v>833579.38</v>
      </c>
      <c r="X25" s="32">
        <f t="shared" si="10"/>
        <v>623607.62</v>
      </c>
      <c r="Y25" s="32">
        <f t="shared" si="10"/>
        <v>424286.59999999992</v>
      </c>
      <c r="Z25" s="32">
        <f t="shared" si="10"/>
        <v>256175.54</v>
      </c>
      <c r="AA25" s="32">
        <f t="shared" si="10"/>
        <v>177314.87</v>
      </c>
      <c r="AB25" s="32">
        <f t="shared" si="10"/>
        <v>158332.20000000001</v>
      </c>
      <c r="AC25" s="32">
        <f t="shared" si="10"/>
        <v>159495.04000000001</v>
      </c>
      <c r="AD25" s="32">
        <f t="shared" si="10"/>
        <v>158334.29999999999</v>
      </c>
      <c r="AE25" s="32">
        <f t="shared" si="10"/>
        <v>218686.94</v>
      </c>
      <c r="AF25" s="32">
        <f t="shared" si="10"/>
        <v>418285.57999999996</v>
      </c>
      <c r="AG25" s="32">
        <f t="shared" si="10"/>
        <v>652263.67000000004</v>
      </c>
      <c r="AH25" s="32">
        <f t="shared" si="10"/>
        <v>805091.6</v>
      </c>
      <c r="AI25" s="32">
        <f t="shared" si="10"/>
        <v>833579.38</v>
      </c>
      <c r="AJ25" s="32">
        <f t="shared" ref="AJ25:BW25" si="11">AJ22+AJ23+AJ24</f>
        <v>623607.62</v>
      </c>
      <c r="AK25" s="32">
        <f t="shared" si="11"/>
        <v>424286.59999999992</v>
      </c>
      <c r="AL25" s="32">
        <f t="shared" si="11"/>
        <v>256175.54</v>
      </c>
      <c r="AM25" s="32">
        <f t="shared" si="11"/>
        <v>177314.87</v>
      </c>
      <c r="AN25" s="32">
        <f t="shared" si="11"/>
        <v>158332.20000000001</v>
      </c>
      <c r="AO25" s="32">
        <f t="shared" si="11"/>
        <v>159495.04000000001</v>
      </c>
      <c r="AP25" s="32">
        <f t="shared" si="11"/>
        <v>158334.29999999999</v>
      </c>
      <c r="AQ25" s="32">
        <f t="shared" si="11"/>
        <v>218686.94</v>
      </c>
      <c r="AR25" s="32">
        <f t="shared" si="11"/>
        <v>418285.57999999996</v>
      </c>
      <c r="AS25" s="32">
        <f t="shared" si="11"/>
        <v>652263.67000000004</v>
      </c>
      <c r="AT25" s="32">
        <f t="shared" si="11"/>
        <v>805091.6</v>
      </c>
      <c r="AU25" s="32">
        <f t="shared" si="11"/>
        <v>833579.38</v>
      </c>
      <c r="AV25" s="32">
        <f t="shared" si="11"/>
        <v>623607.62</v>
      </c>
      <c r="AW25" s="32">
        <f t="shared" si="11"/>
        <v>424286.59999999992</v>
      </c>
      <c r="AX25" s="32">
        <f t="shared" si="11"/>
        <v>256175.54</v>
      </c>
      <c r="AY25" s="32">
        <f t="shared" si="11"/>
        <v>177314.87</v>
      </c>
      <c r="AZ25" s="32">
        <f t="shared" si="11"/>
        <v>158332.20000000001</v>
      </c>
      <c r="BA25" s="32">
        <f t="shared" si="11"/>
        <v>159495.04000000001</v>
      </c>
      <c r="BB25" s="32">
        <f t="shared" si="11"/>
        <v>158334.29999999999</v>
      </c>
      <c r="BC25" s="32">
        <f t="shared" si="11"/>
        <v>218686.94</v>
      </c>
      <c r="BD25" s="32">
        <f t="shared" si="11"/>
        <v>418285.57999999996</v>
      </c>
      <c r="BE25" s="32">
        <f t="shared" si="11"/>
        <v>652263.67000000004</v>
      </c>
      <c r="BF25" s="32">
        <f t="shared" si="11"/>
        <v>805091.6</v>
      </c>
      <c r="BG25" s="32">
        <f t="shared" si="11"/>
        <v>833579.38</v>
      </c>
      <c r="BH25" s="32">
        <f t="shared" si="11"/>
        <v>623607.62</v>
      </c>
      <c r="BI25" s="32">
        <f t="shared" si="11"/>
        <v>424286.59999999992</v>
      </c>
      <c r="BJ25" s="32">
        <f t="shared" si="11"/>
        <v>256175.54</v>
      </c>
      <c r="BK25" s="32">
        <f t="shared" si="11"/>
        <v>177314.87</v>
      </c>
      <c r="BL25" s="32">
        <f t="shared" si="11"/>
        <v>158332.20000000001</v>
      </c>
      <c r="BM25" s="32">
        <f t="shared" si="11"/>
        <v>159495.04000000001</v>
      </c>
      <c r="BN25" s="32">
        <f t="shared" si="11"/>
        <v>158334.29999999999</v>
      </c>
      <c r="BO25" s="32">
        <f t="shared" si="11"/>
        <v>218686.94</v>
      </c>
      <c r="BP25" s="32">
        <f t="shared" si="11"/>
        <v>418285.57999999996</v>
      </c>
      <c r="BQ25" s="32">
        <f t="shared" si="11"/>
        <v>652263.67000000004</v>
      </c>
      <c r="BR25" s="32">
        <f t="shared" si="11"/>
        <v>805091.6</v>
      </c>
      <c r="BS25" s="32">
        <f t="shared" si="11"/>
        <v>833579.38</v>
      </c>
      <c r="BT25" s="32">
        <f t="shared" si="11"/>
        <v>623607.62</v>
      </c>
      <c r="BU25" s="32">
        <f t="shared" si="11"/>
        <v>424286.59999999992</v>
      </c>
      <c r="BV25" s="32">
        <f t="shared" si="11"/>
        <v>256175.54</v>
      </c>
      <c r="BW25" s="32">
        <f t="shared" si="11"/>
        <v>177314.87</v>
      </c>
      <c r="BX25" s="32">
        <f t="shared" ref="BX25:CI25" si="12">BX22+BX23+BX24</f>
        <v>158332.20000000001</v>
      </c>
      <c r="BY25" s="32">
        <f t="shared" si="12"/>
        <v>159495.04000000001</v>
      </c>
      <c r="BZ25" s="32">
        <f t="shared" si="12"/>
        <v>158334.29999999999</v>
      </c>
      <c r="CA25" s="32">
        <f t="shared" si="12"/>
        <v>218686.94</v>
      </c>
      <c r="CB25" s="32">
        <f t="shared" si="12"/>
        <v>418285.57999999996</v>
      </c>
      <c r="CC25" s="32">
        <f t="shared" si="12"/>
        <v>652263.67000000004</v>
      </c>
      <c r="CD25" s="32">
        <f t="shared" si="12"/>
        <v>805091.6</v>
      </c>
      <c r="CE25" s="32">
        <f t="shared" si="12"/>
        <v>833579.38</v>
      </c>
      <c r="CF25" s="32">
        <f t="shared" si="12"/>
        <v>623607.62</v>
      </c>
      <c r="CG25" s="32">
        <f t="shared" si="12"/>
        <v>424286.59999999992</v>
      </c>
      <c r="CH25" s="32">
        <f t="shared" si="12"/>
        <v>256175.54</v>
      </c>
      <c r="CI25" s="32">
        <f t="shared" si="12"/>
        <v>177314.87</v>
      </c>
    </row>
    <row r="26" spans="1:87" x14ac:dyDescent="0.2">
      <c r="A26" s="2">
        <v>16</v>
      </c>
      <c r="B26" s="17" t="s">
        <v>226</v>
      </c>
      <c r="C26" s="17"/>
      <c r="D26" s="95">
        <f>D17</f>
        <v>3.6865999999999999</v>
      </c>
      <c r="E26" s="95">
        <f t="shared" ref="E26:P26" si="13">E17</f>
        <v>4.0933999999999999</v>
      </c>
      <c r="F26" s="95">
        <f t="shared" si="13"/>
        <v>4.0933999999999999</v>
      </c>
      <c r="G26" s="95">
        <f t="shared" si="13"/>
        <v>4.0933999999999999</v>
      </c>
      <c r="H26" s="95">
        <f t="shared" si="13"/>
        <v>4.1377000000000006</v>
      </c>
      <c r="I26" s="95">
        <f t="shared" si="13"/>
        <v>4.1377000000000006</v>
      </c>
      <c r="J26" s="95">
        <f t="shared" si="13"/>
        <v>4.1377000000000006</v>
      </c>
      <c r="K26" s="95">
        <f t="shared" si="13"/>
        <v>4.3841999999999999</v>
      </c>
      <c r="L26" s="95">
        <f t="shared" si="13"/>
        <v>4.3841999999999999</v>
      </c>
      <c r="M26" s="95">
        <f t="shared" si="13"/>
        <v>4.3841999999999999</v>
      </c>
      <c r="N26" s="95">
        <f t="shared" si="13"/>
        <v>4.9828999999999999</v>
      </c>
      <c r="O26" s="95">
        <f t="shared" si="13"/>
        <v>5.1480000000000006</v>
      </c>
      <c r="P26" s="95">
        <f t="shared" si="13"/>
        <v>5.1480000000000006</v>
      </c>
      <c r="Q26" s="95">
        <f t="shared" ref="Q26:AA26" si="14">Q17</f>
        <v>5.0563999999999991</v>
      </c>
      <c r="R26" s="95">
        <f t="shared" si="14"/>
        <v>5.0563999999999991</v>
      </c>
      <c r="S26" s="95">
        <f t="shared" si="14"/>
        <v>5.0563999999999991</v>
      </c>
      <c r="T26" s="95">
        <f t="shared" si="14"/>
        <v>4.7457025946093809</v>
      </c>
      <c r="U26" s="95">
        <f t="shared" si="14"/>
        <v>4.7457025946093809</v>
      </c>
      <c r="V26" s="95">
        <f t="shared" si="14"/>
        <v>4.7457025946093809</v>
      </c>
      <c r="W26" s="95">
        <f t="shared" si="14"/>
        <v>4.6493144113040463</v>
      </c>
      <c r="X26" s="95">
        <f t="shared" si="14"/>
        <v>4.6493144113040463</v>
      </c>
      <c r="Y26" s="95">
        <f t="shared" si="14"/>
        <v>4.6493144113040463</v>
      </c>
      <c r="Z26" s="95">
        <f t="shared" si="14"/>
        <v>4.8747402727505156</v>
      </c>
      <c r="AA26" s="95">
        <f t="shared" si="14"/>
        <v>4.8747402727505156</v>
      </c>
      <c r="AB26" s="95">
        <f t="shared" ref="AB26:BW26" si="15">AB17</f>
        <v>4.8747402727505156</v>
      </c>
      <c r="AC26" s="95">
        <f t="shared" si="15"/>
        <v>4.8549770121409086</v>
      </c>
      <c r="AD26" s="95">
        <f t="shared" si="15"/>
        <v>4.8549770121409086</v>
      </c>
      <c r="AE26" s="95">
        <f t="shared" si="15"/>
        <v>4.8549770121409086</v>
      </c>
      <c r="AF26" s="95">
        <f t="shared" si="15"/>
        <v>4.6982867815053471</v>
      </c>
      <c r="AG26" s="95">
        <f t="shared" si="15"/>
        <v>4.6982867815053471</v>
      </c>
      <c r="AH26" s="95">
        <f t="shared" si="15"/>
        <v>4.6982867815053471</v>
      </c>
      <c r="AI26" s="95">
        <f t="shared" si="15"/>
        <v>4.6235786988289602</v>
      </c>
      <c r="AJ26" s="95">
        <f t="shared" si="15"/>
        <v>4.6235786988289602</v>
      </c>
      <c r="AK26" s="95">
        <f t="shared" si="15"/>
        <v>4.6235786988289602</v>
      </c>
      <c r="AL26" s="95">
        <f t="shared" si="15"/>
        <v>4.6856917749816356</v>
      </c>
      <c r="AM26" s="95">
        <f t="shared" si="15"/>
        <v>4.6856917749816356</v>
      </c>
      <c r="AN26" s="95">
        <f t="shared" si="15"/>
        <v>4.6856917749816356</v>
      </c>
      <c r="AO26" s="95">
        <f t="shared" si="15"/>
        <v>4.6723633592542724</v>
      </c>
      <c r="AP26" s="95">
        <f t="shared" si="15"/>
        <v>4.6723633592542724</v>
      </c>
      <c r="AQ26" s="95">
        <f t="shared" si="15"/>
        <v>4.6723633592542724</v>
      </c>
      <c r="AR26" s="95">
        <f t="shared" si="15"/>
        <v>4.5892930954093805</v>
      </c>
      <c r="AS26" s="95">
        <f t="shared" si="15"/>
        <v>4.5892930954093805</v>
      </c>
      <c r="AT26" s="95">
        <f t="shared" si="15"/>
        <v>4.5892930954093805</v>
      </c>
      <c r="AU26" s="95">
        <f t="shared" si="15"/>
        <v>4.5369016932337054</v>
      </c>
      <c r="AV26" s="95">
        <f t="shared" si="15"/>
        <v>4.5369016932337054</v>
      </c>
      <c r="AW26" s="95">
        <f t="shared" si="15"/>
        <v>4.5369016932337054</v>
      </c>
      <c r="AX26" s="95">
        <f t="shared" si="15"/>
        <v>4.6299697154129769</v>
      </c>
      <c r="AY26" s="95">
        <f t="shared" si="15"/>
        <v>4.6299697154129769</v>
      </c>
      <c r="AZ26" s="95">
        <f t="shared" si="15"/>
        <v>4.6299697154129769</v>
      </c>
      <c r="BA26" s="95">
        <f t="shared" si="15"/>
        <v>4.6508552650625932</v>
      </c>
      <c r="BB26" s="95">
        <f t="shared" si="15"/>
        <v>4.6508552650625932</v>
      </c>
      <c r="BC26" s="95">
        <f t="shared" si="15"/>
        <v>4.6508552650625932</v>
      </c>
      <c r="BD26" s="95">
        <f t="shared" si="15"/>
        <v>4.5688240664492845</v>
      </c>
      <c r="BE26" s="95">
        <f t="shared" si="15"/>
        <v>4.5688240664492845</v>
      </c>
      <c r="BF26" s="95">
        <f t="shared" si="15"/>
        <v>4.5688240664492845</v>
      </c>
      <c r="BG26" s="95">
        <f t="shared" si="15"/>
        <v>4.5074579308191165</v>
      </c>
      <c r="BH26" s="95">
        <f t="shared" si="15"/>
        <v>4.5074579308191165</v>
      </c>
      <c r="BI26" s="95">
        <f t="shared" si="15"/>
        <v>4.5074579308191165</v>
      </c>
      <c r="BJ26" s="95">
        <f t="shared" si="15"/>
        <v>4.6286843481216708</v>
      </c>
      <c r="BK26" s="95">
        <f t="shared" si="15"/>
        <v>4.6286843481216708</v>
      </c>
      <c r="BL26" s="95">
        <f t="shared" si="15"/>
        <v>4.6286843481216708</v>
      </c>
      <c r="BM26" s="95">
        <f t="shared" si="15"/>
        <v>4.6567193704796717</v>
      </c>
      <c r="BN26" s="95">
        <f t="shared" si="15"/>
        <v>4.6567193704796717</v>
      </c>
      <c r="BO26" s="95">
        <f t="shared" si="15"/>
        <v>4.6567193704796717</v>
      </c>
      <c r="BP26" s="95">
        <f t="shared" si="15"/>
        <v>4.5792599203715536</v>
      </c>
      <c r="BQ26" s="95">
        <f t="shared" si="15"/>
        <v>4.5792599203715536</v>
      </c>
      <c r="BR26" s="95">
        <f t="shared" si="15"/>
        <v>4.5792599203715536</v>
      </c>
      <c r="BS26" s="95">
        <f t="shared" si="15"/>
        <v>4.5143191992924905</v>
      </c>
      <c r="BT26" s="95">
        <f t="shared" si="15"/>
        <v>4.5143191992924905</v>
      </c>
      <c r="BU26" s="95">
        <f t="shared" si="15"/>
        <v>4.5143191992924905</v>
      </c>
      <c r="BV26" s="95">
        <f t="shared" si="15"/>
        <v>4.6576773448947426</v>
      </c>
      <c r="BW26" s="95">
        <f t="shared" si="15"/>
        <v>4.6576773448947426</v>
      </c>
      <c r="BX26" s="95">
        <f t="shared" ref="BX26:CI26" si="16">BX17</f>
        <v>4.6576773448947426</v>
      </c>
      <c r="BY26" s="95">
        <f t="shared" si="16"/>
        <v>4.6912790895580949</v>
      </c>
      <c r="BZ26" s="95">
        <f t="shared" si="16"/>
        <v>4.6912790895580949</v>
      </c>
      <c r="CA26" s="95">
        <f t="shared" si="16"/>
        <v>4.6912790895580949</v>
      </c>
      <c r="CB26" s="95">
        <f t="shared" si="16"/>
        <v>4.7021368584552379</v>
      </c>
      <c r="CC26" s="95">
        <f t="shared" si="16"/>
        <v>4.7021368584552379</v>
      </c>
      <c r="CD26" s="95">
        <f t="shared" si="16"/>
        <v>4.7021368584552379</v>
      </c>
      <c r="CE26" s="95">
        <f t="shared" si="16"/>
        <v>4.6342390958986908</v>
      </c>
      <c r="CF26" s="95">
        <f t="shared" si="16"/>
        <v>4.6342390958986908</v>
      </c>
      <c r="CG26" s="95">
        <f t="shared" si="16"/>
        <v>4.6342390958986908</v>
      </c>
      <c r="CH26" s="95">
        <f t="shared" si="16"/>
        <v>4.788000164492809</v>
      </c>
      <c r="CI26" s="95">
        <f t="shared" si="16"/>
        <v>4.788000164492809</v>
      </c>
    </row>
    <row r="27" spans="1:87" x14ac:dyDescent="0.2">
      <c r="A27" s="2">
        <v>17</v>
      </c>
      <c r="B27" s="17" t="s">
        <v>218</v>
      </c>
      <c r="C27" s="17"/>
      <c r="D27" s="39">
        <f t="shared" ref="D27:AI27" si="17">D26*D25</f>
        <v>583707.48852000001</v>
      </c>
      <c r="E27" s="39">
        <f t="shared" si="17"/>
        <v>652876.99673600006</v>
      </c>
      <c r="F27" s="39">
        <f t="shared" si="17"/>
        <v>648125.62361999997</v>
      </c>
      <c r="G27" s="39">
        <f t="shared" si="17"/>
        <v>895173.12019599997</v>
      </c>
      <c r="H27" s="39">
        <f t="shared" si="17"/>
        <v>1730740.2443660002</v>
      </c>
      <c r="I27" s="39">
        <f t="shared" si="17"/>
        <v>2698871.3873590007</v>
      </c>
      <c r="J27" s="39">
        <f t="shared" si="17"/>
        <v>3331227.5133200004</v>
      </c>
      <c r="K27" s="39">
        <f t="shared" si="17"/>
        <v>3654578.7177959997</v>
      </c>
      <c r="L27" s="39">
        <f t="shared" si="17"/>
        <v>2734020.5276039997</v>
      </c>
      <c r="M27" s="39">
        <f t="shared" si="17"/>
        <v>1860157.3117199996</v>
      </c>
      <c r="N27" s="39">
        <f t="shared" si="17"/>
        <v>1276497.0982659999</v>
      </c>
      <c r="O27" s="39">
        <f t="shared" si="17"/>
        <v>912816.95076000004</v>
      </c>
      <c r="P27" s="39">
        <f t="shared" si="17"/>
        <v>815094.16560000018</v>
      </c>
      <c r="Q27" s="39">
        <f t="shared" si="17"/>
        <v>806470.72025599994</v>
      </c>
      <c r="R27" s="39">
        <f t="shared" si="17"/>
        <v>800601.55451999977</v>
      </c>
      <c r="S27" s="39">
        <f t="shared" si="17"/>
        <v>1105768.6434159998</v>
      </c>
      <c r="T27" s="39">
        <f t="shared" si="17"/>
        <v>1985058.9622936896</v>
      </c>
      <c r="U27" s="39">
        <f t="shared" si="17"/>
        <v>3095449.3910884373</v>
      </c>
      <c r="V27" s="39">
        <f t="shared" si="17"/>
        <v>3820725.2950182175</v>
      </c>
      <c r="W27" s="39">
        <f t="shared" si="17"/>
        <v>3875572.6243998921</v>
      </c>
      <c r="X27" s="39">
        <f t="shared" si="17"/>
        <v>2899347.8946650173</v>
      </c>
      <c r="Y27" s="39">
        <f t="shared" si="17"/>
        <v>1972641.8039031951</v>
      </c>
      <c r="Z27" s="39">
        <f t="shared" si="17"/>
        <v>1248789.2217316106</v>
      </c>
      <c r="AA27" s="39">
        <f t="shared" si="17"/>
        <v>864363.93774652213</v>
      </c>
      <c r="AB27" s="39">
        <f t="shared" si="17"/>
        <v>771828.35181318922</v>
      </c>
      <c r="AC27" s="39">
        <f t="shared" si="17"/>
        <v>774344.75275049475</v>
      </c>
      <c r="AD27" s="39">
        <f t="shared" si="17"/>
        <v>768709.38673342217</v>
      </c>
      <c r="AE27" s="39">
        <f t="shared" si="17"/>
        <v>1061720.0665554381</v>
      </c>
      <c r="AF27" s="39">
        <f t="shared" si="17"/>
        <v>1965225.6114082972</v>
      </c>
      <c r="AG27" s="39">
        <f t="shared" si="17"/>
        <v>3064521.7788171661</v>
      </c>
      <c r="AH27" s="39">
        <f t="shared" si="17"/>
        <v>3782551.22218099</v>
      </c>
      <c r="AI27" s="39">
        <f t="shared" si="17"/>
        <v>3854119.8651510514</v>
      </c>
      <c r="AJ27" s="39">
        <f t="shared" ref="AJ27:BW27" si="18">AJ26*AJ25</f>
        <v>2883298.9082594248</v>
      </c>
      <c r="AK27" s="39">
        <f t="shared" si="18"/>
        <v>1961722.4859585632</v>
      </c>
      <c r="AL27" s="39">
        <f t="shared" si="18"/>
        <v>1200359.620729479</v>
      </c>
      <c r="AM27" s="39">
        <f t="shared" si="18"/>
        <v>830842.82794093795</v>
      </c>
      <c r="AN27" s="39">
        <f t="shared" si="18"/>
        <v>741895.88725474733</v>
      </c>
      <c r="AO27" s="39">
        <f t="shared" si="18"/>
        <v>745218.78087879461</v>
      </c>
      <c r="AP27" s="39">
        <f t="shared" si="18"/>
        <v>739795.38183317368</v>
      </c>
      <c r="AQ27" s="39">
        <f t="shared" si="18"/>
        <v>1021784.8456034375</v>
      </c>
      <c r="AR27" s="39">
        <f t="shared" si="18"/>
        <v>1919635.1242033078</v>
      </c>
      <c r="AS27" s="39">
        <f t="shared" si="18"/>
        <v>2993429.1571173826</v>
      </c>
      <c r="AT27" s="39">
        <f t="shared" si="18"/>
        <v>3694801.3210520907</v>
      </c>
      <c r="AU27" s="39">
        <f t="shared" si="18"/>
        <v>3781867.7005667025</v>
      </c>
      <c r="AV27" s="39">
        <f t="shared" si="18"/>
        <v>2829246.4670914412</v>
      </c>
      <c r="AW27" s="39">
        <f t="shared" si="18"/>
        <v>1924946.5939563715</v>
      </c>
      <c r="AX27" s="39">
        <f t="shared" si="18"/>
        <v>1186084.9920295656</v>
      </c>
      <c r="AY27" s="39">
        <f t="shared" si="18"/>
        <v>820962.47819238901</v>
      </c>
      <c r="AZ27" s="39">
        <f t="shared" si="18"/>
        <v>733073.2909747106</v>
      </c>
      <c r="BA27" s="39">
        <f t="shared" si="18"/>
        <v>741788.34653536894</v>
      </c>
      <c r="BB27" s="39">
        <f t="shared" si="18"/>
        <v>736389.91279500013</v>
      </c>
      <c r="BC27" s="39">
        <f t="shared" si="18"/>
        <v>1017081.3062994274</v>
      </c>
      <c r="BD27" s="39">
        <f t="shared" si="18"/>
        <v>1911073.2245526973</v>
      </c>
      <c r="BE27" s="39">
        <f t="shared" si="18"/>
        <v>2980077.9531665342</v>
      </c>
      <c r="BF27" s="39">
        <f t="shared" si="18"/>
        <v>3678321.8777761608</v>
      </c>
      <c r="BG27" s="39">
        <f t="shared" si="18"/>
        <v>3757323.9873482822</v>
      </c>
      <c r="BH27" s="39">
        <f t="shared" si="18"/>
        <v>2810885.1124882339</v>
      </c>
      <c r="BI27" s="39">
        <f t="shared" si="18"/>
        <v>1912454.0001102777</v>
      </c>
      <c r="BJ27" s="39">
        <f t="shared" si="18"/>
        <v>1185755.7123696171</v>
      </c>
      <c r="BK27" s="39">
        <f t="shared" si="18"/>
        <v>820734.56345822883</v>
      </c>
      <c r="BL27" s="39">
        <f t="shared" si="18"/>
        <v>732869.77594367007</v>
      </c>
      <c r="BM27" s="39">
        <f t="shared" si="18"/>
        <v>742723.64226343005</v>
      </c>
      <c r="BN27" s="39">
        <f t="shared" si="18"/>
        <v>737318.40182133939</v>
      </c>
      <c r="BO27" s="39">
        <f t="shared" si="18"/>
        <v>1018363.7095689258</v>
      </c>
      <c r="BP27" s="39">
        <f t="shared" si="18"/>
        <v>1915438.3917633689</v>
      </c>
      <c r="BQ27" s="39">
        <f t="shared" si="18"/>
        <v>2986884.8815454575</v>
      </c>
      <c r="BR27" s="39">
        <f t="shared" si="18"/>
        <v>3686723.6961078066</v>
      </c>
      <c r="BS27" s="39">
        <f t="shared" si="18"/>
        <v>3763043.3992683305</v>
      </c>
      <c r="BT27" s="39">
        <f t="shared" si="18"/>
        <v>2815163.8517910955</v>
      </c>
      <c r="BU27" s="39">
        <f t="shared" si="18"/>
        <v>1915365.1443825329</v>
      </c>
      <c r="BV27" s="39">
        <f t="shared" si="18"/>
        <v>1193183.0089741771</v>
      </c>
      <c r="BW27" s="39">
        <f t="shared" si="18"/>
        <v>825875.45291195647</v>
      </c>
      <c r="BX27" s="39">
        <f t="shared" ref="BX27:CI27" si="19">BX26*BX25</f>
        <v>737460.30090734339</v>
      </c>
      <c r="BY27" s="39">
        <f t="shared" si="19"/>
        <v>748235.74604023201</v>
      </c>
      <c r="BZ27" s="39">
        <f t="shared" si="19"/>
        <v>742790.39074981818</v>
      </c>
      <c r="CA27" s="39">
        <f t="shared" si="19"/>
        <v>1025921.4687814458</v>
      </c>
      <c r="CB27" s="39">
        <f t="shared" si="19"/>
        <v>1966836.0430783269</v>
      </c>
      <c r="CC27" s="39">
        <f t="shared" si="19"/>
        <v>3067033.0441382844</v>
      </c>
      <c r="CD27" s="39">
        <f t="shared" si="19"/>
        <v>3785650.8867927007</v>
      </c>
      <c r="CE27" s="39">
        <f t="shared" si="19"/>
        <v>3863006.1523309913</v>
      </c>
      <c r="CF27" s="39">
        <f t="shared" si="19"/>
        <v>2889946.8131043343</v>
      </c>
      <c r="CG27" s="39">
        <f t="shared" si="19"/>
        <v>1966245.5495859291</v>
      </c>
      <c r="CH27" s="39">
        <f t="shared" si="19"/>
        <v>1226568.5276590341</v>
      </c>
      <c r="CI27" s="39">
        <f t="shared" si="19"/>
        <v>848983.62672702107</v>
      </c>
    </row>
    <row r="28" spans="1:87" x14ac:dyDescent="0.2">
      <c r="A28" s="2">
        <v>18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71"/>
      <c r="Q28" s="71"/>
      <c r="R28" s="2"/>
      <c r="S28" s="71"/>
      <c r="T28" s="2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</row>
    <row r="29" spans="1:87" x14ac:dyDescent="0.2">
      <c r="A29" s="2">
        <v>19</v>
      </c>
      <c r="B29" s="36" t="s">
        <v>80</v>
      </c>
      <c r="C29" s="15"/>
      <c r="D29" s="103">
        <f>D30*$C$30+D31*$C$31+D32*$C$32+D33*$C$33</f>
        <v>35074.250639999998</v>
      </c>
      <c r="E29" s="103">
        <f t="shared" ref="E29:BP29" si="20">E30*$C$30+E31*$C$31+E32*$C$32+E33*$C$33</f>
        <v>38295.53888</v>
      </c>
      <c r="F29" s="103">
        <f t="shared" si="20"/>
        <v>39236.757126666664</v>
      </c>
      <c r="G29" s="103">
        <f t="shared" si="20"/>
        <v>41722.084346666663</v>
      </c>
      <c r="H29" s="103">
        <f t="shared" si="20"/>
        <v>47779.26822666666</v>
      </c>
      <c r="I29" s="103">
        <f t="shared" si="20"/>
        <v>97001.053426666665</v>
      </c>
      <c r="J29" s="103">
        <f t="shared" si="20"/>
        <v>145073.00294666667</v>
      </c>
      <c r="K29" s="103">
        <f t="shared" si="20"/>
        <v>105848.37444666665</v>
      </c>
      <c r="L29" s="103">
        <f t="shared" si="20"/>
        <v>94981.733366666667</v>
      </c>
      <c r="M29" s="103">
        <f t="shared" si="20"/>
        <v>61436.578726666659</v>
      </c>
      <c r="N29" s="103">
        <f t="shared" si="20"/>
        <v>52508.650626666669</v>
      </c>
      <c r="O29" s="103">
        <f t="shared" si="20"/>
        <v>42906.331453333332</v>
      </c>
      <c r="P29" s="103">
        <f t="shared" si="20"/>
        <v>35074.250639999998</v>
      </c>
      <c r="Q29" s="103">
        <f t="shared" si="20"/>
        <v>38295.53888</v>
      </c>
      <c r="R29" s="103">
        <f t="shared" si="20"/>
        <v>39236.757126666664</v>
      </c>
      <c r="S29" s="103">
        <f t="shared" si="20"/>
        <v>41722.084346666663</v>
      </c>
      <c r="T29" s="103">
        <f t="shared" si="20"/>
        <v>47779.26822666666</v>
      </c>
      <c r="U29" s="103">
        <f t="shared" si="20"/>
        <v>97001.053426666665</v>
      </c>
      <c r="V29" s="103">
        <f t="shared" si="20"/>
        <v>145073.00294666667</v>
      </c>
      <c r="W29" s="103">
        <f t="shared" si="20"/>
        <v>105848.37444666665</v>
      </c>
      <c r="X29" s="103">
        <f t="shared" si="20"/>
        <v>94981.733366666667</v>
      </c>
      <c r="Y29" s="133">
        <f t="shared" si="20"/>
        <v>61436.578726666659</v>
      </c>
      <c r="Z29" s="133">
        <f t="shared" si="20"/>
        <v>52508.650626666669</v>
      </c>
      <c r="AA29" s="133">
        <f t="shared" si="20"/>
        <v>42906.331453333332</v>
      </c>
      <c r="AB29" s="133">
        <f t="shared" si="20"/>
        <v>35074.250639999998</v>
      </c>
      <c r="AC29" s="133">
        <f t="shared" si="20"/>
        <v>38295.53888</v>
      </c>
      <c r="AD29" s="133">
        <f t="shared" si="20"/>
        <v>39236.757126666664</v>
      </c>
      <c r="AE29" s="133">
        <f t="shared" si="20"/>
        <v>41722.084346666663</v>
      </c>
      <c r="AF29" s="133">
        <f t="shared" si="20"/>
        <v>47779.26822666666</v>
      </c>
      <c r="AG29" s="133">
        <f t="shared" si="20"/>
        <v>97001.053426666665</v>
      </c>
      <c r="AH29" s="133">
        <f t="shared" si="20"/>
        <v>145073.00294666667</v>
      </c>
      <c r="AI29" s="133">
        <f t="shared" si="20"/>
        <v>105848.37444666665</v>
      </c>
      <c r="AJ29" s="133">
        <f t="shared" si="20"/>
        <v>94981.733366666667</v>
      </c>
      <c r="AK29" s="103">
        <f t="shared" si="20"/>
        <v>61436.578726666659</v>
      </c>
      <c r="AL29" s="103">
        <f t="shared" si="20"/>
        <v>52508.650626666669</v>
      </c>
      <c r="AM29" s="103">
        <f t="shared" si="20"/>
        <v>42906.331453333332</v>
      </c>
      <c r="AN29" s="103">
        <f t="shared" si="20"/>
        <v>35074.250639999998</v>
      </c>
      <c r="AO29" s="103">
        <f t="shared" si="20"/>
        <v>38295.53888</v>
      </c>
      <c r="AP29" s="103">
        <f t="shared" si="20"/>
        <v>39236.757126666664</v>
      </c>
      <c r="AQ29" s="103">
        <f t="shared" si="20"/>
        <v>41722.084346666663</v>
      </c>
      <c r="AR29" s="103">
        <f t="shared" si="20"/>
        <v>47779.26822666666</v>
      </c>
      <c r="AS29" s="103">
        <f t="shared" si="20"/>
        <v>97001.053426666665</v>
      </c>
      <c r="AT29" s="103">
        <f t="shared" si="20"/>
        <v>145073.00294666667</v>
      </c>
      <c r="AU29" s="103">
        <f t="shared" si="20"/>
        <v>105848.37444666665</v>
      </c>
      <c r="AV29" s="103">
        <f t="shared" si="20"/>
        <v>94981.733366666667</v>
      </c>
      <c r="AW29" s="103">
        <f t="shared" si="20"/>
        <v>61436.578726666659</v>
      </c>
      <c r="AX29" s="103">
        <f t="shared" si="20"/>
        <v>52508.650626666669</v>
      </c>
      <c r="AY29" s="103">
        <f t="shared" si="20"/>
        <v>42906.331453333332</v>
      </c>
      <c r="AZ29" s="103">
        <f t="shared" si="20"/>
        <v>35074.250639999998</v>
      </c>
      <c r="BA29" s="103">
        <f t="shared" si="20"/>
        <v>38295.53888</v>
      </c>
      <c r="BB29" s="103">
        <f t="shared" si="20"/>
        <v>39236.757126666664</v>
      </c>
      <c r="BC29" s="103">
        <f t="shared" si="20"/>
        <v>41722.084346666663</v>
      </c>
      <c r="BD29" s="103">
        <f t="shared" si="20"/>
        <v>47779.26822666666</v>
      </c>
      <c r="BE29" s="103">
        <f t="shared" si="20"/>
        <v>97001.053426666665</v>
      </c>
      <c r="BF29" s="103">
        <f t="shared" si="20"/>
        <v>145073.00294666667</v>
      </c>
      <c r="BG29" s="103">
        <f t="shared" si="20"/>
        <v>105848.37444666665</v>
      </c>
      <c r="BH29" s="103">
        <f t="shared" si="20"/>
        <v>94981.733366666667</v>
      </c>
      <c r="BI29" s="103">
        <f t="shared" si="20"/>
        <v>61436.578726666659</v>
      </c>
      <c r="BJ29" s="103">
        <f t="shared" si="20"/>
        <v>52508.650626666669</v>
      </c>
      <c r="BK29" s="103">
        <f t="shared" si="20"/>
        <v>42906.331453333332</v>
      </c>
      <c r="BL29" s="103">
        <f t="shared" si="20"/>
        <v>35074.250639999998</v>
      </c>
      <c r="BM29" s="103">
        <f t="shared" si="20"/>
        <v>38295.53888</v>
      </c>
      <c r="BN29" s="103">
        <f t="shared" si="20"/>
        <v>39236.757126666664</v>
      </c>
      <c r="BO29" s="103">
        <f t="shared" si="20"/>
        <v>41722.084346666663</v>
      </c>
      <c r="BP29" s="103">
        <f t="shared" si="20"/>
        <v>47779.26822666666</v>
      </c>
      <c r="BQ29" s="103">
        <f t="shared" ref="BQ29:CI29" si="21">BQ30*$C$30+BQ31*$C$31+BQ32*$C$32+BQ33*$C$33</f>
        <v>97001.053426666665</v>
      </c>
      <c r="BR29" s="103">
        <f t="shared" si="21"/>
        <v>145073.00294666667</v>
      </c>
      <c r="BS29" s="103">
        <f t="shared" si="21"/>
        <v>105848.37444666665</v>
      </c>
      <c r="BT29" s="103">
        <f t="shared" si="21"/>
        <v>94981.733366666667</v>
      </c>
      <c r="BU29" s="103">
        <f t="shared" si="21"/>
        <v>61436.578726666659</v>
      </c>
      <c r="BV29" s="103">
        <f t="shared" si="21"/>
        <v>52508.650626666669</v>
      </c>
      <c r="BW29" s="103">
        <f t="shared" si="21"/>
        <v>42906.331453333332</v>
      </c>
      <c r="BX29" s="103">
        <f t="shared" si="21"/>
        <v>35074.250639999998</v>
      </c>
      <c r="BY29" s="103">
        <f t="shared" si="21"/>
        <v>38295.53888</v>
      </c>
      <c r="BZ29" s="103">
        <f t="shared" si="21"/>
        <v>39236.757126666664</v>
      </c>
      <c r="CA29" s="103">
        <f t="shared" si="21"/>
        <v>41722.084346666663</v>
      </c>
      <c r="CB29" s="103">
        <f t="shared" si="21"/>
        <v>47779.26822666666</v>
      </c>
      <c r="CC29" s="103">
        <f t="shared" si="21"/>
        <v>97001.053426666665</v>
      </c>
      <c r="CD29" s="103">
        <f t="shared" si="21"/>
        <v>145073.00294666667</v>
      </c>
      <c r="CE29" s="103">
        <f t="shared" si="21"/>
        <v>105848.37444666665</v>
      </c>
      <c r="CF29" s="103">
        <f t="shared" si="21"/>
        <v>94981.733366666667</v>
      </c>
      <c r="CG29" s="103">
        <f t="shared" si="21"/>
        <v>61436.578726666659</v>
      </c>
      <c r="CH29" s="103">
        <f t="shared" si="21"/>
        <v>52508.650626666669</v>
      </c>
      <c r="CI29" s="103">
        <f t="shared" si="21"/>
        <v>42906.331453333332</v>
      </c>
    </row>
    <row r="30" spans="1:87" x14ac:dyDescent="0.2">
      <c r="A30" s="2">
        <v>20</v>
      </c>
      <c r="B30" s="2" t="s">
        <v>23</v>
      </c>
      <c r="C30" s="140">
        <f>C21</f>
        <v>49.74</v>
      </c>
      <c r="D30" s="71">
        <f>'Bill Frequency'!C27+'Contract &amp; Vol Adj'!C27</f>
        <v>183</v>
      </c>
      <c r="E30" s="71">
        <f>'Bill Frequency'!D27+'Contract &amp; Vol Adj'!D27</f>
        <v>208</v>
      </c>
      <c r="F30" s="71">
        <f>'Bill Frequency'!E27+'Contract &amp; Vol Adj'!E27</f>
        <v>193.24444444444444</v>
      </c>
      <c r="G30" s="71">
        <f>'Bill Frequency'!F27+'Contract &amp; Vol Adj'!F27</f>
        <v>189.24444444444444</v>
      </c>
      <c r="H30" s="71">
        <f>'Bill Frequency'!G27+'Contract &amp; Vol Adj'!G27</f>
        <v>203.97777777777779</v>
      </c>
      <c r="I30" s="71">
        <f>'Bill Frequency'!H27+'Contract &amp; Vol Adj'!H27</f>
        <v>195.97777777777779</v>
      </c>
      <c r="J30" s="71">
        <f>'Bill Frequency'!I27+'Contract &amp; Vol Adj'!I27</f>
        <v>221.97777777777779</v>
      </c>
      <c r="K30" s="71">
        <f>'Bill Frequency'!J27+'Contract &amp; Vol Adj'!J27</f>
        <v>209.97777777777779</v>
      </c>
      <c r="L30" s="71">
        <f>'Bill Frequency'!K27+'Contract &amp; Vol Adj'!K27</f>
        <v>211.97777777777779</v>
      </c>
      <c r="M30" s="71">
        <f>'Bill Frequency'!L27+'Contract &amp; Vol Adj'!L27</f>
        <v>194.97777777777779</v>
      </c>
      <c r="N30" s="71">
        <f>'Bill Frequency'!M27+'Contract &amp; Vol Adj'!M27</f>
        <v>211.97777777777779</v>
      </c>
      <c r="O30" s="71">
        <f>'Bill Frequency'!N27+'Contract &amp; Vol Adj'!N27</f>
        <v>204.98888888888888</v>
      </c>
      <c r="P30" s="7">
        <f t="shared" ref="P30:Y33" si="22">D30</f>
        <v>183</v>
      </c>
      <c r="Q30" s="7">
        <f t="shared" si="22"/>
        <v>208</v>
      </c>
      <c r="R30" s="7">
        <f t="shared" si="22"/>
        <v>193.24444444444444</v>
      </c>
      <c r="S30" s="7">
        <f t="shared" si="22"/>
        <v>189.24444444444444</v>
      </c>
      <c r="T30" s="7">
        <f t="shared" si="22"/>
        <v>203.97777777777779</v>
      </c>
      <c r="U30" s="7">
        <f t="shared" si="22"/>
        <v>195.97777777777779</v>
      </c>
      <c r="V30" s="7">
        <f t="shared" si="22"/>
        <v>221.97777777777779</v>
      </c>
      <c r="W30" s="7">
        <f t="shared" si="22"/>
        <v>209.97777777777779</v>
      </c>
      <c r="X30" s="7">
        <f t="shared" si="22"/>
        <v>211.97777777777779</v>
      </c>
      <c r="Y30" s="7">
        <f t="shared" si="22"/>
        <v>194.97777777777779</v>
      </c>
      <c r="Z30" s="7">
        <f t="shared" ref="Z30:AI33" si="23">N30</f>
        <v>211.97777777777779</v>
      </c>
      <c r="AA30" s="7">
        <f t="shared" si="23"/>
        <v>204.98888888888888</v>
      </c>
      <c r="AB30" s="7">
        <f t="shared" si="23"/>
        <v>183</v>
      </c>
      <c r="AC30" s="7">
        <f t="shared" si="23"/>
        <v>208</v>
      </c>
      <c r="AD30" s="7">
        <f t="shared" si="23"/>
        <v>193.24444444444444</v>
      </c>
      <c r="AE30" s="7">
        <f t="shared" si="23"/>
        <v>189.24444444444444</v>
      </c>
      <c r="AF30" s="7">
        <f t="shared" si="23"/>
        <v>203.97777777777779</v>
      </c>
      <c r="AG30" s="7">
        <f t="shared" si="23"/>
        <v>195.97777777777779</v>
      </c>
      <c r="AH30" s="7">
        <f t="shared" si="23"/>
        <v>221.97777777777779</v>
      </c>
      <c r="AI30" s="7">
        <f t="shared" si="23"/>
        <v>209.97777777777779</v>
      </c>
      <c r="AJ30" s="7">
        <f t="shared" ref="AJ30:AS33" si="24">X30</f>
        <v>211.97777777777779</v>
      </c>
      <c r="AK30" s="7">
        <f t="shared" si="24"/>
        <v>194.97777777777779</v>
      </c>
      <c r="AL30" s="7">
        <f t="shared" si="24"/>
        <v>211.97777777777779</v>
      </c>
      <c r="AM30" s="7">
        <f t="shared" si="24"/>
        <v>204.98888888888888</v>
      </c>
      <c r="AN30" s="7">
        <f t="shared" si="24"/>
        <v>183</v>
      </c>
      <c r="AO30" s="7">
        <f t="shared" si="24"/>
        <v>208</v>
      </c>
      <c r="AP30" s="7">
        <f t="shared" si="24"/>
        <v>193.24444444444444</v>
      </c>
      <c r="AQ30" s="7">
        <f t="shared" si="24"/>
        <v>189.24444444444444</v>
      </c>
      <c r="AR30" s="7">
        <f t="shared" si="24"/>
        <v>203.97777777777779</v>
      </c>
      <c r="AS30" s="7">
        <f t="shared" si="24"/>
        <v>195.97777777777779</v>
      </c>
      <c r="AT30" s="7">
        <f t="shared" ref="AT30:BC33" si="25">AH30</f>
        <v>221.97777777777779</v>
      </c>
      <c r="AU30" s="7">
        <f t="shared" si="25"/>
        <v>209.97777777777779</v>
      </c>
      <c r="AV30" s="7">
        <f t="shared" si="25"/>
        <v>211.97777777777779</v>
      </c>
      <c r="AW30" s="7">
        <f t="shared" si="25"/>
        <v>194.97777777777779</v>
      </c>
      <c r="AX30" s="7">
        <f t="shared" si="25"/>
        <v>211.97777777777779</v>
      </c>
      <c r="AY30" s="7">
        <f t="shared" si="25"/>
        <v>204.98888888888888</v>
      </c>
      <c r="AZ30" s="7">
        <f t="shared" si="25"/>
        <v>183</v>
      </c>
      <c r="BA30" s="7">
        <f t="shared" si="25"/>
        <v>208</v>
      </c>
      <c r="BB30" s="7">
        <f t="shared" si="25"/>
        <v>193.24444444444444</v>
      </c>
      <c r="BC30" s="7">
        <f t="shared" si="25"/>
        <v>189.24444444444444</v>
      </c>
      <c r="BD30" s="7">
        <f t="shared" ref="BD30:BS33" si="26">AR30</f>
        <v>203.97777777777779</v>
      </c>
      <c r="BE30" s="7">
        <f t="shared" si="26"/>
        <v>195.97777777777779</v>
      </c>
      <c r="BF30" s="7">
        <f t="shared" si="26"/>
        <v>221.97777777777779</v>
      </c>
      <c r="BG30" s="7">
        <f t="shared" si="26"/>
        <v>209.97777777777779</v>
      </c>
      <c r="BH30" s="7">
        <f t="shared" si="26"/>
        <v>211.97777777777779</v>
      </c>
      <c r="BI30" s="7">
        <f t="shared" si="26"/>
        <v>194.97777777777779</v>
      </c>
      <c r="BJ30" s="7">
        <f t="shared" si="26"/>
        <v>211.97777777777779</v>
      </c>
      <c r="BK30" s="7">
        <f t="shared" si="26"/>
        <v>204.98888888888888</v>
      </c>
      <c r="BL30" s="7">
        <f t="shared" si="26"/>
        <v>183</v>
      </c>
      <c r="BM30" s="7">
        <f t="shared" si="26"/>
        <v>208</v>
      </c>
      <c r="BN30" s="7">
        <f t="shared" si="26"/>
        <v>193.24444444444444</v>
      </c>
      <c r="BO30" s="7">
        <f t="shared" si="26"/>
        <v>189.24444444444444</v>
      </c>
      <c r="BP30" s="7">
        <f t="shared" si="26"/>
        <v>203.97777777777779</v>
      </c>
      <c r="BQ30" s="7">
        <f t="shared" si="26"/>
        <v>195.97777777777779</v>
      </c>
      <c r="BR30" s="7">
        <f t="shared" si="26"/>
        <v>221.97777777777779</v>
      </c>
      <c r="BS30" s="7">
        <f t="shared" si="26"/>
        <v>209.97777777777779</v>
      </c>
      <c r="BT30" s="7">
        <f t="shared" ref="BT30:BW33" si="27">BH30</f>
        <v>211.97777777777779</v>
      </c>
      <c r="BU30" s="7">
        <f t="shared" si="27"/>
        <v>194.97777777777779</v>
      </c>
      <c r="BV30" s="7">
        <f t="shared" si="27"/>
        <v>211.97777777777779</v>
      </c>
      <c r="BW30" s="7">
        <f t="shared" si="27"/>
        <v>204.98888888888888</v>
      </c>
      <c r="BX30" s="7">
        <f t="shared" ref="BX30:CI33" si="28">BL30</f>
        <v>183</v>
      </c>
      <c r="BY30" s="7">
        <f t="shared" si="28"/>
        <v>208</v>
      </c>
      <c r="BZ30" s="7">
        <f t="shared" si="28"/>
        <v>193.24444444444444</v>
      </c>
      <c r="CA30" s="7">
        <f t="shared" si="28"/>
        <v>189.24444444444444</v>
      </c>
      <c r="CB30" s="7">
        <f t="shared" si="28"/>
        <v>203.97777777777779</v>
      </c>
      <c r="CC30" s="7">
        <f t="shared" si="28"/>
        <v>195.97777777777779</v>
      </c>
      <c r="CD30" s="7">
        <f t="shared" si="28"/>
        <v>221.97777777777779</v>
      </c>
      <c r="CE30" s="7">
        <f t="shared" si="28"/>
        <v>209.97777777777779</v>
      </c>
      <c r="CF30" s="7">
        <f t="shared" si="28"/>
        <v>211.97777777777779</v>
      </c>
      <c r="CG30" s="7">
        <f t="shared" si="28"/>
        <v>194.97777777777779</v>
      </c>
      <c r="CH30" s="7">
        <f t="shared" si="28"/>
        <v>211.97777777777779</v>
      </c>
      <c r="CI30" s="7">
        <f t="shared" si="28"/>
        <v>204.98888888888888</v>
      </c>
    </row>
    <row r="31" spans="1:87" x14ac:dyDescent="0.2">
      <c r="A31" s="2">
        <v>21</v>
      </c>
      <c r="B31" s="2" t="s">
        <v>24</v>
      </c>
      <c r="C31" s="15">
        <f>C22</f>
        <v>1.534</v>
      </c>
      <c r="D31" s="71">
        <f>'Bill Frequency'!C28+'Contract &amp; Vol Adj'!C28</f>
        <v>7904.21</v>
      </c>
      <c r="E31" s="71">
        <f>'Bill Frequency'!D28+'Contract &amp; Vol Adj'!D28</f>
        <v>9534.57</v>
      </c>
      <c r="F31" s="71">
        <f>'Bill Frequency'!E28+'Contract &amp; Vol Adj'!E28</f>
        <v>9830.6899999999987</v>
      </c>
      <c r="G31" s="71">
        <f>'Bill Frequency'!F28+'Contract &amp; Vol Adj'!F28</f>
        <v>8994.5199999999968</v>
      </c>
      <c r="H31" s="71">
        <f>'Bill Frequency'!G28+'Contract &amp; Vol Adj'!G28</f>
        <v>15108.089999999998</v>
      </c>
      <c r="I31" s="71">
        <f>'Bill Frequency'!H28+'Contract &amp; Vol Adj'!H28</f>
        <v>34044.89</v>
      </c>
      <c r="J31" s="71">
        <f>'Bill Frequency'!I28+'Contract &amp; Vol Adj'!I28</f>
        <v>43047.420000000013</v>
      </c>
      <c r="K31" s="71">
        <f>'Bill Frequency'!J28+'Contract &amp; Vol Adj'!J28</f>
        <v>36370.419999999991</v>
      </c>
      <c r="L31" s="71">
        <f>'Bill Frequency'!K28+'Contract &amp; Vol Adj'!K28</f>
        <v>31835.3</v>
      </c>
      <c r="M31" s="71">
        <f>'Bill Frequency'!L28+'Contract &amp; Vol Adj'!L28</f>
        <v>20328.839999999997</v>
      </c>
      <c r="N31" s="71">
        <f>'Bill Frequency'!M28+'Contract &amp; Vol Adj'!M28</f>
        <v>14722.940000000002</v>
      </c>
      <c r="O31" s="71">
        <f>'Bill Frequency'!N28+'Contract &amp; Vol Adj'!N28</f>
        <v>10418.430000000002</v>
      </c>
      <c r="P31" s="7">
        <f t="shared" si="22"/>
        <v>7904.21</v>
      </c>
      <c r="Q31" s="7">
        <f t="shared" si="22"/>
        <v>9534.57</v>
      </c>
      <c r="R31" s="7">
        <f t="shared" si="22"/>
        <v>9830.6899999999987</v>
      </c>
      <c r="S31" s="7">
        <f t="shared" si="22"/>
        <v>8994.5199999999968</v>
      </c>
      <c r="T31" s="7">
        <f t="shared" si="22"/>
        <v>15108.089999999998</v>
      </c>
      <c r="U31" s="7">
        <f t="shared" si="22"/>
        <v>34044.89</v>
      </c>
      <c r="V31" s="7">
        <f t="shared" si="22"/>
        <v>43047.420000000013</v>
      </c>
      <c r="W31" s="7">
        <f t="shared" si="22"/>
        <v>36370.419999999991</v>
      </c>
      <c r="X31" s="7">
        <f t="shared" si="22"/>
        <v>31835.3</v>
      </c>
      <c r="Y31" s="7">
        <f t="shared" si="22"/>
        <v>20328.839999999997</v>
      </c>
      <c r="Z31" s="7">
        <f t="shared" si="23"/>
        <v>14722.940000000002</v>
      </c>
      <c r="AA31" s="7">
        <f t="shared" si="23"/>
        <v>10418.430000000002</v>
      </c>
      <c r="AB31" s="7">
        <f t="shared" si="23"/>
        <v>7904.21</v>
      </c>
      <c r="AC31" s="7">
        <f t="shared" si="23"/>
        <v>9534.57</v>
      </c>
      <c r="AD31" s="7">
        <f t="shared" si="23"/>
        <v>9830.6899999999987</v>
      </c>
      <c r="AE31" s="7">
        <f t="shared" si="23"/>
        <v>8994.5199999999968</v>
      </c>
      <c r="AF31" s="7">
        <f t="shared" si="23"/>
        <v>15108.089999999998</v>
      </c>
      <c r="AG31" s="7">
        <f t="shared" si="23"/>
        <v>34044.89</v>
      </c>
      <c r="AH31" s="7">
        <f t="shared" si="23"/>
        <v>43047.420000000013</v>
      </c>
      <c r="AI31" s="7">
        <f t="shared" si="23"/>
        <v>36370.419999999991</v>
      </c>
      <c r="AJ31" s="7">
        <f t="shared" si="24"/>
        <v>31835.3</v>
      </c>
      <c r="AK31" s="7">
        <f t="shared" si="24"/>
        <v>20328.839999999997</v>
      </c>
      <c r="AL31" s="7">
        <f t="shared" si="24"/>
        <v>14722.940000000002</v>
      </c>
      <c r="AM31" s="7">
        <f t="shared" si="24"/>
        <v>10418.430000000002</v>
      </c>
      <c r="AN31" s="7">
        <f t="shared" si="24"/>
        <v>7904.21</v>
      </c>
      <c r="AO31" s="7">
        <f t="shared" si="24"/>
        <v>9534.57</v>
      </c>
      <c r="AP31" s="7">
        <f t="shared" si="24"/>
        <v>9830.6899999999987</v>
      </c>
      <c r="AQ31" s="7">
        <f t="shared" si="24"/>
        <v>8994.5199999999968</v>
      </c>
      <c r="AR31" s="7">
        <f t="shared" si="24"/>
        <v>15108.089999999998</v>
      </c>
      <c r="AS31" s="7">
        <f t="shared" si="24"/>
        <v>34044.89</v>
      </c>
      <c r="AT31" s="7">
        <f t="shared" si="25"/>
        <v>43047.420000000013</v>
      </c>
      <c r="AU31" s="7">
        <f t="shared" si="25"/>
        <v>36370.419999999991</v>
      </c>
      <c r="AV31" s="7">
        <f t="shared" si="25"/>
        <v>31835.3</v>
      </c>
      <c r="AW31" s="7">
        <f t="shared" si="25"/>
        <v>20328.839999999997</v>
      </c>
      <c r="AX31" s="7">
        <f t="shared" si="25"/>
        <v>14722.940000000002</v>
      </c>
      <c r="AY31" s="7">
        <f t="shared" si="25"/>
        <v>10418.430000000002</v>
      </c>
      <c r="AZ31" s="7">
        <f t="shared" si="25"/>
        <v>7904.21</v>
      </c>
      <c r="BA31" s="7">
        <f t="shared" si="25"/>
        <v>9534.57</v>
      </c>
      <c r="BB31" s="7">
        <f t="shared" si="25"/>
        <v>9830.6899999999987</v>
      </c>
      <c r="BC31" s="7">
        <f t="shared" si="25"/>
        <v>8994.5199999999968</v>
      </c>
      <c r="BD31" s="7">
        <f t="shared" si="26"/>
        <v>15108.089999999998</v>
      </c>
      <c r="BE31" s="7">
        <f t="shared" si="26"/>
        <v>34044.89</v>
      </c>
      <c r="BF31" s="7">
        <f t="shared" si="26"/>
        <v>43047.420000000013</v>
      </c>
      <c r="BG31" s="7">
        <f t="shared" si="26"/>
        <v>36370.419999999991</v>
      </c>
      <c r="BH31" s="7">
        <f t="shared" si="26"/>
        <v>31835.3</v>
      </c>
      <c r="BI31" s="7">
        <f t="shared" si="26"/>
        <v>20328.839999999997</v>
      </c>
      <c r="BJ31" s="7">
        <f t="shared" si="26"/>
        <v>14722.940000000002</v>
      </c>
      <c r="BK31" s="7">
        <f t="shared" si="26"/>
        <v>10418.430000000002</v>
      </c>
      <c r="BL31" s="7">
        <f t="shared" si="26"/>
        <v>7904.21</v>
      </c>
      <c r="BM31" s="7">
        <f t="shared" si="26"/>
        <v>9534.57</v>
      </c>
      <c r="BN31" s="7">
        <f t="shared" si="26"/>
        <v>9830.6899999999987</v>
      </c>
      <c r="BO31" s="7">
        <f t="shared" si="26"/>
        <v>8994.5199999999968</v>
      </c>
      <c r="BP31" s="7">
        <f t="shared" si="26"/>
        <v>15108.089999999998</v>
      </c>
      <c r="BQ31" s="7">
        <f t="shared" si="26"/>
        <v>34044.89</v>
      </c>
      <c r="BR31" s="7">
        <f t="shared" si="26"/>
        <v>43047.420000000013</v>
      </c>
      <c r="BS31" s="7">
        <f t="shared" si="26"/>
        <v>36370.419999999991</v>
      </c>
      <c r="BT31" s="7">
        <f t="shared" si="27"/>
        <v>31835.3</v>
      </c>
      <c r="BU31" s="7">
        <f t="shared" si="27"/>
        <v>20328.839999999997</v>
      </c>
      <c r="BV31" s="7">
        <f t="shared" si="27"/>
        <v>14722.940000000002</v>
      </c>
      <c r="BW31" s="7">
        <f t="shared" si="27"/>
        <v>10418.430000000002</v>
      </c>
      <c r="BX31" s="7">
        <f t="shared" si="28"/>
        <v>7904.21</v>
      </c>
      <c r="BY31" s="7">
        <f t="shared" si="28"/>
        <v>9534.57</v>
      </c>
      <c r="BZ31" s="7">
        <f t="shared" si="28"/>
        <v>9830.6899999999987</v>
      </c>
      <c r="CA31" s="7">
        <f t="shared" si="28"/>
        <v>8994.5199999999968</v>
      </c>
      <c r="CB31" s="7">
        <f t="shared" si="28"/>
        <v>15108.089999999998</v>
      </c>
      <c r="CC31" s="7">
        <f t="shared" si="28"/>
        <v>34044.89</v>
      </c>
      <c r="CD31" s="7">
        <f t="shared" si="28"/>
        <v>43047.420000000013</v>
      </c>
      <c r="CE31" s="7">
        <f t="shared" si="28"/>
        <v>36370.419999999991</v>
      </c>
      <c r="CF31" s="7">
        <f t="shared" si="28"/>
        <v>31835.3</v>
      </c>
      <c r="CG31" s="7">
        <f t="shared" si="28"/>
        <v>20328.839999999997</v>
      </c>
      <c r="CH31" s="7">
        <f t="shared" si="28"/>
        <v>14722.940000000002</v>
      </c>
      <c r="CI31" s="7">
        <f t="shared" si="28"/>
        <v>10418.430000000002</v>
      </c>
    </row>
    <row r="32" spans="1:87" x14ac:dyDescent="0.2">
      <c r="A32" s="2">
        <v>22</v>
      </c>
      <c r="B32" s="2" t="s">
        <v>25</v>
      </c>
      <c r="C32" s="15">
        <f>C23</f>
        <v>0.95</v>
      </c>
      <c r="D32" s="71">
        <f>'Bill Frequency'!C29+'Contract &amp; Vol Adj'!C29</f>
        <v>14575.55</v>
      </c>
      <c r="E32" s="71">
        <f>'Bill Frequency'!D29+'Contract &amp; Vol Adj'!D29</f>
        <v>14024.83</v>
      </c>
      <c r="F32" s="71">
        <f>'Bill Frequency'!E29+'Contract &amp; Vol Adj'!E29</f>
        <v>15310</v>
      </c>
      <c r="G32" s="71">
        <f>'Bill Frequency'!F29+'Contract &amp; Vol Adj'!F29</f>
        <v>19485.760000000002</v>
      </c>
      <c r="H32" s="71">
        <f>'Bill Frequency'!G29+'Contract &amp; Vol Adj'!G29</f>
        <v>15218.529999999999</v>
      </c>
      <c r="I32" s="71">
        <f>'Bill Frequency'!H29+'Contract &amp; Vol Adj'!H29</f>
        <v>36871.85</v>
      </c>
      <c r="J32" s="71">
        <f>'Bill Frequency'!I29+'Contract &amp; Vol Adj'!I29</f>
        <v>71575.88</v>
      </c>
      <c r="K32" s="71">
        <f>'Bill Frequency'!J29+'Contract &amp; Vol Adj'!J29</f>
        <v>41696.69</v>
      </c>
      <c r="L32" s="71">
        <f>'Bill Frequency'!K29+'Contract &amp; Vol Adj'!K29</f>
        <v>37476.43</v>
      </c>
      <c r="M32" s="71">
        <f>'Bill Frequency'!L29+'Contract &amp; Vol Adj'!L29</f>
        <v>21635.73</v>
      </c>
      <c r="N32" s="71">
        <f>'Bill Frequency'!M29+'Contract &amp; Vol Adj'!M29</f>
        <v>20399.879999999997</v>
      </c>
      <c r="O32" s="71">
        <f>'Bill Frequency'!N29+'Contract &amp; Vol Adj'!N29</f>
        <v>17608.75</v>
      </c>
      <c r="P32" s="7">
        <f t="shared" si="22"/>
        <v>14575.55</v>
      </c>
      <c r="Q32" s="7">
        <f t="shared" si="22"/>
        <v>14024.83</v>
      </c>
      <c r="R32" s="7">
        <f t="shared" si="22"/>
        <v>15310</v>
      </c>
      <c r="S32" s="7">
        <f t="shared" si="22"/>
        <v>19485.760000000002</v>
      </c>
      <c r="T32" s="7">
        <f t="shared" si="22"/>
        <v>15218.529999999999</v>
      </c>
      <c r="U32" s="7">
        <f t="shared" si="22"/>
        <v>36871.85</v>
      </c>
      <c r="V32" s="7">
        <f t="shared" si="22"/>
        <v>71575.88</v>
      </c>
      <c r="W32" s="7">
        <f t="shared" si="22"/>
        <v>41696.69</v>
      </c>
      <c r="X32" s="7">
        <f t="shared" si="22"/>
        <v>37476.43</v>
      </c>
      <c r="Y32" s="7">
        <f t="shared" si="22"/>
        <v>21635.73</v>
      </c>
      <c r="Z32" s="7">
        <f t="shared" si="23"/>
        <v>20399.879999999997</v>
      </c>
      <c r="AA32" s="7">
        <f t="shared" si="23"/>
        <v>17608.75</v>
      </c>
      <c r="AB32" s="7">
        <f t="shared" si="23"/>
        <v>14575.55</v>
      </c>
      <c r="AC32" s="7">
        <f t="shared" si="23"/>
        <v>14024.83</v>
      </c>
      <c r="AD32" s="7">
        <f t="shared" si="23"/>
        <v>15310</v>
      </c>
      <c r="AE32" s="7">
        <f t="shared" si="23"/>
        <v>19485.760000000002</v>
      </c>
      <c r="AF32" s="7">
        <f t="shared" si="23"/>
        <v>15218.529999999999</v>
      </c>
      <c r="AG32" s="7">
        <f t="shared" si="23"/>
        <v>36871.85</v>
      </c>
      <c r="AH32" s="7">
        <f t="shared" si="23"/>
        <v>71575.88</v>
      </c>
      <c r="AI32" s="7">
        <f t="shared" si="23"/>
        <v>41696.69</v>
      </c>
      <c r="AJ32" s="7">
        <f t="shared" si="24"/>
        <v>37476.43</v>
      </c>
      <c r="AK32" s="7">
        <f t="shared" si="24"/>
        <v>21635.73</v>
      </c>
      <c r="AL32" s="7">
        <f t="shared" si="24"/>
        <v>20399.879999999997</v>
      </c>
      <c r="AM32" s="7">
        <f t="shared" si="24"/>
        <v>17608.75</v>
      </c>
      <c r="AN32" s="7">
        <f t="shared" si="24"/>
        <v>14575.55</v>
      </c>
      <c r="AO32" s="7">
        <f t="shared" si="24"/>
        <v>14024.83</v>
      </c>
      <c r="AP32" s="7">
        <f t="shared" si="24"/>
        <v>15310</v>
      </c>
      <c r="AQ32" s="7">
        <f t="shared" si="24"/>
        <v>19485.760000000002</v>
      </c>
      <c r="AR32" s="7">
        <f t="shared" si="24"/>
        <v>15218.529999999999</v>
      </c>
      <c r="AS32" s="7">
        <f t="shared" si="24"/>
        <v>36871.85</v>
      </c>
      <c r="AT32" s="7">
        <f t="shared" si="25"/>
        <v>71575.88</v>
      </c>
      <c r="AU32" s="7">
        <f t="shared" si="25"/>
        <v>41696.69</v>
      </c>
      <c r="AV32" s="7">
        <f t="shared" si="25"/>
        <v>37476.43</v>
      </c>
      <c r="AW32" s="7">
        <f t="shared" si="25"/>
        <v>21635.73</v>
      </c>
      <c r="AX32" s="7">
        <f t="shared" si="25"/>
        <v>20399.879999999997</v>
      </c>
      <c r="AY32" s="7">
        <f t="shared" si="25"/>
        <v>17608.75</v>
      </c>
      <c r="AZ32" s="7">
        <f t="shared" si="25"/>
        <v>14575.55</v>
      </c>
      <c r="BA32" s="7">
        <f t="shared" si="25"/>
        <v>14024.83</v>
      </c>
      <c r="BB32" s="7">
        <f t="shared" si="25"/>
        <v>15310</v>
      </c>
      <c r="BC32" s="7">
        <f t="shared" si="25"/>
        <v>19485.760000000002</v>
      </c>
      <c r="BD32" s="7">
        <f t="shared" si="26"/>
        <v>15218.529999999999</v>
      </c>
      <c r="BE32" s="7">
        <f t="shared" si="26"/>
        <v>36871.85</v>
      </c>
      <c r="BF32" s="7">
        <f t="shared" si="26"/>
        <v>71575.88</v>
      </c>
      <c r="BG32" s="7">
        <f t="shared" si="26"/>
        <v>41696.69</v>
      </c>
      <c r="BH32" s="7">
        <f t="shared" si="26"/>
        <v>37476.43</v>
      </c>
      <c r="BI32" s="7">
        <f t="shared" si="26"/>
        <v>21635.73</v>
      </c>
      <c r="BJ32" s="7">
        <f t="shared" si="26"/>
        <v>20399.879999999997</v>
      </c>
      <c r="BK32" s="7">
        <f t="shared" si="26"/>
        <v>17608.75</v>
      </c>
      <c r="BL32" s="7">
        <f t="shared" si="26"/>
        <v>14575.55</v>
      </c>
      <c r="BM32" s="7">
        <f t="shared" si="26"/>
        <v>14024.83</v>
      </c>
      <c r="BN32" s="7">
        <f t="shared" si="26"/>
        <v>15310</v>
      </c>
      <c r="BO32" s="7">
        <f t="shared" si="26"/>
        <v>19485.760000000002</v>
      </c>
      <c r="BP32" s="7">
        <f t="shared" si="26"/>
        <v>15218.529999999999</v>
      </c>
      <c r="BQ32" s="7">
        <f t="shared" si="26"/>
        <v>36871.85</v>
      </c>
      <c r="BR32" s="7">
        <f t="shared" si="26"/>
        <v>71575.88</v>
      </c>
      <c r="BS32" s="7">
        <f t="shared" si="26"/>
        <v>41696.69</v>
      </c>
      <c r="BT32" s="7">
        <f t="shared" si="27"/>
        <v>37476.43</v>
      </c>
      <c r="BU32" s="7">
        <f t="shared" si="27"/>
        <v>21635.73</v>
      </c>
      <c r="BV32" s="7">
        <f t="shared" si="27"/>
        <v>20399.879999999997</v>
      </c>
      <c r="BW32" s="7">
        <f t="shared" si="27"/>
        <v>17608.75</v>
      </c>
      <c r="BX32" s="7">
        <f t="shared" si="28"/>
        <v>14575.55</v>
      </c>
      <c r="BY32" s="7">
        <f t="shared" si="28"/>
        <v>14024.83</v>
      </c>
      <c r="BZ32" s="7">
        <f t="shared" si="28"/>
        <v>15310</v>
      </c>
      <c r="CA32" s="7">
        <f t="shared" si="28"/>
        <v>19485.760000000002</v>
      </c>
      <c r="CB32" s="7">
        <f t="shared" si="28"/>
        <v>15218.529999999999</v>
      </c>
      <c r="CC32" s="7">
        <f t="shared" si="28"/>
        <v>36871.85</v>
      </c>
      <c r="CD32" s="7">
        <f t="shared" si="28"/>
        <v>71575.88</v>
      </c>
      <c r="CE32" s="7">
        <f t="shared" si="28"/>
        <v>41696.69</v>
      </c>
      <c r="CF32" s="7">
        <f t="shared" si="28"/>
        <v>37476.43</v>
      </c>
      <c r="CG32" s="7">
        <f t="shared" si="28"/>
        <v>21635.73</v>
      </c>
      <c r="CH32" s="7">
        <f t="shared" si="28"/>
        <v>20399.879999999997</v>
      </c>
      <c r="CI32" s="7">
        <f t="shared" si="28"/>
        <v>17608.75</v>
      </c>
    </row>
    <row r="33" spans="1:87" x14ac:dyDescent="0.2">
      <c r="A33" s="2">
        <v>23</v>
      </c>
      <c r="B33" s="2" t="s">
        <v>81</v>
      </c>
      <c r="C33" s="15">
        <f>C24</f>
        <v>0.74</v>
      </c>
      <c r="D33" s="71">
        <f>'Bill Frequency'!C30+'Contract &amp; Vol Adj'!C30</f>
        <v>0</v>
      </c>
      <c r="E33" s="71">
        <f>'Bill Frequency'!D30+'Contract &amp; Vol Adj'!D30</f>
        <v>0</v>
      </c>
      <c r="F33" s="71">
        <f>'Bill Frequency'!E30+'Contract &amp; Vol Adj'!E30</f>
        <v>0</v>
      </c>
      <c r="G33" s="71">
        <f>'Bill Frequency'!F30+'Contract &amp; Vol Adj'!F30</f>
        <v>0</v>
      </c>
      <c r="H33" s="71">
        <f>'Bill Frequency'!G30+'Contract &amp; Vol Adj'!G30</f>
        <v>0</v>
      </c>
      <c r="I33" s="71">
        <f>'Bill Frequency'!H30+'Contract &amp; Vol Adj'!H30</f>
        <v>0</v>
      </c>
      <c r="J33" s="71">
        <f>'Bill Frequency'!I30+'Contract &amp; Vol Adj'!I30</f>
        <v>0</v>
      </c>
      <c r="K33" s="71">
        <f>'Bill Frequency'!J30+'Contract &amp; Vol Adj'!J30</f>
        <v>0</v>
      </c>
      <c r="L33" s="71">
        <f>'Bill Frequency'!K30+'Contract &amp; Vol Adj'!K30</f>
        <v>0</v>
      </c>
      <c r="M33" s="71">
        <f>'Bill Frequency'!L30+'Contract &amp; Vol Adj'!L30</f>
        <v>0</v>
      </c>
      <c r="N33" s="71">
        <f>'Bill Frequency'!M30+'Contract &amp; Vol Adj'!M30</f>
        <v>0</v>
      </c>
      <c r="O33" s="71">
        <f>'Bill Frequency'!N30+'Contract &amp; Vol Adj'!N30</f>
        <v>0</v>
      </c>
      <c r="P33" s="7">
        <f t="shared" si="22"/>
        <v>0</v>
      </c>
      <c r="Q33" s="7">
        <f t="shared" si="22"/>
        <v>0</v>
      </c>
      <c r="R33" s="7">
        <f t="shared" si="22"/>
        <v>0</v>
      </c>
      <c r="S33" s="7">
        <f t="shared" si="22"/>
        <v>0</v>
      </c>
      <c r="T33" s="7">
        <f t="shared" si="22"/>
        <v>0</v>
      </c>
      <c r="U33" s="7">
        <f t="shared" si="22"/>
        <v>0</v>
      </c>
      <c r="V33" s="7">
        <f t="shared" si="22"/>
        <v>0</v>
      </c>
      <c r="W33" s="7">
        <f t="shared" si="22"/>
        <v>0</v>
      </c>
      <c r="X33" s="7">
        <f t="shared" si="22"/>
        <v>0</v>
      </c>
      <c r="Y33" s="7">
        <f t="shared" si="22"/>
        <v>0</v>
      </c>
      <c r="Z33" s="7">
        <f t="shared" si="23"/>
        <v>0</v>
      </c>
      <c r="AA33" s="7">
        <f t="shared" si="23"/>
        <v>0</v>
      </c>
      <c r="AB33" s="7">
        <f t="shared" si="23"/>
        <v>0</v>
      </c>
      <c r="AC33" s="7">
        <f t="shared" si="23"/>
        <v>0</v>
      </c>
      <c r="AD33" s="7">
        <f t="shared" si="23"/>
        <v>0</v>
      </c>
      <c r="AE33" s="7">
        <f t="shared" si="23"/>
        <v>0</v>
      </c>
      <c r="AF33" s="7">
        <f t="shared" si="23"/>
        <v>0</v>
      </c>
      <c r="AG33" s="7">
        <f t="shared" si="23"/>
        <v>0</v>
      </c>
      <c r="AH33" s="7">
        <f t="shared" si="23"/>
        <v>0</v>
      </c>
      <c r="AI33" s="7">
        <f t="shared" si="23"/>
        <v>0</v>
      </c>
      <c r="AJ33" s="7">
        <f t="shared" si="24"/>
        <v>0</v>
      </c>
      <c r="AK33" s="7">
        <f t="shared" si="24"/>
        <v>0</v>
      </c>
      <c r="AL33" s="7">
        <f t="shared" si="24"/>
        <v>0</v>
      </c>
      <c r="AM33" s="7">
        <f t="shared" si="24"/>
        <v>0</v>
      </c>
      <c r="AN33" s="7">
        <f t="shared" si="24"/>
        <v>0</v>
      </c>
      <c r="AO33" s="7">
        <f t="shared" si="24"/>
        <v>0</v>
      </c>
      <c r="AP33" s="7">
        <f t="shared" si="24"/>
        <v>0</v>
      </c>
      <c r="AQ33" s="7">
        <f t="shared" si="24"/>
        <v>0</v>
      </c>
      <c r="AR33" s="7">
        <f t="shared" si="24"/>
        <v>0</v>
      </c>
      <c r="AS33" s="7">
        <f t="shared" si="24"/>
        <v>0</v>
      </c>
      <c r="AT33" s="7">
        <f t="shared" si="25"/>
        <v>0</v>
      </c>
      <c r="AU33" s="7">
        <f t="shared" si="25"/>
        <v>0</v>
      </c>
      <c r="AV33" s="7">
        <f t="shared" si="25"/>
        <v>0</v>
      </c>
      <c r="AW33" s="7">
        <f t="shared" si="25"/>
        <v>0</v>
      </c>
      <c r="AX33" s="7">
        <f t="shared" si="25"/>
        <v>0</v>
      </c>
      <c r="AY33" s="7">
        <f t="shared" si="25"/>
        <v>0</v>
      </c>
      <c r="AZ33" s="7">
        <f t="shared" si="25"/>
        <v>0</v>
      </c>
      <c r="BA33" s="7">
        <f t="shared" si="25"/>
        <v>0</v>
      </c>
      <c r="BB33" s="7">
        <f t="shared" si="25"/>
        <v>0</v>
      </c>
      <c r="BC33" s="7">
        <f t="shared" si="25"/>
        <v>0</v>
      </c>
      <c r="BD33" s="7">
        <f t="shared" si="26"/>
        <v>0</v>
      </c>
      <c r="BE33" s="7">
        <f t="shared" si="26"/>
        <v>0</v>
      </c>
      <c r="BF33" s="7">
        <f t="shared" si="26"/>
        <v>0</v>
      </c>
      <c r="BG33" s="7">
        <f t="shared" si="26"/>
        <v>0</v>
      </c>
      <c r="BH33" s="7">
        <f t="shared" si="26"/>
        <v>0</v>
      </c>
      <c r="BI33" s="7">
        <f t="shared" si="26"/>
        <v>0</v>
      </c>
      <c r="BJ33" s="7">
        <f t="shared" si="26"/>
        <v>0</v>
      </c>
      <c r="BK33" s="7">
        <f t="shared" si="26"/>
        <v>0</v>
      </c>
      <c r="BL33" s="7">
        <f t="shared" si="26"/>
        <v>0</v>
      </c>
      <c r="BM33" s="7">
        <f t="shared" si="26"/>
        <v>0</v>
      </c>
      <c r="BN33" s="7">
        <f t="shared" si="26"/>
        <v>0</v>
      </c>
      <c r="BO33" s="7">
        <f t="shared" si="26"/>
        <v>0</v>
      </c>
      <c r="BP33" s="7">
        <f t="shared" si="26"/>
        <v>0</v>
      </c>
      <c r="BQ33" s="7">
        <f t="shared" si="26"/>
        <v>0</v>
      </c>
      <c r="BR33" s="7">
        <f t="shared" si="26"/>
        <v>0</v>
      </c>
      <c r="BS33" s="7">
        <f t="shared" si="26"/>
        <v>0</v>
      </c>
      <c r="BT33" s="7">
        <f t="shared" si="27"/>
        <v>0</v>
      </c>
      <c r="BU33" s="7">
        <f t="shared" si="27"/>
        <v>0</v>
      </c>
      <c r="BV33" s="7">
        <f t="shared" si="27"/>
        <v>0</v>
      </c>
      <c r="BW33" s="7">
        <f t="shared" si="27"/>
        <v>0</v>
      </c>
      <c r="BX33" s="7">
        <f t="shared" si="28"/>
        <v>0</v>
      </c>
      <c r="BY33" s="7">
        <f t="shared" si="28"/>
        <v>0</v>
      </c>
      <c r="BZ33" s="7">
        <f t="shared" si="28"/>
        <v>0</v>
      </c>
      <c r="CA33" s="7">
        <f t="shared" si="28"/>
        <v>0</v>
      </c>
      <c r="CB33" s="7">
        <f t="shared" si="28"/>
        <v>0</v>
      </c>
      <c r="CC33" s="7">
        <f t="shared" si="28"/>
        <v>0</v>
      </c>
      <c r="CD33" s="7">
        <f t="shared" si="28"/>
        <v>0</v>
      </c>
      <c r="CE33" s="7">
        <f t="shared" si="28"/>
        <v>0</v>
      </c>
      <c r="CF33" s="7">
        <f t="shared" si="28"/>
        <v>0</v>
      </c>
      <c r="CG33" s="7">
        <f t="shared" si="28"/>
        <v>0</v>
      </c>
      <c r="CH33" s="7">
        <f t="shared" si="28"/>
        <v>0</v>
      </c>
      <c r="CI33" s="7">
        <f t="shared" si="28"/>
        <v>0</v>
      </c>
    </row>
    <row r="34" spans="1:87" x14ac:dyDescent="0.2">
      <c r="A34" s="2">
        <v>24</v>
      </c>
      <c r="B34" s="33" t="s">
        <v>79</v>
      </c>
      <c r="C34" s="33"/>
      <c r="D34" s="32">
        <f t="shared" ref="D34:AI34" si="29">D31+D32+D33</f>
        <v>22479.759999999998</v>
      </c>
      <c r="E34" s="32">
        <f t="shared" si="29"/>
        <v>23559.4</v>
      </c>
      <c r="F34" s="32">
        <f t="shared" si="29"/>
        <v>25140.69</v>
      </c>
      <c r="G34" s="32">
        <f t="shared" si="29"/>
        <v>28480.28</v>
      </c>
      <c r="H34" s="32">
        <f t="shared" si="29"/>
        <v>30326.619999999995</v>
      </c>
      <c r="I34" s="32">
        <f t="shared" si="29"/>
        <v>70916.739999999991</v>
      </c>
      <c r="J34" s="32">
        <f t="shared" si="29"/>
        <v>114623.30000000002</v>
      </c>
      <c r="K34" s="32">
        <f t="shared" si="29"/>
        <v>78067.109999999986</v>
      </c>
      <c r="L34" s="32">
        <f t="shared" si="29"/>
        <v>69311.73</v>
      </c>
      <c r="M34" s="32">
        <f t="shared" si="29"/>
        <v>41964.569999999992</v>
      </c>
      <c r="N34" s="32">
        <f t="shared" si="29"/>
        <v>35122.82</v>
      </c>
      <c r="O34" s="32">
        <f t="shared" si="29"/>
        <v>28027.18</v>
      </c>
      <c r="P34" s="32">
        <f t="shared" si="29"/>
        <v>22479.759999999998</v>
      </c>
      <c r="Q34" s="32">
        <f t="shared" si="29"/>
        <v>23559.4</v>
      </c>
      <c r="R34" s="32">
        <f t="shared" si="29"/>
        <v>25140.69</v>
      </c>
      <c r="S34" s="32">
        <f t="shared" si="29"/>
        <v>28480.28</v>
      </c>
      <c r="T34" s="32">
        <f t="shared" si="29"/>
        <v>30326.619999999995</v>
      </c>
      <c r="U34" s="32">
        <f t="shared" si="29"/>
        <v>70916.739999999991</v>
      </c>
      <c r="V34" s="32">
        <f t="shared" si="29"/>
        <v>114623.30000000002</v>
      </c>
      <c r="W34" s="32">
        <f t="shared" si="29"/>
        <v>78067.109999999986</v>
      </c>
      <c r="X34" s="32">
        <f t="shared" si="29"/>
        <v>69311.73</v>
      </c>
      <c r="Y34" s="32">
        <f t="shared" si="29"/>
        <v>41964.569999999992</v>
      </c>
      <c r="Z34" s="32">
        <f t="shared" si="29"/>
        <v>35122.82</v>
      </c>
      <c r="AA34" s="32">
        <f t="shared" si="29"/>
        <v>28027.18</v>
      </c>
      <c r="AB34" s="32">
        <f t="shared" si="29"/>
        <v>22479.759999999998</v>
      </c>
      <c r="AC34" s="32">
        <f t="shared" si="29"/>
        <v>23559.4</v>
      </c>
      <c r="AD34" s="32">
        <f t="shared" si="29"/>
        <v>25140.69</v>
      </c>
      <c r="AE34" s="32">
        <f t="shared" si="29"/>
        <v>28480.28</v>
      </c>
      <c r="AF34" s="32">
        <f t="shared" si="29"/>
        <v>30326.619999999995</v>
      </c>
      <c r="AG34" s="32">
        <f t="shared" si="29"/>
        <v>70916.739999999991</v>
      </c>
      <c r="AH34" s="32">
        <f t="shared" si="29"/>
        <v>114623.30000000002</v>
      </c>
      <c r="AI34" s="32">
        <f t="shared" si="29"/>
        <v>78067.109999999986</v>
      </c>
      <c r="AJ34" s="32">
        <f t="shared" ref="AJ34:BW34" si="30">AJ31+AJ32+AJ33</f>
        <v>69311.73</v>
      </c>
      <c r="AK34" s="32">
        <f t="shared" si="30"/>
        <v>41964.569999999992</v>
      </c>
      <c r="AL34" s="32">
        <f t="shared" si="30"/>
        <v>35122.82</v>
      </c>
      <c r="AM34" s="32">
        <f t="shared" si="30"/>
        <v>28027.18</v>
      </c>
      <c r="AN34" s="32">
        <f t="shared" si="30"/>
        <v>22479.759999999998</v>
      </c>
      <c r="AO34" s="32">
        <f t="shared" si="30"/>
        <v>23559.4</v>
      </c>
      <c r="AP34" s="32">
        <f t="shared" si="30"/>
        <v>25140.69</v>
      </c>
      <c r="AQ34" s="32">
        <f t="shared" si="30"/>
        <v>28480.28</v>
      </c>
      <c r="AR34" s="32">
        <f t="shared" si="30"/>
        <v>30326.619999999995</v>
      </c>
      <c r="AS34" s="32">
        <f t="shared" si="30"/>
        <v>70916.739999999991</v>
      </c>
      <c r="AT34" s="32">
        <f t="shared" si="30"/>
        <v>114623.30000000002</v>
      </c>
      <c r="AU34" s="32">
        <f t="shared" si="30"/>
        <v>78067.109999999986</v>
      </c>
      <c r="AV34" s="32">
        <f t="shared" si="30"/>
        <v>69311.73</v>
      </c>
      <c r="AW34" s="32">
        <f t="shared" si="30"/>
        <v>41964.569999999992</v>
      </c>
      <c r="AX34" s="32">
        <f t="shared" si="30"/>
        <v>35122.82</v>
      </c>
      <c r="AY34" s="32">
        <f t="shared" si="30"/>
        <v>28027.18</v>
      </c>
      <c r="AZ34" s="32">
        <f t="shared" si="30"/>
        <v>22479.759999999998</v>
      </c>
      <c r="BA34" s="32">
        <f t="shared" si="30"/>
        <v>23559.4</v>
      </c>
      <c r="BB34" s="32">
        <f t="shared" si="30"/>
        <v>25140.69</v>
      </c>
      <c r="BC34" s="32">
        <f t="shared" si="30"/>
        <v>28480.28</v>
      </c>
      <c r="BD34" s="32">
        <f t="shared" si="30"/>
        <v>30326.619999999995</v>
      </c>
      <c r="BE34" s="32">
        <f t="shared" si="30"/>
        <v>70916.739999999991</v>
      </c>
      <c r="BF34" s="32">
        <f t="shared" si="30"/>
        <v>114623.30000000002</v>
      </c>
      <c r="BG34" s="32">
        <f t="shared" si="30"/>
        <v>78067.109999999986</v>
      </c>
      <c r="BH34" s="32">
        <f t="shared" si="30"/>
        <v>69311.73</v>
      </c>
      <c r="BI34" s="32">
        <f t="shared" si="30"/>
        <v>41964.569999999992</v>
      </c>
      <c r="BJ34" s="32">
        <f t="shared" si="30"/>
        <v>35122.82</v>
      </c>
      <c r="BK34" s="32">
        <f t="shared" si="30"/>
        <v>28027.18</v>
      </c>
      <c r="BL34" s="32">
        <f t="shared" si="30"/>
        <v>22479.759999999998</v>
      </c>
      <c r="BM34" s="32">
        <f t="shared" si="30"/>
        <v>23559.4</v>
      </c>
      <c r="BN34" s="32">
        <f t="shared" si="30"/>
        <v>25140.69</v>
      </c>
      <c r="BO34" s="32">
        <f t="shared" si="30"/>
        <v>28480.28</v>
      </c>
      <c r="BP34" s="32">
        <f t="shared" si="30"/>
        <v>30326.619999999995</v>
      </c>
      <c r="BQ34" s="32">
        <f t="shared" si="30"/>
        <v>70916.739999999991</v>
      </c>
      <c r="BR34" s="32">
        <f t="shared" si="30"/>
        <v>114623.30000000002</v>
      </c>
      <c r="BS34" s="32">
        <f t="shared" si="30"/>
        <v>78067.109999999986</v>
      </c>
      <c r="BT34" s="32">
        <f t="shared" si="30"/>
        <v>69311.73</v>
      </c>
      <c r="BU34" s="32">
        <f t="shared" si="30"/>
        <v>41964.569999999992</v>
      </c>
      <c r="BV34" s="32">
        <f t="shared" si="30"/>
        <v>35122.82</v>
      </c>
      <c r="BW34" s="32">
        <f t="shared" si="30"/>
        <v>28027.18</v>
      </c>
      <c r="BX34" s="32">
        <f t="shared" ref="BX34:CI34" si="31">BX31+BX32+BX33</f>
        <v>22479.759999999998</v>
      </c>
      <c r="BY34" s="32">
        <f t="shared" si="31"/>
        <v>23559.4</v>
      </c>
      <c r="BZ34" s="32">
        <f t="shared" si="31"/>
        <v>25140.69</v>
      </c>
      <c r="CA34" s="32">
        <f t="shared" si="31"/>
        <v>28480.28</v>
      </c>
      <c r="CB34" s="32">
        <f t="shared" si="31"/>
        <v>30326.619999999995</v>
      </c>
      <c r="CC34" s="32">
        <f t="shared" si="31"/>
        <v>70916.739999999991</v>
      </c>
      <c r="CD34" s="32">
        <f t="shared" si="31"/>
        <v>114623.30000000002</v>
      </c>
      <c r="CE34" s="32">
        <f t="shared" si="31"/>
        <v>78067.109999999986</v>
      </c>
      <c r="CF34" s="32">
        <f t="shared" si="31"/>
        <v>69311.73</v>
      </c>
      <c r="CG34" s="32">
        <f t="shared" si="31"/>
        <v>41964.569999999992</v>
      </c>
      <c r="CH34" s="32">
        <f t="shared" si="31"/>
        <v>35122.82</v>
      </c>
      <c r="CI34" s="32">
        <f t="shared" si="31"/>
        <v>28027.18</v>
      </c>
    </row>
    <row r="35" spans="1:87" x14ac:dyDescent="0.2">
      <c r="A35" s="2">
        <v>25</v>
      </c>
      <c r="B35" s="17" t="s">
        <v>226</v>
      </c>
      <c r="C35" s="2"/>
      <c r="D35" s="95">
        <f>D26</f>
        <v>3.6865999999999999</v>
      </c>
      <c r="E35" s="95">
        <f t="shared" ref="E35:P35" si="32">E26</f>
        <v>4.0933999999999999</v>
      </c>
      <c r="F35" s="95">
        <f t="shared" si="32"/>
        <v>4.0933999999999999</v>
      </c>
      <c r="G35" s="95">
        <f t="shared" si="32"/>
        <v>4.0933999999999999</v>
      </c>
      <c r="H35" s="95">
        <f t="shared" si="32"/>
        <v>4.1377000000000006</v>
      </c>
      <c r="I35" s="95">
        <f t="shared" si="32"/>
        <v>4.1377000000000006</v>
      </c>
      <c r="J35" s="95">
        <f t="shared" si="32"/>
        <v>4.1377000000000006</v>
      </c>
      <c r="K35" s="95">
        <f t="shared" si="32"/>
        <v>4.3841999999999999</v>
      </c>
      <c r="L35" s="95">
        <f t="shared" si="32"/>
        <v>4.3841999999999999</v>
      </c>
      <c r="M35" s="95">
        <f t="shared" si="32"/>
        <v>4.3841999999999999</v>
      </c>
      <c r="N35" s="95">
        <f t="shared" si="32"/>
        <v>4.9828999999999999</v>
      </c>
      <c r="O35" s="95">
        <f t="shared" si="32"/>
        <v>5.1480000000000006</v>
      </c>
      <c r="P35" s="95">
        <f t="shared" si="32"/>
        <v>5.1480000000000006</v>
      </c>
      <c r="Q35" s="95">
        <f t="shared" ref="Q35:BW35" si="33">Q26</f>
        <v>5.0563999999999991</v>
      </c>
      <c r="R35" s="95">
        <f t="shared" si="33"/>
        <v>5.0563999999999991</v>
      </c>
      <c r="S35" s="95">
        <f t="shared" si="33"/>
        <v>5.0563999999999991</v>
      </c>
      <c r="T35" s="95">
        <f t="shared" si="33"/>
        <v>4.7457025946093809</v>
      </c>
      <c r="U35" s="95">
        <f t="shared" si="33"/>
        <v>4.7457025946093809</v>
      </c>
      <c r="V35" s="95">
        <f t="shared" si="33"/>
        <v>4.7457025946093809</v>
      </c>
      <c r="W35" s="95">
        <f t="shared" si="33"/>
        <v>4.6493144113040463</v>
      </c>
      <c r="X35" s="95">
        <f t="shared" si="33"/>
        <v>4.6493144113040463</v>
      </c>
      <c r="Y35" s="95">
        <f t="shared" si="33"/>
        <v>4.6493144113040463</v>
      </c>
      <c r="Z35" s="95">
        <f t="shared" si="33"/>
        <v>4.8747402727505156</v>
      </c>
      <c r="AA35" s="95">
        <f t="shared" si="33"/>
        <v>4.8747402727505156</v>
      </c>
      <c r="AB35" s="95">
        <f t="shared" si="33"/>
        <v>4.8747402727505156</v>
      </c>
      <c r="AC35" s="95">
        <f t="shared" si="33"/>
        <v>4.8549770121409086</v>
      </c>
      <c r="AD35" s="95">
        <f t="shared" si="33"/>
        <v>4.8549770121409086</v>
      </c>
      <c r="AE35" s="95">
        <f t="shared" si="33"/>
        <v>4.8549770121409086</v>
      </c>
      <c r="AF35" s="95">
        <f t="shared" si="33"/>
        <v>4.6982867815053471</v>
      </c>
      <c r="AG35" s="95">
        <f t="shared" si="33"/>
        <v>4.6982867815053471</v>
      </c>
      <c r="AH35" s="95">
        <f t="shared" si="33"/>
        <v>4.6982867815053471</v>
      </c>
      <c r="AI35" s="95">
        <f t="shared" si="33"/>
        <v>4.6235786988289602</v>
      </c>
      <c r="AJ35" s="95">
        <f t="shared" si="33"/>
        <v>4.6235786988289602</v>
      </c>
      <c r="AK35" s="95">
        <f t="shared" si="33"/>
        <v>4.6235786988289602</v>
      </c>
      <c r="AL35" s="95">
        <f t="shared" si="33"/>
        <v>4.6856917749816356</v>
      </c>
      <c r="AM35" s="95">
        <f t="shared" si="33"/>
        <v>4.6856917749816356</v>
      </c>
      <c r="AN35" s="95">
        <f t="shared" si="33"/>
        <v>4.6856917749816356</v>
      </c>
      <c r="AO35" s="95">
        <f t="shared" si="33"/>
        <v>4.6723633592542724</v>
      </c>
      <c r="AP35" s="95">
        <f t="shared" si="33"/>
        <v>4.6723633592542724</v>
      </c>
      <c r="AQ35" s="95">
        <f t="shared" si="33"/>
        <v>4.6723633592542724</v>
      </c>
      <c r="AR35" s="95">
        <f t="shared" si="33"/>
        <v>4.5892930954093805</v>
      </c>
      <c r="AS35" s="95">
        <f t="shared" si="33"/>
        <v>4.5892930954093805</v>
      </c>
      <c r="AT35" s="95">
        <f t="shared" si="33"/>
        <v>4.5892930954093805</v>
      </c>
      <c r="AU35" s="95">
        <f t="shared" si="33"/>
        <v>4.5369016932337054</v>
      </c>
      <c r="AV35" s="95">
        <f t="shared" si="33"/>
        <v>4.5369016932337054</v>
      </c>
      <c r="AW35" s="95">
        <f t="shared" si="33"/>
        <v>4.5369016932337054</v>
      </c>
      <c r="AX35" s="95">
        <f t="shared" si="33"/>
        <v>4.6299697154129769</v>
      </c>
      <c r="AY35" s="95">
        <f t="shared" si="33"/>
        <v>4.6299697154129769</v>
      </c>
      <c r="AZ35" s="95">
        <f t="shared" si="33"/>
        <v>4.6299697154129769</v>
      </c>
      <c r="BA35" s="95">
        <f t="shared" si="33"/>
        <v>4.6508552650625932</v>
      </c>
      <c r="BB35" s="95">
        <f t="shared" si="33"/>
        <v>4.6508552650625932</v>
      </c>
      <c r="BC35" s="95">
        <f t="shared" si="33"/>
        <v>4.6508552650625932</v>
      </c>
      <c r="BD35" s="95">
        <f t="shared" si="33"/>
        <v>4.5688240664492845</v>
      </c>
      <c r="BE35" s="95">
        <f t="shared" si="33"/>
        <v>4.5688240664492845</v>
      </c>
      <c r="BF35" s="95">
        <f t="shared" si="33"/>
        <v>4.5688240664492845</v>
      </c>
      <c r="BG35" s="95">
        <f t="shared" si="33"/>
        <v>4.5074579308191165</v>
      </c>
      <c r="BH35" s="95">
        <f t="shared" si="33"/>
        <v>4.5074579308191165</v>
      </c>
      <c r="BI35" s="95">
        <f t="shared" si="33"/>
        <v>4.5074579308191165</v>
      </c>
      <c r="BJ35" s="95">
        <f t="shared" si="33"/>
        <v>4.6286843481216708</v>
      </c>
      <c r="BK35" s="95">
        <f t="shared" si="33"/>
        <v>4.6286843481216708</v>
      </c>
      <c r="BL35" s="95">
        <f t="shared" si="33"/>
        <v>4.6286843481216708</v>
      </c>
      <c r="BM35" s="95">
        <f t="shared" si="33"/>
        <v>4.6567193704796717</v>
      </c>
      <c r="BN35" s="95">
        <f t="shared" si="33"/>
        <v>4.6567193704796717</v>
      </c>
      <c r="BO35" s="95">
        <f t="shared" si="33"/>
        <v>4.6567193704796717</v>
      </c>
      <c r="BP35" s="95">
        <f t="shared" si="33"/>
        <v>4.5792599203715536</v>
      </c>
      <c r="BQ35" s="95">
        <f t="shared" si="33"/>
        <v>4.5792599203715536</v>
      </c>
      <c r="BR35" s="95">
        <f t="shared" si="33"/>
        <v>4.5792599203715536</v>
      </c>
      <c r="BS35" s="95">
        <f t="shared" si="33"/>
        <v>4.5143191992924905</v>
      </c>
      <c r="BT35" s="95">
        <f t="shared" si="33"/>
        <v>4.5143191992924905</v>
      </c>
      <c r="BU35" s="95">
        <f t="shared" si="33"/>
        <v>4.5143191992924905</v>
      </c>
      <c r="BV35" s="95">
        <f t="shared" si="33"/>
        <v>4.6576773448947426</v>
      </c>
      <c r="BW35" s="95">
        <f t="shared" si="33"/>
        <v>4.6576773448947426</v>
      </c>
      <c r="BX35" s="95">
        <f t="shared" ref="BX35:CI35" si="34">BX26</f>
        <v>4.6576773448947426</v>
      </c>
      <c r="BY35" s="95">
        <f t="shared" si="34"/>
        <v>4.6912790895580949</v>
      </c>
      <c r="BZ35" s="95">
        <f t="shared" si="34"/>
        <v>4.6912790895580949</v>
      </c>
      <c r="CA35" s="95">
        <f t="shared" si="34"/>
        <v>4.6912790895580949</v>
      </c>
      <c r="CB35" s="95">
        <f t="shared" si="34"/>
        <v>4.7021368584552379</v>
      </c>
      <c r="CC35" s="95">
        <f t="shared" si="34"/>
        <v>4.7021368584552379</v>
      </c>
      <c r="CD35" s="95">
        <f t="shared" si="34"/>
        <v>4.7021368584552379</v>
      </c>
      <c r="CE35" s="95">
        <f t="shared" si="34"/>
        <v>4.6342390958986908</v>
      </c>
      <c r="CF35" s="95">
        <f t="shared" si="34"/>
        <v>4.6342390958986908</v>
      </c>
      <c r="CG35" s="95">
        <f t="shared" si="34"/>
        <v>4.6342390958986908</v>
      </c>
      <c r="CH35" s="95">
        <f t="shared" si="34"/>
        <v>4.788000164492809</v>
      </c>
      <c r="CI35" s="95">
        <f t="shared" si="34"/>
        <v>4.788000164492809</v>
      </c>
    </row>
    <row r="36" spans="1:87" x14ac:dyDescent="0.2">
      <c r="A36" s="2">
        <v>26</v>
      </c>
      <c r="B36" s="17" t="s">
        <v>218</v>
      </c>
      <c r="C36" s="2"/>
      <c r="D36" s="39">
        <f t="shared" ref="D36:AI36" si="35">D35*D34</f>
        <v>82873.883215999987</v>
      </c>
      <c r="E36" s="39">
        <f t="shared" si="35"/>
        <v>96438.047960000011</v>
      </c>
      <c r="F36" s="39">
        <f t="shared" si="35"/>
        <v>102910.900446</v>
      </c>
      <c r="G36" s="39">
        <f t="shared" si="35"/>
        <v>116581.17815199999</v>
      </c>
      <c r="H36" s="39">
        <f t="shared" si="35"/>
        <v>125482.45557399999</v>
      </c>
      <c r="I36" s="39">
        <f t="shared" si="35"/>
        <v>293432.195098</v>
      </c>
      <c r="J36" s="39">
        <f t="shared" si="35"/>
        <v>474276.82841000013</v>
      </c>
      <c r="K36" s="39">
        <f t="shared" si="35"/>
        <v>342261.82366199995</v>
      </c>
      <c r="L36" s="39">
        <f t="shared" si="35"/>
        <v>303876.48666599998</v>
      </c>
      <c r="M36" s="39">
        <f t="shared" si="35"/>
        <v>183981.06779399997</v>
      </c>
      <c r="N36" s="39">
        <f t="shared" si="35"/>
        <v>175013.499778</v>
      </c>
      <c r="O36" s="39">
        <f t="shared" si="35"/>
        <v>144283.92264</v>
      </c>
      <c r="P36" s="39">
        <f t="shared" si="35"/>
        <v>115725.80448000001</v>
      </c>
      <c r="Q36" s="39">
        <f t="shared" si="35"/>
        <v>119125.75015999998</v>
      </c>
      <c r="R36" s="39">
        <f t="shared" si="35"/>
        <v>127121.38491599997</v>
      </c>
      <c r="S36" s="39">
        <f t="shared" si="35"/>
        <v>144007.68779199998</v>
      </c>
      <c r="T36" s="39">
        <f t="shared" si="35"/>
        <v>143921.11921973273</v>
      </c>
      <c r="U36" s="39">
        <f t="shared" si="35"/>
        <v>336549.75701923884</v>
      </c>
      <c r="V36" s="39">
        <f t="shared" si="35"/>
        <v>543968.09221268957</v>
      </c>
      <c r="W36" s="39">
        <f t="shared" si="35"/>
        <v>362958.53957185819</v>
      </c>
      <c r="X36" s="39">
        <f t="shared" si="35"/>
        <v>322252.02516141499</v>
      </c>
      <c r="Y36" s="45">
        <f t="shared" si="35"/>
        <v>195106.4800651774</v>
      </c>
      <c r="Z36" s="45">
        <f t="shared" si="35"/>
        <v>171214.62514656727</v>
      </c>
      <c r="AA36" s="45">
        <f t="shared" si="35"/>
        <v>136625.2230776278</v>
      </c>
      <c r="AB36" s="45">
        <f t="shared" si="35"/>
        <v>109582.99139376612</v>
      </c>
      <c r="AC36" s="45">
        <f t="shared" si="35"/>
        <v>114380.34541983253</v>
      </c>
      <c r="AD36" s="45">
        <f t="shared" si="35"/>
        <v>122057.47201936081</v>
      </c>
      <c r="AE36" s="45">
        <f t="shared" si="35"/>
        <v>138271.10469933646</v>
      </c>
      <c r="AF36" s="45">
        <f t="shared" si="35"/>
        <v>142483.15787373568</v>
      </c>
      <c r="AG36" s="45">
        <f t="shared" si="35"/>
        <v>333187.18212945148</v>
      </c>
      <c r="AH36" s="45">
        <f t="shared" si="35"/>
        <v>538533.13524252188</v>
      </c>
      <c r="AI36" s="45">
        <f t="shared" si="35"/>
        <v>360949.42687513726</v>
      </c>
      <c r="AJ36" s="45">
        <f t="shared" ref="AJ36:BW36" si="36">AJ35*AJ34</f>
        <v>320468.23840698419</v>
      </c>
      <c r="AK36" s="39">
        <f t="shared" si="36"/>
        <v>194026.49195751679</v>
      </c>
      <c r="AL36" s="39">
        <f t="shared" si="36"/>
        <v>164574.7087881605</v>
      </c>
      <c r="AM36" s="39">
        <f t="shared" si="36"/>
        <v>131326.72680192979</v>
      </c>
      <c r="AN36" s="39">
        <f t="shared" si="36"/>
        <v>105333.22653556116</v>
      </c>
      <c r="AO36" s="39">
        <f t="shared" si="36"/>
        <v>110078.07732601512</v>
      </c>
      <c r="AP36" s="39">
        <f t="shared" si="36"/>
        <v>117466.43878237029</v>
      </c>
      <c r="AQ36" s="39">
        <f t="shared" si="36"/>
        <v>133070.21673330225</v>
      </c>
      <c r="AR36" s="39">
        <f t="shared" si="36"/>
        <v>139177.747773104</v>
      </c>
      <c r="AS36" s="39">
        <f t="shared" si="36"/>
        <v>325457.70523094217</v>
      </c>
      <c r="AT36" s="39">
        <f t="shared" si="36"/>
        <v>526039.91926303809</v>
      </c>
      <c r="AU36" s="39">
        <f t="shared" si="36"/>
        <v>354182.80354486185</v>
      </c>
      <c r="AV36" s="39">
        <f t="shared" si="36"/>
        <v>314460.50519795739</v>
      </c>
      <c r="AW36" s="39">
        <f t="shared" si="36"/>
        <v>190389.12868882433</v>
      </c>
      <c r="AX36" s="39">
        <f t="shared" si="36"/>
        <v>162617.59291990122</v>
      </c>
      <c r="AY36" s="39">
        <f t="shared" si="36"/>
        <v>129764.99460842827</v>
      </c>
      <c r="AZ36" s="39">
        <f t="shared" si="36"/>
        <v>104080.60800975202</v>
      </c>
      <c r="BA36" s="39">
        <f t="shared" si="36"/>
        <v>109571.35953171566</v>
      </c>
      <c r="BB36" s="39">
        <f t="shared" si="36"/>
        <v>116925.71045380647</v>
      </c>
      <c r="BC36" s="39">
        <f t="shared" si="36"/>
        <v>132457.66018845685</v>
      </c>
      <c r="BD36" s="39">
        <f t="shared" si="36"/>
        <v>138556.99131006218</v>
      </c>
      <c r="BE36" s="39">
        <f t="shared" si="36"/>
        <v>324006.10842612659</v>
      </c>
      <c r="BF36" s="39">
        <f t="shared" si="36"/>
        <v>523693.69161583635</v>
      </c>
      <c r="BG36" s="39">
        <f t="shared" si="36"/>
        <v>351884.21410562831</v>
      </c>
      <c r="BH36" s="39">
        <f t="shared" si="36"/>
        <v>312419.70708729327</v>
      </c>
      <c r="BI36" s="39">
        <f t="shared" si="36"/>
        <v>189153.53385991394</v>
      </c>
      <c r="BJ36" s="39">
        <f t="shared" si="36"/>
        <v>162572.44719589478</v>
      </c>
      <c r="BK36" s="39">
        <f t="shared" si="36"/>
        <v>129728.96938798873</v>
      </c>
      <c r="BL36" s="39">
        <f t="shared" si="36"/>
        <v>104051.71326153161</v>
      </c>
      <c r="BM36" s="39">
        <f t="shared" si="36"/>
        <v>109709.51433687878</v>
      </c>
      <c r="BN36" s="39">
        <f t="shared" si="36"/>
        <v>117073.13811022457</v>
      </c>
      <c r="BO36" s="39">
        <f t="shared" si="36"/>
        <v>132624.67155268477</v>
      </c>
      <c r="BP36" s="39">
        <f t="shared" si="36"/>
        <v>138873.47548633834</v>
      </c>
      <c r="BQ36" s="39">
        <f t="shared" si="36"/>
        <v>324746.1851654101</v>
      </c>
      <c r="BR36" s="39">
        <f t="shared" si="36"/>
        <v>524889.88363072474</v>
      </c>
      <c r="BS36" s="39">
        <f t="shared" si="36"/>
        <v>352419.85350627871</v>
      </c>
      <c r="BT36" s="39">
        <f t="shared" si="36"/>
        <v>312895.2734751773</v>
      </c>
      <c r="BU36" s="39">
        <f t="shared" si="36"/>
        <v>189441.46404105364</v>
      </c>
      <c r="BV36" s="39">
        <f t="shared" si="36"/>
        <v>163590.76300281598</v>
      </c>
      <c r="BW36" s="39">
        <f t="shared" si="36"/>
        <v>130541.56132728704</v>
      </c>
      <c r="BX36" s="39">
        <f t="shared" ref="BX36:CI36" si="37">BX35*BX34</f>
        <v>104703.46887067103</v>
      </c>
      <c r="BY36" s="39">
        <f t="shared" si="37"/>
        <v>110523.72058253498</v>
      </c>
      <c r="BZ36" s="39">
        <f t="shared" si="37"/>
        <v>117941.9932940623</v>
      </c>
      <c r="CA36" s="39">
        <f t="shared" si="37"/>
        <v>133608.9420287596</v>
      </c>
      <c r="CB36" s="39">
        <f t="shared" si="37"/>
        <v>142599.91769436575</v>
      </c>
      <c r="CC36" s="39">
        <f t="shared" si="37"/>
        <v>333460.21703548689</v>
      </c>
      <c r="CD36" s="39">
        <f t="shared" si="37"/>
        <v>538974.44376777241</v>
      </c>
      <c r="CE36" s="39">
        <f t="shared" si="37"/>
        <v>361781.65326582355</v>
      </c>
      <c r="CF36" s="39">
        <f t="shared" si="37"/>
        <v>321207.12897037412</v>
      </c>
      <c r="CG36" s="39">
        <f t="shared" si="37"/>
        <v>194473.85093657728</v>
      </c>
      <c r="CH36" s="39">
        <f t="shared" si="37"/>
        <v>168168.06793745133</v>
      </c>
      <c r="CI36" s="39">
        <f t="shared" si="37"/>
        <v>134194.14245026957</v>
      </c>
    </row>
    <row r="37" spans="1:87" x14ac:dyDescent="0.2">
      <c r="A37" s="2">
        <v>27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17"/>
      <c r="V37" s="17"/>
      <c r="W37" s="17"/>
      <c r="X37" s="17"/>
      <c r="Y37" s="544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</row>
    <row r="38" spans="1:87" x14ac:dyDescent="0.2">
      <c r="A38" s="2">
        <v>28</v>
      </c>
      <c r="B38" s="36" t="s">
        <v>82</v>
      </c>
      <c r="C38" s="15"/>
      <c r="D38" s="103">
        <f t="shared" ref="D38:BO38" si="38">D39*$C$30+D40*$C$31+D41*$C$32+D42*$C$33</f>
        <v>114607.86573714635</v>
      </c>
      <c r="E38" s="103">
        <f t="shared" si="38"/>
        <v>119964.76043129178</v>
      </c>
      <c r="F38" s="103">
        <f t="shared" si="38"/>
        <v>114730.62602623449</v>
      </c>
      <c r="G38" s="103">
        <f t="shared" si="38"/>
        <v>137804.47418304801</v>
      </c>
      <c r="H38" s="103">
        <f t="shared" si="38"/>
        <v>202951.30467182046</v>
      </c>
      <c r="I38" s="103">
        <f t="shared" si="38"/>
        <v>270626.86654756492</v>
      </c>
      <c r="J38" s="103">
        <f t="shared" si="38"/>
        <v>309182.6835843224</v>
      </c>
      <c r="K38" s="103">
        <f t="shared" si="38"/>
        <v>322448.47495138162</v>
      </c>
      <c r="L38" s="103">
        <f t="shared" si="38"/>
        <v>261394.88175898881</v>
      </c>
      <c r="M38" s="103">
        <f t="shared" si="38"/>
        <v>193446.36725309116</v>
      </c>
      <c r="N38" s="103">
        <f t="shared" si="38"/>
        <v>148660.70715902629</v>
      </c>
      <c r="O38" s="103">
        <f t="shared" si="38"/>
        <v>119902.90817593731</v>
      </c>
      <c r="P38" s="103">
        <f t="shared" si="38"/>
        <v>114607.86573714635</v>
      </c>
      <c r="Q38" s="103">
        <f t="shared" si="38"/>
        <v>119964.76043129178</v>
      </c>
      <c r="R38" s="103">
        <f t="shared" si="38"/>
        <v>114730.62602623449</v>
      </c>
      <c r="S38" s="103">
        <f t="shared" si="38"/>
        <v>137804.47418304801</v>
      </c>
      <c r="T38" s="103">
        <f t="shared" si="38"/>
        <v>202951.30467182046</v>
      </c>
      <c r="U38" s="103">
        <f t="shared" si="38"/>
        <v>270626.86654756492</v>
      </c>
      <c r="V38" s="103">
        <f t="shared" si="38"/>
        <v>309182.6835843224</v>
      </c>
      <c r="W38" s="103">
        <f t="shared" si="38"/>
        <v>322448.47495138162</v>
      </c>
      <c r="X38" s="103">
        <f t="shared" si="38"/>
        <v>261394.88175898881</v>
      </c>
      <c r="Y38" s="103">
        <f t="shared" si="38"/>
        <v>193446.36725309116</v>
      </c>
      <c r="Z38" s="103">
        <f t="shared" si="38"/>
        <v>148660.70715902629</v>
      </c>
      <c r="AA38" s="103">
        <f t="shared" si="38"/>
        <v>119902.90817593731</v>
      </c>
      <c r="AB38" s="103">
        <f t="shared" si="38"/>
        <v>114607.86573714635</v>
      </c>
      <c r="AC38" s="103">
        <f t="shared" si="38"/>
        <v>119964.76043129178</v>
      </c>
      <c r="AD38" s="103">
        <f t="shared" si="38"/>
        <v>114730.62602623449</v>
      </c>
      <c r="AE38" s="103">
        <f t="shared" si="38"/>
        <v>137804.47418304801</v>
      </c>
      <c r="AF38" s="103">
        <f t="shared" si="38"/>
        <v>202951.30467182046</v>
      </c>
      <c r="AG38" s="103">
        <f t="shared" si="38"/>
        <v>270626.86654756492</v>
      </c>
      <c r="AH38" s="103">
        <f t="shared" si="38"/>
        <v>309182.6835843224</v>
      </c>
      <c r="AI38" s="103">
        <f t="shared" si="38"/>
        <v>322448.47495138162</v>
      </c>
      <c r="AJ38" s="103">
        <f t="shared" si="38"/>
        <v>261394.88175898881</v>
      </c>
      <c r="AK38" s="103">
        <f t="shared" si="38"/>
        <v>193446.36725309116</v>
      </c>
      <c r="AL38" s="103">
        <f t="shared" si="38"/>
        <v>148660.70715902629</v>
      </c>
      <c r="AM38" s="103">
        <f t="shared" si="38"/>
        <v>119902.90817593731</v>
      </c>
      <c r="AN38" s="103">
        <f t="shared" si="38"/>
        <v>114607.86573714635</v>
      </c>
      <c r="AO38" s="103">
        <f t="shared" si="38"/>
        <v>119964.76043129178</v>
      </c>
      <c r="AP38" s="103">
        <f t="shared" si="38"/>
        <v>114730.62602623449</v>
      </c>
      <c r="AQ38" s="103">
        <f t="shared" si="38"/>
        <v>137804.47418304801</v>
      </c>
      <c r="AR38" s="103">
        <f t="shared" si="38"/>
        <v>202951.30467182046</v>
      </c>
      <c r="AS38" s="103">
        <f t="shared" si="38"/>
        <v>270626.86654756492</v>
      </c>
      <c r="AT38" s="103">
        <f t="shared" si="38"/>
        <v>309182.6835843224</v>
      </c>
      <c r="AU38" s="103">
        <f t="shared" si="38"/>
        <v>322448.47495138162</v>
      </c>
      <c r="AV38" s="103">
        <f t="shared" si="38"/>
        <v>261394.88175898881</v>
      </c>
      <c r="AW38" s="103">
        <f t="shared" si="38"/>
        <v>193446.36725309116</v>
      </c>
      <c r="AX38" s="103">
        <f t="shared" si="38"/>
        <v>148660.70715902629</v>
      </c>
      <c r="AY38" s="103">
        <f t="shared" si="38"/>
        <v>119902.90817593731</v>
      </c>
      <c r="AZ38" s="103">
        <f t="shared" si="38"/>
        <v>114607.86573714635</v>
      </c>
      <c r="BA38" s="103">
        <f t="shared" si="38"/>
        <v>119964.76043129178</v>
      </c>
      <c r="BB38" s="103">
        <f t="shared" si="38"/>
        <v>114730.62602623449</v>
      </c>
      <c r="BC38" s="103">
        <f t="shared" si="38"/>
        <v>137804.47418304801</v>
      </c>
      <c r="BD38" s="103">
        <f t="shared" si="38"/>
        <v>202951.30467182046</v>
      </c>
      <c r="BE38" s="103">
        <f t="shared" si="38"/>
        <v>270626.86654756492</v>
      </c>
      <c r="BF38" s="103">
        <f t="shared" si="38"/>
        <v>309182.6835843224</v>
      </c>
      <c r="BG38" s="103">
        <f t="shared" si="38"/>
        <v>322448.47495138162</v>
      </c>
      <c r="BH38" s="103">
        <f t="shared" si="38"/>
        <v>261394.88175898881</v>
      </c>
      <c r="BI38" s="103">
        <f t="shared" si="38"/>
        <v>193446.36725309116</v>
      </c>
      <c r="BJ38" s="103">
        <f t="shared" si="38"/>
        <v>148660.70715902629</v>
      </c>
      <c r="BK38" s="103">
        <f t="shared" si="38"/>
        <v>119902.90817593731</v>
      </c>
      <c r="BL38" s="103">
        <f t="shared" si="38"/>
        <v>114607.86573714635</v>
      </c>
      <c r="BM38" s="103">
        <f t="shared" si="38"/>
        <v>119964.76043129178</v>
      </c>
      <c r="BN38" s="103">
        <f t="shared" si="38"/>
        <v>114730.62602623449</v>
      </c>
      <c r="BO38" s="103">
        <f t="shared" si="38"/>
        <v>137804.47418304801</v>
      </c>
      <c r="BP38" s="103">
        <f t="shared" ref="BP38:CI38" si="39">BP39*$C$30+BP40*$C$31+BP41*$C$32+BP42*$C$33</f>
        <v>202951.30467182046</v>
      </c>
      <c r="BQ38" s="103">
        <f t="shared" si="39"/>
        <v>270626.86654756492</v>
      </c>
      <c r="BR38" s="103">
        <f t="shared" si="39"/>
        <v>309182.6835843224</v>
      </c>
      <c r="BS38" s="103">
        <f t="shared" si="39"/>
        <v>322448.47495138162</v>
      </c>
      <c r="BT38" s="103">
        <f t="shared" si="39"/>
        <v>261394.88175898881</v>
      </c>
      <c r="BU38" s="103">
        <f t="shared" si="39"/>
        <v>193446.36725309116</v>
      </c>
      <c r="BV38" s="103">
        <f t="shared" si="39"/>
        <v>148660.70715902629</v>
      </c>
      <c r="BW38" s="103">
        <f t="shared" si="39"/>
        <v>119902.90817593731</v>
      </c>
      <c r="BX38" s="103">
        <f t="shared" si="39"/>
        <v>114607.86573714635</v>
      </c>
      <c r="BY38" s="103">
        <f t="shared" si="39"/>
        <v>119964.76043129178</v>
      </c>
      <c r="BZ38" s="103">
        <f t="shared" si="39"/>
        <v>114730.62602623449</v>
      </c>
      <c r="CA38" s="103">
        <f t="shared" si="39"/>
        <v>137804.47418304801</v>
      </c>
      <c r="CB38" s="103">
        <f t="shared" si="39"/>
        <v>202951.30467182046</v>
      </c>
      <c r="CC38" s="103">
        <f t="shared" si="39"/>
        <v>270626.86654756492</v>
      </c>
      <c r="CD38" s="103">
        <f t="shared" si="39"/>
        <v>309182.6835843224</v>
      </c>
      <c r="CE38" s="103">
        <f t="shared" si="39"/>
        <v>322448.47495138162</v>
      </c>
      <c r="CF38" s="103">
        <f t="shared" si="39"/>
        <v>261394.88175898881</v>
      </c>
      <c r="CG38" s="103">
        <f t="shared" si="39"/>
        <v>193446.36725309116</v>
      </c>
      <c r="CH38" s="103">
        <f t="shared" si="39"/>
        <v>148660.70715902629</v>
      </c>
      <c r="CI38" s="103">
        <f t="shared" si="39"/>
        <v>119902.90817593731</v>
      </c>
    </row>
    <row r="39" spans="1:87" x14ac:dyDescent="0.2">
      <c r="A39" s="2">
        <v>29</v>
      </c>
      <c r="B39" s="2" t="s">
        <v>23</v>
      </c>
      <c r="C39" s="140">
        <f>C30</f>
        <v>49.74</v>
      </c>
      <c r="D39" s="71">
        <f>WNA!C84</f>
        <v>1520</v>
      </c>
      <c r="E39" s="71">
        <f>WNA!D84</f>
        <v>1593</v>
      </c>
      <c r="F39" s="71">
        <f>WNA!E84</f>
        <v>1524</v>
      </c>
      <c r="G39" s="71">
        <f>WNA!F84</f>
        <v>1554</v>
      </c>
      <c r="H39" s="71">
        <f>WNA!G84</f>
        <v>1556</v>
      </c>
      <c r="I39" s="71">
        <f>WNA!H84</f>
        <v>1551</v>
      </c>
      <c r="J39" s="71">
        <f>WNA!I84</f>
        <v>1552</v>
      </c>
      <c r="K39" s="71">
        <f>WNA!J84</f>
        <v>1546</v>
      </c>
      <c r="L39" s="71">
        <f>WNA!K84</f>
        <v>1566</v>
      </c>
      <c r="M39" s="71">
        <f>WNA!L84</f>
        <v>1509</v>
      </c>
      <c r="N39" s="71">
        <f>WNA!M84</f>
        <v>1576</v>
      </c>
      <c r="O39" s="71">
        <f>WNA!N84</f>
        <v>1536</v>
      </c>
      <c r="P39" s="71">
        <f>WNA!O84</f>
        <v>1520</v>
      </c>
      <c r="Q39" s="71">
        <f>WNA!P84</f>
        <v>1593</v>
      </c>
      <c r="R39" s="71">
        <f>WNA!Q84</f>
        <v>1524</v>
      </c>
      <c r="S39" s="71">
        <f>WNA!R84</f>
        <v>1554</v>
      </c>
      <c r="T39" s="71">
        <f>WNA!S84</f>
        <v>1556</v>
      </c>
      <c r="U39" s="71">
        <f>WNA!T84</f>
        <v>1551</v>
      </c>
      <c r="V39" s="71">
        <f>WNA!U84</f>
        <v>1552</v>
      </c>
      <c r="W39" s="71">
        <f>WNA!V84</f>
        <v>1546</v>
      </c>
      <c r="X39" s="71">
        <f>WNA!W84</f>
        <v>1566</v>
      </c>
      <c r="Y39" s="71">
        <f>WNA!X84</f>
        <v>1509</v>
      </c>
      <c r="Z39" s="71">
        <f>WNA!Y84</f>
        <v>1576</v>
      </c>
      <c r="AA39" s="71">
        <f>WNA!Z84</f>
        <v>1536</v>
      </c>
      <c r="AB39" s="71">
        <f>WNA!AA84</f>
        <v>1520</v>
      </c>
      <c r="AC39" s="71">
        <f>WNA!AB84</f>
        <v>1593</v>
      </c>
      <c r="AD39" s="71">
        <f>WNA!AC84</f>
        <v>1524</v>
      </c>
      <c r="AE39" s="71">
        <f>WNA!AD84</f>
        <v>1554</v>
      </c>
      <c r="AF39" s="71">
        <f>WNA!AE84</f>
        <v>1556</v>
      </c>
      <c r="AG39" s="71">
        <f>WNA!AF84</f>
        <v>1551</v>
      </c>
      <c r="AH39" s="71">
        <f>WNA!AG84</f>
        <v>1552</v>
      </c>
      <c r="AI39" s="71">
        <f>WNA!AH84</f>
        <v>1546</v>
      </c>
      <c r="AJ39" s="71">
        <f>WNA!AI84</f>
        <v>1566</v>
      </c>
      <c r="AK39" s="71">
        <f>WNA!AJ84</f>
        <v>1509</v>
      </c>
      <c r="AL39" s="71">
        <f>WNA!AK84</f>
        <v>1576</v>
      </c>
      <c r="AM39" s="71">
        <f>WNA!AL84</f>
        <v>1536</v>
      </c>
      <c r="AN39" s="71">
        <f>WNA!AM84</f>
        <v>1520</v>
      </c>
      <c r="AO39" s="71">
        <f>WNA!AN84</f>
        <v>1593</v>
      </c>
      <c r="AP39" s="71">
        <f>WNA!AO84</f>
        <v>1524</v>
      </c>
      <c r="AQ39" s="71">
        <f>WNA!AP84</f>
        <v>1554</v>
      </c>
      <c r="AR39" s="71">
        <f>WNA!AQ84</f>
        <v>1556</v>
      </c>
      <c r="AS39" s="71">
        <f>WNA!AR84</f>
        <v>1551</v>
      </c>
      <c r="AT39" s="71">
        <f>WNA!AS84</f>
        <v>1552</v>
      </c>
      <c r="AU39" s="71">
        <f>WNA!AT84</f>
        <v>1546</v>
      </c>
      <c r="AV39" s="71">
        <f>WNA!AU84</f>
        <v>1566</v>
      </c>
      <c r="AW39" s="71">
        <f>WNA!AV84</f>
        <v>1509</v>
      </c>
      <c r="AX39" s="71">
        <f>WNA!AW84</f>
        <v>1576</v>
      </c>
      <c r="AY39" s="71">
        <f>WNA!AX84</f>
        <v>1536</v>
      </c>
      <c r="AZ39" s="71">
        <f>WNA!AY84</f>
        <v>1520</v>
      </c>
      <c r="BA39" s="71">
        <f>WNA!AZ84</f>
        <v>1593</v>
      </c>
      <c r="BB39" s="71">
        <f>WNA!BA84</f>
        <v>1524</v>
      </c>
      <c r="BC39" s="71">
        <f>WNA!BB84</f>
        <v>1554</v>
      </c>
      <c r="BD39" s="71">
        <f>WNA!BC84</f>
        <v>1556</v>
      </c>
      <c r="BE39" s="71">
        <f>WNA!BD84</f>
        <v>1551</v>
      </c>
      <c r="BF39" s="71">
        <f>WNA!BE84</f>
        <v>1552</v>
      </c>
      <c r="BG39" s="71">
        <f>WNA!BF84</f>
        <v>1546</v>
      </c>
      <c r="BH39" s="71">
        <f>WNA!BG84</f>
        <v>1566</v>
      </c>
      <c r="BI39" s="71">
        <f>WNA!BH84</f>
        <v>1509</v>
      </c>
      <c r="BJ39" s="71">
        <f>WNA!BI84</f>
        <v>1576</v>
      </c>
      <c r="BK39" s="71">
        <f>WNA!BJ84</f>
        <v>1536</v>
      </c>
      <c r="BL39" s="71">
        <f>WNA!BK84</f>
        <v>1520</v>
      </c>
      <c r="BM39" s="71">
        <f>WNA!BL84</f>
        <v>1593</v>
      </c>
      <c r="BN39" s="71">
        <f>WNA!BM84</f>
        <v>1524</v>
      </c>
      <c r="BO39" s="71">
        <f>WNA!BN84</f>
        <v>1554</v>
      </c>
      <c r="BP39" s="71">
        <f>WNA!BO84</f>
        <v>1556</v>
      </c>
      <c r="BQ39" s="71">
        <f>WNA!BP84</f>
        <v>1551</v>
      </c>
      <c r="BR39" s="71">
        <f>WNA!BQ84</f>
        <v>1552</v>
      </c>
      <c r="BS39" s="71">
        <f>WNA!BR84</f>
        <v>1546</v>
      </c>
      <c r="BT39" s="71">
        <f>WNA!BS84</f>
        <v>1566</v>
      </c>
      <c r="BU39" s="71">
        <f>WNA!BT84</f>
        <v>1509</v>
      </c>
      <c r="BV39" s="71">
        <f>WNA!BU84</f>
        <v>1576</v>
      </c>
      <c r="BW39" s="71">
        <f>WNA!BV84</f>
        <v>1536</v>
      </c>
      <c r="BX39" s="71">
        <f>WNA!BW84</f>
        <v>1520</v>
      </c>
      <c r="BY39" s="71">
        <f>WNA!BX84</f>
        <v>1593</v>
      </c>
      <c r="BZ39" s="71">
        <f>WNA!BY84</f>
        <v>1524</v>
      </c>
      <c r="CA39" s="71">
        <f>WNA!BZ84</f>
        <v>1554</v>
      </c>
      <c r="CB39" s="71">
        <f>WNA!CA84</f>
        <v>1556</v>
      </c>
      <c r="CC39" s="71">
        <f>WNA!CB84</f>
        <v>1551</v>
      </c>
      <c r="CD39" s="71">
        <f>WNA!CC84</f>
        <v>1552</v>
      </c>
      <c r="CE39" s="71">
        <f>WNA!CD84</f>
        <v>1546</v>
      </c>
      <c r="CF39" s="71">
        <f>WNA!CE84</f>
        <v>1566</v>
      </c>
      <c r="CG39" s="71">
        <f>WNA!CF84</f>
        <v>1509</v>
      </c>
      <c r="CH39" s="71">
        <f>WNA!CG84</f>
        <v>1576</v>
      </c>
      <c r="CI39" s="71">
        <f>WNA!CH84</f>
        <v>1536</v>
      </c>
    </row>
    <row r="40" spans="1:87" x14ac:dyDescent="0.2">
      <c r="A40" s="2">
        <v>30</v>
      </c>
      <c r="B40" s="2" t="s">
        <v>24</v>
      </c>
      <c r="C40" s="15">
        <f>C31</f>
        <v>1.534</v>
      </c>
      <c r="D40" s="71">
        <f>'Bill Frequency'!C35+WNA!C92+'Contract &amp; Vol Adj'!C35</f>
        <v>24548.599721140996</v>
      </c>
      <c r="E40" s="71">
        <f>'Bill Frequency'!D35+WNA!D92+'Contract &amp; Vol Adj'!D35</f>
        <v>25475.956217965388</v>
      </c>
      <c r="F40" s="71">
        <f>'Bill Frequency'!E35+WNA!E92+'Contract &amp; Vol Adj'!E35</f>
        <v>23785.508606565905</v>
      </c>
      <c r="G40" s="71">
        <f>'Bill Frequency'!F35+WNA!F92+'Contract &amp; Vol Adj'!F35</f>
        <v>36752.20236823288</v>
      </c>
      <c r="H40" s="71">
        <f>'Bill Frequency'!G35+WNA!G92+'Contract &amp; Vol Adj'!G35</f>
        <v>76399.989164076134</v>
      </c>
      <c r="I40" s="71">
        <f>'Bill Frequency'!H35+WNA!H92+'Contract &amp; Vol Adj'!H35</f>
        <v>111646.01891706315</v>
      </c>
      <c r="J40" s="71">
        <f>'Bill Frequency'!I35+WNA!I92+'Contract &amp; Vol Adj'!I35</f>
        <v>127757.74671973014</v>
      </c>
      <c r="K40" s="71">
        <f>'Bill Frequency'!J35+WNA!J92+'Contract &amp; Vol Adj'!J35</f>
        <v>142235.0119030507</v>
      </c>
      <c r="L40" s="71">
        <f>'Bill Frequency'!K35+WNA!K92+'Contract &amp; Vol Adj'!K35</f>
        <v>107983.52955306301</v>
      </c>
      <c r="M40" s="71">
        <f>'Bill Frequency'!L35+WNA!L92+'Contract &amp; Vol Adj'!L35</f>
        <v>69347.270125156094</v>
      </c>
      <c r="N40" s="71">
        <f>'Bill Frequency'!M35+WNA!M92+'Contract &amp; Vol Adj'!M35</f>
        <v>43888.32903942855</v>
      </c>
      <c r="O40" s="71">
        <f>'Bill Frequency'!N35+WNA!N92+'Contract &amp; Vol Adj'!N35</f>
        <v>26022.584205372106</v>
      </c>
      <c r="P40" s="71">
        <f>D40+WNA!O92</f>
        <v>24548.599721140996</v>
      </c>
      <c r="Q40" s="71">
        <f>E40+WNA!P92</f>
        <v>25475.956217965388</v>
      </c>
      <c r="R40" s="71">
        <f>F40+WNA!Q92</f>
        <v>23785.508606565905</v>
      </c>
      <c r="S40" s="71">
        <f>G40+WNA!R92</f>
        <v>36752.20236823288</v>
      </c>
      <c r="T40" s="71">
        <f>H40+WNA!S92</f>
        <v>76399.989164076134</v>
      </c>
      <c r="U40" s="71">
        <f>I40+WNA!T92</f>
        <v>111646.01891706315</v>
      </c>
      <c r="V40" s="71">
        <f>J40+WNA!U92</f>
        <v>127757.74671973014</v>
      </c>
      <c r="W40" s="71">
        <f>K40+WNA!V92</f>
        <v>142235.0119030507</v>
      </c>
      <c r="X40" s="71">
        <f>L40+WNA!W92</f>
        <v>107983.52955306301</v>
      </c>
      <c r="Y40" s="71">
        <f>M40+WNA!X92</f>
        <v>69347.270125156094</v>
      </c>
      <c r="Z40" s="71">
        <f>N40+WNA!Y92</f>
        <v>43888.32903942855</v>
      </c>
      <c r="AA40" s="71">
        <f>O40+WNA!Z92</f>
        <v>26022.584205372106</v>
      </c>
      <c r="AB40" s="71">
        <f>P40+WNA!AA92</f>
        <v>24548.599721140996</v>
      </c>
      <c r="AC40" s="71">
        <f>Q40+WNA!AB92</f>
        <v>25475.956217965388</v>
      </c>
      <c r="AD40" s="71">
        <f>R40+WNA!AC92</f>
        <v>23785.508606565905</v>
      </c>
      <c r="AE40" s="71">
        <f>S40+WNA!AD92</f>
        <v>36752.20236823288</v>
      </c>
      <c r="AF40" s="71">
        <f>T40+WNA!AE92</f>
        <v>76399.989164076134</v>
      </c>
      <c r="AG40" s="71">
        <f>U40+WNA!AF92</f>
        <v>111646.01891706315</v>
      </c>
      <c r="AH40" s="71">
        <f>V40+WNA!AG92</f>
        <v>127757.74671973014</v>
      </c>
      <c r="AI40" s="71">
        <f>W40+WNA!AH92</f>
        <v>142235.0119030507</v>
      </c>
      <c r="AJ40" s="71">
        <f>X40+WNA!AI92</f>
        <v>107983.52955306301</v>
      </c>
      <c r="AK40" s="71">
        <f>Y40+WNA!AJ92</f>
        <v>69347.270125156094</v>
      </c>
      <c r="AL40" s="71">
        <f>Z40+WNA!AK92</f>
        <v>43888.32903942855</v>
      </c>
      <c r="AM40" s="71">
        <f>AA40+WNA!AL92</f>
        <v>26022.584205372106</v>
      </c>
      <c r="AN40" s="71">
        <f>AB40+WNA!AM92</f>
        <v>24548.599721140996</v>
      </c>
      <c r="AO40" s="71">
        <f>AC40+WNA!AN92</f>
        <v>25475.956217965388</v>
      </c>
      <c r="AP40" s="71">
        <f>AD40+WNA!AO92</f>
        <v>23785.508606565905</v>
      </c>
      <c r="AQ40" s="71">
        <f>AE40+WNA!AP92</f>
        <v>36752.20236823288</v>
      </c>
      <c r="AR40" s="71">
        <f>AF40+WNA!AQ92</f>
        <v>76399.989164076134</v>
      </c>
      <c r="AS40" s="71">
        <f>AG40+WNA!AR92</f>
        <v>111646.01891706315</v>
      </c>
      <c r="AT40" s="71">
        <f>AH40+WNA!AS92</f>
        <v>127757.74671973014</v>
      </c>
      <c r="AU40" s="71">
        <f>AI40+WNA!AT92</f>
        <v>142235.0119030507</v>
      </c>
      <c r="AV40" s="71">
        <f>AJ40+WNA!AU92</f>
        <v>107983.52955306301</v>
      </c>
      <c r="AW40" s="71">
        <f>AK40+WNA!AV92</f>
        <v>69347.270125156094</v>
      </c>
      <c r="AX40" s="71">
        <f>AL40+WNA!AW92</f>
        <v>43888.32903942855</v>
      </c>
      <c r="AY40" s="71">
        <f>AM40+WNA!AX92</f>
        <v>26022.584205372106</v>
      </c>
      <c r="AZ40" s="71">
        <f>AN40+WNA!AY92</f>
        <v>24548.599721140996</v>
      </c>
      <c r="BA40" s="71">
        <f>AO40+WNA!AZ92</f>
        <v>25475.956217965388</v>
      </c>
      <c r="BB40" s="71">
        <f>AP40+WNA!BA92</f>
        <v>23785.508606565905</v>
      </c>
      <c r="BC40" s="71">
        <f>AQ40+WNA!BB92</f>
        <v>36752.20236823288</v>
      </c>
      <c r="BD40" s="71">
        <f>AR40+WNA!BC92</f>
        <v>76399.989164076134</v>
      </c>
      <c r="BE40" s="71">
        <f>AS40+WNA!BD92</f>
        <v>111646.01891706315</v>
      </c>
      <c r="BF40" s="71">
        <f>AT40+WNA!BE92</f>
        <v>127757.74671973014</v>
      </c>
      <c r="BG40" s="71">
        <f>AU40+WNA!BF92</f>
        <v>142235.0119030507</v>
      </c>
      <c r="BH40" s="71">
        <f>AV40+WNA!BG92</f>
        <v>107983.52955306301</v>
      </c>
      <c r="BI40" s="71">
        <f>AW40+WNA!BH92</f>
        <v>69347.270125156094</v>
      </c>
      <c r="BJ40" s="71">
        <f>AX40+WNA!BI92</f>
        <v>43888.32903942855</v>
      </c>
      <c r="BK40" s="71">
        <f>AY40+WNA!BJ92</f>
        <v>26022.584205372106</v>
      </c>
      <c r="BL40" s="71">
        <f>AZ40+WNA!BK92</f>
        <v>24548.599721140996</v>
      </c>
      <c r="BM40" s="71">
        <f>BA40+WNA!BL92</f>
        <v>25475.956217965388</v>
      </c>
      <c r="BN40" s="71">
        <f>BB40+WNA!BM92</f>
        <v>23785.508606565905</v>
      </c>
      <c r="BO40" s="71">
        <f>BC40+WNA!BN92</f>
        <v>36752.20236823288</v>
      </c>
      <c r="BP40" s="71">
        <f>BD40+WNA!BO92</f>
        <v>76399.989164076134</v>
      </c>
      <c r="BQ40" s="71">
        <f>BE40+WNA!BP92</f>
        <v>111646.01891706315</v>
      </c>
      <c r="BR40" s="71">
        <f>BF40+WNA!BQ92</f>
        <v>127757.74671973014</v>
      </c>
      <c r="BS40" s="71">
        <f>BG40+WNA!BR92</f>
        <v>142235.0119030507</v>
      </c>
      <c r="BT40" s="71">
        <f>BH40+WNA!BS92</f>
        <v>107983.52955306301</v>
      </c>
      <c r="BU40" s="71">
        <f>BI40+WNA!BT92</f>
        <v>69347.270125156094</v>
      </c>
      <c r="BV40" s="71">
        <f>BJ40+WNA!BU92</f>
        <v>43888.32903942855</v>
      </c>
      <c r="BW40" s="71">
        <f>BK40+WNA!BV92</f>
        <v>26022.584205372106</v>
      </c>
      <c r="BX40" s="71">
        <f>BL40+WNA!BW92</f>
        <v>24548.599721140996</v>
      </c>
      <c r="BY40" s="71">
        <f>BM40+WNA!BX92</f>
        <v>25475.956217965388</v>
      </c>
      <c r="BZ40" s="71">
        <f>BN40+WNA!BY92</f>
        <v>23785.508606565905</v>
      </c>
      <c r="CA40" s="71">
        <f>BO40+WNA!BZ92</f>
        <v>36752.20236823288</v>
      </c>
      <c r="CB40" s="71">
        <f>BP40+WNA!CA92</f>
        <v>76399.989164076134</v>
      </c>
      <c r="CC40" s="71">
        <f>BQ40+WNA!CB92</f>
        <v>111646.01891706315</v>
      </c>
      <c r="CD40" s="71">
        <f>BR40+WNA!CC92</f>
        <v>127757.74671973014</v>
      </c>
      <c r="CE40" s="71">
        <f>BS40+WNA!CD92</f>
        <v>142235.0119030507</v>
      </c>
      <c r="CF40" s="71">
        <f>BT40+WNA!CE92</f>
        <v>107983.52955306301</v>
      </c>
      <c r="CG40" s="71">
        <f>BU40+WNA!CF92</f>
        <v>69347.270125156094</v>
      </c>
      <c r="CH40" s="71">
        <f>BV40+WNA!CG92</f>
        <v>43888.32903942855</v>
      </c>
      <c r="CI40" s="71">
        <f>BW40+WNA!CH92</f>
        <v>26022.584205372106</v>
      </c>
    </row>
    <row r="41" spans="1:87" x14ac:dyDescent="0.2">
      <c r="A41" s="2">
        <v>31</v>
      </c>
      <c r="B41" s="2" t="s">
        <v>25</v>
      </c>
      <c r="C41" s="15">
        <f>C32</f>
        <v>0.95</v>
      </c>
      <c r="D41" s="71">
        <f>'Bill Frequency'!C36+WNA!C93+'Contract &amp; Vol Adj'!C36</f>
        <v>1416.330278859004</v>
      </c>
      <c r="E41" s="71">
        <f>'Bill Frequency'!D36+WNA!D93+'Contract &amp; Vol Adj'!D36</f>
        <v>1735.6037820346139</v>
      </c>
      <c r="F41" s="71">
        <f>'Bill Frequency'!E36+WNA!E93+'Contract &amp; Vol Adj'!E36</f>
        <v>2568.3113934340927</v>
      </c>
      <c r="G41" s="71">
        <f>'Bill Frequency'!F36+WNA!F93+'Contract &amp; Vol Adj'!F36</f>
        <v>4348.0376317671207</v>
      </c>
      <c r="H41" s="71">
        <f>'Bill Frequency'!G36+WNA!G93+'Contract &amp; Vol Adj'!G36</f>
        <v>8798.1908359238714</v>
      </c>
      <c r="I41" s="71">
        <f>'Bill Frequency'!H36+WNA!H93+'Contract &amp; Vol Adj'!H36</f>
        <v>23384.351082936853</v>
      </c>
      <c r="J41" s="71">
        <f>'Bill Frequency'!I36+WNA!I93+'Contract &amp; Vol Adj'!I36</f>
        <v>37900.863280269834</v>
      </c>
      <c r="K41" s="71">
        <f>'Bill Frequency'!J36+WNA!J93+'Contract &amp; Vol Adj'!J36</f>
        <v>28802.028096949278</v>
      </c>
      <c r="L41" s="71">
        <f>'Bill Frequency'!K36+WNA!K93+'Contract &amp; Vol Adj'!K36</f>
        <v>18795.060446936983</v>
      </c>
      <c r="M41" s="71">
        <f>'Bill Frequency'!L36+WNA!L93+'Contract &amp; Vol Adj'!L36</f>
        <v>12642.099874843907</v>
      </c>
      <c r="N41" s="71">
        <f>'Bill Frequency'!M36+WNA!M93+'Contract &amp; Vol Adj'!M36</f>
        <v>3100.8109605714526</v>
      </c>
      <c r="O41" s="71">
        <f>'Bill Frequency'!N36+WNA!N93+'Contract &amp; Vol Adj'!N36</f>
        <v>3772.2357946278903</v>
      </c>
      <c r="P41" s="71">
        <f>D41+WNA!O93</f>
        <v>1416.330278859004</v>
      </c>
      <c r="Q41" s="71">
        <f>E41+WNA!P93</f>
        <v>1735.6037820346139</v>
      </c>
      <c r="R41" s="71">
        <f>F41+WNA!Q93</f>
        <v>2568.3113934340927</v>
      </c>
      <c r="S41" s="71">
        <f>G41+WNA!R93</f>
        <v>4348.0376317671207</v>
      </c>
      <c r="T41" s="71">
        <f>H41+WNA!S93</f>
        <v>8798.1908359238714</v>
      </c>
      <c r="U41" s="71">
        <f>I41+WNA!T93</f>
        <v>23384.351082936853</v>
      </c>
      <c r="V41" s="71">
        <f>J41+WNA!U93</f>
        <v>37900.863280269834</v>
      </c>
      <c r="W41" s="71">
        <f>K41+WNA!V93</f>
        <v>28802.028096949278</v>
      </c>
      <c r="X41" s="71">
        <f>L41+WNA!W93</f>
        <v>18795.060446936983</v>
      </c>
      <c r="Y41" s="71">
        <f>M41+WNA!X93</f>
        <v>12642.099874843907</v>
      </c>
      <c r="Z41" s="71">
        <f>N41+WNA!Y93</f>
        <v>3100.8109605714526</v>
      </c>
      <c r="AA41" s="71">
        <f>O41+WNA!Z93</f>
        <v>3772.2357946278903</v>
      </c>
      <c r="AB41" s="71">
        <f>P41+WNA!AA93</f>
        <v>1416.330278859004</v>
      </c>
      <c r="AC41" s="71">
        <f>Q41+WNA!AB93</f>
        <v>1735.6037820346139</v>
      </c>
      <c r="AD41" s="71">
        <f>R41+WNA!AC93</f>
        <v>2568.3113934340927</v>
      </c>
      <c r="AE41" s="71">
        <f>S41+WNA!AD93</f>
        <v>4348.0376317671207</v>
      </c>
      <c r="AF41" s="71">
        <f>T41+WNA!AE93</f>
        <v>8798.1908359238714</v>
      </c>
      <c r="AG41" s="71">
        <f>U41+WNA!AF93</f>
        <v>23384.351082936853</v>
      </c>
      <c r="AH41" s="71">
        <f>V41+WNA!AG93</f>
        <v>37900.863280269834</v>
      </c>
      <c r="AI41" s="71">
        <f>W41+WNA!AH93</f>
        <v>28802.028096949278</v>
      </c>
      <c r="AJ41" s="71">
        <f>X41+WNA!AI93</f>
        <v>18795.060446936983</v>
      </c>
      <c r="AK41" s="71">
        <f>Y41+WNA!AJ93</f>
        <v>12642.099874843907</v>
      </c>
      <c r="AL41" s="71">
        <f>Z41+WNA!AK93</f>
        <v>3100.8109605714526</v>
      </c>
      <c r="AM41" s="71">
        <f>AA41+WNA!AL93</f>
        <v>3772.2357946278903</v>
      </c>
      <c r="AN41" s="71">
        <f>AB41+WNA!AM93</f>
        <v>1416.330278859004</v>
      </c>
      <c r="AO41" s="71">
        <f>AC41+WNA!AN93</f>
        <v>1735.6037820346139</v>
      </c>
      <c r="AP41" s="71">
        <f>AD41+WNA!AO93</f>
        <v>2568.3113934340927</v>
      </c>
      <c r="AQ41" s="71">
        <f>AE41+WNA!AP93</f>
        <v>4348.0376317671207</v>
      </c>
      <c r="AR41" s="71">
        <f>AF41+WNA!AQ93</f>
        <v>8798.1908359238714</v>
      </c>
      <c r="AS41" s="71">
        <f>AG41+WNA!AR93</f>
        <v>23384.351082936853</v>
      </c>
      <c r="AT41" s="71">
        <f>AH41+WNA!AS93</f>
        <v>37900.863280269834</v>
      </c>
      <c r="AU41" s="71">
        <f>AI41+WNA!AT93</f>
        <v>28802.028096949278</v>
      </c>
      <c r="AV41" s="71">
        <f>AJ41+WNA!AU93</f>
        <v>18795.060446936983</v>
      </c>
      <c r="AW41" s="71">
        <f>AK41+WNA!AV93</f>
        <v>12642.099874843907</v>
      </c>
      <c r="AX41" s="71">
        <f>AL41+WNA!AW93</f>
        <v>3100.8109605714526</v>
      </c>
      <c r="AY41" s="71">
        <f>AM41+WNA!AX93</f>
        <v>3772.2357946278903</v>
      </c>
      <c r="AZ41" s="71">
        <f>AN41+WNA!AY93</f>
        <v>1416.330278859004</v>
      </c>
      <c r="BA41" s="71">
        <f>AO41+WNA!AZ93</f>
        <v>1735.6037820346139</v>
      </c>
      <c r="BB41" s="71">
        <f>AP41+WNA!BA93</f>
        <v>2568.3113934340927</v>
      </c>
      <c r="BC41" s="71">
        <f>AQ41+WNA!BB93</f>
        <v>4348.0376317671207</v>
      </c>
      <c r="BD41" s="71">
        <f>AR41+WNA!BC93</f>
        <v>8798.1908359238714</v>
      </c>
      <c r="BE41" s="71">
        <f>AS41+WNA!BD93</f>
        <v>23384.351082936853</v>
      </c>
      <c r="BF41" s="71">
        <f>AT41+WNA!BE93</f>
        <v>37900.863280269834</v>
      </c>
      <c r="BG41" s="71">
        <f>AU41+WNA!BF93</f>
        <v>28802.028096949278</v>
      </c>
      <c r="BH41" s="71">
        <f>AV41+WNA!BG93</f>
        <v>18795.060446936983</v>
      </c>
      <c r="BI41" s="71">
        <f>AW41+WNA!BH93</f>
        <v>12642.099874843907</v>
      </c>
      <c r="BJ41" s="71">
        <f>AX41+WNA!BI93</f>
        <v>3100.8109605714526</v>
      </c>
      <c r="BK41" s="71">
        <f>AY41+WNA!BJ93</f>
        <v>3772.2357946278903</v>
      </c>
      <c r="BL41" s="71">
        <f>AZ41+WNA!BK93</f>
        <v>1416.330278859004</v>
      </c>
      <c r="BM41" s="71">
        <f>BA41+WNA!BL93</f>
        <v>1735.6037820346139</v>
      </c>
      <c r="BN41" s="71">
        <f>BB41+WNA!BM93</f>
        <v>2568.3113934340927</v>
      </c>
      <c r="BO41" s="71">
        <f>BC41+WNA!BN93</f>
        <v>4348.0376317671207</v>
      </c>
      <c r="BP41" s="71">
        <f>BD41+WNA!BO93</f>
        <v>8798.1908359238714</v>
      </c>
      <c r="BQ41" s="71">
        <f>BE41+WNA!BP93</f>
        <v>23384.351082936853</v>
      </c>
      <c r="BR41" s="71">
        <f>BF41+WNA!BQ93</f>
        <v>37900.863280269834</v>
      </c>
      <c r="BS41" s="71">
        <f>BG41+WNA!BR93</f>
        <v>28802.028096949278</v>
      </c>
      <c r="BT41" s="71">
        <f>BH41+WNA!BS93</f>
        <v>18795.060446936983</v>
      </c>
      <c r="BU41" s="71">
        <f>BI41+WNA!BT93</f>
        <v>12642.099874843907</v>
      </c>
      <c r="BV41" s="71">
        <f>BJ41+WNA!BU93</f>
        <v>3100.8109605714526</v>
      </c>
      <c r="BW41" s="71">
        <f>BK41+WNA!BV93</f>
        <v>3772.2357946278903</v>
      </c>
      <c r="BX41" s="71">
        <f>BL41+WNA!BW93</f>
        <v>1416.330278859004</v>
      </c>
      <c r="BY41" s="71">
        <f>BM41+WNA!BX93</f>
        <v>1735.6037820346139</v>
      </c>
      <c r="BZ41" s="71">
        <f>BN41+WNA!BY93</f>
        <v>2568.3113934340927</v>
      </c>
      <c r="CA41" s="71">
        <f>BO41+WNA!BZ93</f>
        <v>4348.0376317671207</v>
      </c>
      <c r="CB41" s="71">
        <f>BP41+WNA!CA93</f>
        <v>8798.1908359238714</v>
      </c>
      <c r="CC41" s="71">
        <f>BQ41+WNA!CB93</f>
        <v>23384.351082936853</v>
      </c>
      <c r="CD41" s="71">
        <f>BR41+WNA!CC93</f>
        <v>37900.863280269834</v>
      </c>
      <c r="CE41" s="71">
        <f>BS41+WNA!CD93</f>
        <v>28802.028096949278</v>
      </c>
      <c r="CF41" s="71">
        <f>BT41+WNA!CE93</f>
        <v>18795.060446936983</v>
      </c>
      <c r="CG41" s="71">
        <f>BU41+WNA!CF93</f>
        <v>12642.099874843907</v>
      </c>
      <c r="CH41" s="71">
        <f>BV41+WNA!CG93</f>
        <v>3100.8109605714526</v>
      </c>
      <c r="CI41" s="71">
        <f>BW41+WNA!CH93</f>
        <v>3772.2357946278903</v>
      </c>
    </row>
    <row r="42" spans="1:87" x14ac:dyDescent="0.2">
      <c r="A42" s="2">
        <v>32</v>
      </c>
      <c r="B42" s="2" t="s">
        <v>81</v>
      </c>
      <c r="C42" s="15">
        <f>C33</f>
        <v>0.74</v>
      </c>
      <c r="D42" s="71">
        <f>'Bill Frequency'!C37+WNA!C94+'Contract &amp; Vol Adj'!C37</f>
        <v>0</v>
      </c>
      <c r="E42" s="71">
        <f>'Bill Frequency'!D37+WNA!D94+'Contract &amp; Vol Adj'!D37</f>
        <v>0</v>
      </c>
      <c r="F42" s="71">
        <f>'Bill Frequency'!E37+WNA!E94+'Contract &amp; Vol Adj'!E37</f>
        <v>0</v>
      </c>
      <c r="G42" s="71">
        <f>'Bill Frequency'!F37+WNA!F94+'Contract &amp; Vol Adj'!F37</f>
        <v>0</v>
      </c>
      <c r="H42" s="71">
        <f>'Bill Frequency'!G37+WNA!G94+'Contract &amp; Vol Adj'!G37</f>
        <v>0</v>
      </c>
      <c r="I42" s="71">
        <f>'Bill Frequency'!H37+WNA!H94+'Contract &amp; Vol Adj'!H37</f>
        <v>0</v>
      </c>
      <c r="J42" s="71">
        <f>'Bill Frequency'!I37+WNA!I94+'Contract &amp; Vol Adj'!I37</f>
        <v>0</v>
      </c>
      <c r="K42" s="71">
        <f>'Bill Frequency'!J37+WNA!J94+'Contract &amp; Vol Adj'!J37</f>
        <v>0</v>
      </c>
      <c r="L42" s="71">
        <f>'Bill Frequency'!K37+WNA!K94+'Contract &amp; Vol Adj'!K37</f>
        <v>0</v>
      </c>
      <c r="M42" s="71">
        <f>'Bill Frequency'!L37+WNA!L94+'Contract &amp; Vol Adj'!L37</f>
        <v>0</v>
      </c>
      <c r="N42" s="71">
        <f>'Bill Frequency'!M37+WNA!M94+'Contract &amp; Vol Adj'!M37</f>
        <v>0</v>
      </c>
      <c r="O42" s="71">
        <f>'Bill Frequency'!N37+WNA!N94+'Contract &amp; Vol Adj'!N37</f>
        <v>0</v>
      </c>
      <c r="P42" s="71">
        <f>D42+WNA!O94</f>
        <v>0</v>
      </c>
      <c r="Q42" s="71">
        <f>E42+WNA!P94</f>
        <v>0</v>
      </c>
      <c r="R42" s="71">
        <f>F42+WNA!Q94</f>
        <v>0</v>
      </c>
      <c r="S42" s="71">
        <f>G42+WNA!R94</f>
        <v>0</v>
      </c>
      <c r="T42" s="71">
        <f>H42+WNA!S94</f>
        <v>0</v>
      </c>
      <c r="U42" s="71">
        <f>I42+WNA!T94</f>
        <v>0</v>
      </c>
      <c r="V42" s="71">
        <f>J42+WNA!U94</f>
        <v>0</v>
      </c>
      <c r="W42" s="71">
        <f>K42+WNA!V94</f>
        <v>0</v>
      </c>
      <c r="X42" s="71">
        <f>L42+WNA!W94</f>
        <v>0</v>
      </c>
      <c r="Y42" s="71">
        <f>M42+WNA!X94</f>
        <v>0</v>
      </c>
      <c r="Z42" s="71">
        <f>N42+WNA!Y94</f>
        <v>0</v>
      </c>
      <c r="AA42" s="71">
        <f>O42+WNA!Z94</f>
        <v>0</v>
      </c>
      <c r="AB42" s="71">
        <f>P42+WNA!AA94</f>
        <v>0</v>
      </c>
      <c r="AC42" s="71">
        <f>Q42+WNA!AB94</f>
        <v>0</v>
      </c>
      <c r="AD42" s="71">
        <f>R42+WNA!AC94</f>
        <v>0</v>
      </c>
      <c r="AE42" s="71">
        <f>S42+WNA!AD94</f>
        <v>0</v>
      </c>
      <c r="AF42" s="71">
        <f>T42+WNA!AE94</f>
        <v>0</v>
      </c>
      <c r="AG42" s="71">
        <f>U42+WNA!AF94</f>
        <v>0</v>
      </c>
      <c r="AH42" s="71">
        <f>V42+WNA!AG94</f>
        <v>0</v>
      </c>
      <c r="AI42" s="71">
        <f>W42+WNA!AH94</f>
        <v>0</v>
      </c>
      <c r="AJ42" s="71">
        <f>X42+WNA!AI94</f>
        <v>0</v>
      </c>
      <c r="AK42" s="71">
        <f>Y42+WNA!AJ94</f>
        <v>0</v>
      </c>
      <c r="AL42" s="71">
        <f>Z42+WNA!AK94</f>
        <v>0</v>
      </c>
      <c r="AM42" s="71">
        <f>AA42+WNA!AL94</f>
        <v>0</v>
      </c>
      <c r="AN42" s="71">
        <f>AB42+WNA!AM94</f>
        <v>0</v>
      </c>
      <c r="AO42" s="71">
        <f>AC42+WNA!AN94</f>
        <v>0</v>
      </c>
      <c r="AP42" s="71">
        <f>AD42+WNA!AO94</f>
        <v>0</v>
      </c>
      <c r="AQ42" s="71">
        <f>AE42+WNA!AP94</f>
        <v>0</v>
      </c>
      <c r="AR42" s="71">
        <f>AF42+WNA!AQ94</f>
        <v>0</v>
      </c>
      <c r="AS42" s="71">
        <f>AG42+WNA!AR94</f>
        <v>0</v>
      </c>
      <c r="AT42" s="71">
        <f>AH42+WNA!AS94</f>
        <v>0</v>
      </c>
      <c r="AU42" s="71">
        <f>AI42+WNA!AT94</f>
        <v>0</v>
      </c>
      <c r="AV42" s="71">
        <f>AJ42+WNA!AU94</f>
        <v>0</v>
      </c>
      <c r="AW42" s="71">
        <f>AK42+WNA!AV94</f>
        <v>0</v>
      </c>
      <c r="AX42" s="71">
        <f>AL42+WNA!AW94</f>
        <v>0</v>
      </c>
      <c r="AY42" s="71">
        <f>AM42+WNA!AX94</f>
        <v>0</v>
      </c>
      <c r="AZ42" s="71">
        <f>AN42+WNA!AY94</f>
        <v>0</v>
      </c>
      <c r="BA42" s="71">
        <f>AO42+WNA!AZ94</f>
        <v>0</v>
      </c>
      <c r="BB42" s="71">
        <f>AP42+WNA!BA94</f>
        <v>0</v>
      </c>
      <c r="BC42" s="71">
        <f>AQ42+WNA!BB94</f>
        <v>0</v>
      </c>
      <c r="BD42" s="71">
        <f>AR42+WNA!BC94</f>
        <v>0</v>
      </c>
      <c r="BE42" s="71">
        <f>AS42+WNA!BD94</f>
        <v>0</v>
      </c>
      <c r="BF42" s="71">
        <f>AT42+WNA!BE94</f>
        <v>0</v>
      </c>
      <c r="BG42" s="71">
        <f>AU42+WNA!BF94</f>
        <v>0</v>
      </c>
      <c r="BH42" s="71">
        <f>AV42+WNA!BG94</f>
        <v>0</v>
      </c>
      <c r="BI42" s="71">
        <f>AW42+WNA!BH94</f>
        <v>0</v>
      </c>
      <c r="BJ42" s="71">
        <f>AX42+WNA!BI94</f>
        <v>0</v>
      </c>
      <c r="BK42" s="71">
        <f>AY42+WNA!BJ94</f>
        <v>0</v>
      </c>
      <c r="BL42" s="71">
        <f>AZ42+WNA!BK94</f>
        <v>0</v>
      </c>
      <c r="BM42" s="71">
        <f>BA42+WNA!BL94</f>
        <v>0</v>
      </c>
      <c r="BN42" s="71">
        <f>BB42+WNA!BM94</f>
        <v>0</v>
      </c>
      <c r="BO42" s="71">
        <f>BC42+WNA!BN94</f>
        <v>0</v>
      </c>
      <c r="BP42" s="71">
        <f>BD42+WNA!BO94</f>
        <v>0</v>
      </c>
      <c r="BQ42" s="71">
        <f>BE42+WNA!BP94</f>
        <v>0</v>
      </c>
      <c r="BR42" s="71">
        <f>BF42+WNA!BQ94</f>
        <v>0</v>
      </c>
      <c r="BS42" s="71">
        <f>BG42+WNA!BR94</f>
        <v>0</v>
      </c>
      <c r="BT42" s="71">
        <f>BH42+WNA!BS94</f>
        <v>0</v>
      </c>
      <c r="BU42" s="71">
        <f>BI42+WNA!BT94</f>
        <v>0</v>
      </c>
      <c r="BV42" s="71">
        <f>BJ42+WNA!BU94</f>
        <v>0</v>
      </c>
      <c r="BW42" s="71">
        <f>BK42+WNA!BV94</f>
        <v>0</v>
      </c>
      <c r="BX42" s="71">
        <f>BL42+WNA!BW94</f>
        <v>0</v>
      </c>
      <c r="BY42" s="71">
        <f>BM42+WNA!BX94</f>
        <v>0</v>
      </c>
      <c r="BZ42" s="71">
        <f>BN42+WNA!BY94</f>
        <v>0</v>
      </c>
      <c r="CA42" s="71">
        <f>BO42+WNA!BZ94</f>
        <v>0</v>
      </c>
      <c r="CB42" s="71">
        <f>BP42+WNA!CA94</f>
        <v>0</v>
      </c>
      <c r="CC42" s="71">
        <f>BQ42+WNA!CB94</f>
        <v>0</v>
      </c>
      <c r="CD42" s="71">
        <f>BR42+WNA!CC94</f>
        <v>0</v>
      </c>
      <c r="CE42" s="71">
        <f>BS42+WNA!CD94</f>
        <v>0</v>
      </c>
      <c r="CF42" s="71">
        <f>BT42+WNA!CE94</f>
        <v>0</v>
      </c>
      <c r="CG42" s="71">
        <f>BU42+WNA!CF94</f>
        <v>0</v>
      </c>
      <c r="CH42" s="71">
        <f>BV42+WNA!CG94</f>
        <v>0</v>
      </c>
      <c r="CI42" s="71">
        <f>BW42+WNA!CH94</f>
        <v>0</v>
      </c>
    </row>
    <row r="43" spans="1:87" x14ac:dyDescent="0.2">
      <c r="A43" s="2">
        <v>33</v>
      </c>
      <c r="B43" s="33" t="s">
        <v>79</v>
      </c>
      <c r="C43" s="33"/>
      <c r="D43" s="32">
        <f t="shared" ref="D43:AI43" si="40">D40+D41+D42</f>
        <v>25964.93</v>
      </c>
      <c r="E43" s="32">
        <f t="shared" si="40"/>
        <v>27211.56</v>
      </c>
      <c r="F43" s="32">
        <f t="shared" si="40"/>
        <v>26353.82</v>
      </c>
      <c r="G43" s="32">
        <f t="shared" si="40"/>
        <v>41100.239999999998</v>
      </c>
      <c r="H43" s="32">
        <f t="shared" si="40"/>
        <v>85198.180000000008</v>
      </c>
      <c r="I43" s="32">
        <f t="shared" si="40"/>
        <v>135030.37</v>
      </c>
      <c r="J43" s="32">
        <f t="shared" si="40"/>
        <v>165658.60999999999</v>
      </c>
      <c r="K43" s="32">
        <f t="shared" si="40"/>
        <v>171037.03999999998</v>
      </c>
      <c r="L43" s="32">
        <f t="shared" si="40"/>
        <v>126778.59</v>
      </c>
      <c r="M43" s="32">
        <f t="shared" si="40"/>
        <v>81989.37</v>
      </c>
      <c r="N43" s="32">
        <f t="shared" si="40"/>
        <v>46989.14</v>
      </c>
      <c r="O43" s="32">
        <f t="shared" si="40"/>
        <v>29794.819999999996</v>
      </c>
      <c r="P43" s="32">
        <f t="shared" si="40"/>
        <v>25964.93</v>
      </c>
      <c r="Q43" s="32">
        <f t="shared" si="40"/>
        <v>27211.56</v>
      </c>
      <c r="R43" s="32">
        <f t="shared" si="40"/>
        <v>26353.82</v>
      </c>
      <c r="S43" s="32">
        <f t="shared" si="40"/>
        <v>41100.239999999998</v>
      </c>
      <c r="T43" s="32">
        <f t="shared" si="40"/>
        <v>85198.180000000008</v>
      </c>
      <c r="U43" s="32">
        <f t="shared" si="40"/>
        <v>135030.37</v>
      </c>
      <c r="V43" s="32">
        <f t="shared" si="40"/>
        <v>165658.60999999999</v>
      </c>
      <c r="W43" s="32">
        <f t="shared" si="40"/>
        <v>171037.03999999998</v>
      </c>
      <c r="X43" s="32">
        <f t="shared" si="40"/>
        <v>126778.59</v>
      </c>
      <c r="Y43" s="32">
        <f t="shared" si="40"/>
        <v>81989.37</v>
      </c>
      <c r="Z43" s="32">
        <f t="shared" si="40"/>
        <v>46989.14</v>
      </c>
      <c r="AA43" s="32">
        <f t="shared" si="40"/>
        <v>29794.819999999996</v>
      </c>
      <c r="AB43" s="32">
        <f t="shared" si="40"/>
        <v>25964.93</v>
      </c>
      <c r="AC43" s="32">
        <f t="shared" si="40"/>
        <v>27211.56</v>
      </c>
      <c r="AD43" s="32">
        <f t="shared" si="40"/>
        <v>26353.82</v>
      </c>
      <c r="AE43" s="32">
        <f t="shared" si="40"/>
        <v>41100.239999999998</v>
      </c>
      <c r="AF43" s="32">
        <f t="shared" si="40"/>
        <v>85198.180000000008</v>
      </c>
      <c r="AG43" s="32">
        <f t="shared" si="40"/>
        <v>135030.37</v>
      </c>
      <c r="AH43" s="32">
        <f t="shared" si="40"/>
        <v>165658.60999999999</v>
      </c>
      <c r="AI43" s="32">
        <f t="shared" si="40"/>
        <v>171037.03999999998</v>
      </c>
      <c r="AJ43" s="32">
        <f t="shared" ref="AJ43:BW43" si="41">AJ40+AJ41+AJ42</f>
        <v>126778.59</v>
      </c>
      <c r="AK43" s="32">
        <f t="shared" si="41"/>
        <v>81989.37</v>
      </c>
      <c r="AL43" s="32">
        <f t="shared" si="41"/>
        <v>46989.14</v>
      </c>
      <c r="AM43" s="32">
        <f t="shared" si="41"/>
        <v>29794.819999999996</v>
      </c>
      <c r="AN43" s="32">
        <f t="shared" si="41"/>
        <v>25964.93</v>
      </c>
      <c r="AO43" s="32">
        <f t="shared" si="41"/>
        <v>27211.56</v>
      </c>
      <c r="AP43" s="32">
        <f t="shared" si="41"/>
        <v>26353.82</v>
      </c>
      <c r="AQ43" s="32">
        <f t="shared" si="41"/>
        <v>41100.239999999998</v>
      </c>
      <c r="AR43" s="32">
        <f t="shared" si="41"/>
        <v>85198.180000000008</v>
      </c>
      <c r="AS43" s="32">
        <f t="shared" si="41"/>
        <v>135030.37</v>
      </c>
      <c r="AT43" s="32">
        <f t="shared" si="41"/>
        <v>165658.60999999999</v>
      </c>
      <c r="AU43" s="32">
        <f t="shared" si="41"/>
        <v>171037.03999999998</v>
      </c>
      <c r="AV43" s="32">
        <f t="shared" si="41"/>
        <v>126778.59</v>
      </c>
      <c r="AW43" s="32">
        <f t="shared" si="41"/>
        <v>81989.37</v>
      </c>
      <c r="AX43" s="32">
        <f t="shared" si="41"/>
        <v>46989.14</v>
      </c>
      <c r="AY43" s="32">
        <f t="shared" si="41"/>
        <v>29794.819999999996</v>
      </c>
      <c r="AZ43" s="32">
        <f t="shared" si="41"/>
        <v>25964.93</v>
      </c>
      <c r="BA43" s="32">
        <f t="shared" si="41"/>
        <v>27211.56</v>
      </c>
      <c r="BB43" s="32">
        <f t="shared" si="41"/>
        <v>26353.82</v>
      </c>
      <c r="BC43" s="32">
        <f t="shared" si="41"/>
        <v>41100.239999999998</v>
      </c>
      <c r="BD43" s="32">
        <f t="shared" si="41"/>
        <v>85198.180000000008</v>
      </c>
      <c r="BE43" s="32">
        <f t="shared" si="41"/>
        <v>135030.37</v>
      </c>
      <c r="BF43" s="32">
        <f t="shared" si="41"/>
        <v>165658.60999999999</v>
      </c>
      <c r="BG43" s="32">
        <f t="shared" si="41"/>
        <v>171037.03999999998</v>
      </c>
      <c r="BH43" s="32">
        <f t="shared" si="41"/>
        <v>126778.59</v>
      </c>
      <c r="BI43" s="32">
        <f t="shared" si="41"/>
        <v>81989.37</v>
      </c>
      <c r="BJ43" s="32">
        <f t="shared" si="41"/>
        <v>46989.14</v>
      </c>
      <c r="BK43" s="32">
        <f t="shared" si="41"/>
        <v>29794.819999999996</v>
      </c>
      <c r="BL43" s="32">
        <f t="shared" si="41"/>
        <v>25964.93</v>
      </c>
      <c r="BM43" s="32">
        <f t="shared" si="41"/>
        <v>27211.56</v>
      </c>
      <c r="BN43" s="32">
        <f t="shared" si="41"/>
        <v>26353.82</v>
      </c>
      <c r="BO43" s="32">
        <f t="shared" si="41"/>
        <v>41100.239999999998</v>
      </c>
      <c r="BP43" s="32">
        <f t="shared" si="41"/>
        <v>85198.180000000008</v>
      </c>
      <c r="BQ43" s="32">
        <f t="shared" si="41"/>
        <v>135030.37</v>
      </c>
      <c r="BR43" s="32">
        <f t="shared" si="41"/>
        <v>165658.60999999999</v>
      </c>
      <c r="BS43" s="32">
        <f t="shared" si="41"/>
        <v>171037.03999999998</v>
      </c>
      <c r="BT43" s="32">
        <f t="shared" si="41"/>
        <v>126778.59</v>
      </c>
      <c r="BU43" s="32">
        <f t="shared" si="41"/>
        <v>81989.37</v>
      </c>
      <c r="BV43" s="32">
        <f t="shared" si="41"/>
        <v>46989.14</v>
      </c>
      <c r="BW43" s="32">
        <f t="shared" si="41"/>
        <v>29794.819999999996</v>
      </c>
      <c r="BX43" s="32">
        <f t="shared" ref="BX43:CI43" si="42">BX40+BX41+BX42</f>
        <v>25964.93</v>
      </c>
      <c r="BY43" s="32">
        <f t="shared" si="42"/>
        <v>27211.56</v>
      </c>
      <c r="BZ43" s="32">
        <f t="shared" si="42"/>
        <v>26353.82</v>
      </c>
      <c r="CA43" s="32">
        <f t="shared" si="42"/>
        <v>41100.239999999998</v>
      </c>
      <c r="CB43" s="32">
        <f t="shared" si="42"/>
        <v>85198.180000000008</v>
      </c>
      <c r="CC43" s="32">
        <f t="shared" si="42"/>
        <v>135030.37</v>
      </c>
      <c r="CD43" s="32">
        <f t="shared" si="42"/>
        <v>165658.60999999999</v>
      </c>
      <c r="CE43" s="32">
        <f t="shared" si="42"/>
        <v>171037.03999999998</v>
      </c>
      <c r="CF43" s="32">
        <f t="shared" si="42"/>
        <v>126778.59</v>
      </c>
      <c r="CG43" s="32">
        <f t="shared" si="42"/>
        <v>81989.37</v>
      </c>
      <c r="CH43" s="32">
        <f t="shared" si="42"/>
        <v>46989.14</v>
      </c>
      <c r="CI43" s="32">
        <f t="shared" si="42"/>
        <v>29794.819999999996</v>
      </c>
    </row>
    <row r="44" spans="1:87" x14ac:dyDescent="0.2">
      <c r="A44" s="2">
        <v>34</v>
      </c>
      <c r="B44" s="17" t="s">
        <v>226</v>
      </c>
      <c r="C44" s="2"/>
      <c r="D44" s="95">
        <f>D35</f>
        <v>3.6865999999999999</v>
      </c>
      <c r="E44" s="95">
        <f t="shared" ref="E44:P44" si="43">E35</f>
        <v>4.0933999999999999</v>
      </c>
      <c r="F44" s="95">
        <f t="shared" si="43"/>
        <v>4.0933999999999999</v>
      </c>
      <c r="G44" s="95">
        <f t="shared" si="43"/>
        <v>4.0933999999999999</v>
      </c>
      <c r="H44" s="95">
        <f t="shared" si="43"/>
        <v>4.1377000000000006</v>
      </c>
      <c r="I44" s="95">
        <f t="shared" si="43"/>
        <v>4.1377000000000006</v>
      </c>
      <c r="J44" s="95">
        <f t="shared" si="43"/>
        <v>4.1377000000000006</v>
      </c>
      <c r="K44" s="95">
        <f t="shared" si="43"/>
        <v>4.3841999999999999</v>
      </c>
      <c r="L44" s="95">
        <f t="shared" si="43"/>
        <v>4.3841999999999999</v>
      </c>
      <c r="M44" s="95">
        <f t="shared" si="43"/>
        <v>4.3841999999999999</v>
      </c>
      <c r="N44" s="95">
        <f t="shared" si="43"/>
        <v>4.9828999999999999</v>
      </c>
      <c r="O44" s="95">
        <f t="shared" si="43"/>
        <v>5.1480000000000006</v>
      </c>
      <c r="P44" s="95">
        <f t="shared" si="43"/>
        <v>5.1480000000000006</v>
      </c>
      <c r="Q44" s="95">
        <f t="shared" ref="Q44:BW44" si="44">Q35</f>
        <v>5.0563999999999991</v>
      </c>
      <c r="R44" s="95">
        <f t="shared" si="44"/>
        <v>5.0563999999999991</v>
      </c>
      <c r="S44" s="95">
        <f t="shared" si="44"/>
        <v>5.0563999999999991</v>
      </c>
      <c r="T44" s="95">
        <f t="shared" si="44"/>
        <v>4.7457025946093809</v>
      </c>
      <c r="U44" s="95">
        <f t="shared" si="44"/>
        <v>4.7457025946093809</v>
      </c>
      <c r="V44" s="95">
        <f t="shared" si="44"/>
        <v>4.7457025946093809</v>
      </c>
      <c r="W44" s="95">
        <f t="shared" si="44"/>
        <v>4.6493144113040463</v>
      </c>
      <c r="X44" s="95">
        <f t="shared" si="44"/>
        <v>4.6493144113040463</v>
      </c>
      <c r="Y44" s="95">
        <f t="shared" si="44"/>
        <v>4.6493144113040463</v>
      </c>
      <c r="Z44" s="95">
        <f t="shared" si="44"/>
        <v>4.8747402727505156</v>
      </c>
      <c r="AA44" s="95">
        <f t="shared" si="44"/>
        <v>4.8747402727505156</v>
      </c>
      <c r="AB44" s="95">
        <f t="shared" si="44"/>
        <v>4.8747402727505156</v>
      </c>
      <c r="AC44" s="95">
        <f t="shared" si="44"/>
        <v>4.8549770121409086</v>
      </c>
      <c r="AD44" s="95">
        <f t="shared" si="44"/>
        <v>4.8549770121409086</v>
      </c>
      <c r="AE44" s="95">
        <f t="shared" si="44"/>
        <v>4.8549770121409086</v>
      </c>
      <c r="AF44" s="95">
        <f t="shared" si="44"/>
        <v>4.6982867815053471</v>
      </c>
      <c r="AG44" s="95">
        <f t="shared" si="44"/>
        <v>4.6982867815053471</v>
      </c>
      <c r="AH44" s="95">
        <f t="shared" si="44"/>
        <v>4.6982867815053471</v>
      </c>
      <c r="AI44" s="95">
        <f t="shared" si="44"/>
        <v>4.6235786988289602</v>
      </c>
      <c r="AJ44" s="95">
        <f t="shared" si="44"/>
        <v>4.6235786988289602</v>
      </c>
      <c r="AK44" s="95">
        <f t="shared" si="44"/>
        <v>4.6235786988289602</v>
      </c>
      <c r="AL44" s="95">
        <f t="shared" si="44"/>
        <v>4.6856917749816356</v>
      </c>
      <c r="AM44" s="95">
        <f t="shared" si="44"/>
        <v>4.6856917749816356</v>
      </c>
      <c r="AN44" s="95">
        <f t="shared" si="44"/>
        <v>4.6856917749816356</v>
      </c>
      <c r="AO44" s="95">
        <f t="shared" si="44"/>
        <v>4.6723633592542724</v>
      </c>
      <c r="AP44" s="95">
        <f t="shared" si="44"/>
        <v>4.6723633592542724</v>
      </c>
      <c r="AQ44" s="95">
        <f t="shared" si="44"/>
        <v>4.6723633592542724</v>
      </c>
      <c r="AR44" s="95">
        <f t="shared" si="44"/>
        <v>4.5892930954093805</v>
      </c>
      <c r="AS44" s="95">
        <f t="shared" si="44"/>
        <v>4.5892930954093805</v>
      </c>
      <c r="AT44" s="95">
        <f t="shared" si="44"/>
        <v>4.5892930954093805</v>
      </c>
      <c r="AU44" s="95">
        <f t="shared" si="44"/>
        <v>4.5369016932337054</v>
      </c>
      <c r="AV44" s="95">
        <f t="shared" si="44"/>
        <v>4.5369016932337054</v>
      </c>
      <c r="AW44" s="95">
        <f t="shared" si="44"/>
        <v>4.5369016932337054</v>
      </c>
      <c r="AX44" s="95">
        <f t="shared" si="44"/>
        <v>4.6299697154129769</v>
      </c>
      <c r="AY44" s="95">
        <f t="shared" si="44"/>
        <v>4.6299697154129769</v>
      </c>
      <c r="AZ44" s="95">
        <f t="shared" si="44"/>
        <v>4.6299697154129769</v>
      </c>
      <c r="BA44" s="95">
        <f t="shared" si="44"/>
        <v>4.6508552650625932</v>
      </c>
      <c r="BB44" s="95">
        <f t="shared" si="44"/>
        <v>4.6508552650625932</v>
      </c>
      <c r="BC44" s="95">
        <f t="shared" si="44"/>
        <v>4.6508552650625932</v>
      </c>
      <c r="BD44" s="95">
        <f t="shared" si="44"/>
        <v>4.5688240664492845</v>
      </c>
      <c r="BE44" s="95">
        <f t="shared" si="44"/>
        <v>4.5688240664492845</v>
      </c>
      <c r="BF44" s="95">
        <f t="shared" si="44"/>
        <v>4.5688240664492845</v>
      </c>
      <c r="BG44" s="95">
        <f t="shared" si="44"/>
        <v>4.5074579308191165</v>
      </c>
      <c r="BH44" s="95">
        <f t="shared" si="44"/>
        <v>4.5074579308191165</v>
      </c>
      <c r="BI44" s="95">
        <f t="shared" si="44"/>
        <v>4.5074579308191165</v>
      </c>
      <c r="BJ44" s="95">
        <f t="shared" si="44"/>
        <v>4.6286843481216708</v>
      </c>
      <c r="BK44" s="95">
        <f t="shared" si="44"/>
        <v>4.6286843481216708</v>
      </c>
      <c r="BL44" s="95">
        <f t="shared" si="44"/>
        <v>4.6286843481216708</v>
      </c>
      <c r="BM44" s="95">
        <f t="shared" si="44"/>
        <v>4.6567193704796717</v>
      </c>
      <c r="BN44" s="95">
        <f t="shared" si="44"/>
        <v>4.6567193704796717</v>
      </c>
      <c r="BO44" s="95">
        <f t="shared" si="44"/>
        <v>4.6567193704796717</v>
      </c>
      <c r="BP44" s="95">
        <f t="shared" si="44"/>
        <v>4.5792599203715536</v>
      </c>
      <c r="BQ44" s="95">
        <f t="shared" si="44"/>
        <v>4.5792599203715536</v>
      </c>
      <c r="BR44" s="95">
        <f t="shared" si="44"/>
        <v>4.5792599203715536</v>
      </c>
      <c r="BS44" s="95">
        <f t="shared" si="44"/>
        <v>4.5143191992924905</v>
      </c>
      <c r="BT44" s="95">
        <f t="shared" si="44"/>
        <v>4.5143191992924905</v>
      </c>
      <c r="BU44" s="95">
        <f t="shared" si="44"/>
        <v>4.5143191992924905</v>
      </c>
      <c r="BV44" s="95">
        <f t="shared" si="44"/>
        <v>4.6576773448947426</v>
      </c>
      <c r="BW44" s="95">
        <f t="shared" si="44"/>
        <v>4.6576773448947426</v>
      </c>
      <c r="BX44" s="95">
        <f t="shared" ref="BX44:CI44" si="45">BX35</f>
        <v>4.6576773448947426</v>
      </c>
      <c r="BY44" s="95">
        <f t="shared" si="45"/>
        <v>4.6912790895580949</v>
      </c>
      <c r="BZ44" s="95">
        <f t="shared" si="45"/>
        <v>4.6912790895580949</v>
      </c>
      <c r="CA44" s="95">
        <f t="shared" si="45"/>
        <v>4.6912790895580949</v>
      </c>
      <c r="CB44" s="95">
        <f t="shared" si="45"/>
        <v>4.7021368584552379</v>
      </c>
      <c r="CC44" s="95">
        <f t="shared" si="45"/>
        <v>4.7021368584552379</v>
      </c>
      <c r="CD44" s="95">
        <f t="shared" si="45"/>
        <v>4.7021368584552379</v>
      </c>
      <c r="CE44" s="95">
        <f t="shared" si="45"/>
        <v>4.6342390958986908</v>
      </c>
      <c r="CF44" s="95">
        <f t="shared" si="45"/>
        <v>4.6342390958986908</v>
      </c>
      <c r="CG44" s="95">
        <f t="shared" si="45"/>
        <v>4.6342390958986908</v>
      </c>
      <c r="CH44" s="95">
        <f t="shared" si="45"/>
        <v>4.788000164492809</v>
      </c>
      <c r="CI44" s="95">
        <f t="shared" si="45"/>
        <v>4.788000164492809</v>
      </c>
    </row>
    <row r="45" spans="1:87" x14ac:dyDescent="0.2">
      <c r="A45" s="2">
        <v>35</v>
      </c>
      <c r="B45" s="17" t="s">
        <v>218</v>
      </c>
      <c r="C45" s="2"/>
      <c r="D45" s="39">
        <f t="shared" ref="D45:AI45" si="46">D44*D43</f>
        <v>95722.310937999995</v>
      </c>
      <c r="E45" s="39">
        <f t="shared" si="46"/>
        <v>111387.799704</v>
      </c>
      <c r="F45" s="39">
        <f t="shared" si="46"/>
        <v>107876.726788</v>
      </c>
      <c r="G45" s="39">
        <f t="shared" si="46"/>
        <v>168239.72241599998</v>
      </c>
      <c r="H45" s="39">
        <f t="shared" si="46"/>
        <v>352524.50938600011</v>
      </c>
      <c r="I45" s="39">
        <f t="shared" si="46"/>
        <v>558715.16194900009</v>
      </c>
      <c r="J45" s="39">
        <f t="shared" si="46"/>
        <v>685445.63059700001</v>
      </c>
      <c r="K45" s="39">
        <f t="shared" si="46"/>
        <v>749860.59076799988</v>
      </c>
      <c r="L45" s="39">
        <f t="shared" si="46"/>
        <v>555822.69427799992</v>
      </c>
      <c r="M45" s="39">
        <f t="shared" si="46"/>
        <v>359457.79595399997</v>
      </c>
      <c r="N45" s="39">
        <f t="shared" si="46"/>
        <v>234142.18570599999</v>
      </c>
      <c r="O45" s="39">
        <f t="shared" si="46"/>
        <v>153383.73335999998</v>
      </c>
      <c r="P45" s="39">
        <f t="shared" si="46"/>
        <v>133667.45964000002</v>
      </c>
      <c r="Q45" s="39">
        <f t="shared" si="46"/>
        <v>137592.53198399997</v>
      </c>
      <c r="R45" s="39">
        <f t="shared" si="46"/>
        <v>133255.45544799996</v>
      </c>
      <c r="S45" s="39">
        <f t="shared" si="46"/>
        <v>207819.25353599995</v>
      </c>
      <c r="T45" s="39">
        <f t="shared" si="46"/>
        <v>404325.22388199711</v>
      </c>
      <c r="U45" s="39">
        <f t="shared" si="46"/>
        <v>640813.97726006468</v>
      </c>
      <c r="V45" s="39">
        <f t="shared" si="46"/>
        <v>786166.49529638351</v>
      </c>
      <c r="W45" s="39">
        <f t="shared" si="46"/>
        <v>795204.97493878647</v>
      </c>
      <c r="X45" s="39">
        <f t="shared" si="46"/>
        <v>589433.52553180698</v>
      </c>
      <c r="Y45" s="39">
        <f t="shared" si="46"/>
        <v>381194.3595147396</v>
      </c>
      <c r="Z45" s="39">
        <f t="shared" si="46"/>
        <v>229059.85313991216</v>
      </c>
      <c r="AA45" s="39">
        <f t="shared" si="46"/>
        <v>145242.00897335249</v>
      </c>
      <c r="AB45" s="39">
        <f t="shared" si="46"/>
        <v>126572.28995014804</v>
      </c>
      <c r="AC45" s="39">
        <f t="shared" si="46"/>
        <v>132111.49826449307</v>
      </c>
      <c r="AD45" s="39">
        <f t="shared" si="46"/>
        <v>127947.19028209931</v>
      </c>
      <c r="AE45" s="39">
        <f t="shared" si="46"/>
        <v>199540.72039347424</v>
      </c>
      <c r="AF45" s="39">
        <f t="shared" si="46"/>
        <v>400285.48290231329</v>
      </c>
      <c r="AG45" s="39">
        <f t="shared" si="46"/>
        <v>634411.40247277613</v>
      </c>
      <c r="AH45" s="39">
        <f t="shared" si="46"/>
        <v>778311.65760554944</v>
      </c>
      <c r="AI45" s="39">
        <f t="shared" si="46"/>
        <v>790803.21485475672</v>
      </c>
      <c r="AJ45" s="39">
        <f t="shared" ref="AJ45:BW45" si="47">AJ44*AJ43</f>
        <v>586170.7881915702</v>
      </c>
      <c r="AK45" s="39">
        <f t="shared" si="47"/>
        <v>379084.30466240615</v>
      </c>
      <c r="AL45" s="39">
        <f t="shared" si="47"/>
        <v>220176.62681146056</v>
      </c>
      <c r="AM45" s="39">
        <f t="shared" si="47"/>
        <v>139609.34301105831</v>
      </c>
      <c r="AN45" s="39">
        <f t="shared" si="47"/>
        <v>121663.65893897392</v>
      </c>
      <c r="AO45" s="39">
        <f t="shared" si="47"/>
        <v>127142.2958921492</v>
      </c>
      <c r="AP45" s="39">
        <f t="shared" si="47"/>
        <v>123134.62294438243</v>
      </c>
      <c r="AQ45" s="39">
        <f t="shared" si="47"/>
        <v>192035.25543255682</v>
      </c>
      <c r="AR45" s="39">
        <f t="shared" si="47"/>
        <v>390999.41921544558</v>
      </c>
      <c r="AS45" s="39">
        <f t="shared" si="47"/>
        <v>619693.94471157389</v>
      </c>
      <c r="AT45" s="39">
        <f t="shared" si="47"/>
        <v>760255.91506811534</v>
      </c>
      <c r="AU45" s="39">
        <f t="shared" si="47"/>
        <v>775978.23638168094</v>
      </c>
      <c r="AV45" s="39">
        <f t="shared" si="47"/>
        <v>575181.99963678175</v>
      </c>
      <c r="AW45" s="39">
        <f t="shared" si="47"/>
        <v>371977.71158016473</v>
      </c>
      <c r="AX45" s="39">
        <f t="shared" si="47"/>
        <v>217558.29515330051</v>
      </c>
      <c r="AY45" s="39">
        <f t="shared" si="47"/>
        <v>137949.11427618086</v>
      </c>
      <c r="AZ45" s="39">
        <f t="shared" si="47"/>
        <v>120216.83956281787</v>
      </c>
      <c r="BA45" s="39">
        <f t="shared" si="47"/>
        <v>126557.02709656666</v>
      </c>
      <c r="BB45" s="39">
        <f t="shared" si="47"/>
        <v>122567.80250151186</v>
      </c>
      <c r="BC45" s="39">
        <f t="shared" si="47"/>
        <v>191151.26759933619</v>
      </c>
      <c r="BD45" s="39">
        <f t="shared" si="47"/>
        <v>389255.49520167813</v>
      </c>
      <c r="BE45" s="39">
        <f t="shared" si="47"/>
        <v>616930.00415755145</v>
      </c>
      <c r="BF45" s="39">
        <f t="shared" si="47"/>
        <v>756865.04418253608</v>
      </c>
      <c r="BG45" s="39">
        <f t="shared" si="47"/>
        <v>770942.26241182641</v>
      </c>
      <c r="BH45" s="39">
        <f t="shared" si="47"/>
        <v>571449.16095356515</v>
      </c>
      <c r="BI45" s="39">
        <f t="shared" si="47"/>
        <v>369563.63604936295</v>
      </c>
      <c r="BJ45" s="39">
        <f t="shared" si="47"/>
        <v>217497.89684969792</v>
      </c>
      <c r="BK45" s="39">
        <f t="shared" si="47"/>
        <v>137910.81698910252</v>
      </c>
      <c r="BL45" s="39">
        <f t="shared" si="47"/>
        <v>120183.46509107482</v>
      </c>
      <c r="BM45" s="39">
        <f t="shared" si="47"/>
        <v>126716.59855296982</v>
      </c>
      <c r="BN45" s="39">
        <f t="shared" si="47"/>
        <v>122722.34408013459</v>
      </c>
      <c r="BO45" s="39">
        <f t="shared" si="47"/>
        <v>191392.28373936343</v>
      </c>
      <c r="BP45" s="39">
        <f t="shared" si="47"/>
        <v>390144.61096260132</v>
      </c>
      <c r="BQ45" s="39">
        <f t="shared" si="47"/>
        <v>618339.16137394134</v>
      </c>
      <c r="BR45" s="39">
        <f t="shared" si="47"/>
        <v>758593.83323746221</v>
      </c>
      <c r="BS45" s="39">
        <f t="shared" si="47"/>
        <v>772115.7934621576</v>
      </c>
      <c r="BT45" s="39">
        <f t="shared" si="47"/>
        <v>572319.02289623092</v>
      </c>
      <c r="BU45" s="39">
        <f t="shared" si="47"/>
        <v>370126.18712889572</v>
      </c>
      <c r="BV45" s="39">
        <f t="shared" si="47"/>
        <v>218860.25283408735</v>
      </c>
      <c r="BW45" s="39">
        <f t="shared" si="47"/>
        <v>138774.65810921675</v>
      </c>
      <c r="BX45" s="39">
        <f t="shared" ref="BX45:CI45" si="48">BX44*BX43</f>
        <v>120936.26622277785</v>
      </c>
      <c r="BY45" s="39">
        <f t="shared" si="48"/>
        <v>127657.02242225548</v>
      </c>
      <c r="BZ45" s="39">
        <f t="shared" si="48"/>
        <v>123633.12469597791</v>
      </c>
      <c r="CA45" s="39">
        <f t="shared" si="48"/>
        <v>192812.69648781919</v>
      </c>
      <c r="CB45" s="39">
        <f t="shared" si="48"/>
        <v>400613.50245130394</v>
      </c>
      <c r="CC45" s="39">
        <f t="shared" si="48"/>
        <v>634931.27978784835</v>
      </c>
      <c r="CD45" s="39">
        <f t="shared" si="48"/>
        <v>778949.45600146137</v>
      </c>
      <c r="CE45" s="39">
        <f t="shared" si="48"/>
        <v>792626.53761478816</v>
      </c>
      <c r="CF45" s="39">
        <f t="shared" si="48"/>
        <v>587522.29830091074</v>
      </c>
      <c r="CG45" s="39">
        <f t="shared" si="48"/>
        <v>379958.3439021032</v>
      </c>
      <c r="CH45" s="39">
        <f t="shared" si="48"/>
        <v>224984.01004937562</v>
      </c>
      <c r="CI45" s="39">
        <f t="shared" si="48"/>
        <v>142657.60306103362</v>
      </c>
    </row>
    <row r="46" spans="1:87" x14ac:dyDescent="0.2">
      <c r="A46" s="2">
        <v>36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</row>
    <row r="47" spans="1:87" x14ac:dyDescent="0.2">
      <c r="A47" s="2">
        <v>37</v>
      </c>
      <c r="B47" s="172" t="s">
        <v>83</v>
      </c>
      <c r="C47" s="2"/>
      <c r="D47" s="103">
        <f>D48*$C$48+D49*$C$49+D50*$C$50</f>
        <v>800.99857000000009</v>
      </c>
      <c r="E47" s="103">
        <f t="shared" ref="E47:BP47" si="49">E48*$C$48+E49*$C$49+E50*$C$50</f>
        <v>840.41281000000004</v>
      </c>
      <c r="F47" s="103">
        <f t="shared" si="49"/>
        <v>838.04032000000007</v>
      </c>
      <c r="G47" s="103">
        <f t="shared" si="49"/>
        <v>832.93173999999999</v>
      </c>
      <c r="H47" s="103">
        <f t="shared" si="49"/>
        <v>1636.5225300000002</v>
      </c>
      <c r="I47" s="103">
        <f t="shared" si="49"/>
        <v>2645.0580300000001</v>
      </c>
      <c r="J47" s="103">
        <f t="shared" si="49"/>
        <v>3431.3248500000004</v>
      </c>
      <c r="K47" s="103">
        <f t="shared" si="49"/>
        <v>2949.9093600000001</v>
      </c>
      <c r="L47" s="103">
        <f t="shared" si="49"/>
        <v>2548.77675</v>
      </c>
      <c r="M47" s="103">
        <f t="shared" si="49"/>
        <v>2484.4468200000001</v>
      </c>
      <c r="N47" s="103">
        <f t="shared" si="49"/>
        <v>2213.1451099999999</v>
      </c>
      <c r="O47" s="103">
        <f t="shared" si="49"/>
        <v>799.91686000000004</v>
      </c>
      <c r="P47" s="103">
        <f t="shared" si="49"/>
        <v>800.99857000000009</v>
      </c>
      <c r="Q47" s="103">
        <f t="shared" si="49"/>
        <v>840.41281000000004</v>
      </c>
      <c r="R47" s="103">
        <f t="shared" si="49"/>
        <v>838.04032000000007</v>
      </c>
      <c r="S47" s="103">
        <f t="shared" si="49"/>
        <v>832.93173999999999</v>
      </c>
      <c r="T47" s="103">
        <f t="shared" si="49"/>
        <v>1636.5225300000002</v>
      </c>
      <c r="U47" s="103">
        <f t="shared" si="49"/>
        <v>2645.0580300000001</v>
      </c>
      <c r="V47" s="103">
        <f t="shared" si="49"/>
        <v>3431.3248500000004</v>
      </c>
      <c r="W47" s="103">
        <f t="shared" si="49"/>
        <v>2949.9093600000001</v>
      </c>
      <c r="X47" s="103">
        <f t="shared" si="49"/>
        <v>2548.77675</v>
      </c>
      <c r="Y47" s="103">
        <f t="shared" si="49"/>
        <v>2484.4468200000001</v>
      </c>
      <c r="Z47" s="103">
        <f t="shared" si="49"/>
        <v>2213.1451099999999</v>
      </c>
      <c r="AA47" s="103">
        <f t="shared" si="49"/>
        <v>799.91686000000004</v>
      </c>
      <c r="AB47" s="103">
        <f t="shared" si="49"/>
        <v>800.99857000000009</v>
      </c>
      <c r="AC47" s="103">
        <f t="shared" si="49"/>
        <v>840.41281000000004</v>
      </c>
      <c r="AD47" s="103">
        <f t="shared" si="49"/>
        <v>838.04032000000007</v>
      </c>
      <c r="AE47" s="103">
        <f t="shared" si="49"/>
        <v>832.93173999999999</v>
      </c>
      <c r="AF47" s="103">
        <f t="shared" si="49"/>
        <v>1636.5225300000002</v>
      </c>
      <c r="AG47" s="103">
        <f t="shared" si="49"/>
        <v>2645.0580300000001</v>
      </c>
      <c r="AH47" s="103">
        <f t="shared" si="49"/>
        <v>3431.3248500000004</v>
      </c>
      <c r="AI47" s="103">
        <f t="shared" si="49"/>
        <v>2949.9093600000001</v>
      </c>
      <c r="AJ47" s="103">
        <f t="shared" si="49"/>
        <v>2548.77675</v>
      </c>
      <c r="AK47" s="103">
        <f t="shared" si="49"/>
        <v>2484.4468200000001</v>
      </c>
      <c r="AL47" s="103">
        <f t="shared" si="49"/>
        <v>2213.1451099999999</v>
      </c>
      <c r="AM47" s="103">
        <f t="shared" si="49"/>
        <v>799.91686000000004</v>
      </c>
      <c r="AN47" s="103">
        <f t="shared" si="49"/>
        <v>800.99857000000009</v>
      </c>
      <c r="AO47" s="103">
        <f t="shared" si="49"/>
        <v>840.41281000000004</v>
      </c>
      <c r="AP47" s="103">
        <f t="shared" si="49"/>
        <v>838.04032000000007</v>
      </c>
      <c r="AQ47" s="103">
        <f t="shared" si="49"/>
        <v>832.93173999999999</v>
      </c>
      <c r="AR47" s="103">
        <f t="shared" si="49"/>
        <v>1636.5225300000002</v>
      </c>
      <c r="AS47" s="103">
        <f t="shared" si="49"/>
        <v>2645.0580300000001</v>
      </c>
      <c r="AT47" s="103">
        <f t="shared" si="49"/>
        <v>3431.3248500000004</v>
      </c>
      <c r="AU47" s="103">
        <f t="shared" si="49"/>
        <v>2949.9093600000001</v>
      </c>
      <c r="AV47" s="103">
        <f t="shared" si="49"/>
        <v>2548.77675</v>
      </c>
      <c r="AW47" s="103">
        <f t="shared" si="49"/>
        <v>2484.4468200000001</v>
      </c>
      <c r="AX47" s="103">
        <f t="shared" si="49"/>
        <v>2213.1451099999999</v>
      </c>
      <c r="AY47" s="103">
        <f t="shared" si="49"/>
        <v>799.91686000000004</v>
      </c>
      <c r="AZ47" s="103">
        <f t="shared" si="49"/>
        <v>800.99857000000009</v>
      </c>
      <c r="BA47" s="103">
        <f t="shared" si="49"/>
        <v>840.41281000000004</v>
      </c>
      <c r="BB47" s="103">
        <f t="shared" si="49"/>
        <v>838.04032000000007</v>
      </c>
      <c r="BC47" s="103">
        <f t="shared" si="49"/>
        <v>832.93173999999999</v>
      </c>
      <c r="BD47" s="103">
        <f t="shared" si="49"/>
        <v>1636.5225300000002</v>
      </c>
      <c r="BE47" s="103">
        <f t="shared" si="49"/>
        <v>2645.0580300000001</v>
      </c>
      <c r="BF47" s="103">
        <f t="shared" si="49"/>
        <v>3431.3248500000004</v>
      </c>
      <c r="BG47" s="103">
        <f t="shared" si="49"/>
        <v>2949.9093600000001</v>
      </c>
      <c r="BH47" s="103">
        <f t="shared" si="49"/>
        <v>2548.77675</v>
      </c>
      <c r="BI47" s="103">
        <f t="shared" si="49"/>
        <v>2484.4468200000001</v>
      </c>
      <c r="BJ47" s="103">
        <f t="shared" si="49"/>
        <v>2213.1451099999999</v>
      </c>
      <c r="BK47" s="103">
        <f t="shared" si="49"/>
        <v>799.91686000000004</v>
      </c>
      <c r="BL47" s="103">
        <f t="shared" si="49"/>
        <v>800.99857000000009</v>
      </c>
      <c r="BM47" s="103">
        <f t="shared" si="49"/>
        <v>840.41281000000004</v>
      </c>
      <c r="BN47" s="103">
        <f t="shared" si="49"/>
        <v>838.04032000000007</v>
      </c>
      <c r="BO47" s="103">
        <f t="shared" si="49"/>
        <v>832.93173999999999</v>
      </c>
      <c r="BP47" s="103">
        <f t="shared" si="49"/>
        <v>1636.5225300000002</v>
      </c>
      <c r="BQ47" s="103">
        <f t="shared" ref="BQ47:CI47" si="50">BQ48*$C$48+BQ49*$C$49+BQ50*$C$50</f>
        <v>2645.0580300000001</v>
      </c>
      <c r="BR47" s="103">
        <f t="shared" si="50"/>
        <v>3431.3248500000004</v>
      </c>
      <c r="BS47" s="103">
        <f t="shared" si="50"/>
        <v>2949.9093600000001</v>
      </c>
      <c r="BT47" s="103">
        <f t="shared" si="50"/>
        <v>2548.77675</v>
      </c>
      <c r="BU47" s="103">
        <f t="shared" si="50"/>
        <v>2484.4468200000001</v>
      </c>
      <c r="BV47" s="103">
        <f t="shared" si="50"/>
        <v>2213.1451099999999</v>
      </c>
      <c r="BW47" s="103">
        <f t="shared" si="50"/>
        <v>799.91686000000004</v>
      </c>
      <c r="BX47" s="103">
        <f t="shared" si="50"/>
        <v>800.99857000000009</v>
      </c>
      <c r="BY47" s="103">
        <f t="shared" si="50"/>
        <v>840.41281000000004</v>
      </c>
      <c r="BZ47" s="103">
        <f t="shared" si="50"/>
        <v>838.04032000000007</v>
      </c>
      <c r="CA47" s="103">
        <f t="shared" si="50"/>
        <v>832.93173999999999</v>
      </c>
      <c r="CB47" s="103">
        <f t="shared" si="50"/>
        <v>1636.5225300000002</v>
      </c>
      <c r="CC47" s="103">
        <f t="shared" si="50"/>
        <v>2645.0580300000001</v>
      </c>
      <c r="CD47" s="103">
        <f t="shared" si="50"/>
        <v>3431.3248500000004</v>
      </c>
      <c r="CE47" s="103">
        <f t="shared" si="50"/>
        <v>2949.9093600000001</v>
      </c>
      <c r="CF47" s="103">
        <f t="shared" si="50"/>
        <v>2548.77675</v>
      </c>
      <c r="CG47" s="103">
        <f t="shared" si="50"/>
        <v>2484.4468200000001</v>
      </c>
      <c r="CH47" s="103">
        <f t="shared" si="50"/>
        <v>2213.1451099999999</v>
      </c>
      <c r="CI47" s="103">
        <f t="shared" si="50"/>
        <v>799.91686000000004</v>
      </c>
    </row>
    <row r="48" spans="1:87" x14ac:dyDescent="0.2">
      <c r="A48" s="2">
        <v>38</v>
      </c>
      <c r="B48" s="2" t="s">
        <v>84</v>
      </c>
      <c r="C48" s="101">
        <f>'Rate Design'!G14</f>
        <v>393.35</v>
      </c>
      <c r="D48" s="71">
        <f>'Bill Frequency'!C41+'Contract &amp; Vol Adj'!C41</f>
        <v>2</v>
      </c>
      <c r="E48" s="71">
        <f>'Bill Frequency'!D41+'Contract &amp; Vol Adj'!D41</f>
        <v>2</v>
      </c>
      <c r="F48" s="71">
        <f>'Bill Frequency'!E41+'Contract &amp; Vol Adj'!E41</f>
        <v>2</v>
      </c>
      <c r="G48" s="71">
        <f>'Bill Frequency'!F41+'Contract &amp; Vol Adj'!F41</f>
        <v>2</v>
      </c>
      <c r="H48" s="71">
        <f>'Bill Frequency'!G41+'Contract &amp; Vol Adj'!G41</f>
        <v>3</v>
      </c>
      <c r="I48" s="71">
        <f>'Bill Frequency'!H41+'Contract &amp; Vol Adj'!H41</f>
        <v>3</v>
      </c>
      <c r="J48" s="71">
        <f>'Bill Frequency'!I41+'Contract &amp; Vol Adj'!I41</f>
        <v>3</v>
      </c>
      <c r="K48" s="71">
        <f>'Bill Frequency'!J41+'Contract &amp; Vol Adj'!J41</f>
        <v>3</v>
      </c>
      <c r="L48" s="71">
        <f>'Bill Frequency'!K41+'Contract &amp; Vol Adj'!K41</f>
        <v>3</v>
      </c>
      <c r="M48" s="71">
        <f>'Bill Frequency'!L41+'Contract &amp; Vol Adj'!L41</f>
        <v>3</v>
      </c>
      <c r="N48" s="71">
        <f>'Bill Frequency'!M41+'Contract &amp; Vol Adj'!M41</f>
        <v>4</v>
      </c>
      <c r="O48" s="71">
        <f>'Bill Frequency'!N41+'Contract &amp; Vol Adj'!N41</f>
        <v>2</v>
      </c>
      <c r="P48" s="7">
        <f t="shared" ref="P48:Y50" si="51">D48</f>
        <v>2</v>
      </c>
      <c r="Q48" s="7">
        <f t="shared" si="51"/>
        <v>2</v>
      </c>
      <c r="R48" s="7">
        <f t="shared" si="51"/>
        <v>2</v>
      </c>
      <c r="S48" s="7">
        <f t="shared" si="51"/>
        <v>2</v>
      </c>
      <c r="T48" s="7">
        <f t="shared" si="51"/>
        <v>3</v>
      </c>
      <c r="U48" s="7">
        <f t="shared" si="51"/>
        <v>3</v>
      </c>
      <c r="V48" s="7">
        <f t="shared" si="51"/>
        <v>3</v>
      </c>
      <c r="W48" s="7">
        <f t="shared" si="51"/>
        <v>3</v>
      </c>
      <c r="X48" s="7">
        <f t="shared" si="51"/>
        <v>3</v>
      </c>
      <c r="Y48" s="7">
        <f t="shared" si="51"/>
        <v>3</v>
      </c>
      <c r="Z48" s="7">
        <f t="shared" ref="Z48:AI50" si="52">N48</f>
        <v>4</v>
      </c>
      <c r="AA48" s="7">
        <f t="shared" si="52"/>
        <v>2</v>
      </c>
      <c r="AB48" s="7">
        <f t="shared" si="52"/>
        <v>2</v>
      </c>
      <c r="AC48" s="7">
        <f t="shared" si="52"/>
        <v>2</v>
      </c>
      <c r="AD48" s="7">
        <f t="shared" si="52"/>
        <v>2</v>
      </c>
      <c r="AE48" s="7">
        <f t="shared" si="52"/>
        <v>2</v>
      </c>
      <c r="AF48" s="7">
        <f t="shared" si="52"/>
        <v>3</v>
      </c>
      <c r="AG48" s="7">
        <f t="shared" si="52"/>
        <v>3</v>
      </c>
      <c r="AH48" s="7">
        <f t="shared" si="52"/>
        <v>3</v>
      </c>
      <c r="AI48" s="7">
        <f t="shared" si="52"/>
        <v>3</v>
      </c>
      <c r="AJ48" s="7">
        <f t="shared" ref="AJ48:AS50" si="53">X48</f>
        <v>3</v>
      </c>
      <c r="AK48" s="7">
        <f t="shared" si="53"/>
        <v>3</v>
      </c>
      <c r="AL48" s="7">
        <f t="shared" si="53"/>
        <v>4</v>
      </c>
      <c r="AM48" s="7">
        <f t="shared" si="53"/>
        <v>2</v>
      </c>
      <c r="AN48" s="7">
        <f t="shared" si="53"/>
        <v>2</v>
      </c>
      <c r="AO48" s="7">
        <f t="shared" si="53"/>
        <v>2</v>
      </c>
      <c r="AP48" s="7">
        <f t="shared" si="53"/>
        <v>2</v>
      </c>
      <c r="AQ48" s="7">
        <f t="shared" si="53"/>
        <v>2</v>
      </c>
      <c r="AR48" s="7">
        <f t="shared" si="53"/>
        <v>3</v>
      </c>
      <c r="AS48" s="7">
        <f t="shared" si="53"/>
        <v>3</v>
      </c>
      <c r="AT48" s="7">
        <f t="shared" ref="AT48:BC50" si="54">AH48</f>
        <v>3</v>
      </c>
      <c r="AU48" s="7">
        <f t="shared" si="54"/>
        <v>3</v>
      </c>
      <c r="AV48" s="7">
        <f t="shared" si="54"/>
        <v>3</v>
      </c>
      <c r="AW48" s="7">
        <f t="shared" si="54"/>
        <v>3</v>
      </c>
      <c r="AX48" s="7">
        <f t="shared" si="54"/>
        <v>4</v>
      </c>
      <c r="AY48" s="7">
        <f t="shared" si="54"/>
        <v>2</v>
      </c>
      <c r="AZ48" s="7">
        <f t="shared" si="54"/>
        <v>2</v>
      </c>
      <c r="BA48" s="7">
        <f t="shared" si="54"/>
        <v>2</v>
      </c>
      <c r="BB48" s="7">
        <f t="shared" si="54"/>
        <v>2</v>
      </c>
      <c r="BC48" s="7">
        <f t="shared" si="54"/>
        <v>2</v>
      </c>
      <c r="BD48" s="7">
        <f t="shared" ref="BD48:BS50" si="55">AR48</f>
        <v>3</v>
      </c>
      <c r="BE48" s="7">
        <f t="shared" si="55"/>
        <v>3</v>
      </c>
      <c r="BF48" s="7">
        <f t="shared" si="55"/>
        <v>3</v>
      </c>
      <c r="BG48" s="7">
        <f t="shared" si="55"/>
        <v>3</v>
      </c>
      <c r="BH48" s="7">
        <f t="shared" si="55"/>
        <v>3</v>
      </c>
      <c r="BI48" s="7">
        <f t="shared" si="55"/>
        <v>3</v>
      </c>
      <c r="BJ48" s="7">
        <f t="shared" si="55"/>
        <v>4</v>
      </c>
      <c r="BK48" s="7">
        <f t="shared" si="55"/>
        <v>2</v>
      </c>
      <c r="BL48" s="7">
        <f t="shared" si="55"/>
        <v>2</v>
      </c>
      <c r="BM48" s="7">
        <f t="shared" si="55"/>
        <v>2</v>
      </c>
      <c r="BN48" s="7">
        <f t="shared" si="55"/>
        <v>2</v>
      </c>
      <c r="BO48" s="7">
        <f t="shared" si="55"/>
        <v>2</v>
      </c>
      <c r="BP48" s="7">
        <f t="shared" si="55"/>
        <v>3</v>
      </c>
      <c r="BQ48" s="7">
        <f t="shared" si="55"/>
        <v>3</v>
      </c>
      <c r="BR48" s="7">
        <f t="shared" si="55"/>
        <v>3</v>
      </c>
      <c r="BS48" s="7">
        <f t="shared" si="55"/>
        <v>3</v>
      </c>
      <c r="BT48" s="7">
        <f t="shared" ref="BT48:BW50" si="56">BH48</f>
        <v>3</v>
      </c>
      <c r="BU48" s="7">
        <f t="shared" si="56"/>
        <v>3</v>
      </c>
      <c r="BV48" s="7">
        <f t="shared" si="56"/>
        <v>4</v>
      </c>
      <c r="BW48" s="7">
        <f t="shared" si="56"/>
        <v>2</v>
      </c>
      <c r="BX48" s="7">
        <f t="shared" ref="BX48:CI50" si="57">BL48</f>
        <v>2</v>
      </c>
      <c r="BY48" s="7">
        <f t="shared" si="57"/>
        <v>2</v>
      </c>
      <c r="BZ48" s="7">
        <f t="shared" si="57"/>
        <v>2</v>
      </c>
      <c r="CA48" s="7">
        <f t="shared" si="57"/>
        <v>2</v>
      </c>
      <c r="CB48" s="7">
        <f t="shared" si="57"/>
        <v>3</v>
      </c>
      <c r="CC48" s="7">
        <f t="shared" si="57"/>
        <v>3</v>
      </c>
      <c r="CD48" s="7">
        <f t="shared" si="57"/>
        <v>3</v>
      </c>
      <c r="CE48" s="7">
        <f t="shared" si="57"/>
        <v>3</v>
      </c>
      <c r="CF48" s="7">
        <f t="shared" si="57"/>
        <v>3</v>
      </c>
      <c r="CG48" s="7">
        <f t="shared" si="57"/>
        <v>3</v>
      </c>
      <c r="CH48" s="7">
        <f t="shared" si="57"/>
        <v>4</v>
      </c>
      <c r="CI48" s="7">
        <f t="shared" si="57"/>
        <v>2</v>
      </c>
    </row>
    <row r="49" spans="1:87" x14ac:dyDescent="0.2">
      <c r="A49" s="2">
        <v>39</v>
      </c>
      <c r="B49" s="2" t="s">
        <v>85</v>
      </c>
      <c r="C49" s="15">
        <f>'Rate Design'!G27</f>
        <v>0.90900000000000003</v>
      </c>
      <c r="D49" s="71">
        <f>'Bill Frequency'!C42+'Contract &amp; Vol Adj'!C42</f>
        <v>15.73</v>
      </c>
      <c r="E49" s="71">
        <f>'Bill Frequency'!D42+'Contract &amp; Vol Adj'!D42</f>
        <v>59.09</v>
      </c>
      <c r="F49" s="71">
        <f>'Bill Frequency'!E42+'Contract &amp; Vol Adj'!E42</f>
        <v>56.48</v>
      </c>
      <c r="G49" s="71">
        <f>'Bill Frequency'!F42+'Contract &amp; Vol Adj'!F42</f>
        <v>50.86</v>
      </c>
      <c r="H49" s="71">
        <f>'Bill Frequency'!G42+'Contract &amp; Vol Adj'!G42</f>
        <v>502.17</v>
      </c>
      <c r="I49" s="71">
        <f>'Bill Frequency'!H42+'Contract &amp; Vol Adj'!H42</f>
        <v>1611.67</v>
      </c>
      <c r="J49" s="71">
        <f>'Bill Frequency'!I42+'Contract &amp; Vol Adj'!I42</f>
        <v>2476.65</v>
      </c>
      <c r="K49" s="71">
        <f>'Bill Frequency'!J42+'Contract &amp; Vol Adj'!J42</f>
        <v>1947.04</v>
      </c>
      <c r="L49" s="71">
        <f>'Bill Frequency'!K42+'Contract &amp; Vol Adj'!K42</f>
        <v>1505.75</v>
      </c>
      <c r="M49" s="71">
        <f>'Bill Frequency'!L42+'Contract &amp; Vol Adj'!L42</f>
        <v>1434.98</v>
      </c>
      <c r="N49" s="71">
        <f>'Bill Frequency'!M42+'Contract &amp; Vol Adj'!M42</f>
        <v>703.79</v>
      </c>
      <c r="O49" s="71">
        <f>'Bill Frequency'!N42+'Contract &amp; Vol Adj'!N42</f>
        <v>14.54</v>
      </c>
      <c r="P49" s="7">
        <f t="shared" si="51"/>
        <v>15.73</v>
      </c>
      <c r="Q49" s="7">
        <f t="shared" si="51"/>
        <v>59.09</v>
      </c>
      <c r="R49" s="7">
        <f t="shared" si="51"/>
        <v>56.48</v>
      </c>
      <c r="S49" s="7">
        <f t="shared" si="51"/>
        <v>50.86</v>
      </c>
      <c r="T49" s="7">
        <f t="shared" si="51"/>
        <v>502.17</v>
      </c>
      <c r="U49" s="7">
        <f t="shared" si="51"/>
        <v>1611.67</v>
      </c>
      <c r="V49" s="7">
        <f t="shared" si="51"/>
        <v>2476.65</v>
      </c>
      <c r="W49" s="7">
        <f t="shared" si="51"/>
        <v>1947.04</v>
      </c>
      <c r="X49" s="7">
        <f t="shared" si="51"/>
        <v>1505.75</v>
      </c>
      <c r="Y49" s="7">
        <f t="shared" si="51"/>
        <v>1434.98</v>
      </c>
      <c r="Z49" s="7">
        <f t="shared" si="52"/>
        <v>703.79</v>
      </c>
      <c r="AA49" s="7">
        <f t="shared" si="52"/>
        <v>14.54</v>
      </c>
      <c r="AB49" s="7">
        <f t="shared" si="52"/>
        <v>15.73</v>
      </c>
      <c r="AC49" s="7">
        <f t="shared" si="52"/>
        <v>59.09</v>
      </c>
      <c r="AD49" s="7">
        <f t="shared" si="52"/>
        <v>56.48</v>
      </c>
      <c r="AE49" s="7">
        <f t="shared" si="52"/>
        <v>50.86</v>
      </c>
      <c r="AF49" s="7">
        <f t="shared" si="52"/>
        <v>502.17</v>
      </c>
      <c r="AG49" s="7">
        <f t="shared" si="52"/>
        <v>1611.67</v>
      </c>
      <c r="AH49" s="7">
        <f t="shared" si="52"/>
        <v>2476.65</v>
      </c>
      <c r="AI49" s="7">
        <f t="shared" si="52"/>
        <v>1947.04</v>
      </c>
      <c r="AJ49" s="7">
        <f t="shared" si="53"/>
        <v>1505.75</v>
      </c>
      <c r="AK49" s="7">
        <f t="shared" si="53"/>
        <v>1434.98</v>
      </c>
      <c r="AL49" s="7">
        <f t="shared" si="53"/>
        <v>703.79</v>
      </c>
      <c r="AM49" s="7">
        <f t="shared" si="53"/>
        <v>14.54</v>
      </c>
      <c r="AN49" s="7">
        <f t="shared" si="53"/>
        <v>15.73</v>
      </c>
      <c r="AO49" s="7">
        <f t="shared" si="53"/>
        <v>59.09</v>
      </c>
      <c r="AP49" s="7">
        <f t="shared" si="53"/>
        <v>56.48</v>
      </c>
      <c r="AQ49" s="7">
        <f t="shared" si="53"/>
        <v>50.86</v>
      </c>
      <c r="AR49" s="7">
        <f t="shared" si="53"/>
        <v>502.17</v>
      </c>
      <c r="AS49" s="7">
        <f t="shared" si="53"/>
        <v>1611.67</v>
      </c>
      <c r="AT49" s="7">
        <f t="shared" si="54"/>
        <v>2476.65</v>
      </c>
      <c r="AU49" s="7">
        <f t="shared" si="54"/>
        <v>1947.04</v>
      </c>
      <c r="AV49" s="7">
        <f t="shared" si="54"/>
        <v>1505.75</v>
      </c>
      <c r="AW49" s="7">
        <f t="shared" si="54"/>
        <v>1434.98</v>
      </c>
      <c r="AX49" s="7">
        <f t="shared" si="54"/>
        <v>703.79</v>
      </c>
      <c r="AY49" s="7">
        <f t="shared" si="54"/>
        <v>14.54</v>
      </c>
      <c r="AZ49" s="7">
        <f t="shared" si="54"/>
        <v>15.73</v>
      </c>
      <c r="BA49" s="7">
        <f t="shared" si="54"/>
        <v>59.09</v>
      </c>
      <c r="BB49" s="7">
        <f t="shared" si="54"/>
        <v>56.48</v>
      </c>
      <c r="BC49" s="7">
        <f t="shared" si="54"/>
        <v>50.86</v>
      </c>
      <c r="BD49" s="7">
        <f t="shared" si="55"/>
        <v>502.17</v>
      </c>
      <c r="BE49" s="7">
        <f t="shared" si="55"/>
        <v>1611.67</v>
      </c>
      <c r="BF49" s="7">
        <f t="shared" si="55"/>
        <v>2476.65</v>
      </c>
      <c r="BG49" s="7">
        <f t="shared" si="55"/>
        <v>1947.04</v>
      </c>
      <c r="BH49" s="7">
        <f t="shared" si="55"/>
        <v>1505.75</v>
      </c>
      <c r="BI49" s="7">
        <f t="shared" si="55"/>
        <v>1434.98</v>
      </c>
      <c r="BJ49" s="7">
        <f t="shared" si="55"/>
        <v>703.79</v>
      </c>
      <c r="BK49" s="7">
        <f t="shared" si="55"/>
        <v>14.54</v>
      </c>
      <c r="BL49" s="7">
        <f t="shared" si="55"/>
        <v>15.73</v>
      </c>
      <c r="BM49" s="7">
        <f t="shared" si="55"/>
        <v>59.09</v>
      </c>
      <c r="BN49" s="7">
        <f t="shared" si="55"/>
        <v>56.48</v>
      </c>
      <c r="BO49" s="7">
        <f t="shared" si="55"/>
        <v>50.86</v>
      </c>
      <c r="BP49" s="7">
        <f t="shared" si="55"/>
        <v>502.17</v>
      </c>
      <c r="BQ49" s="7">
        <f t="shared" si="55"/>
        <v>1611.67</v>
      </c>
      <c r="BR49" s="7">
        <f t="shared" si="55"/>
        <v>2476.65</v>
      </c>
      <c r="BS49" s="7">
        <f t="shared" si="55"/>
        <v>1947.04</v>
      </c>
      <c r="BT49" s="7">
        <f t="shared" si="56"/>
        <v>1505.75</v>
      </c>
      <c r="BU49" s="7">
        <f t="shared" si="56"/>
        <v>1434.98</v>
      </c>
      <c r="BV49" s="7">
        <f t="shared" si="56"/>
        <v>703.79</v>
      </c>
      <c r="BW49" s="7">
        <f t="shared" si="56"/>
        <v>14.54</v>
      </c>
      <c r="BX49" s="7">
        <f t="shared" si="57"/>
        <v>15.73</v>
      </c>
      <c r="BY49" s="7">
        <f t="shared" si="57"/>
        <v>59.09</v>
      </c>
      <c r="BZ49" s="7">
        <f t="shared" si="57"/>
        <v>56.48</v>
      </c>
      <c r="CA49" s="7">
        <f t="shared" si="57"/>
        <v>50.86</v>
      </c>
      <c r="CB49" s="7">
        <f t="shared" si="57"/>
        <v>502.17</v>
      </c>
      <c r="CC49" s="7">
        <f t="shared" si="57"/>
        <v>1611.67</v>
      </c>
      <c r="CD49" s="7">
        <f t="shared" si="57"/>
        <v>2476.65</v>
      </c>
      <c r="CE49" s="7">
        <f t="shared" si="57"/>
        <v>1947.04</v>
      </c>
      <c r="CF49" s="7">
        <f t="shared" si="57"/>
        <v>1505.75</v>
      </c>
      <c r="CG49" s="7">
        <f t="shared" si="57"/>
        <v>1434.98</v>
      </c>
      <c r="CH49" s="7">
        <f t="shared" si="57"/>
        <v>703.79</v>
      </c>
      <c r="CI49" s="7">
        <f t="shared" si="57"/>
        <v>14.54</v>
      </c>
    </row>
    <row r="50" spans="1:87" x14ac:dyDescent="0.2">
      <c r="A50" s="2">
        <v>40</v>
      </c>
      <c r="B50" s="2" t="s">
        <v>81</v>
      </c>
      <c r="C50" s="15">
        <f>'Rate Design'!G28</f>
        <v>0.68489999999999995</v>
      </c>
      <c r="D50" s="71">
        <f>'Bill Frequency'!C43+'Contract &amp; Vol Adj'!C43</f>
        <v>0</v>
      </c>
      <c r="E50" s="71">
        <f>'Bill Frequency'!D43+'Contract &amp; Vol Adj'!D43</f>
        <v>0</v>
      </c>
      <c r="F50" s="71">
        <f>'Bill Frequency'!E43+'Contract &amp; Vol Adj'!E43</f>
        <v>0</v>
      </c>
      <c r="G50" s="71">
        <f>'Bill Frequency'!F43+'Contract &amp; Vol Adj'!F43</f>
        <v>0</v>
      </c>
      <c r="H50" s="71">
        <f>'Bill Frequency'!G43+'Contract &amp; Vol Adj'!G43</f>
        <v>0</v>
      </c>
      <c r="I50" s="71">
        <f>'Bill Frequency'!H43+'Contract &amp; Vol Adj'!H43</f>
        <v>0</v>
      </c>
      <c r="J50" s="71">
        <f>'Bill Frequency'!I43+'Contract &amp; Vol Adj'!I43</f>
        <v>0</v>
      </c>
      <c r="K50" s="71">
        <f>'Bill Frequency'!J43+'Contract &amp; Vol Adj'!J43</f>
        <v>0</v>
      </c>
      <c r="L50" s="71">
        <f>'Bill Frequency'!K43+'Contract &amp; Vol Adj'!K43</f>
        <v>0</v>
      </c>
      <c r="M50" s="71">
        <f>'Bill Frequency'!L43+'Contract &amp; Vol Adj'!L43</f>
        <v>0</v>
      </c>
      <c r="N50" s="71">
        <f>'Bill Frequency'!M43+'Contract &amp; Vol Adj'!M43</f>
        <v>0</v>
      </c>
      <c r="O50" s="71">
        <f>'Bill Frequency'!N43+'Contract &amp; Vol Adj'!N43</f>
        <v>0</v>
      </c>
      <c r="P50" s="7">
        <f t="shared" si="51"/>
        <v>0</v>
      </c>
      <c r="Q50" s="7">
        <f t="shared" si="51"/>
        <v>0</v>
      </c>
      <c r="R50" s="7">
        <f t="shared" si="51"/>
        <v>0</v>
      </c>
      <c r="S50" s="7">
        <f t="shared" si="51"/>
        <v>0</v>
      </c>
      <c r="T50" s="7">
        <f t="shared" si="51"/>
        <v>0</v>
      </c>
      <c r="U50" s="7">
        <f t="shared" si="51"/>
        <v>0</v>
      </c>
      <c r="V50" s="7">
        <f t="shared" si="51"/>
        <v>0</v>
      </c>
      <c r="W50" s="7">
        <f t="shared" si="51"/>
        <v>0</v>
      </c>
      <c r="X50" s="7">
        <f t="shared" si="51"/>
        <v>0</v>
      </c>
      <c r="Y50" s="7">
        <f t="shared" si="51"/>
        <v>0</v>
      </c>
      <c r="Z50" s="7">
        <f t="shared" si="52"/>
        <v>0</v>
      </c>
      <c r="AA50" s="7">
        <f t="shared" si="52"/>
        <v>0</v>
      </c>
      <c r="AB50" s="7">
        <f t="shared" si="52"/>
        <v>0</v>
      </c>
      <c r="AC50" s="7">
        <f t="shared" si="52"/>
        <v>0</v>
      </c>
      <c r="AD50" s="7">
        <f t="shared" si="52"/>
        <v>0</v>
      </c>
      <c r="AE50" s="7">
        <f t="shared" si="52"/>
        <v>0</v>
      </c>
      <c r="AF50" s="7">
        <f t="shared" si="52"/>
        <v>0</v>
      </c>
      <c r="AG50" s="7">
        <f t="shared" si="52"/>
        <v>0</v>
      </c>
      <c r="AH50" s="7">
        <f t="shared" si="52"/>
        <v>0</v>
      </c>
      <c r="AI50" s="7">
        <f t="shared" si="52"/>
        <v>0</v>
      </c>
      <c r="AJ50" s="7">
        <f t="shared" si="53"/>
        <v>0</v>
      </c>
      <c r="AK50" s="7">
        <f t="shared" si="53"/>
        <v>0</v>
      </c>
      <c r="AL50" s="7">
        <f t="shared" si="53"/>
        <v>0</v>
      </c>
      <c r="AM50" s="7">
        <f t="shared" si="53"/>
        <v>0</v>
      </c>
      <c r="AN50" s="7">
        <f t="shared" si="53"/>
        <v>0</v>
      </c>
      <c r="AO50" s="7">
        <f t="shared" si="53"/>
        <v>0</v>
      </c>
      <c r="AP50" s="7">
        <f t="shared" si="53"/>
        <v>0</v>
      </c>
      <c r="AQ50" s="7">
        <f t="shared" si="53"/>
        <v>0</v>
      </c>
      <c r="AR50" s="7">
        <f t="shared" si="53"/>
        <v>0</v>
      </c>
      <c r="AS50" s="7">
        <f t="shared" si="53"/>
        <v>0</v>
      </c>
      <c r="AT50" s="7">
        <f t="shared" si="54"/>
        <v>0</v>
      </c>
      <c r="AU50" s="7">
        <f t="shared" si="54"/>
        <v>0</v>
      </c>
      <c r="AV50" s="7">
        <f t="shared" si="54"/>
        <v>0</v>
      </c>
      <c r="AW50" s="7">
        <f t="shared" si="54"/>
        <v>0</v>
      </c>
      <c r="AX50" s="7">
        <f t="shared" si="54"/>
        <v>0</v>
      </c>
      <c r="AY50" s="7">
        <f t="shared" si="54"/>
        <v>0</v>
      </c>
      <c r="AZ50" s="7">
        <f t="shared" si="54"/>
        <v>0</v>
      </c>
      <c r="BA50" s="7">
        <f t="shared" si="54"/>
        <v>0</v>
      </c>
      <c r="BB50" s="7">
        <f t="shared" si="54"/>
        <v>0</v>
      </c>
      <c r="BC50" s="7">
        <f t="shared" si="54"/>
        <v>0</v>
      </c>
      <c r="BD50" s="7">
        <f t="shared" si="55"/>
        <v>0</v>
      </c>
      <c r="BE50" s="7">
        <f t="shared" si="55"/>
        <v>0</v>
      </c>
      <c r="BF50" s="7">
        <f t="shared" si="55"/>
        <v>0</v>
      </c>
      <c r="BG50" s="7">
        <f t="shared" si="55"/>
        <v>0</v>
      </c>
      <c r="BH50" s="7">
        <f t="shared" si="55"/>
        <v>0</v>
      </c>
      <c r="BI50" s="7">
        <f t="shared" si="55"/>
        <v>0</v>
      </c>
      <c r="BJ50" s="7">
        <f t="shared" si="55"/>
        <v>0</v>
      </c>
      <c r="BK50" s="7">
        <f t="shared" si="55"/>
        <v>0</v>
      </c>
      <c r="BL50" s="7">
        <f t="shared" si="55"/>
        <v>0</v>
      </c>
      <c r="BM50" s="7">
        <f t="shared" si="55"/>
        <v>0</v>
      </c>
      <c r="BN50" s="7">
        <f t="shared" si="55"/>
        <v>0</v>
      </c>
      <c r="BO50" s="7">
        <f t="shared" si="55"/>
        <v>0</v>
      </c>
      <c r="BP50" s="7">
        <f t="shared" si="55"/>
        <v>0</v>
      </c>
      <c r="BQ50" s="7">
        <f t="shared" si="55"/>
        <v>0</v>
      </c>
      <c r="BR50" s="7">
        <f t="shared" si="55"/>
        <v>0</v>
      </c>
      <c r="BS50" s="7">
        <f t="shared" si="55"/>
        <v>0</v>
      </c>
      <c r="BT50" s="7">
        <f t="shared" si="56"/>
        <v>0</v>
      </c>
      <c r="BU50" s="7">
        <f t="shared" si="56"/>
        <v>0</v>
      </c>
      <c r="BV50" s="7">
        <f t="shared" si="56"/>
        <v>0</v>
      </c>
      <c r="BW50" s="7">
        <f t="shared" si="56"/>
        <v>0</v>
      </c>
      <c r="BX50" s="7">
        <f t="shared" si="57"/>
        <v>0</v>
      </c>
      <c r="BY50" s="7">
        <f t="shared" si="57"/>
        <v>0</v>
      </c>
      <c r="BZ50" s="7">
        <f t="shared" si="57"/>
        <v>0</v>
      </c>
      <c r="CA50" s="7">
        <f t="shared" si="57"/>
        <v>0</v>
      </c>
      <c r="CB50" s="7">
        <f t="shared" si="57"/>
        <v>0</v>
      </c>
      <c r="CC50" s="7">
        <f t="shared" si="57"/>
        <v>0</v>
      </c>
      <c r="CD50" s="7">
        <f t="shared" si="57"/>
        <v>0</v>
      </c>
      <c r="CE50" s="7">
        <f t="shared" si="57"/>
        <v>0</v>
      </c>
      <c r="CF50" s="7">
        <f t="shared" si="57"/>
        <v>0</v>
      </c>
      <c r="CG50" s="7">
        <f t="shared" si="57"/>
        <v>0</v>
      </c>
      <c r="CH50" s="7">
        <f t="shared" si="57"/>
        <v>0</v>
      </c>
      <c r="CI50" s="7">
        <f t="shared" si="57"/>
        <v>0</v>
      </c>
    </row>
    <row r="51" spans="1:87" x14ac:dyDescent="0.2">
      <c r="A51" s="2">
        <v>41</v>
      </c>
      <c r="B51" s="33" t="s">
        <v>79</v>
      </c>
      <c r="C51" s="33"/>
      <c r="D51" s="32">
        <f t="shared" ref="D51:AI51" si="58">D49+D50</f>
        <v>15.73</v>
      </c>
      <c r="E51" s="32">
        <f t="shared" si="58"/>
        <v>59.09</v>
      </c>
      <c r="F51" s="32">
        <f t="shared" si="58"/>
        <v>56.48</v>
      </c>
      <c r="G51" s="32">
        <f t="shared" si="58"/>
        <v>50.86</v>
      </c>
      <c r="H51" s="32">
        <f t="shared" si="58"/>
        <v>502.17</v>
      </c>
      <c r="I51" s="32">
        <f t="shared" si="58"/>
        <v>1611.67</v>
      </c>
      <c r="J51" s="32">
        <f t="shared" si="58"/>
        <v>2476.65</v>
      </c>
      <c r="K51" s="32">
        <f t="shared" si="58"/>
        <v>1947.04</v>
      </c>
      <c r="L51" s="32">
        <f t="shared" si="58"/>
        <v>1505.75</v>
      </c>
      <c r="M51" s="32">
        <f t="shared" si="58"/>
        <v>1434.98</v>
      </c>
      <c r="N51" s="32">
        <f t="shared" si="58"/>
        <v>703.79</v>
      </c>
      <c r="O51" s="32">
        <f t="shared" si="58"/>
        <v>14.54</v>
      </c>
      <c r="P51" s="32">
        <f t="shared" si="58"/>
        <v>15.73</v>
      </c>
      <c r="Q51" s="32">
        <f t="shared" si="58"/>
        <v>59.09</v>
      </c>
      <c r="R51" s="32">
        <f t="shared" si="58"/>
        <v>56.48</v>
      </c>
      <c r="S51" s="32">
        <f t="shared" si="58"/>
        <v>50.86</v>
      </c>
      <c r="T51" s="32">
        <f t="shared" si="58"/>
        <v>502.17</v>
      </c>
      <c r="U51" s="32">
        <f t="shared" si="58"/>
        <v>1611.67</v>
      </c>
      <c r="V51" s="32">
        <f t="shared" si="58"/>
        <v>2476.65</v>
      </c>
      <c r="W51" s="32">
        <f t="shared" si="58"/>
        <v>1947.04</v>
      </c>
      <c r="X51" s="32">
        <f t="shared" si="58"/>
        <v>1505.75</v>
      </c>
      <c r="Y51" s="32">
        <f t="shared" si="58"/>
        <v>1434.98</v>
      </c>
      <c r="Z51" s="32">
        <f t="shared" si="58"/>
        <v>703.79</v>
      </c>
      <c r="AA51" s="32">
        <f t="shared" si="58"/>
        <v>14.54</v>
      </c>
      <c r="AB51" s="32">
        <f t="shared" si="58"/>
        <v>15.73</v>
      </c>
      <c r="AC51" s="32">
        <f t="shared" si="58"/>
        <v>59.09</v>
      </c>
      <c r="AD51" s="32">
        <f t="shared" si="58"/>
        <v>56.48</v>
      </c>
      <c r="AE51" s="32">
        <f t="shared" si="58"/>
        <v>50.86</v>
      </c>
      <c r="AF51" s="32">
        <f t="shared" si="58"/>
        <v>502.17</v>
      </c>
      <c r="AG51" s="32">
        <f t="shared" si="58"/>
        <v>1611.67</v>
      </c>
      <c r="AH51" s="32">
        <f t="shared" si="58"/>
        <v>2476.65</v>
      </c>
      <c r="AI51" s="32">
        <f t="shared" si="58"/>
        <v>1947.04</v>
      </c>
      <c r="AJ51" s="32">
        <f t="shared" ref="AJ51:BW51" si="59">AJ49+AJ50</f>
        <v>1505.75</v>
      </c>
      <c r="AK51" s="32">
        <f t="shared" si="59"/>
        <v>1434.98</v>
      </c>
      <c r="AL51" s="32">
        <f t="shared" si="59"/>
        <v>703.79</v>
      </c>
      <c r="AM51" s="32">
        <f t="shared" si="59"/>
        <v>14.54</v>
      </c>
      <c r="AN51" s="32">
        <f t="shared" si="59"/>
        <v>15.73</v>
      </c>
      <c r="AO51" s="32">
        <f t="shared" si="59"/>
        <v>59.09</v>
      </c>
      <c r="AP51" s="32">
        <f t="shared" si="59"/>
        <v>56.48</v>
      </c>
      <c r="AQ51" s="32">
        <f t="shared" si="59"/>
        <v>50.86</v>
      </c>
      <c r="AR51" s="32">
        <f t="shared" si="59"/>
        <v>502.17</v>
      </c>
      <c r="AS51" s="32">
        <f t="shared" si="59"/>
        <v>1611.67</v>
      </c>
      <c r="AT51" s="32">
        <f t="shared" si="59"/>
        <v>2476.65</v>
      </c>
      <c r="AU51" s="32">
        <f t="shared" si="59"/>
        <v>1947.04</v>
      </c>
      <c r="AV51" s="32">
        <f t="shared" si="59"/>
        <v>1505.75</v>
      </c>
      <c r="AW51" s="32">
        <f t="shared" si="59"/>
        <v>1434.98</v>
      </c>
      <c r="AX51" s="32">
        <f t="shared" si="59"/>
        <v>703.79</v>
      </c>
      <c r="AY51" s="32">
        <f t="shared" si="59"/>
        <v>14.54</v>
      </c>
      <c r="AZ51" s="32">
        <f t="shared" si="59"/>
        <v>15.73</v>
      </c>
      <c r="BA51" s="32">
        <f t="shared" si="59"/>
        <v>59.09</v>
      </c>
      <c r="BB51" s="32">
        <f t="shared" si="59"/>
        <v>56.48</v>
      </c>
      <c r="BC51" s="32">
        <f t="shared" si="59"/>
        <v>50.86</v>
      </c>
      <c r="BD51" s="32">
        <f t="shared" si="59"/>
        <v>502.17</v>
      </c>
      <c r="BE51" s="32">
        <f t="shared" si="59"/>
        <v>1611.67</v>
      </c>
      <c r="BF51" s="32">
        <f t="shared" si="59"/>
        <v>2476.65</v>
      </c>
      <c r="BG51" s="32">
        <f t="shared" si="59"/>
        <v>1947.04</v>
      </c>
      <c r="BH51" s="32">
        <f t="shared" si="59"/>
        <v>1505.75</v>
      </c>
      <c r="BI51" s="32">
        <f t="shared" si="59"/>
        <v>1434.98</v>
      </c>
      <c r="BJ51" s="32">
        <f t="shared" si="59"/>
        <v>703.79</v>
      </c>
      <c r="BK51" s="32">
        <f t="shared" si="59"/>
        <v>14.54</v>
      </c>
      <c r="BL51" s="32">
        <f t="shared" si="59"/>
        <v>15.73</v>
      </c>
      <c r="BM51" s="32">
        <f t="shared" si="59"/>
        <v>59.09</v>
      </c>
      <c r="BN51" s="32">
        <f t="shared" si="59"/>
        <v>56.48</v>
      </c>
      <c r="BO51" s="32">
        <f t="shared" si="59"/>
        <v>50.86</v>
      </c>
      <c r="BP51" s="32">
        <f t="shared" si="59"/>
        <v>502.17</v>
      </c>
      <c r="BQ51" s="32">
        <f t="shared" si="59"/>
        <v>1611.67</v>
      </c>
      <c r="BR51" s="32">
        <f t="shared" si="59"/>
        <v>2476.65</v>
      </c>
      <c r="BS51" s="32">
        <f t="shared" si="59"/>
        <v>1947.04</v>
      </c>
      <c r="BT51" s="32">
        <f t="shared" si="59"/>
        <v>1505.75</v>
      </c>
      <c r="BU51" s="32">
        <f t="shared" si="59"/>
        <v>1434.98</v>
      </c>
      <c r="BV51" s="32">
        <f t="shared" si="59"/>
        <v>703.79</v>
      </c>
      <c r="BW51" s="32">
        <f t="shared" si="59"/>
        <v>14.54</v>
      </c>
      <c r="BX51" s="32">
        <f t="shared" ref="BX51:CI51" si="60">BX49+BX50</f>
        <v>15.73</v>
      </c>
      <c r="BY51" s="32">
        <f t="shared" si="60"/>
        <v>59.09</v>
      </c>
      <c r="BZ51" s="32">
        <f t="shared" si="60"/>
        <v>56.48</v>
      </c>
      <c r="CA51" s="32">
        <f t="shared" si="60"/>
        <v>50.86</v>
      </c>
      <c r="CB51" s="32">
        <f t="shared" si="60"/>
        <v>502.17</v>
      </c>
      <c r="CC51" s="32">
        <f t="shared" si="60"/>
        <v>1611.67</v>
      </c>
      <c r="CD51" s="32">
        <f t="shared" si="60"/>
        <v>2476.65</v>
      </c>
      <c r="CE51" s="32">
        <f t="shared" si="60"/>
        <v>1947.04</v>
      </c>
      <c r="CF51" s="32">
        <f t="shared" si="60"/>
        <v>1505.75</v>
      </c>
      <c r="CG51" s="32">
        <f t="shared" si="60"/>
        <v>1434.98</v>
      </c>
      <c r="CH51" s="32">
        <f t="shared" si="60"/>
        <v>703.79</v>
      </c>
      <c r="CI51" s="32">
        <f t="shared" si="60"/>
        <v>14.54</v>
      </c>
    </row>
    <row r="52" spans="1:87" x14ac:dyDescent="0.2">
      <c r="A52" s="2">
        <v>42</v>
      </c>
      <c r="B52" s="17" t="s">
        <v>226</v>
      </c>
      <c r="C52" s="2"/>
      <c r="D52" s="708">
        <v>2.4754999999999998</v>
      </c>
      <c r="E52" s="708">
        <v>2.8822999999999999</v>
      </c>
      <c r="F52" s="708">
        <v>2.8822999999999999</v>
      </c>
      <c r="G52" s="708">
        <v>2.8822999999999999</v>
      </c>
      <c r="H52" s="708">
        <v>2.9159000000000002</v>
      </c>
      <c r="I52" s="708">
        <v>2.9159000000000002</v>
      </c>
      <c r="J52" s="708">
        <v>2.9159000000000002</v>
      </c>
      <c r="K52" s="708">
        <v>3.1685000000000003</v>
      </c>
      <c r="L52" s="708">
        <v>3.1685000000000003</v>
      </c>
      <c r="M52" s="708">
        <v>3.1685000000000003</v>
      </c>
      <c r="N52" s="708">
        <v>3.7671999999999999</v>
      </c>
      <c r="O52" s="708">
        <v>3.9323000000000001</v>
      </c>
      <c r="P52" s="708">
        <v>3.9323000000000001</v>
      </c>
      <c r="Q52" s="708">
        <v>3.8407</v>
      </c>
      <c r="R52" s="708">
        <f>Q52</f>
        <v>3.8407</v>
      </c>
      <c r="S52" s="708">
        <f>R52</f>
        <v>3.8407</v>
      </c>
      <c r="T52" s="95">
        <f>'Gas Cost Worksheet'!L103</f>
        <v>3.4639130402434146</v>
      </c>
      <c r="U52" s="95">
        <f>'Gas Cost Worksheet'!M103</f>
        <v>3.4639130402434146</v>
      </c>
      <c r="V52" s="95">
        <f>'Gas Cost Worksheet'!N103</f>
        <v>3.4639130402434146</v>
      </c>
      <c r="W52" s="95">
        <f>'Gas Cost Worksheet'!O103</f>
        <v>3.36752485693808</v>
      </c>
      <c r="X52" s="95">
        <f>'Gas Cost Worksheet'!P103</f>
        <v>3.36752485693808</v>
      </c>
      <c r="Y52" s="95">
        <f>'Gas Cost Worksheet'!Q103</f>
        <v>3.36752485693808</v>
      </c>
      <c r="Z52" s="95">
        <f>'Gas Cost Worksheet'!R103</f>
        <v>3.5929507183845497</v>
      </c>
      <c r="AA52" s="95">
        <f>'Gas Cost Worksheet'!S103</f>
        <v>3.5929507183845497</v>
      </c>
      <c r="AB52" s="95">
        <f>'Gas Cost Worksheet'!T103</f>
        <v>3.5929507183845497</v>
      </c>
      <c r="AC52" s="95">
        <f>'Gas Cost Worksheet'!U103</f>
        <v>3.5731874577749427</v>
      </c>
      <c r="AD52" s="95">
        <f>'Gas Cost Worksheet'!V103</f>
        <v>3.5731874577749427</v>
      </c>
      <c r="AE52" s="95">
        <f>'Gas Cost Worksheet'!W103</f>
        <v>3.5731874577749427</v>
      </c>
      <c r="AF52" s="95">
        <f>'Gas Cost Worksheet'!X103</f>
        <v>3.4182326490369213</v>
      </c>
      <c r="AG52" s="95">
        <f>'Gas Cost Worksheet'!Y103</f>
        <v>3.4182326490369213</v>
      </c>
      <c r="AH52" s="95">
        <f>'Gas Cost Worksheet'!Z103</f>
        <v>3.4182326490369213</v>
      </c>
      <c r="AI52" s="95">
        <f>'Gas Cost Worksheet'!AA103</f>
        <v>3.3435245663605344</v>
      </c>
      <c r="AJ52" s="95">
        <f>'Gas Cost Worksheet'!AB103</f>
        <v>3.3435245663605344</v>
      </c>
      <c r="AK52" s="95">
        <f>'Gas Cost Worksheet'!AC103</f>
        <v>3.3435245663605344</v>
      </c>
      <c r="AL52" s="95">
        <f>'Gas Cost Worksheet'!AD103</f>
        <v>3.4056376425132102</v>
      </c>
      <c r="AM52" s="95">
        <f>'Gas Cost Worksheet'!AE103</f>
        <v>3.4056376425132102</v>
      </c>
      <c r="AN52" s="95">
        <f>'Gas Cost Worksheet'!AF103</f>
        <v>3.4056376425132102</v>
      </c>
      <c r="AO52" s="95">
        <f>'Gas Cost Worksheet'!AG103</f>
        <v>3.392309226785847</v>
      </c>
      <c r="AP52" s="95">
        <f>'Gas Cost Worksheet'!AH103</f>
        <v>3.392309226785847</v>
      </c>
      <c r="AQ52" s="95">
        <f>'Gas Cost Worksheet'!AI103</f>
        <v>3.392309226785847</v>
      </c>
      <c r="AR52" s="95">
        <f>'Gas Cost Worksheet'!AJ103</f>
        <v>3.3109704198958445</v>
      </c>
      <c r="AS52" s="95">
        <f>'Gas Cost Worksheet'!AK103</f>
        <v>3.3109704198958445</v>
      </c>
      <c r="AT52" s="95">
        <f>'Gas Cost Worksheet'!AL103</f>
        <v>3.3109704198958445</v>
      </c>
      <c r="AU52" s="95">
        <f>'Gas Cost Worksheet'!AM103</f>
        <v>3.2585790177201699</v>
      </c>
      <c r="AV52" s="95">
        <f>'Gas Cost Worksheet'!AN103</f>
        <v>3.2585790177201699</v>
      </c>
      <c r="AW52" s="95">
        <f>'Gas Cost Worksheet'!AO103</f>
        <v>3.2585790177201699</v>
      </c>
      <c r="AX52" s="95">
        <f>'Gas Cost Worksheet'!AP103</f>
        <v>3.3516470398994413</v>
      </c>
      <c r="AY52" s="95">
        <f>'Gas Cost Worksheet'!AQ103</f>
        <v>3.3516470398994413</v>
      </c>
      <c r="AZ52" s="95">
        <f>'Gas Cost Worksheet'!AR103</f>
        <v>3.3516470398994413</v>
      </c>
      <c r="BA52" s="95">
        <f>'Gas Cost Worksheet'!AS103</f>
        <v>3.3725325895490572</v>
      </c>
      <c r="BB52" s="95">
        <f>'Gas Cost Worksheet'!AT103</f>
        <v>3.3725325895490572</v>
      </c>
      <c r="BC52" s="95">
        <f>'Gas Cost Worksheet'!AU103</f>
        <v>3.3725325895490572</v>
      </c>
      <c r="BD52" s="95">
        <f>'Gas Cost Worksheet'!AV103</f>
        <v>3.2922290252000108</v>
      </c>
      <c r="BE52" s="95">
        <f>'Gas Cost Worksheet'!AW103</f>
        <v>3.2922290252000108</v>
      </c>
      <c r="BF52" s="95">
        <f>'Gas Cost Worksheet'!AX103</f>
        <v>3.2922290252000108</v>
      </c>
      <c r="BG52" s="95">
        <f>'Gas Cost Worksheet'!AY103</f>
        <v>3.2308628895698428</v>
      </c>
      <c r="BH52" s="95">
        <f>'Gas Cost Worksheet'!AZ103</f>
        <v>3.2308628895698428</v>
      </c>
      <c r="BI52" s="95">
        <f>'Gas Cost Worksheet'!BA103</f>
        <v>3.2308628895698428</v>
      </c>
      <c r="BJ52" s="95">
        <f>'Gas Cost Worksheet'!BB103</f>
        <v>3.3520893068723976</v>
      </c>
      <c r="BK52" s="95">
        <f>'Gas Cost Worksheet'!BC103</f>
        <v>3.3520893068723976</v>
      </c>
      <c r="BL52" s="95">
        <f>'Gas Cost Worksheet'!BD103</f>
        <v>3.3520893068723976</v>
      </c>
      <c r="BM52" s="95">
        <f>'Gas Cost Worksheet'!BE103</f>
        <v>3.3801243292303984</v>
      </c>
      <c r="BN52" s="95">
        <f>'Gas Cost Worksheet'!BF103</f>
        <v>3.3801243292303984</v>
      </c>
      <c r="BO52" s="95">
        <f>'Gas Cost Worksheet'!BG103</f>
        <v>3.3801243292303984</v>
      </c>
      <c r="BP52" s="95">
        <f>'Gas Cost Worksheet'!BH103</f>
        <v>3.3043897686230408</v>
      </c>
      <c r="BQ52" s="95">
        <f>'Gas Cost Worksheet'!BI103</f>
        <v>3.3043897686230408</v>
      </c>
      <c r="BR52" s="95">
        <f>'Gas Cost Worksheet'!BJ103</f>
        <v>3.3043897686230408</v>
      </c>
      <c r="BS52" s="95">
        <f>'Gas Cost Worksheet'!BK103</f>
        <v>3.2394490475439772</v>
      </c>
      <c r="BT52" s="95">
        <f>'Gas Cost Worksheet'!BL103</f>
        <v>3.2394490475439772</v>
      </c>
      <c r="BU52" s="95">
        <f>'Gas Cost Worksheet'!BM103</f>
        <v>3.2394490475439772</v>
      </c>
      <c r="BV52" s="95">
        <f>'Gas Cost Worksheet'!BN103</f>
        <v>3.3828071931462298</v>
      </c>
      <c r="BW52" s="95">
        <f>'Gas Cost Worksheet'!BO103</f>
        <v>3.3828071931462298</v>
      </c>
      <c r="BX52" s="95">
        <f>'Gas Cost Worksheet'!BP103</f>
        <v>3.3828071931462298</v>
      </c>
      <c r="BY52" s="95">
        <f>'Gas Cost Worksheet'!BQ103</f>
        <v>3.4164089378095817</v>
      </c>
      <c r="BZ52" s="95">
        <f>'Gas Cost Worksheet'!BR103</f>
        <v>3.4164089378095817</v>
      </c>
      <c r="CA52" s="95">
        <f>'Gas Cost Worksheet'!BS103</f>
        <v>3.4164089378095817</v>
      </c>
      <c r="CB52" s="95">
        <f>'Gas Cost Worksheet'!BT103</f>
        <v>3.3350666082194356</v>
      </c>
      <c r="CC52" s="95">
        <f>'Gas Cost Worksheet'!BU103</f>
        <v>3.3350666082194356</v>
      </c>
      <c r="CD52" s="95">
        <f>'Gas Cost Worksheet'!BV103</f>
        <v>3.3350666082194356</v>
      </c>
      <c r="CE52" s="95">
        <f>'Gas Cost Worksheet'!BW103</f>
        <v>3.267168845662888</v>
      </c>
      <c r="CF52" s="95">
        <f>'Gas Cost Worksheet'!BX103</f>
        <v>3.267168845662888</v>
      </c>
      <c r="CG52" s="95">
        <f>'Gas Cost Worksheet'!BY103</f>
        <v>3.267168845662888</v>
      </c>
      <c r="CH52" s="95">
        <f>'Gas Cost Worksheet'!BZ103</f>
        <v>3.4209299142570062</v>
      </c>
      <c r="CI52" s="95">
        <f>'Gas Cost Worksheet'!CA103</f>
        <v>3.4209299142570062</v>
      </c>
    </row>
    <row r="53" spans="1:87" x14ac:dyDescent="0.2">
      <c r="A53" s="2">
        <v>43</v>
      </c>
      <c r="B53" s="17" t="s">
        <v>218</v>
      </c>
      <c r="C53" s="2"/>
      <c r="D53" s="39">
        <f t="shared" ref="D53:AI53" si="61">D52*D51</f>
        <v>38.939614999999996</v>
      </c>
      <c r="E53" s="39">
        <f t="shared" si="61"/>
        <v>170.31510700000001</v>
      </c>
      <c r="F53" s="39">
        <f t="shared" si="61"/>
        <v>162.79230399999997</v>
      </c>
      <c r="G53" s="39">
        <f t="shared" si="61"/>
        <v>146.59377799999999</v>
      </c>
      <c r="H53" s="39">
        <f t="shared" si="61"/>
        <v>1464.277503</v>
      </c>
      <c r="I53" s="39">
        <f t="shared" si="61"/>
        <v>4699.4685530000006</v>
      </c>
      <c r="J53" s="39">
        <f t="shared" si="61"/>
        <v>7221.663735000001</v>
      </c>
      <c r="K53" s="39">
        <f t="shared" si="61"/>
        <v>6169.1962400000002</v>
      </c>
      <c r="L53" s="39">
        <f t="shared" si="61"/>
        <v>4770.9688750000005</v>
      </c>
      <c r="M53" s="39">
        <f t="shared" si="61"/>
        <v>4546.7341300000007</v>
      </c>
      <c r="N53" s="39">
        <f t="shared" si="61"/>
        <v>2651.3176879999996</v>
      </c>
      <c r="O53" s="39">
        <f t="shared" si="61"/>
        <v>57.175641999999996</v>
      </c>
      <c r="P53" s="39">
        <f t="shared" si="61"/>
        <v>61.855079000000003</v>
      </c>
      <c r="Q53" s="39">
        <f t="shared" si="61"/>
        <v>226.94696300000001</v>
      </c>
      <c r="R53" s="39">
        <f t="shared" si="61"/>
        <v>216.92273599999999</v>
      </c>
      <c r="S53" s="39">
        <f t="shared" si="61"/>
        <v>195.33800199999999</v>
      </c>
      <c r="T53" s="39">
        <f t="shared" si="61"/>
        <v>1739.4732114190356</v>
      </c>
      <c r="U53" s="39">
        <f t="shared" si="61"/>
        <v>5582.6847295691041</v>
      </c>
      <c r="V53" s="39">
        <f t="shared" si="61"/>
        <v>8578.9002311188524</v>
      </c>
      <c r="W53" s="39">
        <f t="shared" si="61"/>
        <v>6556.7055974527193</v>
      </c>
      <c r="X53" s="39">
        <f t="shared" si="61"/>
        <v>5070.6505533345144</v>
      </c>
      <c r="Y53" s="39">
        <f t="shared" si="61"/>
        <v>4832.3308192090062</v>
      </c>
      <c r="Z53" s="39">
        <f t="shared" si="61"/>
        <v>2528.682786091862</v>
      </c>
      <c r="AA53" s="39">
        <f t="shared" si="61"/>
        <v>52.241503445311352</v>
      </c>
      <c r="AB53" s="39">
        <f t="shared" si="61"/>
        <v>56.51711480018897</v>
      </c>
      <c r="AC53" s="39">
        <f t="shared" si="61"/>
        <v>211.13964687992137</v>
      </c>
      <c r="AD53" s="39">
        <f t="shared" si="61"/>
        <v>201.81362761512875</v>
      </c>
      <c r="AE53" s="39">
        <f t="shared" si="61"/>
        <v>181.73231410243358</v>
      </c>
      <c r="AF53" s="39">
        <f t="shared" si="61"/>
        <v>1716.5338893668709</v>
      </c>
      <c r="AG53" s="39">
        <f t="shared" si="61"/>
        <v>5509.0630134733356</v>
      </c>
      <c r="AH53" s="39">
        <f t="shared" si="61"/>
        <v>8465.7658902372914</v>
      </c>
      <c r="AI53" s="39">
        <f t="shared" si="61"/>
        <v>6509.9760716866149</v>
      </c>
      <c r="AJ53" s="39">
        <f t="shared" ref="AJ53:BW53" si="62">AJ52*AJ51</f>
        <v>5034.5121157973745</v>
      </c>
      <c r="AK53" s="39">
        <f t="shared" si="62"/>
        <v>4797.8908822360399</v>
      </c>
      <c r="AL53" s="39">
        <f t="shared" si="62"/>
        <v>2396.8537164243721</v>
      </c>
      <c r="AM53" s="39">
        <f t="shared" si="62"/>
        <v>49.517971322142074</v>
      </c>
      <c r="AN53" s="39">
        <f t="shared" si="62"/>
        <v>53.570680116732795</v>
      </c>
      <c r="AO53" s="39">
        <f t="shared" si="62"/>
        <v>200.4515522107757</v>
      </c>
      <c r="AP53" s="39">
        <f t="shared" si="62"/>
        <v>191.59762512886462</v>
      </c>
      <c r="AQ53" s="39">
        <f t="shared" si="62"/>
        <v>172.53284727432819</v>
      </c>
      <c r="AR53" s="39">
        <f t="shared" si="62"/>
        <v>1662.6700157590963</v>
      </c>
      <c r="AS53" s="39">
        <f t="shared" si="62"/>
        <v>5336.1916966335357</v>
      </c>
      <c r="AT53" s="39">
        <f t="shared" si="62"/>
        <v>8200.114890435043</v>
      </c>
      <c r="AU53" s="39">
        <f t="shared" si="62"/>
        <v>6344.5836906618797</v>
      </c>
      <c r="AV53" s="39">
        <f t="shared" si="62"/>
        <v>4906.6053559321463</v>
      </c>
      <c r="AW53" s="39">
        <f t="shared" si="62"/>
        <v>4675.9957188480894</v>
      </c>
      <c r="AX53" s="39">
        <f t="shared" si="62"/>
        <v>2358.8556702108276</v>
      </c>
      <c r="AY53" s="39">
        <f t="shared" si="62"/>
        <v>48.732947960137878</v>
      </c>
      <c r="AZ53" s="39">
        <f t="shared" si="62"/>
        <v>52.721407937618217</v>
      </c>
      <c r="BA53" s="39">
        <f t="shared" si="62"/>
        <v>199.2829507164538</v>
      </c>
      <c r="BB53" s="39">
        <f t="shared" si="62"/>
        <v>190.48064065773073</v>
      </c>
      <c r="BC53" s="39">
        <f t="shared" si="62"/>
        <v>171.52700750446505</v>
      </c>
      <c r="BD53" s="39">
        <f t="shared" si="62"/>
        <v>1653.2586495846895</v>
      </c>
      <c r="BE53" s="39">
        <f t="shared" si="62"/>
        <v>5305.9867530441015</v>
      </c>
      <c r="BF53" s="39">
        <f t="shared" si="62"/>
        <v>8153.6990152616072</v>
      </c>
      <c r="BG53" s="39">
        <f t="shared" si="62"/>
        <v>6290.6192805080664</v>
      </c>
      <c r="BH53" s="39">
        <f t="shared" si="62"/>
        <v>4864.8717959697906</v>
      </c>
      <c r="BI53" s="39">
        <f t="shared" si="62"/>
        <v>4636.223629274933</v>
      </c>
      <c r="BJ53" s="39">
        <f t="shared" si="62"/>
        <v>2359.1669332837246</v>
      </c>
      <c r="BK53" s="39">
        <f t="shared" si="62"/>
        <v>48.739378521924657</v>
      </c>
      <c r="BL53" s="39">
        <f t="shared" si="62"/>
        <v>52.728364797102813</v>
      </c>
      <c r="BM53" s="39">
        <f t="shared" si="62"/>
        <v>199.73154661422424</v>
      </c>
      <c r="BN53" s="39">
        <f t="shared" si="62"/>
        <v>190.90942211493288</v>
      </c>
      <c r="BO53" s="39">
        <f t="shared" si="62"/>
        <v>171.91312338465806</v>
      </c>
      <c r="BP53" s="39">
        <f t="shared" si="62"/>
        <v>1659.3654101094326</v>
      </c>
      <c r="BQ53" s="39">
        <f t="shared" si="62"/>
        <v>5325.5858583966965</v>
      </c>
      <c r="BR53" s="39">
        <f t="shared" si="62"/>
        <v>8183.8169204602546</v>
      </c>
      <c r="BS53" s="39">
        <f t="shared" si="62"/>
        <v>6307.3368735300255</v>
      </c>
      <c r="BT53" s="39">
        <f t="shared" si="62"/>
        <v>4877.8004033393436</v>
      </c>
      <c r="BU53" s="39">
        <f t="shared" si="62"/>
        <v>4648.5445942446568</v>
      </c>
      <c r="BV53" s="39">
        <f t="shared" si="62"/>
        <v>2380.785874464385</v>
      </c>
      <c r="BW53" s="39">
        <f t="shared" si="62"/>
        <v>49.186016588346178</v>
      </c>
      <c r="BX53" s="39">
        <f t="shared" ref="BX53:CI53" si="63">BX52*BX51</f>
        <v>53.211557148190195</v>
      </c>
      <c r="BY53" s="39">
        <f t="shared" si="63"/>
        <v>201.8756041351682</v>
      </c>
      <c r="BZ53" s="39">
        <f t="shared" si="63"/>
        <v>192.95877680748515</v>
      </c>
      <c r="CA53" s="39">
        <f t="shared" si="63"/>
        <v>173.75855857699531</v>
      </c>
      <c r="CB53" s="39">
        <f t="shared" si="63"/>
        <v>1674.770398649554</v>
      </c>
      <c r="CC53" s="39">
        <f t="shared" si="63"/>
        <v>5375.0268004690179</v>
      </c>
      <c r="CD53" s="39">
        <f t="shared" si="63"/>
        <v>8259.7927152466655</v>
      </c>
      <c r="CE53" s="39">
        <f t="shared" si="63"/>
        <v>6361.3084292594694</v>
      </c>
      <c r="CF53" s="39">
        <f t="shared" si="63"/>
        <v>4919.5394893568937</v>
      </c>
      <c r="CG53" s="39">
        <f t="shared" si="63"/>
        <v>4688.3219501493313</v>
      </c>
      <c r="CH53" s="39">
        <f t="shared" si="63"/>
        <v>2407.6162643549383</v>
      </c>
      <c r="CI53" s="39">
        <f t="shared" si="63"/>
        <v>49.740320953296866</v>
      </c>
    </row>
    <row r="54" spans="1:87" x14ac:dyDescent="0.2">
      <c r="A54" s="2">
        <v>44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</row>
    <row r="55" spans="1:87" x14ac:dyDescent="0.2">
      <c r="A55" s="2">
        <v>45</v>
      </c>
      <c r="B55" s="172" t="s">
        <v>86</v>
      </c>
      <c r="C55" s="2"/>
      <c r="D55" s="103">
        <f>D56*$C$56+D57*$C$57+D58*$C$58</f>
        <v>46427.341500000002</v>
      </c>
      <c r="E55" s="103">
        <f t="shared" ref="E55:BP55" si="64">E56*$C$56+E57*$C$57+E58*$C$58</f>
        <v>28435.40725</v>
      </c>
      <c r="F55" s="103">
        <f t="shared" si="64"/>
        <v>32448.466209999999</v>
      </c>
      <c r="G55" s="103">
        <f t="shared" si="64"/>
        <v>16038.921320000001</v>
      </c>
      <c r="H55" s="103">
        <f t="shared" si="64"/>
        <v>26810.6152</v>
      </c>
      <c r="I55" s="103">
        <f t="shared" si="64"/>
        <v>48678.730339000009</v>
      </c>
      <c r="J55" s="103">
        <f t="shared" si="64"/>
        <v>58772.137589999998</v>
      </c>
      <c r="K55" s="103">
        <f t="shared" si="64"/>
        <v>44785.857680000001</v>
      </c>
      <c r="L55" s="103">
        <f t="shared" si="64"/>
        <v>32339.236010000004</v>
      </c>
      <c r="M55" s="103">
        <f t="shared" si="64"/>
        <v>18914.20492</v>
      </c>
      <c r="N55" s="103">
        <f t="shared" si="64"/>
        <v>25911.092930000006</v>
      </c>
      <c r="O55" s="103">
        <f t="shared" si="64"/>
        <v>18567.147150000001</v>
      </c>
      <c r="P55" s="103">
        <f t="shared" si="64"/>
        <v>46427.341500000002</v>
      </c>
      <c r="Q55" s="103">
        <f t="shared" si="64"/>
        <v>28435.40725</v>
      </c>
      <c r="R55" s="103">
        <f t="shared" si="64"/>
        <v>32448.466209999999</v>
      </c>
      <c r="S55" s="103">
        <f t="shared" si="64"/>
        <v>16038.921320000001</v>
      </c>
      <c r="T55" s="103">
        <f t="shared" si="64"/>
        <v>26810.6152</v>
      </c>
      <c r="U55" s="103">
        <f t="shared" si="64"/>
        <v>48678.730339000009</v>
      </c>
      <c r="V55" s="103">
        <f t="shared" si="64"/>
        <v>58772.137589999998</v>
      </c>
      <c r="W55" s="103">
        <f t="shared" si="64"/>
        <v>44785.857680000001</v>
      </c>
      <c r="X55" s="103">
        <f t="shared" si="64"/>
        <v>32339.236010000004</v>
      </c>
      <c r="Y55" s="133">
        <f t="shared" si="64"/>
        <v>18914.20492</v>
      </c>
      <c r="Z55" s="133">
        <f t="shared" si="64"/>
        <v>25911.092930000006</v>
      </c>
      <c r="AA55" s="133">
        <f t="shared" si="64"/>
        <v>18567.147150000001</v>
      </c>
      <c r="AB55" s="133">
        <f t="shared" si="64"/>
        <v>46427.341500000002</v>
      </c>
      <c r="AC55" s="133">
        <f t="shared" si="64"/>
        <v>28435.40725</v>
      </c>
      <c r="AD55" s="133">
        <f t="shared" si="64"/>
        <v>32448.466209999999</v>
      </c>
      <c r="AE55" s="133">
        <f t="shared" si="64"/>
        <v>16038.921320000001</v>
      </c>
      <c r="AF55" s="133">
        <f t="shared" si="64"/>
        <v>26810.6152</v>
      </c>
      <c r="AG55" s="133">
        <f t="shared" si="64"/>
        <v>48678.730339000009</v>
      </c>
      <c r="AH55" s="133">
        <f t="shared" si="64"/>
        <v>58772.137589999998</v>
      </c>
      <c r="AI55" s="133">
        <f t="shared" si="64"/>
        <v>44785.857680000001</v>
      </c>
      <c r="AJ55" s="133">
        <f t="shared" si="64"/>
        <v>32339.236010000004</v>
      </c>
      <c r="AK55" s="103">
        <f t="shared" si="64"/>
        <v>18914.20492</v>
      </c>
      <c r="AL55" s="103">
        <f t="shared" si="64"/>
        <v>25911.092930000006</v>
      </c>
      <c r="AM55" s="103">
        <f t="shared" si="64"/>
        <v>18567.147150000001</v>
      </c>
      <c r="AN55" s="103">
        <f t="shared" si="64"/>
        <v>46427.341500000002</v>
      </c>
      <c r="AO55" s="103">
        <f t="shared" si="64"/>
        <v>28435.40725</v>
      </c>
      <c r="AP55" s="103">
        <f t="shared" si="64"/>
        <v>32448.466209999999</v>
      </c>
      <c r="AQ55" s="103">
        <f t="shared" si="64"/>
        <v>16038.921320000001</v>
      </c>
      <c r="AR55" s="103">
        <f t="shared" si="64"/>
        <v>26810.6152</v>
      </c>
      <c r="AS55" s="103">
        <f t="shared" si="64"/>
        <v>48678.730339000009</v>
      </c>
      <c r="AT55" s="103">
        <f t="shared" si="64"/>
        <v>58772.137589999998</v>
      </c>
      <c r="AU55" s="103">
        <f t="shared" si="64"/>
        <v>44785.857680000001</v>
      </c>
      <c r="AV55" s="103">
        <f t="shared" si="64"/>
        <v>32339.236010000004</v>
      </c>
      <c r="AW55" s="103">
        <f t="shared" si="64"/>
        <v>18914.20492</v>
      </c>
      <c r="AX55" s="103">
        <f t="shared" si="64"/>
        <v>25911.092930000006</v>
      </c>
      <c r="AY55" s="103">
        <f t="shared" si="64"/>
        <v>18567.147150000001</v>
      </c>
      <c r="AZ55" s="103">
        <f t="shared" si="64"/>
        <v>46427.341500000002</v>
      </c>
      <c r="BA55" s="103">
        <f t="shared" si="64"/>
        <v>28435.40725</v>
      </c>
      <c r="BB55" s="103">
        <f t="shared" si="64"/>
        <v>32448.466209999999</v>
      </c>
      <c r="BC55" s="103">
        <f t="shared" si="64"/>
        <v>16038.921320000001</v>
      </c>
      <c r="BD55" s="103">
        <f t="shared" si="64"/>
        <v>26810.6152</v>
      </c>
      <c r="BE55" s="103">
        <f t="shared" si="64"/>
        <v>48678.730339000009</v>
      </c>
      <c r="BF55" s="103">
        <f t="shared" si="64"/>
        <v>58772.137589999998</v>
      </c>
      <c r="BG55" s="103">
        <f t="shared" si="64"/>
        <v>44785.857680000001</v>
      </c>
      <c r="BH55" s="103">
        <f t="shared" si="64"/>
        <v>32339.236010000004</v>
      </c>
      <c r="BI55" s="103">
        <f t="shared" si="64"/>
        <v>18914.20492</v>
      </c>
      <c r="BJ55" s="103">
        <f t="shared" si="64"/>
        <v>25911.092930000006</v>
      </c>
      <c r="BK55" s="103">
        <f t="shared" si="64"/>
        <v>18567.147150000001</v>
      </c>
      <c r="BL55" s="103">
        <f t="shared" si="64"/>
        <v>46427.341500000002</v>
      </c>
      <c r="BM55" s="103">
        <f t="shared" si="64"/>
        <v>28435.40725</v>
      </c>
      <c r="BN55" s="103">
        <f t="shared" si="64"/>
        <v>32448.466209999999</v>
      </c>
      <c r="BO55" s="103">
        <f t="shared" si="64"/>
        <v>16038.921320000001</v>
      </c>
      <c r="BP55" s="103">
        <f t="shared" si="64"/>
        <v>26810.6152</v>
      </c>
      <c r="BQ55" s="103">
        <f t="shared" ref="BQ55:CI55" si="65">BQ56*$C$56+BQ57*$C$57+BQ58*$C$58</f>
        <v>48678.730339000009</v>
      </c>
      <c r="BR55" s="103">
        <f t="shared" si="65"/>
        <v>58772.137589999998</v>
      </c>
      <c r="BS55" s="103">
        <f t="shared" si="65"/>
        <v>44785.857680000001</v>
      </c>
      <c r="BT55" s="103">
        <f t="shared" si="65"/>
        <v>32339.236010000004</v>
      </c>
      <c r="BU55" s="103">
        <f t="shared" si="65"/>
        <v>18914.20492</v>
      </c>
      <c r="BV55" s="103">
        <f t="shared" si="65"/>
        <v>25911.092930000006</v>
      </c>
      <c r="BW55" s="103">
        <f t="shared" si="65"/>
        <v>18567.147150000001</v>
      </c>
      <c r="BX55" s="103">
        <f t="shared" si="65"/>
        <v>46427.341500000002</v>
      </c>
      <c r="BY55" s="103">
        <f t="shared" si="65"/>
        <v>28435.40725</v>
      </c>
      <c r="BZ55" s="103">
        <f t="shared" si="65"/>
        <v>32448.466209999999</v>
      </c>
      <c r="CA55" s="103">
        <f t="shared" si="65"/>
        <v>16038.921320000001</v>
      </c>
      <c r="CB55" s="103">
        <f t="shared" si="65"/>
        <v>26810.6152</v>
      </c>
      <c r="CC55" s="103">
        <f t="shared" si="65"/>
        <v>48678.730339000009</v>
      </c>
      <c r="CD55" s="103">
        <f t="shared" si="65"/>
        <v>58772.137589999998</v>
      </c>
      <c r="CE55" s="103">
        <f t="shared" si="65"/>
        <v>44785.857680000001</v>
      </c>
      <c r="CF55" s="103">
        <f t="shared" si="65"/>
        <v>32339.236010000004</v>
      </c>
      <c r="CG55" s="103">
        <f t="shared" si="65"/>
        <v>18914.20492</v>
      </c>
      <c r="CH55" s="103">
        <f t="shared" si="65"/>
        <v>25911.092930000006</v>
      </c>
      <c r="CI55" s="103">
        <f t="shared" si="65"/>
        <v>18567.147150000001</v>
      </c>
    </row>
    <row r="56" spans="1:87" x14ac:dyDescent="0.2">
      <c r="A56" s="2">
        <v>46</v>
      </c>
      <c r="B56" s="2" t="s">
        <v>84</v>
      </c>
      <c r="C56" s="140">
        <f>C48</f>
        <v>393.35</v>
      </c>
      <c r="D56" s="71">
        <f>'Bill Frequency'!C47+'Contract &amp; Vol Adj'!C47</f>
        <v>9</v>
      </c>
      <c r="E56" s="71">
        <f>'Bill Frequency'!D47+'Contract &amp; Vol Adj'!D47</f>
        <v>8</v>
      </c>
      <c r="F56" s="71">
        <f>'Bill Frequency'!E47+'Contract &amp; Vol Adj'!E47</f>
        <v>8</v>
      </c>
      <c r="G56" s="71">
        <f>'Bill Frequency'!F47+'Contract &amp; Vol Adj'!F47</f>
        <v>7</v>
      </c>
      <c r="H56" s="71">
        <f>'Bill Frequency'!G47+'Contract &amp; Vol Adj'!G47</f>
        <v>8</v>
      </c>
      <c r="I56" s="71">
        <f>'Bill Frequency'!H47+'Contract &amp; Vol Adj'!H47</f>
        <v>8</v>
      </c>
      <c r="J56" s="71">
        <f>'Bill Frequency'!I47+'Contract &amp; Vol Adj'!I47</f>
        <v>9</v>
      </c>
      <c r="K56" s="71">
        <f>'Bill Frequency'!J47+'Contract &amp; Vol Adj'!J47</f>
        <v>16</v>
      </c>
      <c r="L56" s="71">
        <f>'Bill Frequency'!K47+'Contract &amp; Vol Adj'!K47</f>
        <v>10</v>
      </c>
      <c r="M56" s="71">
        <f>'Bill Frequency'!L47+'Contract &amp; Vol Adj'!L47</f>
        <v>8</v>
      </c>
      <c r="N56" s="71">
        <f>'Bill Frequency'!M47+'Contract &amp; Vol Adj'!M47</f>
        <v>10</v>
      </c>
      <c r="O56" s="71">
        <f>'Bill Frequency'!N47+'Contract &amp; Vol Adj'!N47</f>
        <v>9</v>
      </c>
      <c r="P56" s="7">
        <f t="shared" ref="P56:Y58" si="66">D56</f>
        <v>9</v>
      </c>
      <c r="Q56" s="7">
        <f t="shared" si="66"/>
        <v>8</v>
      </c>
      <c r="R56" s="7">
        <f t="shared" si="66"/>
        <v>8</v>
      </c>
      <c r="S56" s="7">
        <f t="shared" si="66"/>
        <v>7</v>
      </c>
      <c r="T56" s="7">
        <f t="shared" si="66"/>
        <v>8</v>
      </c>
      <c r="U56" s="7">
        <f t="shared" si="66"/>
        <v>8</v>
      </c>
      <c r="V56" s="7">
        <f t="shared" si="66"/>
        <v>9</v>
      </c>
      <c r="W56" s="7">
        <f t="shared" si="66"/>
        <v>16</v>
      </c>
      <c r="X56" s="7">
        <f t="shared" si="66"/>
        <v>10</v>
      </c>
      <c r="Y56" s="7">
        <f t="shared" si="66"/>
        <v>8</v>
      </c>
      <c r="Z56" s="7">
        <f t="shared" ref="Z56:AI58" si="67">N56</f>
        <v>10</v>
      </c>
      <c r="AA56" s="7">
        <f t="shared" si="67"/>
        <v>9</v>
      </c>
      <c r="AB56" s="7">
        <f t="shared" si="67"/>
        <v>9</v>
      </c>
      <c r="AC56" s="7">
        <f t="shared" si="67"/>
        <v>8</v>
      </c>
      <c r="AD56" s="7">
        <f t="shared" si="67"/>
        <v>8</v>
      </c>
      <c r="AE56" s="7">
        <f t="shared" si="67"/>
        <v>7</v>
      </c>
      <c r="AF56" s="7">
        <f t="shared" si="67"/>
        <v>8</v>
      </c>
      <c r="AG56" s="7">
        <f t="shared" si="67"/>
        <v>8</v>
      </c>
      <c r="AH56" s="7">
        <f t="shared" si="67"/>
        <v>9</v>
      </c>
      <c r="AI56" s="7">
        <f t="shared" si="67"/>
        <v>16</v>
      </c>
      <c r="AJ56" s="7">
        <f t="shared" ref="AJ56:AS58" si="68">X56</f>
        <v>10</v>
      </c>
      <c r="AK56" s="7">
        <f t="shared" si="68"/>
        <v>8</v>
      </c>
      <c r="AL56" s="7">
        <f t="shared" si="68"/>
        <v>10</v>
      </c>
      <c r="AM56" s="7">
        <f t="shared" si="68"/>
        <v>9</v>
      </c>
      <c r="AN56" s="7">
        <f t="shared" si="68"/>
        <v>9</v>
      </c>
      <c r="AO56" s="7">
        <f t="shared" si="68"/>
        <v>8</v>
      </c>
      <c r="AP56" s="7">
        <f t="shared" si="68"/>
        <v>8</v>
      </c>
      <c r="AQ56" s="7">
        <f t="shared" si="68"/>
        <v>7</v>
      </c>
      <c r="AR56" s="7">
        <f t="shared" si="68"/>
        <v>8</v>
      </c>
      <c r="AS56" s="7">
        <f t="shared" si="68"/>
        <v>8</v>
      </c>
      <c r="AT56" s="7">
        <f t="shared" ref="AT56:BC58" si="69">AH56</f>
        <v>9</v>
      </c>
      <c r="AU56" s="7">
        <f t="shared" si="69"/>
        <v>16</v>
      </c>
      <c r="AV56" s="7">
        <f t="shared" si="69"/>
        <v>10</v>
      </c>
      <c r="AW56" s="7">
        <f t="shared" si="69"/>
        <v>8</v>
      </c>
      <c r="AX56" s="7">
        <f t="shared" si="69"/>
        <v>10</v>
      </c>
      <c r="AY56" s="7">
        <f t="shared" si="69"/>
        <v>9</v>
      </c>
      <c r="AZ56" s="7">
        <f t="shared" si="69"/>
        <v>9</v>
      </c>
      <c r="BA56" s="7">
        <f t="shared" si="69"/>
        <v>8</v>
      </c>
      <c r="BB56" s="7">
        <f t="shared" si="69"/>
        <v>8</v>
      </c>
      <c r="BC56" s="7">
        <f t="shared" si="69"/>
        <v>7</v>
      </c>
      <c r="BD56" s="7">
        <f t="shared" ref="BD56:BS58" si="70">AR56</f>
        <v>8</v>
      </c>
      <c r="BE56" s="7">
        <f t="shared" si="70"/>
        <v>8</v>
      </c>
      <c r="BF56" s="7">
        <f t="shared" si="70"/>
        <v>9</v>
      </c>
      <c r="BG56" s="7">
        <f t="shared" si="70"/>
        <v>16</v>
      </c>
      <c r="BH56" s="7">
        <f t="shared" si="70"/>
        <v>10</v>
      </c>
      <c r="BI56" s="7">
        <f t="shared" si="70"/>
        <v>8</v>
      </c>
      <c r="BJ56" s="7">
        <f t="shared" si="70"/>
        <v>10</v>
      </c>
      <c r="BK56" s="7">
        <f t="shared" si="70"/>
        <v>9</v>
      </c>
      <c r="BL56" s="7">
        <f t="shared" si="70"/>
        <v>9</v>
      </c>
      <c r="BM56" s="7">
        <f t="shared" si="70"/>
        <v>8</v>
      </c>
      <c r="BN56" s="7">
        <f t="shared" si="70"/>
        <v>8</v>
      </c>
      <c r="BO56" s="7">
        <f t="shared" si="70"/>
        <v>7</v>
      </c>
      <c r="BP56" s="7">
        <f t="shared" si="70"/>
        <v>8</v>
      </c>
      <c r="BQ56" s="7">
        <f t="shared" si="70"/>
        <v>8</v>
      </c>
      <c r="BR56" s="7">
        <f t="shared" si="70"/>
        <v>9</v>
      </c>
      <c r="BS56" s="7">
        <f t="shared" si="70"/>
        <v>16</v>
      </c>
      <c r="BT56" s="7">
        <f t="shared" ref="BT56:BW58" si="71">BH56</f>
        <v>10</v>
      </c>
      <c r="BU56" s="7">
        <f t="shared" si="71"/>
        <v>8</v>
      </c>
      <c r="BV56" s="7">
        <f t="shared" si="71"/>
        <v>10</v>
      </c>
      <c r="BW56" s="7">
        <f t="shared" si="71"/>
        <v>9</v>
      </c>
      <c r="BX56" s="7">
        <f t="shared" ref="BX56:CI58" si="72">BL56</f>
        <v>9</v>
      </c>
      <c r="BY56" s="7">
        <f t="shared" si="72"/>
        <v>8</v>
      </c>
      <c r="BZ56" s="7">
        <f t="shared" si="72"/>
        <v>8</v>
      </c>
      <c r="CA56" s="7">
        <f t="shared" si="72"/>
        <v>7</v>
      </c>
      <c r="CB56" s="7">
        <f t="shared" si="72"/>
        <v>8</v>
      </c>
      <c r="CC56" s="7">
        <f t="shared" si="72"/>
        <v>8</v>
      </c>
      <c r="CD56" s="7">
        <f t="shared" si="72"/>
        <v>9</v>
      </c>
      <c r="CE56" s="7">
        <f t="shared" si="72"/>
        <v>16</v>
      </c>
      <c r="CF56" s="7">
        <f t="shared" si="72"/>
        <v>10</v>
      </c>
      <c r="CG56" s="7">
        <f t="shared" si="72"/>
        <v>8</v>
      </c>
      <c r="CH56" s="7">
        <f t="shared" si="72"/>
        <v>10</v>
      </c>
      <c r="CI56" s="7">
        <f t="shared" si="72"/>
        <v>9</v>
      </c>
    </row>
    <row r="57" spans="1:87" x14ac:dyDescent="0.2">
      <c r="A57" s="2">
        <v>47</v>
      </c>
      <c r="B57" s="2" t="s">
        <v>85</v>
      </c>
      <c r="C57" s="15">
        <f>C49</f>
        <v>0.90900000000000003</v>
      </c>
      <c r="D57" s="71">
        <f>'Bill Frequency'!C48+'Contract &amp; Vol Adj'!C48</f>
        <v>41347.300000000003</v>
      </c>
      <c r="E57" s="71">
        <f>'Bill Frequency'!D48+'Contract &amp; Vol Adj'!D48</f>
        <v>27820.25</v>
      </c>
      <c r="F57" s="71">
        <f>'Bill Frequency'!E48+'Contract &amp; Vol Adj'!E48</f>
        <v>28622.19</v>
      </c>
      <c r="G57" s="71">
        <f>'Bill Frequency'!F48+'Contract &amp; Vol Adj'!F48</f>
        <v>14615.48</v>
      </c>
      <c r="H57" s="71">
        <f>'Bill Frequency'!G48+'Contract &amp; Vol Adj'!G48</f>
        <v>26032.799999999999</v>
      </c>
      <c r="I57" s="71">
        <f>'Bill Frequency'!H48+'Contract &amp; Vol Adj'!H48</f>
        <v>40530.910000000003</v>
      </c>
      <c r="J57" s="71">
        <f>'Bill Frequency'!I48+'Contract &amp; Vol Adj'!I48</f>
        <v>50530.71</v>
      </c>
      <c r="K57" s="71">
        <f>'Bill Frequency'!J48+'Contract &amp; Vol Adj'!J48</f>
        <v>35051.42</v>
      </c>
      <c r="L57" s="71">
        <f>'Bill Frequency'!K48+'Contract &amp; Vol Adj'!K48</f>
        <v>24184.190000000002</v>
      </c>
      <c r="M57" s="71">
        <f>'Bill Frequency'!L48+'Contract &amp; Vol Adj'!L48</f>
        <v>17345.88</v>
      </c>
      <c r="N57" s="71">
        <f>'Bill Frequency'!M48+'Contract &amp; Vol Adj'!M48</f>
        <v>24177.770000000004</v>
      </c>
      <c r="O57" s="71">
        <f>'Bill Frequency'!N48+'Contract &amp; Vol Adj'!N48</f>
        <v>16531.349999999999</v>
      </c>
      <c r="P57" s="7">
        <f t="shared" si="66"/>
        <v>41347.300000000003</v>
      </c>
      <c r="Q57" s="7">
        <f t="shared" si="66"/>
        <v>27820.25</v>
      </c>
      <c r="R57" s="7">
        <f t="shared" si="66"/>
        <v>28622.19</v>
      </c>
      <c r="S57" s="7">
        <f t="shared" si="66"/>
        <v>14615.48</v>
      </c>
      <c r="T57" s="7">
        <f t="shared" si="66"/>
        <v>26032.799999999999</v>
      </c>
      <c r="U57" s="7">
        <f t="shared" si="66"/>
        <v>40530.910000000003</v>
      </c>
      <c r="V57" s="7">
        <f t="shared" si="66"/>
        <v>50530.71</v>
      </c>
      <c r="W57" s="7">
        <f t="shared" si="66"/>
        <v>35051.42</v>
      </c>
      <c r="X57" s="7">
        <f t="shared" si="66"/>
        <v>24184.190000000002</v>
      </c>
      <c r="Y57" s="7">
        <f t="shared" si="66"/>
        <v>17345.88</v>
      </c>
      <c r="Z57" s="7">
        <f t="shared" si="67"/>
        <v>24177.770000000004</v>
      </c>
      <c r="AA57" s="7">
        <f t="shared" si="67"/>
        <v>16531.349999999999</v>
      </c>
      <c r="AB57" s="7">
        <f t="shared" si="67"/>
        <v>41347.300000000003</v>
      </c>
      <c r="AC57" s="7">
        <f t="shared" si="67"/>
        <v>27820.25</v>
      </c>
      <c r="AD57" s="7">
        <f t="shared" si="67"/>
        <v>28622.19</v>
      </c>
      <c r="AE57" s="7">
        <f t="shared" si="67"/>
        <v>14615.48</v>
      </c>
      <c r="AF57" s="7">
        <f t="shared" si="67"/>
        <v>26032.799999999999</v>
      </c>
      <c r="AG57" s="7">
        <f t="shared" si="67"/>
        <v>40530.910000000003</v>
      </c>
      <c r="AH57" s="7">
        <f t="shared" si="67"/>
        <v>50530.71</v>
      </c>
      <c r="AI57" s="7">
        <f t="shared" si="67"/>
        <v>35051.42</v>
      </c>
      <c r="AJ57" s="7">
        <f t="shared" si="68"/>
        <v>24184.190000000002</v>
      </c>
      <c r="AK57" s="7">
        <f t="shared" si="68"/>
        <v>17345.88</v>
      </c>
      <c r="AL57" s="7">
        <f t="shared" si="68"/>
        <v>24177.770000000004</v>
      </c>
      <c r="AM57" s="7">
        <f t="shared" si="68"/>
        <v>16531.349999999999</v>
      </c>
      <c r="AN57" s="7">
        <f t="shared" si="68"/>
        <v>41347.300000000003</v>
      </c>
      <c r="AO57" s="7">
        <f t="shared" si="68"/>
        <v>27820.25</v>
      </c>
      <c r="AP57" s="7">
        <f t="shared" si="68"/>
        <v>28622.19</v>
      </c>
      <c r="AQ57" s="7">
        <f t="shared" si="68"/>
        <v>14615.48</v>
      </c>
      <c r="AR57" s="7">
        <f t="shared" si="68"/>
        <v>26032.799999999999</v>
      </c>
      <c r="AS57" s="7">
        <f t="shared" si="68"/>
        <v>40530.910000000003</v>
      </c>
      <c r="AT57" s="7">
        <f t="shared" si="69"/>
        <v>50530.71</v>
      </c>
      <c r="AU57" s="7">
        <f t="shared" si="69"/>
        <v>35051.42</v>
      </c>
      <c r="AV57" s="7">
        <f t="shared" si="69"/>
        <v>24184.190000000002</v>
      </c>
      <c r="AW57" s="7">
        <f t="shared" si="69"/>
        <v>17345.88</v>
      </c>
      <c r="AX57" s="7">
        <f t="shared" si="69"/>
        <v>24177.770000000004</v>
      </c>
      <c r="AY57" s="7">
        <f t="shared" si="69"/>
        <v>16531.349999999999</v>
      </c>
      <c r="AZ57" s="7">
        <f t="shared" si="69"/>
        <v>41347.300000000003</v>
      </c>
      <c r="BA57" s="7">
        <f t="shared" si="69"/>
        <v>27820.25</v>
      </c>
      <c r="BB57" s="7">
        <f t="shared" si="69"/>
        <v>28622.19</v>
      </c>
      <c r="BC57" s="7">
        <f t="shared" si="69"/>
        <v>14615.48</v>
      </c>
      <c r="BD57" s="7">
        <f t="shared" si="70"/>
        <v>26032.799999999999</v>
      </c>
      <c r="BE57" s="7">
        <f t="shared" si="70"/>
        <v>40530.910000000003</v>
      </c>
      <c r="BF57" s="7">
        <f t="shared" si="70"/>
        <v>50530.71</v>
      </c>
      <c r="BG57" s="7">
        <f t="shared" si="70"/>
        <v>35051.42</v>
      </c>
      <c r="BH57" s="7">
        <f t="shared" si="70"/>
        <v>24184.190000000002</v>
      </c>
      <c r="BI57" s="7">
        <f t="shared" si="70"/>
        <v>17345.88</v>
      </c>
      <c r="BJ57" s="7">
        <f t="shared" si="70"/>
        <v>24177.770000000004</v>
      </c>
      <c r="BK57" s="7">
        <f t="shared" si="70"/>
        <v>16531.349999999999</v>
      </c>
      <c r="BL57" s="7">
        <f t="shared" si="70"/>
        <v>41347.300000000003</v>
      </c>
      <c r="BM57" s="7">
        <f t="shared" si="70"/>
        <v>27820.25</v>
      </c>
      <c r="BN57" s="7">
        <f t="shared" si="70"/>
        <v>28622.19</v>
      </c>
      <c r="BO57" s="7">
        <f t="shared" si="70"/>
        <v>14615.48</v>
      </c>
      <c r="BP57" s="7">
        <f t="shared" si="70"/>
        <v>26032.799999999999</v>
      </c>
      <c r="BQ57" s="7">
        <f t="shared" si="70"/>
        <v>40530.910000000003</v>
      </c>
      <c r="BR57" s="7">
        <f t="shared" si="70"/>
        <v>50530.71</v>
      </c>
      <c r="BS57" s="7">
        <f t="shared" si="70"/>
        <v>35051.42</v>
      </c>
      <c r="BT57" s="7">
        <f t="shared" si="71"/>
        <v>24184.190000000002</v>
      </c>
      <c r="BU57" s="7">
        <f t="shared" si="71"/>
        <v>17345.88</v>
      </c>
      <c r="BV57" s="7">
        <f t="shared" si="71"/>
        <v>24177.770000000004</v>
      </c>
      <c r="BW57" s="7">
        <f t="shared" si="71"/>
        <v>16531.349999999999</v>
      </c>
      <c r="BX57" s="7">
        <f t="shared" si="72"/>
        <v>41347.300000000003</v>
      </c>
      <c r="BY57" s="7">
        <f t="shared" si="72"/>
        <v>27820.25</v>
      </c>
      <c r="BZ57" s="7">
        <f t="shared" si="72"/>
        <v>28622.19</v>
      </c>
      <c r="CA57" s="7">
        <f t="shared" si="72"/>
        <v>14615.48</v>
      </c>
      <c r="CB57" s="7">
        <f t="shared" si="72"/>
        <v>26032.799999999999</v>
      </c>
      <c r="CC57" s="7">
        <f t="shared" si="72"/>
        <v>40530.910000000003</v>
      </c>
      <c r="CD57" s="7">
        <f t="shared" si="72"/>
        <v>50530.71</v>
      </c>
      <c r="CE57" s="7">
        <f t="shared" si="72"/>
        <v>35051.42</v>
      </c>
      <c r="CF57" s="7">
        <f t="shared" si="72"/>
        <v>24184.190000000002</v>
      </c>
      <c r="CG57" s="7">
        <f t="shared" si="72"/>
        <v>17345.88</v>
      </c>
      <c r="CH57" s="7">
        <f t="shared" si="72"/>
        <v>24177.770000000004</v>
      </c>
      <c r="CI57" s="7">
        <f t="shared" si="72"/>
        <v>16531.349999999999</v>
      </c>
    </row>
    <row r="58" spans="1:87" x14ac:dyDescent="0.2">
      <c r="A58" s="2">
        <v>48</v>
      </c>
      <c r="B58" s="2" t="s">
        <v>81</v>
      </c>
      <c r="C58" s="15">
        <f>C50</f>
        <v>0.68489999999999995</v>
      </c>
      <c r="D58" s="71">
        <f>'Bill Frequency'!C49+'Contract &amp; Vol Adj'!C49</f>
        <v>7742</v>
      </c>
      <c r="E58" s="71">
        <f>'Bill Frequency'!D49+'Contract &amp; Vol Adj'!D49</f>
        <v>0</v>
      </c>
      <c r="F58" s="71">
        <f>'Bill Frequency'!E49+'Contract &amp; Vol Adj'!E49</f>
        <v>4795</v>
      </c>
      <c r="G58" s="71">
        <f>'Bill Frequency'!F49+'Contract &amp; Vol Adj'!F49</f>
        <v>0</v>
      </c>
      <c r="H58" s="71">
        <f>'Bill Frequency'!G49+'Contract &amp; Vol Adj'!G49</f>
        <v>0</v>
      </c>
      <c r="I58" s="71">
        <f>'Bill Frequency'!H49+'Contract &amp; Vol Adj'!H49</f>
        <v>12687.01</v>
      </c>
      <c r="J58" s="71">
        <f>'Bill Frequency'!I49+'Contract &amp; Vol Adj'!I49</f>
        <v>13578</v>
      </c>
      <c r="K58" s="71">
        <f>'Bill Frequency'!J49+'Contract &amp; Vol Adj'!J49</f>
        <v>9681</v>
      </c>
      <c r="L58" s="71">
        <f>'Bill Frequency'!K49+'Contract &amp; Vol Adj'!K49</f>
        <v>9377</v>
      </c>
      <c r="M58" s="71">
        <f>'Bill Frequency'!L49+'Contract &amp; Vol Adj'!L49</f>
        <v>0</v>
      </c>
      <c r="N58" s="71">
        <f>'Bill Frequency'!M49+'Contract &amp; Vol Adj'!M49</f>
        <v>0</v>
      </c>
      <c r="O58" s="71">
        <f>'Bill Frequency'!N49+'Contract &amp; Vol Adj'!N49</f>
        <v>0</v>
      </c>
      <c r="P58" s="7">
        <f t="shared" si="66"/>
        <v>7742</v>
      </c>
      <c r="Q58" s="7">
        <f t="shared" si="66"/>
        <v>0</v>
      </c>
      <c r="R58" s="7">
        <f t="shared" si="66"/>
        <v>4795</v>
      </c>
      <c r="S58" s="7">
        <f t="shared" si="66"/>
        <v>0</v>
      </c>
      <c r="T58" s="7">
        <f t="shared" si="66"/>
        <v>0</v>
      </c>
      <c r="U58" s="7">
        <f t="shared" si="66"/>
        <v>12687.01</v>
      </c>
      <c r="V58" s="7">
        <f t="shared" si="66"/>
        <v>13578</v>
      </c>
      <c r="W58" s="7">
        <f t="shared" si="66"/>
        <v>9681</v>
      </c>
      <c r="X58" s="7">
        <f t="shared" si="66"/>
        <v>9377</v>
      </c>
      <c r="Y58" s="7">
        <f t="shared" si="66"/>
        <v>0</v>
      </c>
      <c r="Z58" s="7">
        <f t="shared" si="67"/>
        <v>0</v>
      </c>
      <c r="AA58" s="7">
        <f t="shared" si="67"/>
        <v>0</v>
      </c>
      <c r="AB58" s="7">
        <f t="shared" si="67"/>
        <v>7742</v>
      </c>
      <c r="AC58" s="7">
        <f t="shared" si="67"/>
        <v>0</v>
      </c>
      <c r="AD58" s="7">
        <f t="shared" si="67"/>
        <v>4795</v>
      </c>
      <c r="AE58" s="7">
        <f t="shared" si="67"/>
        <v>0</v>
      </c>
      <c r="AF58" s="7">
        <f t="shared" si="67"/>
        <v>0</v>
      </c>
      <c r="AG58" s="7">
        <f t="shared" si="67"/>
        <v>12687.01</v>
      </c>
      <c r="AH58" s="7">
        <f t="shared" si="67"/>
        <v>13578</v>
      </c>
      <c r="AI58" s="7">
        <f t="shared" si="67"/>
        <v>9681</v>
      </c>
      <c r="AJ58" s="7">
        <f t="shared" si="68"/>
        <v>9377</v>
      </c>
      <c r="AK58" s="7">
        <f t="shared" si="68"/>
        <v>0</v>
      </c>
      <c r="AL58" s="7">
        <f t="shared" si="68"/>
        <v>0</v>
      </c>
      <c r="AM58" s="7">
        <f t="shared" si="68"/>
        <v>0</v>
      </c>
      <c r="AN58" s="7">
        <f t="shared" si="68"/>
        <v>7742</v>
      </c>
      <c r="AO58" s="7">
        <f t="shared" si="68"/>
        <v>0</v>
      </c>
      <c r="AP58" s="7">
        <f t="shared" si="68"/>
        <v>4795</v>
      </c>
      <c r="AQ58" s="7">
        <f t="shared" si="68"/>
        <v>0</v>
      </c>
      <c r="AR58" s="7">
        <f t="shared" si="68"/>
        <v>0</v>
      </c>
      <c r="AS58" s="7">
        <f t="shared" si="68"/>
        <v>12687.01</v>
      </c>
      <c r="AT58" s="7">
        <f t="shared" si="69"/>
        <v>13578</v>
      </c>
      <c r="AU58" s="7">
        <f t="shared" si="69"/>
        <v>9681</v>
      </c>
      <c r="AV58" s="7">
        <f t="shared" si="69"/>
        <v>9377</v>
      </c>
      <c r="AW58" s="7">
        <f t="shared" si="69"/>
        <v>0</v>
      </c>
      <c r="AX58" s="7">
        <f t="shared" si="69"/>
        <v>0</v>
      </c>
      <c r="AY58" s="7">
        <f t="shared" si="69"/>
        <v>0</v>
      </c>
      <c r="AZ58" s="7">
        <f t="shared" si="69"/>
        <v>7742</v>
      </c>
      <c r="BA58" s="7">
        <f t="shared" si="69"/>
        <v>0</v>
      </c>
      <c r="BB58" s="7">
        <f t="shared" si="69"/>
        <v>4795</v>
      </c>
      <c r="BC58" s="7">
        <f t="shared" si="69"/>
        <v>0</v>
      </c>
      <c r="BD58" s="7">
        <f t="shared" si="70"/>
        <v>0</v>
      </c>
      <c r="BE58" s="7">
        <f t="shared" si="70"/>
        <v>12687.01</v>
      </c>
      <c r="BF58" s="7">
        <f t="shared" si="70"/>
        <v>13578</v>
      </c>
      <c r="BG58" s="7">
        <f t="shared" si="70"/>
        <v>9681</v>
      </c>
      <c r="BH58" s="7">
        <f t="shared" si="70"/>
        <v>9377</v>
      </c>
      <c r="BI58" s="7">
        <f t="shared" si="70"/>
        <v>0</v>
      </c>
      <c r="BJ58" s="7">
        <f t="shared" si="70"/>
        <v>0</v>
      </c>
      <c r="BK58" s="7">
        <f t="shared" si="70"/>
        <v>0</v>
      </c>
      <c r="BL58" s="7">
        <f t="shared" si="70"/>
        <v>7742</v>
      </c>
      <c r="BM58" s="7">
        <f t="shared" si="70"/>
        <v>0</v>
      </c>
      <c r="BN58" s="7">
        <f t="shared" si="70"/>
        <v>4795</v>
      </c>
      <c r="BO58" s="7">
        <f t="shared" si="70"/>
        <v>0</v>
      </c>
      <c r="BP58" s="7">
        <f t="shared" si="70"/>
        <v>0</v>
      </c>
      <c r="BQ58" s="7">
        <f t="shared" si="70"/>
        <v>12687.01</v>
      </c>
      <c r="BR58" s="7">
        <f t="shared" si="70"/>
        <v>13578</v>
      </c>
      <c r="BS58" s="7">
        <f t="shared" si="70"/>
        <v>9681</v>
      </c>
      <c r="BT58" s="7">
        <f t="shared" si="71"/>
        <v>9377</v>
      </c>
      <c r="BU58" s="7">
        <f t="shared" si="71"/>
        <v>0</v>
      </c>
      <c r="BV58" s="7">
        <f t="shared" si="71"/>
        <v>0</v>
      </c>
      <c r="BW58" s="7">
        <f t="shared" si="71"/>
        <v>0</v>
      </c>
      <c r="BX58" s="7">
        <f t="shared" si="72"/>
        <v>7742</v>
      </c>
      <c r="BY58" s="7">
        <f t="shared" si="72"/>
        <v>0</v>
      </c>
      <c r="BZ58" s="7">
        <f t="shared" si="72"/>
        <v>4795</v>
      </c>
      <c r="CA58" s="7">
        <f t="shared" si="72"/>
        <v>0</v>
      </c>
      <c r="CB58" s="7">
        <f t="shared" si="72"/>
        <v>0</v>
      </c>
      <c r="CC58" s="7">
        <f t="shared" si="72"/>
        <v>12687.01</v>
      </c>
      <c r="CD58" s="7">
        <f t="shared" si="72"/>
        <v>13578</v>
      </c>
      <c r="CE58" s="7">
        <f t="shared" si="72"/>
        <v>9681</v>
      </c>
      <c r="CF58" s="7">
        <f t="shared" si="72"/>
        <v>9377</v>
      </c>
      <c r="CG58" s="7">
        <f t="shared" si="72"/>
        <v>0</v>
      </c>
      <c r="CH58" s="7">
        <f t="shared" si="72"/>
        <v>0</v>
      </c>
      <c r="CI58" s="7">
        <f t="shared" si="72"/>
        <v>0</v>
      </c>
    </row>
    <row r="59" spans="1:87" x14ac:dyDescent="0.2">
      <c r="A59" s="2">
        <v>49</v>
      </c>
      <c r="B59" s="33" t="s">
        <v>79</v>
      </c>
      <c r="C59" s="33"/>
      <c r="D59" s="32">
        <f t="shared" ref="D59:AI59" si="73">D57+D58</f>
        <v>49089.3</v>
      </c>
      <c r="E59" s="32">
        <f t="shared" si="73"/>
        <v>27820.25</v>
      </c>
      <c r="F59" s="32">
        <f t="shared" si="73"/>
        <v>33417.19</v>
      </c>
      <c r="G59" s="32">
        <f t="shared" si="73"/>
        <v>14615.48</v>
      </c>
      <c r="H59" s="32">
        <f t="shared" si="73"/>
        <v>26032.799999999999</v>
      </c>
      <c r="I59" s="32">
        <f t="shared" si="73"/>
        <v>53217.920000000006</v>
      </c>
      <c r="J59" s="32">
        <f t="shared" si="73"/>
        <v>64108.71</v>
      </c>
      <c r="K59" s="32">
        <f t="shared" si="73"/>
        <v>44732.42</v>
      </c>
      <c r="L59" s="32">
        <f t="shared" si="73"/>
        <v>33561.19</v>
      </c>
      <c r="M59" s="32">
        <f t="shared" si="73"/>
        <v>17345.88</v>
      </c>
      <c r="N59" s="32">
        <f t="shared" si="73"/>
        <v>24177.770000000004</v>
      </c>
      <c r="O59" s="32">
        <f t="shared" si="73"/>
        <v>16531.349999999999</v>
      </c>
      <c r="P59" s="32">
        <f t="shared" si="73"/>
        <v>49089.3</v>
      </c>
      <c r="Q59" s="32">
        <f t="shared" si="73"/>
        <v>27820.25</v>
      </c>
      <c r="R59" s="32">
        <f t="shared" si="73"/>
        <v>33417.19</v>
      </c>
      <c r="S59" s="32">
        <f t="shared" si="73"/>
        <v>14615.48</v>
      </c>
      <c r="T59" s="32">
        <f t="shared" si="73"/>
        <v>26032.799999999999</v>
      </c>
      <c r="U59" s="32">
        <f t="shared" si="73"/>
        <v>53217.920000000006</v>
      </c>
      <c r="V59" s="32">
        <f t="shared" si="73"/>
        <v>64108.71</v>
      </c>
      <c r="W59" s="32">
        <f t="shared" si="73"/>
        <v>44732.42</v>
      </c>
      <c r="X59" s="32">
        <f t="shared" si="73"/>
        <v>33561.19</v>
      </c>
      <c r="Y59" s="32">
        <f t="shared" si="73"/>
        <v>17345.88</v>
      </c>
      <c r="Z59" s="32">
        <f t="shared" si="73"/>
        <v>24177.770000000004</v>
      </c>
      <c r="AA59" s="32">
        <f t="shared" si="73"/>
        <v>16531.349999999999</v>
      </c>
      <c r="AB59" s="32">
        <f t="shared" si="73"/>
        <v>49089.3</v>
      </c>
      <c r="AC59" s="32">
        <f t="shared" si="73"/>
        <v>27820.25</v>
      </c>
      <c r="AD59" s="32">
        <f t="shared" si="73"/>
        <v>33417.19</v>
      </c>
      <c r="AE59" s="32">
        <f t="shared" si="73"/>
        <v>14615.48</v>
      </c>
      <c r="AF59" s="32">
        <f t="shared" si="73"/>
        <v>26032.799999999999</v>
      </c>
      <c r="AG59" s="32">
        <f t="shared" si="73"/>
        <v>53217.920000000006</v>
      </c>
      <c r="AH59" s="32">
        <f t="shared" si="73"/>
        <v>64108.71</v>
      </c>
      <c r="AI59" s="32">
        <f t="shared" si="73"/>
        <v>44732.42</v>
      </c>
      <c r="AJ59" s="32">
        <f t="shared" ref="AJ59:BW59" si="74">AJ57+AJ58</f>
        <v>33561.19</v>
      </c>
      <c r="AK59" s="32">
        <f t="shared" si="74"/>
        <v>17345.88</v>
      </c>
      <c r="AL59" s="32">
        <f t="shared" si="74"/>
        <v>24177.770000000004</v>
      </c>
      <c r="AM59" s="32">
        <f t="shared" si="74"/>
        <v>16531.349999999999</v>
      </c>
      <c r="AN59" s="32">
        <f t="shared" si="74"/>
        <v>49089.3</v>
      </c>
      <c r="AO59" s="32">
        <f t="shared" si="74"/>
        <v>27820.25</v>
      </c>
      <c r="AP59" s="32">
        <f t="shared" si="74"/>
        <v>33417.19</v>
      </c>
      <c r="AQ59" s="32">
        <f t="shared" si="74"/>
        <v>14615.48</v>
      </c>
      <c r="AR59" s="32">
        <f t="shared" si="74"/>
        <v>26032.799999999999</v>
      </c>
      <c r="AS59" s="32">
        <f t="shared" si="74"/>
        <v>53217.920000000006</v>
      </c>
      <c r="AT59" s="32">
        <f t="shared" si="74"/>
        <v>64108.71</v>
      </c>
      <c r="AU59" s="32">
        <f t="shared" si="74"/>
        <v>44732.42</v>
      </c>
      <c r="AV59" s="32">
        <f t="shared" si="74"/>
        <v>33561.19</v>
      </c>
      <c r="AW59" s="32">
        <f t="shared" si="74"/>
        <v>17345.88</v>
      </c>
      <c r="AX59" s="32">
        <f t="shared" si="74"/>
        <v>24177.770000000004</v>
      </c>
      <c r="AY59" s="32">
        <f t="shared" si="74"/>
        <v>16531.349999999999</v>
      </c>
      <c r="AZ59" s="32">
        <f t="shared" si="74"/>
        <v>49089.3</v>
      </c>
      <c r="BA59" s="32">
        <f t="shared" si="74"/>
        <v>27820.25</v>
      </c>
      <c r="BB59" s="32">
        <f t="shared" si="74"/>
        <v>33417.19</v>
      </c>
      <c r="BC59" s="32">
        <f t="shared" si="74"/>
        <v>14615.48</v>
      </c>
      <c r="BD59" s="32">
        <f t="shared" si="74"/>
        <v>26032.799999999999</v>
      </c>
      <c r="BE59" s="32">
        <f t="shared" si="74"/>
        <v>53217.920000000006</v>
      </c>
      <c r="BF59" s="32">
        <f t="shared" si="74"/>
        <v>64108.71</v>
      </c>
      <c r="BG59" s="32">
        <f t="shared" si="74"/>
        <v>44732.42</v>
      </c>
      <c r="BH59" s="32">
        <f t="shared" si="74"/>
        <v>33561.19</v>
      </c>
      <c r="BI59" s="32">
        <f t="shared" si="74"/>
        <v>17345.88</v>
      </c>
      <c r="BJ59" s="32">
        <f t="shared" si="74"/>
        <v>24177.770000000004</v>
      </c>
      <c r="BK59" s="32">
        <f t="shared" si="74"/>
        <v>16531.349999999999</v>
      </c>
      <c r="BL59" s="32">
        <f t="shared" si="74"/>
        <v>49089.3</v>
      </c>
      <c r="BM59" s="32">
        <f t="shared" si="74"/>
        <v>27820.25</v>
      </c>
      <c r="BN59" s="32">
        <f t="shared" si="74"/>
        <v>33417.19</v>
      </c>
      <c r="BO59" s="32">
        <f t="shared" si="74"/>
        <v>14615.48</v>
      </c>
      <c r="BP59" s="32">
        <f t="shared" si="74"/>
        <v>26032.799999999999</v>
      </c>
      <c r="BQ59" s="32">
        <f t="shared" si="74"/>
        <v>53217.920000000006</v>
      </c>
      <c r="BR59" s="32">
        <f t="shared" si="74"/>
        <v>64108.71</v>
      </c>
      <c r="BS59" s="32">
        <f t="shared" si="74"/>
        <v>44732.42</v>
      </c>
      <c r="BT59" s="32">
        <f t="shared" si="74"/>
        <v>33561.19</v>
      </c>
      <c r="BU59" s="32">
        <f t="shared" si="74"/>
        <v>17345.88</v>
      </c>
      <c r="BV59" s="32">
        <f t="shared" si="74"/>
        <v>24177.770000000004</v>
      </c>
      <c r="BW59" s="32">
        <f t="shared" si="74"/>
        <v>16531.349999999999</v>
      </c>
      <c r="BX59" s="32">
        <f t="shared" ref="BX59:CI59" si="75">BX57+BX58</f>
        <v>49089.3</v>
      </c>
      <c r="BY59" s="32">
        <f t="shared" si="75"/>
        <v>27820.25</v>
      </c>
      <c r="BZ59" s="32">
        <f t="shared" si="75"/>
        <v>33417.19</v>
      </c>
      <c r="CA59" s="32">
        <f t="shared" si="75"/>
        <v>14615.48</v>
      </c>
      <c r="CB59" s="32">
        <f t="shared" si="75"/>
        <v>26032.799999999999</v>
      </c>
      <c r="CC59" s="32">
        <f t="shared" si="75"/>
        <v>53217.920000000006</v>
      </c>
      <c r="CD59" s="32">
        <f t="shared" si="75"/>
        <v>64108.71</v>
      </c>
      <c r="CE59" s="32">
        <f t="shared" si="75"/>
        <v>44732.42</v>
      </c>
      <c r="CF59" s="32">
        <f t="shared" si="75"/>
        <v>33561.19</v>
      </c>
      <c r="CG59" s="32">
        <f t="shared" si="75"/>
        <v>17345.88</v>
      </c>
      <c r="CH59" s="32">
        <f t="shared" si="75"/>
        <v>24177.770000000004</v>
      </c>
      <c r="CI59" s="32">
        <f t="shared" si="75"/>
        <v>16531.349999999999</v>
      </c>
    </row>
    <row r="60" spans="1:87" x14ac:dyDescent="0.2">
      <c r="A60" s="2">
        <v>50</v>
      </c>
      <c r="B60" s="17" t="s">
        <v>226</v>
      </c>
      <c r="C60" s="2"/>
      <c r="D60" s="95">
        <f>D52</f>
        <v>2.4754999999999998</v>
      </c>
      <c r="E60" s="95">
        <f t="shared" ref="E60:P60" si="76">E52</f>
        <v>2.8822999999999999</v>
      </c>
      <c r="F60" s="95">
        <f t="shared" si="76"/>
        <v>2.8822999999999999</v>
      </c>
      <c r="G60" s="95">
        <f t="shared" si="76"/>
        <v>2.8822999999999999</v>
      </c>
      <c r="H60" s="95">
        <f t="shared" si="76"/>
        <v>2.9159000000000002</v>
      </c>
      <c r="I60" s="95">
        <f t="shared" si="76"/>
        <v>2.9159000000000002</v>
      </c>
      <c r="J60" s="95">
        <f t="shared" si="76"/>
        <v>2.9159000000000002</v>
      </c>
      <c r="K60" s="95">
        <f t="shared" si="76"/>
        <v>3.1685000000000003</v>
      </c>
      <c r="L60" s="95">
        <f t="shared" si="76"/>
        <v>3.1685000000000003</v>
      </c>
      <c r="M60" s="95">
        <f t="shared" si="76"/>
        <v>3.1685000000000003</v>
      </c>
      <c r="N60" s="95">
        <f t="shared" si="76"/>
        <v>3.7671999999999999</v>
      </c>
      <c r="O60" s="95">
        <f t="shared" si="76"/>
        <v>3.9323000000000001</v>
      </c>
      <c r="P60" s="95">
        <f t="shared" si="76"/>
        <v>3.9323000000000001</v>
      </c>
      <c r="Q60" s="95">
        <f t="shared" ref="Q60:AA60" si="77">Q52</f>
        <v>3.8407</v>
      </c>
      <c r="R60" s="95">
        <f t="shared" si="77"/>
        <v>3.8407</v>
      </c>
      <c r="S60" s="95">
        <f t="shared" si="77"/>
        <v>3.8407</v>
      </c>
      <c r="T60" s="95">
        <f t="shared" si="77"/>
        <v>3.4639130402434146</v>
      </c>
      <c r="U60" s="95">
        <f t="shared" si="77"/>
        <v>3.4639130402434146</v>
      </c>
      <c r="V60" s="95">
        <f t="shared" si="77"/>
        <v>3.4639130402434146</v>
      </c>
      <c r="W60" s="95">
        <f t="shared" si="77"/>
        <v>3.36752485693808</v>
      </c>
      <c r="X60" s="95">
        <f t="shared" si="77"/>
        <v>3.36752485693808</v>
      </c>
      <c r="Y60" s="95">
        <f t="shared" si="77"/>
        <v>3.36752485693808</v>
      </c>
      <c r="Z60" s="95">
        <f t="shared" si="77"/>
        <v>3.5929507183845497</v>
      </c>
      <c r="AA60" s="95">
        <f t="shared" si="77"/>
        <v>3.5929507183845497</v>
      </c>
      <c r="AB60" s="95">
        <f t="shared" ref="AB60:BW60" si="78">AB52</f>
        <v>3.5929507183845497</v>
      </c>
      <c r="AC60" s="95">
        <f t="shared" si="78"/>
        <v>3.5731874577749427</v>
      </c>
      <c r="AD60" s="95">
        <f t="shared" si="78"/>
        <v>3.5731874577749427</v>
      </c>
      <c r="AE60" s="95">
        <f t="shared" si="78"/>
        <v>3.5731874577749427</v>
      </c>
      <c r="AF60" s="95">
        <f t="shared" si="78"/>
        <v>3.4182326490369213</v>
      </c>
      <c r="AG60" s="95">
        <f t="shared" si="78"/>
        <v>3.4182326490369213</v>
      </c>
      <c r="AH60" s="95">
        <f t="shared" si="78"/>
        <v>3.4182326490369213</v>
      </c>
      <c r="AI60" s="95">
        <f t="shared" si="78"/>
        <v>3.3435245663605344</v>
      </c>
      <c r="AJ60" s="95">
        <f t="shared" si="78"/>
        <v>3.3435245663605344</v>
      </c>
      <c r="AK60" s="95">
        <f t="shared" si="78"/>
        <v>3.3435245663605344</v>
      </c>
      <c r="AL60" s="95">
        <f t="shared" si="78"/>
        <v>3.4056376425132102</v>
      </c>
      <c r="AM60" s="95">
        <f t="shared" si="78"/>
        <v>3.4056376425132102</v>
      </c>
      <c r="AN60" s="95">
        <f t="shared" si="78"/>
        <v>3.4056376425132102</v>
      </c>
      <c r="AO60" s="95">
        <f t="shared" si="78"/>
        <v>3.392309226785847</v>
      </c>
      <c r="AP60" s="95">
        <f t="shared" si="78"/>
        <v>3.392309226785847</v>
      </c>
      <c r="AQ60" s="95">
        <f t="shared" si="78"/>
        <v>3.392309226785847</v>
      </c>
      <c r="AR60" s="95">
        <f t="shared" si="78"/>
        <v>3.3109704198958445</v>
      </c>
      <c r="AS60" s="95">
        <f t="shared" si="78"/>
        <v>3.3109704198958445</v>
      </c>
      <c r="AT60" s="95">
        <f t="shared" si="78"/>
        <v>3.3109704198958445</v>
      </c>
      <c r="AU60" s="95">
        <f t="shared" si="78"/>
        <v>3.2585790177201699</v>
      </c>
      <c r="AV60" s="95">
        <f t="shared" si="78"/>
        <v>3.2585790177201699</v>
      </c>
      <c r="AW60" s="95">
        <f t="shared" si="78"/>
        <v>3.2585790177201699</v>
      </c>
      <c r="AX60" s="95">
        <f t="shared" si="78"/>
        <v>3.3516470398994413</v>
      </c>
      <c r="AY60" s="95">
        <f t="shared" si="78"/>
        <v>3.3516470398994413</v>
      </c>
      <c r="AZ60" s="95">
        <f t="shared" si="78"/>
        <v>3.3516470398994413</v>
      </c>
      <c r="BA60" s="95">
        <f t="shared" si="78"/>
        <v>3.3725325895490572</v>
      </c>
      <c r="BB60" s="95">
        <f t="shared" si="78"/>
        <v>3.3725325895490572</v>
      </c>
      <c r="BC60" s="95">
        <f t="shared" si="78"/>
        <v>3.3725325895490572</v>
      </c>
      <c r="BD60" s="95">
        <f t="shared" si="78"/>
        <v>3.2922290252000108</v>
      </c>
      <c r="BE60" s="95">
        <f t="shared" si="78"/>
        <v>3.2922290252000108</v>
      </c>
      <c r="BF60" s="95">
        <f t="shared" si="78"/>
        <v>3.2922290252000108</v>
      </c>
      <c r="BG60" s="95">
        <f t="shared" si="78"/>
        <v>3.2308628895698428</v>
      </c>
      <c r="BH60" s="95">
        <f t="shared" si="78"/>
        <v>3.2308628895698428</v>
      </c>
      <c r="BI60" s="95">
        <f t="shared" si="78"/>
        <v>3.2308628895698428</v>
      </c>
      <c r="BJ60" s="95">
        <f t="shared" si="78"/>
        <v>3.3520893068723976</v>
      </c>
      <c r="BK60" s="95">
        <f t="shared" si="78"/>
        <v>3.3520893068723976</v>
      </c>
      <c r="BL60" s="95">
        <f t="shared" si="78"/>
        <v>3.3520893068723976</v>
      </c>
      <c r="BM60" s="95">
        <f t="shared" si="78"/>
        <v>3.3801243292303984</v>
      </c>
      <c r="BN60" s="95">
        <f t="shared" si="78"/>
        <v>3.3801243292303984</v>
      </c>
      <c r="BO60" s="95">
        <f t="shared" si="78"/>
        <v>3.3801243292303984</v>
      </c>
      <c r="BP60" s="95">
        <f t="shared" si="78"/>
        <v>3.3043897686230408</v>
      </c>
      <c r="BQ60" s="95">
        <f t="shared" si="78"/>
        <v>3.3043897686230408</v>
      </c>
      <c r="BR60" s="95">
        <f t="shared" si="78"/>
        <v>3.3043897686230408</v>
      </c>
      <c r="BS60" s="95">
        <f t="shared" si="78"/>
        <v>3.2394490475439772</v>
      </c>
      <c r="BT60" s="95">
        <f t="shared" si="78"/>
        <v>3.2394490475439772</v>
      </c>
      <c r="BU60" s="95">
        <f t="shared" si="78"/>
        <v>3.2394490475439772</v>
      </c>
      <c r="BV60" s="95">
        <f t="shared" si="78"/>
        <v>3.3828071931462298</v>
      </c>
      <c r="BW60" s="95">
        <f t="shared" si="78"/>
        <v>3.3828071931462298</v>
      </c>
      <c r="BX60" s="95">
        <f t="shared" ref="BX60:CI60" si="79">BX52</f>
        <v>3.3828071931462298</v>
      </c>
      <c r="BY60" s="95">
        <f t="shared" si="79"/>
        <v>3.4164089378095817</v>
      </c>
      <c r="BZ60" s="95">
        <f t="shared" si="79"/>
        <v>3.4164089378095817</v>
      </c>
      <c r="CA60" s="95">
        <f t="shared" si="79"/>
        <v>3.4164089378095817</v>
      </c>
      <c r="CB60" s="95">
        <f t="shared" si="79"/>
        <v>3.3350666082194356</v>
      </c>
      <c r="CC60" s="95">
        <f t="shared" si="79"/>
        <v>3.3350666082194356</v>
      </c>
      <c r="CD60" s="95">
        <f t="shared" si="79"/>
        <v>3.3350666082194356</v>
      </c>
      <c r="CE60" s="95">
        <f t="shared" si="79"/>
        <v>3.267168845662888</v>
      </c>
      <c r="CF60" s="95">
        <f t="shared" si="79"/>
        <v>3.267168845662888</v>
      </c>
      <c r="CG60" s="95">
        <f t="shared" si="79"/>
        <v>3.267168845662888</v>
      </c>
      <c r="CH60" s="95">
        <f t="shared" si="79"/>
        <v>3.4209299142570062</v>
      </c>
      <c r="CI60" s="95">
        <f t="shared" si="79"/>
        <v>3.4209299142570062</v>
      </c>
    </row>
    <row r="61" spans="1:87" x14ac:dyDescent="0.2">
      <c r="A61" s="2">
        <v>51</v>
      </c>
      <c r="B61" s="17" t="s">
        <v>218</v>
      </c>
      <c r="C61" s="2"/>
      <c r="D61" s="39">
        <f t="shared" ref="D61:AI61" si="80">D60*D59</f>
        <v>121520.56215</v>
      </c>
      <c r="E61" s="39">
        <f t="shared" si="80"/>
        <v>80186.306574999995</v>
      </c>
      <c r="F61" s="39">
        <f t="shared" si="80"/>
        <v>96318.366737000004</v>
      </c>
      <c r="G61" s="39">
        <f t="shared" si="80"/>
        <v>42126.198003999998</v>
      </c>
      <c r="H61" s="39">
        <f t="shared" si="80"/>
        <v>75909.041519999999</v>
      </c>
      <c r="I61" s="39">
        <f t="shared" si="80"/>
        <v>155178.13292800004</v>
      </c>
      <c r="J61" s="39">
        <f t="shared" si="80"/>
        <v>186934.587489</v>
      </c>
      <c r="K61" s="39">
        <f t="shared" si="80"/>
        <v>141734.67277</v>
      </c>
      <c r="L61" s="39">
        <f t="shared" si="80"/>
        <v>106338.63051500001</v>
      </c>
      <c r="M61" s="39">
        <f t="shared" si="80"/>
        <v>54960.420780000008</v>
      </c>
      <c r="N61" s="39">
        <f t="shared" si="80"/>
        <v>91082.495144000015</v>
      </c>
      <c r="O61" s="39">
        <f t="shared" si="80"/>
        <v>65006.227605</v>
      </c>
      <c r="P61" s="39">
        <f t="shared" si="80"/>
        <v>193033.85439000002</v>
      </c>
      <c r="Q61" s="39">
        <f t="shared" si="80"/>
        <v>106849.23417500001</v>
      </c>
      <c r="R61" s="39">
        <f t="shared" si="80"/>
        <v>128345.40163300002</v>
      </c>
      <c r="S61" s="39">
        <f t="shared" si="80"/>
        <v>56133.674035999997</v>
      </c>
      <c r="T61" s="39">
        <f t="shared" si="80"/>
        <v>90175.355394048762</v>
      </c>
      <c r="U61" s="39">
        <f t="shared" si="80"/>
        <v>184342.24706263083</v>
      </c>
      <c r="V61" s="39">
        <f t="shared" si="80"/>
        <v>222066.9965621834</v>
      </c>
      <c r="W61" s="39">
        <f t="shared" si="80"/>
        <v>150637.53626099409</v>
      </c>
      <c r="X61" s="39">
        <f t="shared" si="80"/>
        <v>113018.14155342172</v>
      </c>
      <c r="Y61" s="39">
        <f t="shared" si="80"/>
        <v>58412.682065465109</v>
      </c>
      <c r="Z61" s="39">
        <f t="shared" si="80"/>
        <v>86869.536090436435</v>
      </c>
      <c r="AA61" s="39">
        <f t="shared" si="80"/>
        <v>59396.325858366421</v>
      </c>
      <c r="AB61" s="39">
        <f t="shared" si="80"/>
        <v>176375.43569999468</v>
      </c>
      <c r="AC61" s="39">
        <f t="shared" si="80"/>
        <v>99406.968372163348</v>
      </c>
      <c r="AD61" s="39">
        <f t="shared" si="80"/>
        <v>119405.88418208224</v>
      </c>
      <c r="AE61" s="39">
        <f t="shared" si="80"/>
        <v>52223.849825360521</v>
      </c>
      <c r="AF61" s="39">
        <f t="shared" si="80"/>
        <v>88986.166905848368</v>
      </c>
      <c r="AG61" s="39">
        <f t="shared" si="80"/>
        <v>181911.23165783499</v>
      </c>
      <c r="AH61" s="39">
        <f t="shared" si="80"/>
        <v>219138.48560963976</v>
      </c>
      <c r="AI61" s="39">
        <f t="shared" si="80"/>
        <v>149563.94518275728</v>
      </c>
      <c r="AJ61" s="39">
        <f t="shared" ref="AJ61:BW61" si="81">AJ60*AJ59</f>
        <v>112212.66324129351</v>
      </c>
      <c r="AK61" s="39">
        <f t="shared" si="81"/>
        <v>57996.375905141867</v>
      </c>
      <c r="AL61" s="39">
        <f t="shared" si="81"/>
        <v>82340.723624026636</v>
      </c>
      <c r="AM61" s="39">
        <f t="shared" si="81"/>
        <v>56299.787841560756</v>
      </c>
      <c r="AN61" s="39">
        <f t="shared" si="81"/>
        <v>167180.36792462374</v>
      </c>
      <c r="AO61" s="39">
        <f t="shared" si="81"/>
        <v>94374.890766488956</v>
      </c>
      <c r="AP61" s="39">
        <f t="shared" si="81"/>
        <v>113361.44197025575</v>
      </c>
      <c r="AQ61" s="39">
        <f t="shared" si="81"/>
        <v>49580.227657904012</v>
      </c>
      <c r="AR61" s="39">
        <f t="shared" si="81"/>
        <v>86193.830747064538</v>
      </c>
      <c r="AS61" s="39">
        <f t="shared" si="81"/>
        <v>176202.95892838348</v>
      </c>
      <c r="AT61" s="39">
        <f t="shared" si="81"/>
        <v>212262.04246768093</v>
      </c>
      <c r="AU61" s="39">
        <f t="shared" si="81"/>
        <v>145764.12522384609</v>
      </c>
      <c r="AV61" s="39">
        <f t="shared" si="81"/>
        <v>109361.78954371999</v>
      </c>
      <c r="AW61" s="39">
        <f t="shared" si="81"/>
        <v>56522.920611891946</v>
      </c>
      <c r="AX61" s="39">
        <f t="shared" si="81"/>
        <v>81035.351251869535</v>
      </c>
      <c r="AY61" s="39">
        <f t="shared" si="81"/>
        <v>55407.250293041623</v>
      </c>
      <c r="AZ61" s="39">
        <f t="shared" si="81"/>
        <v>164530.00703573565</v>
      </c>
      <c r="BA61" s="39">
        <f t="shared" si="81"/>
        <v>93824.699774402165</v>
      </c>
      <c r="BB61" s="39">
        <f t="shared" si="81"/>
        <v>112700.56232615287</v>
      </c>
      <c r="BC61" s="39">
        <f t="shared" si="81"/>
        <v>49291.182611902455</v>
      </c>
      <c r="BD61" s="39">
        <f t="shared" si="81"/>
        <v>85705.939767226839</v>
      </c>
      <c r="BE61" s="39">
        <f t="shared" si="81"/>
        <v>175205.58088477218</v>
      </c>
      <c r="BF61" s="39">
        <f t="shared" si="81"/>
        <v>211060.55583013018</v>
      </c>
      <c r="BG61" s="39">
        <f t="shared" si="81"/>
        <v>144524.31573865181</v>
      </c>
      <c r="BH61" s="39">
        <f t="shared" si="81"/>
        <v>108431.60330080253</v>
      </c>
      <c r="BI61" s="39">
        <f t="shared" si="81"/>
        <v>56042.159978931748</v>
      </c>
      <c r="BJ61" s="39">
        <f t="shared" si="81"/>
        <v>81046.044281020266</v>
      </c>
      <c r="BK61" s="39">
        <f t="shared" si="81"/>
        <v>55414.561563165007</v>
      </c>
      <c r="BL61" s="39">
        <f t="shared" si="81"/>
        <v>164551.7176118512</v>
      </c>
      <c r="BM61" s="39">
        <f t="shared" si="81"/>
        <v>94035.903870271984</v>
      </c>
      <c r="BN61" s="39">
        <f t="shared" si="81"/>
        <v>112954.25693351479</v>
      </c>
      <c r="BO61" s="39">
        <f t="shared" si="81"/>
        <v>49402.1395313803</v>
      </c>
      <c r="BP61" s="39">
        <f t="shared" si="81"/>
        <v>86022.5179686099</v>
      </c>
      <c r="BQ61" s="39">
        <f t="shared" si="81"/>
        <v>175852.7503553995</v>
      </c>
      <c r="BR61" s="39">
        <f t="shared" si="81"/>
        <v>211840.16540362162</v>
      </c>
      <c r="BS61" s="39">
        <f t="shared" si="81"/>
        <v>144908.39536333716</v>
      </c>
      <c r="BT61" s="39">
        <f t="shared" si="81"/>
        <v>108719.76497994245</v>
      </c>
      <c r="BU61" s="39">
        <f t="shared" si="81"/>
        <v>56191.09444481213</v>
      </c>
      <c r="BV61" s="39">
        <f t="shared" si="81"/>
        <v>81788.734270235131</v>
      </c>
      <c r="BW61" s="39">
        <f t="shared" si="81"/>
        <v>55922.369692417924</v>
      </c>
      <c r="BX61" s="39">
        <f t="shared" ref="BX61:CI61" si="82">BX60*BX59</f>
        <v>166059.63714651324</v>
      </c>
      <c r="BY61" s="39">
        <f t="shared" si="82"/>
        <v>95045.350752097016</v>
      </c>
      <c r="BZ61" s="39">
        <f t="shared" si="82"/>
        <v>114166.78659248099</v>
      </c>
      <c r="CA61" s="39">
        <f t="shared" si="82"/>
        <v>49932.456502377187</v>
      </c>
      <c r="CB61" s="39">
        <f t="shared" si="82"/>
        <v>86821.121998454924</v>
      </c>
      <c r="CC61" s="39">
        <f t="shared" si="82"/>
        <v>177485.30795089327</v>
      </c>
      <c r="CD61" s="39">
        <f t="shared" si="82"/>
        <v>213806.81801702341</v>
      </c>
      <c r="CE61" s="39">
        <f t="shared" si="82"/>
        <v>146148.36901510748</v>
      </c>
      <c r="CF61" s="39">
        <f t="shared" si="82"/>
        <v>109650.07439137287</v>
      </c>
      <c r="CG61" s="39">
        <f t="shared" si="82"/>
        <v>56671.918736606982</v>
      </c>
      <c r="CH61" s="39">
        <f t="shared" si="82"/>
        <v>82710.456653025627</v>
      </c>
      <c r="CI61" s="39">
        <f t="shared" si="82"/>
        <v>56552.589738052557</v>
      </c>
    </row>
    <row r="62" spans="1:87" x14ac:dyDescent="0.2">
      <c r="A62" s="2">
        <v>52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17"/>
      <c r="V62" s="17"/>
      <c r="W62" s="17"/>
      <c r="X62" s="17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</row>
    <row r="63" spans="1:87" x14ac:dyDescent="0.2">
      <c r="A63" s="2">
        <v>53</v>
      </c>
      <c r="B63" s="172" t="s">
        <v>88</v>
      </c>
      <c r="C63" s="2"/>
      <c r="D63" s="103">
        <f>D64*$C$64+D68*$C$68+D69*$C$69+D70*$C$70+D65+D66+D67</f>
        <v>519452.1737342081</v>
      </c>
      <c r="E63" s="103">
        <f t="shared" ref="E63:BP63" si="83">E64*$C$64+E68*$C$68+E69*$C$69+E70*$C$70+E65+E66+E67</f>
        <v>566278.45147381537</v>
      </c>
      <c r="F63" s="103">
        <f t="shared" si="83"/>
        <v>566518.86138818902</v>
      </c>
      <c r="G63" s="103">
        <f t="shared" si="83"/>
        <v>601885.08727346407</v>
      </c>
      <c r="H63" s="103">
        <f t="shared" si="83"/>
        <v>687909.92714050855</v>
      </c>
      <c r="I63" s="103">
        <f t="shared" si="83"/>
        <v>822798.83809428895</v>
      </c>
      <c r="J63" s="103">
        <f t="shared" si="83"/>
        <v>821791.21068857983</v>
      </c>
      <c r="K63" s="103">
        <f t="shared" si="83"/>
        <v>714012.74526802613</v>
      </c>
      <c r="L63" s="103">
        <f t="shared" si="83"/>
        <v>754968.57768132398</v>
      </c>
      <c r="M63" s="103">
        <f t="shared" si="83"/>
        <v>588303.60879462364</v>
      </c>
      <c r="N63" s="103">
        <f t="shared" si="83"/>
        <v>595855.55098650069</v>
      </c>
      <c r="O63" s="103">
        <f t="shared" si="83"/>
        <v>581023.40132154047</v>
      </c>
      <c r="P63" s="103">
        <f t="shared" si="83"/>
        <v>519452.1737342081</v>
      </c>
      <c r="Q63" s="103">
        <f t="shared" si="83"/>
        <v>566278.45147381537</v>
      </c>
      <c r="R63" s="103">
        <f t="shared" si="83"/>
        <v>566518.86138818902</v>
      </c>
      <c r="S63" s="103">
        <f t="shared" si="83"/>
        <v>601885.08727346407</v>
      </c>
      <c r="T63" s="103">
        <f t="shared" si="83"/>
        <v>687909.92714050855</v>
      </c>
      <c r="U63" s="103">
        <f t="shared" si="83"/>
        <v>822798.83809428895</v>
      </c>
      <c r="V63" s="103">
        <f t="shared" si="83"/>
        <v>821791.21068857983</v>
      </c>
      <c r="W63" s="103">
        <f t="shared" si="83"/>
        <v>714012.74526802613</v>
      </c>
      <c r="X63" s="103">
        <f t="shared" si="83"/>
        <v>754968.57768132398</v>
      </c>
      <c r="Y63" s="103">
        <f t="shared" si="83"/>
        <v>588303.60879462364</v>
      </c>
      <c r="Z63" s="103">
        <f t="shared" si="83"/>
        <v>595855.55098650069</v>
      </c>
      <c r="AA63" s="103">
        <f t="shared" si="83"/>
        <v>581023.40132154047</v>
      </c>
      <c r="AB63" s="103">
        <f t="shared" si="83"/>
        <v>519452.1737342081</v>
      </c>
      <c r="AC63" s="103">
        <f t="shared" si="83"/>
        <v>566278.45147381537</v>
      </c>
      <c r="AD63" s="103">
        <f t="shared" si="83"/>
        <v>566518.86138818902</v>
      </c>
      <c r="AE63" s="103">
        <f t="shared" si="83"/>
        <v>601885.08727346407</v>
      </c>
      <c r="AF63" s="103">
        <f t="shared" si="83"/>
        <v>687909.92714050855</v>
      </c>
      <c r="AG63" s="103">
        <f t="shared" si="83"/>
        <v>822798.83809428895</v>
      </c>
      <c r="AH63" s="103">
        <f t="shared" si="83"/>
        <v>821791.21068857983</v>
      </c>
      <c r="AI63" s="103">
        <f t="shared" si="83"/>
        <v>714012.74526802613</v>
      </c>
      <c r="AJ63" s="103">
        <f t="shared" si="83"/>
        <v>754968.57768132398</v>
      </c>
      <c r="AK63" s="103">
        <f t="shared" si="83"/>
        <v>588303.60879462364</v>
      </c>
      <c r="AL63" s="103">
        <f t="shared" si="83"/>
        <v>595855.55098650069</v>
      </c>
      <c r="AM63" s="103">
        <f t="shared" si="83"/>
        <v>581023.40132154047</v>
      </c>
      <c r="AN63" s="103">
        <f t="shared" si="83"/>
        <v>519452.1737342081</v>
      </c>
      <c r="AO63" s="103">
        <f t="shared" si="83"/>
        <v>566278.45147381537</v>
      </c>
      <c r="AP63" s="103">
        <f t="shared" si="83"/>
        <v>566518.86138818902</v>
      </c>
      <c r="AQ63" s="103">
        <f t="shared" si="83"/>
        <v>601885.08727346407</v>
      </c>
      <c r="AR63" s="103">
        <f t="shared" si="83"/>
        <v>687909.92714050855</v>
      </c>
      <c r="AS63" s="103">
        <f t="shared" si="83"/>
        <v>822798.83809428895</v>
      </c>
      <c r="AT63" s="103">
        <f t="shared" si="83"/>
        <v>821791.21068857983</v>
      </c>
      <c r="AU63" s="103">
        <f t="shared" si="83"/>
        <v>714012.74526802613</v>
      </c>
      <c r="AV63" s="103">
        <f t="shared" si="83"/>
        <v>754968.57768132398</v>
      </c>
      <c r="AW63" s="103">
        <f t="shared" si="83"/>
        <v>588303.60879462364</v>
      </c>
      <c r="AX63" s="103">
        <f t="shared" si="83"/>
        <v>595855.55098650069</v>
      </c>
      <c r="AY63" s="103">
        <f t="shared" si="83"/>
        <v>581023.40132154047</v>
      </c>
      <c r="AZ63" s="103">
        <f t="shared" si="83"/>
        <v>519452.1737342081</v>
      </c>
      <c r="BA63" s="103">
        <f t="shared" si="83"/>
        <v>566278.45147381537</v>
      </c>
      <c r="BB63" s="103">
        <f t="shared" si="83"/>
        <v>566518.86138818902</v>
      </c>
      <c r="BC63" s="103">
        <f t="shared" si="83"/>
        <v>601885.08727346407</v>
      </c>
      <c r="BD63" s="103">
        <f t="shared" si="83"/>
        <v>687909.92714050855</v>
      </c>
      <c r="BE63" s="103">
        <f t="shared" si="83"/>
        <v>822798.83809428895</v>
      </c>
      <c r="BF63" s="103">
        <f t="shared" si="83"/>
        <v>821791.21068857983</v>
      </c>
      <c r="BG63" s="103">
        <f t="shared" si="83"/>
        <v>714012.74526802613</v>
      </c>
      <c r="BH63" s="103">
        <f t="shared" si="83"/>
        <v>754968.57768132398</v>
      </c>
      <c r="BI63" s="103">
        <f t="shared" si="83"/>
        <v>588303.60879462364</v>
      </c>
      <c r="BJ63" s="103">
        <f t="shared" si="83"/>
        <v>595855.55098650069</v>
      </c>
      <c r="BK63" s="103">
        <f t="shared" si="83"/>
        <v>581023.40132154047</v>
      </c>
      <c r="BL63" s="103">
        <f t="shared" si="83"/>
        <v>519452.1737342081</v>
      </c>
      <c r="BM63" s="103">
        <f t="shared" si="83"/>
        <v>566278.45147381537</v>
      </c>
      <c r="BN63" s="103">
        <f t="shared" si="83"/>
        <v>566518.86138818902</v>
      </c>
      <c r="BO63" s="103">
        <f t="shared" si="83"/>
        <v>601885.08727346407</v>
      </c>
      <c r="BP63" s="103">
        <f t="shared" si="83"/>
        <v>687909.92714050855</v>
      </c>
      <c r="BQ63" s="103">
        <f t="shared" ref="BQ63:CI63" si="84">BQ64*$C$64+BQ68*$C$68+BQ69*$C$69+BQ70*$C$70+BQ65+BQ66+BQ67</f>
        <v>822798.83809428895</v>
      </c>
      <c r="BR63" s="103">
        <f t="shared" si="84"/>
        <v>821791.21068857983</v>
      </c>
      <c r="BS63" s="103">
        <f t="shared" si="84"/>
        <v>714012.74526802613</v>
      </c>
      <c r="BT63" s="103">
        <f t="shared" si="84"/>
        <v>754968.57768132398</v>
      </c>
      <c r="BU63" s="103">
        <f t="shared" si="84"/>
        <v>588303.60879462364</v>
      </c>
      <c r="BV63" s="103">
        <f t="shared" si="84"/>
        <v>595855.55098650069</v>
      </c>
      <c r="BW63" s="103">
        <f t="shared" si="84"/>
        <v>581023.40132154047</v>
      </c>
      <c r="BX63" s="103">
        <f t="shared" si="84"/>
        <v>519452.1737342081</v>
      </c>
      <c r="BY63" s="103">
        <f t="shared" si="84"/>
        <v>566278.45147381537</v>
      </c>
      <c r="BZ63" s="103">
        <f t="shared" si="84"/>
        <v>566518.86138818902</v>
      </c>
      <c r="CA63" s="103">
        <f t="shared" si="84"/>
        <v>601885.08727346407</v>
      </c>
      <c r="CB63" s="103">
        <f t="shared" si="84"/>
        <v>687909.92714050855</v>
      </c>
      <c r="CC63" s="103">
        <f t="shared" si="84"/>
        <v>822798.83809428895</v>
      </c>
      <c r="CD63" s="103">
        <f t="shared" si="84"/>
        <v>821791.21068857983</v>
      </c>
      <c r="CE63" s="103">
        <f t="shared" si="84"/>
        <v>714012.74526802613</v>
      </c>
      <c r="CF63" s="103">
        <f t="shared" si="84"/>
        <v>754968.57768132398</v>
      </c>
      <c r="CG63" s="103">
        <f t="shared" si="84"/>
        <v>588303.60879462364</v>
      </c>
      <c r="CH63" s="103">
        <f t="shared" si="84"/>
        <v>595855.55098650069</v>
      </c>
      <c r="CI63" s="103">
        <f t="shared" si="84"/>
        <v>581023.40132154047</v>
      </c>
    </row>
    <row r="64" spans="1:87" x14ac:dyDescent="0.2">
      <c r="A64" s="2">
        <v>54</v>
      </c>
      <c r="B64" s="2" t="s">
        <v>87</v>
      </c>
      <c r="C64" s="215">
        <f>'Rate Design'!G15</f>
        <v>396.49</v>
      </c>
      <c r="D64" s="71">
        <f>'Bill Frequency'!C53+'Contract &amp; Vol Adj'!C53</f>
        <v>124</v>
      </c>
      <c r="E64" s="71">
        <f>'Bill Frequency'!D53+'Contract &amp; Vol Adj'!D53</f>
        <v>124</v>
      </c>
      <c r="F64" s="71">
        <f>'Bill Frequency'!E53+'Contract &amp; Vol Adj'!E53</f>
        <v>124</v>
      </c>
      <c r="G64" s="71">
        <f>'Bill Frequency'!F53+'Contract &amp; Vol Adj'!F53</f>
        <v>124</v>
      </c>
      <c r="H64" s="71">
        <f>'Bill Frequency'!G53+'Contract &amp; Vol Adj'!G53</f>
        <v>125</v>
      </c>
      <c r="I64" s="71">
        <f>'Bill Frequency'!H53+'Contract &amp; Vol Adj'!H53</f>
        <v>125</v>
      </c>
      <c r="J64" s="71">
        <f>'Bill Frequency'!I53+'Contract &amp; Vol Adj'!I53</f>
        <v>125</v>
      </c>
      <c r="K64" s="71">
        <f>'Bill Frequency'!J53+'Contract &amp; Vol Adj'!J53</f>
        <v>125</v>
      </c>
      <c r="L64" s="71">
        <f>'Bill Frequency'!K53+'Contract &amp; Vol Adj'!K53</f>
        <v>125</v>
      </c>
      <c r="M64" s="71">
        <f>'Bill Frequency'!L53+'Contract &amp; Vol Adj'!L53</f>
        <v>125</v>
      </c>
      <c r="N64" s="71">
        <f>'Bill Frequency'!M53+'Contract &amp; Vol Adj'!M53</f>
        <v>125</v>
      </c>
      <c r="O64" s="71">
        <f>'Bill Frequency'!N53+'Contract &amp; Vol Adj'!N53</f>
        <v>125</v>
      </c>
      <c r="P64" s="7">
        <f t="shared" ref="P64:Y70" si="85">D64</f>
        <v>124</v>
      </c>
      <c r="Q64" s="7">
        <f t="shared" si="85"/>
        <v>124</v>
      </c>
      <c r="R64" s="7">
        <f t="shared" si="85"/>
        <v>124</v>
      </c>
      <c r="S64" s="7">
        <f t="shared" si="85"/>
        <v>124</v>
      </c>
      <c r="T64" s="7">
        <f t="shared" si="85"/>
        <v>125</v>
      </c>
      <c r="U64" s="7">
        <f t="shared" si="85"/>
        <v>125</v>
      </c>
      <c r="V64" s="7">
        <f t="shared" si="85"/>
        <v>125</v>
      </c>
      <c r="W64" s="7">
        <f t="shared" si="85"/>
        <v>125</v>
      </c>
      <c r="X64" s="7">
        <f t="shared" si="85"/>
        <v>125</v>
      </c>
      <c r="Y64" s="7">
        <f t="shared" si="85"/>
        <v>125</v>
      </c>
      <c r="Z64" s="7">
        <f t="shared" ref="Z64:AI70" si="86">N64</f>
        <v>125</v>
      </c>
      <c r="AA64" s="7">
        <f t="shared" si="86"/>
        <v>125</v>
      </c>
      <c r="AB64" s="7">
        <f t="shared" si="86"/>
        <v>124</v>
      </c>
      <c r="AC64" s="7">
        <f t="shared" si="86"/>
        <v>124</v>
      </c>
      <c r="AD64" s="7">
        <f t="shared" si="86"/>
        <v>124</v>
      </c>
      <c r="AE64" s="7">
        <f t="shared" si="86"/>
        <v>124</v>
      </c>
      <c r="AF64" s="7">
        <f t="shared" si="86"/>
        <v>125</v>
      </c>
      <c r="AG64" s="7">
        <f t="shared" si="86"/>
        <v>125</v>
      </c>
      <c r="AH64" s="7">
        <f t="shared" si="86"/>
        <v>125</v>
      </c>
      <c r="AI64" s="7">
        <f t="shared" si="86"/>
        <v>125</v>
      </c>
      <c r="AJ64" s="7">
        <f t="shared" ref="AJ64:AS70" si="87">X64</f>
        <v>125</v>
      </c>
      <c r="AK64" s="7">
        <f t="shared" si="87"/>
        <v>125</v>
      </c>
      <c r="AL64" s="7">
        <f t="shared" si="87"/>
        <v>125</v>
      </c>
      <c r="AM64" s="7">
        <f t="shared" si="87"/>
        <v>125</v>
      </c>
      <c r="AN64" s="7">
        <f t="shared" si="87"/>
        <v>124</v>
      </c>
      <c r="AO64" s="7">
        <f t="shared" si="87"/>
        <v>124</v>
      </c>
      <c r="AP64" s="7">
        <f t="shared" si="87"/>
        <v>124</v>
      </c>
      <c r="AQ64" s="7">
        <f t="shared" si="87"/>
        <v>124</v>
      </c>
      <c r="AR64" s="7">
        <f t="shared" si="87"/>
        <v>125</v>
      </c>
      <c r="AS64" s="7">
        <f t="shared" si="87"/>
        <v>125</v>
      </c>
      <c r="AT64" s="7">
        <f t="shared" ref="AT64:BC70" si="88">AH64</f>
        <v>125</v>
      </c>
      <c r="AU64" s="7">
        <f t="shared" si="88"/>
        <v>125</v>
      </c>
      <c r="AV64" s="7">
        <f t="shared" si="88"/>
        <v>125</v>
      </c>
      <c r="AW64" s="7">
        <f t="shared" si="88"/>
        <v>125</v>
      </c>
      <c r="AX64" s="7">
        <f t="shared" si="88"/>
        <v>125</v>
      </c>
      <c r="AY64" s="7">
        <f t="shared" si="88"/>
        <v>125</v>
      </c>
      <c r="AZ64" s="7">
        <f t="shared" si="88"/>
        <v>124</v>
      </c>
      <c r="BA64" s="7">
        <f t="shared" si="88"/>
        <v>124</v>
      </c>
      <c r="BB64" s="7">
        <f t="shared" si="88"/>
        <v>124</v>
      </c>
      <c r="BC64" s="7">
        <f t="shared" si="88"/>
        <v>124</v>
      </c>
      <c r="BD64" s="7">
        <f t="shared" ref="BD64:BS70" si="89">AR64</f>
        <v>125</v>
      </c>
      <c r="BE64" s="7">
        <f t="shared" si="89"/>
        <v>125</v>
      </c>
      <c r="BF64" s="7">
        <f t="shared" si="89"/>
        <v>125</v>
      </c>
      <c r="BG64" s="7">
        <f t="shared" si="89"/>
        <v>125</v>
      </c>
      <c r="BH64" s="7">
        <f t="shared" si="89"/>
        <v>125</v>
      </c>
      <c r="BI64" s="7">
        <f t="shared" si="89"/>
        <v>125</v>
      </c>
      <c r="BJ64" s="7">
        <f t="shared" si="89"/>
        <v>125</v>
      </c>
      <c r="BK64" s="7">
        <f t="shared" si="89"/>
        <v>125</v>
      </c>
      <c r="BL64" s="7">
        <f t="shared" si="89"/>
        <v>124</v>
      </c>
      <c r="BM64" s="7">
        <f t="shared" si="89"/>
        <v>124</v>
      </c>
      <c r="BN64" s="7">
        <f t="shared" si="89"/>
        <v>124</v>
      </c>
      <c r="BO64" s="7">
        <f t="shared" si="89"/>
        <v>124</v>
      </c>
      <c r="BP64" s="7">
        <f t="shared" si="89"/>
        <v>125</v>
      </c>
      <c r="BQ64" s="7">
        <f t="shared" si="89"/>
        <v>125</v>
      </c>
      <c r="BR64" s="7">
        <f t="shared" si="89"/>
        <v>125</v>
      </c>
      <c r="BS64" s="7">
        <f t="shared" si="89"/>
        <v>125</v>
      </c>
      <c r="BT64" s="7">
        <f t="shared" ref="BT64:BW70" si="90">BH64</f>
        <v>125</v>
      </c>
      <c r="BU64" s="7">
        <f t="shared" si="90"/>
        <v>125</v>
      </c>
      <c r="BV64" s="7">
        <f t="shared" si="90"/>
        <v>125</v>
      </c>
      <c r="BW64" s="7">
        <f t="shared" si="90"/>
        <v>125</v>
      </c>
      <c r="BX64" s="7">
        <f t="shared" ref="BX64:BX70" si="91">BL64</f>
        <v>124</v>
      </c>
      <c r="BY64" s="7">
        <f t="shared" ref="BY64:BY70" si="92">BM64</f>
        <v>124</v>
      </c>
      <c r="BZ64" s="7">
        <f t="shared" ref="BZ64:BZ70" si="93">BN64</f>
        <v>124</v>
      </c>
      <c r="CA64" s="7">
        <f t="shared" ref="CA64:CA70" si="94">BO64</f>
        <v>124</v>
      </c>
      <c r="CB64" s="7">
        <f t="shared" ref="CB64:CB70" si="95">BP64</f>
        <v>125</v>
      </c>
      <c r="CC64" s="7">
        <f t="shared" ref="CC64:CC70" si="96">BQ64</f>
        <v>125</v>
      </c>
      <c r="CD64" s="7">
        <f t="shared" ref="CD64:CD70" si="97">BR64</f>
        <v>125</v>
      </c>
      <c r="CE64" s="7">
        <f t="shared" ref="CE64:CE70" si="98">BS64</f>
        <v>125</v>
      </c>
      <c r="CF64" s="7">
        <f t="shared" ref="CF64:CF70" si="99">BT64</f>
        <v>125</v>
      </c>
      <c r="CG64" s="7">
        <f t="shared" ref="CG64:CG70" si="100">BU64</f>
        <v>125</v>
      </c>
      <c r="CH64" s="7">
        <f t="shared" ref="CH64:CH70" si="101">BV64</f>
        <v>125</v>
      </c>
      <c r="CI64" s="7">
        <f t="shared" ref="CI64:CI70" si="102">BW64</f>
        <v>125</v>
      </c>
    </row>
    <row r="65" spans="1:89" x14ac:dyDescent="0.2">
      <c r="A65" s="2">
        <v>55</v>
      </c>
      <c r="B65" s="2" t="s">
        <v>1</v>
      </c>
      <c r="C65" s="2"/>
      <c r="D65" s="61">
        <f>'Bill Frequency'!C54+'Contract &amp; Vol Adj'!C54</f>
        <v>6100</v>
      </c>
      <c r="E65" s="61">
        <f>'Bill Frequency'!D54+'Contract &amp; Vol Adj'!D54</f>
        <v>6100</v>
      </c>
      <c r="F65" s="61">
        <f>'Bill Frequency'!E54+'Contract &amp; Vol Adj'!E54</f>
        <v>6100</v>
      </c>
      <c r="G65" s="61">
        <f>'Bill Frequency'!F54+'Contract &amp; Vol Adj'!F54</f>
        <v>6100</v>
      </c>
      <c r="H65" s="61">
        <f>'Bill Frequency'!G54+'Contract &amp; Vol Adj'!G54</f>
        <v>6150</v>
      </c>
      <c r="I65" s="61">
        <f>'Bill Frequency'!H54+'Contract &amp; Vol Adj'!H54</f>
        <v>6150</v>
      </c>
      <c r="J65" s="61">
        <f>'Bill Frequency'!I54+'Contract &amp; Vol Adj'!I54</f>
        <v>6150</v>
      </c>
      <c r="K65" s="61">
        <f>'Bill Frequency'!J54+'Contract &amp; Vol Adj'!J54</f>
        <v>6150</v>
      </c>
      <c r="L65" s="61">
        <f>'Bill Frequency'!K54+'Contract &amp; Vol Adj'!K54</f>
        <v>6150</v>
      </c>
      <c r="M65" s="61">
        <f>'Bill Frequency'!L54+'Contract &amp; Vol Adj'!L54</f>
        <v>6150</v>
      </c>
      <c r="N65" s="61">
        <f>'Bill Frequency'!M54+'Contract &amp; Vol Adj'!M54</f>
        <v>6150</v>
      </c>
      <c r="O65" s="61">
        <f>'Bill Frequency'!N54+'Contract &amp; Vol Adj'!N54</f>
        <v>6150</v>
      </c>
      <c r="P65" s="61">
        <f t="shared" si="85"/>
        <v>6100</v>
      </c>
      <c r="Q65" s="61">
        <f t="shared" si="85"/>
        <v>6100</v>
      </c>
      <c r="R65" s="61">
        <f t="shared" si="85"/>
        <v>6100</v>
      </c>
      <c r="S65" s="61">
        <f t="shared" si="85"/>
        <v>6100</v>
      </c>
      <c r="T65" s="61">
        <f t="shared" si="85"/>
        <v>6150</v>
      </c>
      <c r="U65" s="61">
        <f t="shared" si="85"/>
        <v>6150</v>
      </c>
      <c r="V65" s="61">
        <f t="shared" si="85"/>
        <v>6150</v>
      </c>
      <c r="W65" s="61">
        <f t="shared" si="85"/>
        <v>6150</v>
      </c>
      <c r="X65" s="61">
        <f t="shared" si="85"/>
        <v>6150</v>
      </c>
      <c r="Y65" s="61">
        <f t="shared" si="85"/>
        <v>6150</v>
      </c>
      <c r="Z65" s="61">
        <f t="shared" si="86"/>
        <v>6150</v>
      </c>
      <c r="AA65" s="61">
        <f t="shared" si="86"/>
        <v>6150</v>
      </c>
      <c r="AB65" s="61">
        <f t="shared" si="86"/>
        <v>6100</v>
      </c>
      <c r="AC65" s="61">
        <f t="shared" si="86"/>
        <v>6100</v>
      </c>
      <c r="AD65" s="61">
        <f t="shared" si="86"/>
        <v>6100</v>
      </c>
      <c r="AE65" s="61">
        <f t="shared" si="86"/>
        <v>6100</v>
      </c>
      <c r="AF65" s="61">
        <f t="shared" si="86"/>
        <v>6150</v>
      </c>
      <c r="AG65" s="61">
        <f t="shared" si="86"/>
        <v>6150</v>
      </c>
      <c r="AH65" s="61">
        <f t="shared" si="86"/>
        <v>6150</v>
      </c>
      <c r="AI65" s="61">
        <f t="shared" si="86"/>
        <v>6150</v>
      </c>
      <c r="AJ65" s="61">
        <f t="shared" si="87"/>
        <v>6150</v>
      </c>
      <c r="AK65" s="61">
        <f t="shared" si="87"/>
        <v>6150</v>
      </c>
      <c r="AL65" s="61">
        <f t="shared" si="87"/>
        <v>6150</v>
      </c>
      <c r="AM65" s="61">
        <f t="shared" si="87"/>
        <v>6150</v>
      </c>
      <c r="AN65" s="61">
        <f t="shared" si="87"/>
        <v>6100</v>
      </c>
      <c r="AO65" s="61">
        <f t="shared" si="87"/>
        <v>6100</v>
      </c>
      <c r="AP65" s="61">
        <f t="shared" si="87"/>
        <v>6100</v>
      </c>
      <c r="AQ65" s="61">
        <f t="shared" si="87"/>
        <v>6100</v>
      </c>
      <c r="AR65" s="61">
        <f t="shared" si="87"/>
        <v>6150</v>
      </c>
      <c r="AS65" s="61">
        <f t="shared" si="87"/>
        <v>6150</v>
      </c>
      <c r="AT65" s="61">
        <f t="shared" si="88"/>
        <v>6150</v>
      </c>
      <c r="AU65" s="61">
        <f t="shared" si="88"/>
        <v>6150</v>
      </c>
      <c r="AV65" s="61">
        <f t="shared" si="88"/>
        <v>6150</v>
      </c>
      <c r="AW65" s="61">
        <f t="shared" si="88"/>
        <v>6150</v>
      </c>
      <c r="AX65" s="61">
        <f t="shared" si="88"/>
        <v>6150</v>
      </c>
      <c r="AY65" s="61">
        <f t="shared" si="88"/>
        <v>6150</v>
      </c>
      <c r="AZ65" s="61">
        <f t="shared" si="88"/>
        <v>6100</v>
      </c>
      <c r="BA65" s="61">
        <f t="shared" si="88"/>
        <v>6100</v>
      </c>
      <c r="BB65" s="61">
        <f t="shared" si="88"/>
        <v>6100</v>
      </c>
      <c r="BC65" s="61">
        <f t="shared" si="88"/>
        <v>6100</v>
      </c>
      <c r="BD65" s="61">
        <f t="shared" si="89"/>
        <v>6150</v>
      </c>
      <c r="BE65" s="61">
        <f t="shared" si="89"/>
        <v>6150</v>
      </c>
      <c r="BF65" s="61">
        <f t="shared" si="89"/>
        <v>6150</v>
      </c>
      <c r="BG65" s="61">
        <f t="shared" si="89"/>
        <v>6150</v>
      </c>
      <c r="BH65" s="61">
        <f t="shared" si="89"/>
        <v>6150</v>
      </c>
      <c r="BI65" s="61">
        <f t="shared" si="89"/>
        <v>6150</v>
      </c>
      <c r="BJ65" s="61">
        <f t="shared" si="89"/>
        <v>6150</v>
      </c>
      <c r="BK65" s="61">
        <f t="shared" si="89"/>
        <v>6150</v>
      </c>
      <c r="BL65" s="61">
        <f t="shared" si="89"/>
        <v>6100</v>
      </c>
      <c r="BM65" s="61">
        <f t="shared" si="89"/>
        <v>6100</v>
      </c>
      <c r="BN65" s="61">
        <f t="shared" si="89"/>
        <v>6100</v>
      </c>
      <c r="BO65" s="61">
        <f t="shared" si="89"/>
        <v>6100</v>
      </c>
      <c r="BP65" s="61">
        <f t="shared" si="89"/>
        <v>6150</v>
      </c>
      <c r="BQ65" s="61">
        <f t="shared" si="89"/>
        <v>6150</v>
      </c>
      <c r="BR65" s="61">
        <f t="shared" si="89"/>
        <v>6150</v>
      </c>
      <c r="BS65" s="61">
        <f t="shared" si="89"/>
        <v>6150</v>
      </c>
      <c r="BT65" s="61">
        <f t="shared" si="90"/>
        <v>6150</v>
      </c>
      <c r="BU65" s="61">
        <f t="shared" si="90"/>
        <v>6150</v>
      </c>
      <c r="BV65" s="61">
        <f t="shared" si="90"/>
        <v>6150</v>
      </c>
      <c r="BW65" s="61">
        <f t="shared" si="90"/>
        <v>6150</v>
      </c>
      <c r="BX65" s="61">
        <f t="shared" si="91"/>
        <v>6100</v>
      </c>
      <c r="BY65" s="61">
        <f t="shared" si="92"/>
        <v>6100</v>
      </c>
      <c r="BZ65" s="61">
        <f t="shared" si="93"/>
        <v>6100</v>
      </c>
      <c r="CA65" s="61">
        <f t="shared" si="94"/>
        <v>6100</v>
      </c>
      <c r="CB65" s="61">
        <f t="shared" si="95"/>
        <v>6150</v>
      </c>
      <c r="CC65" s="61">
        <f t="shared" si="96"/>
        <v>6150</v>
      </c>
      <c r="CD65" s="61">
        <f t="shared" si="97"/>
        <v>6150</v>
      </c>
      <c r="CE65" s="61">
        <f t="shared" si="98"/>
        <v>6150</v>
      </c>
      <c r="CF65" s="61">
        <f t="shared" si="99"/>
        <v>6150</v>
      </c>
      <c r="CG65" s="61">
        <f t="shared" si="100"/>
        <v>6150</v>
      </c>
      <c r="CH65" s="61">
        <f t="shared" si="101"/>
        <v>6150</v>
      </c>
      <c r="CI65" s="61">
        <f t="shared" si="102"/>
        <v>6150</v>
      </c>
    </row>
    <row r="66" spans="1:89" x14ac:dyDescent="0.2">
      <c r="A66" s="2">
        <v>56</v>
      </c>
      <c r="B66" s="2" t="s">
        <v>62</v>
      </c>
      <c r="C66" s="2"/>
      <c r="D66" s="61">
        <f>'Bill Frequency'!C55+'Contract &amp; Vol Adj'!C55</f>
        <v>6325</v>
      </c>
      <c r="E66" s="61">
        <f>'Bill Frequency'!D55+'Contract &amp; Vol Adj'!D55</f>
        <v>6350</v>
      </c>
      <c r="F66" s="61">
        <f>'Bill Frequency'!E55+'Contract &amp; Vol Adj'!E55</f>
        <v>6350</v>
      </c>
      <c r="G66" s="61">
        <f>'Bill Frequency'!F55+'Contract &amp; Vol Adj'!F55</f>
        <v>6400</v>
      </c>
      <c r="H66" s="61">
        <f>'Bill Frequency'!G55+'Contract &amp; Vol Adj'!G55</f>
        <v>6475</v>
      </c>
      <c r="I66" s="61">
        <f>'Bill Frequency'!H55+'Contract &amp; Vol Adj'!H55</f>
        <v>6475</v>
      </c>
      <c r="J66" s="61">
        <f>'Bill Frequency'!I55+'Contract &amp; Vol Adj'!I55</f>
        <v>6475</v>
      </c>
      <c r="K66" s="61">
        <f>'Bill Frequency'!J55+'Contract &amp; Vol Adj'!J55</f>
        <v>6475</v>
      </c>
      <c r="L66" s="61">
        <f>'Bill Frequency'!K55+'Contract &amp; Vol Adj'!K55</f>
        <v>6500</v>
      </c>
      <c r="M66" s="61">
        <f>'Bill Frequency'!L55+'Contract &amp; Vol Adj'!L55</f>
        <v>6500</v>
      </c>
      <c r="N66" s="61">
        <f>'Bill Frequency'!M55+'Contract &amp; Vol Adj'!M55</f>
        <v>6500</v>
      </c>
      <c r="O66" s="61">
        <f>'Bill Frequency'!N55+'Contract &amp; Vol Adj'!N55</f>
        <v>6450</v>
      </c>
      <c r="P66" s="61">
        <f t="shared" si="85"/>
        <v>6325</v>
      </c>
      <c r="Q66" s="61">
        <f t="shared" si="85"/>
        <v>6350</v>
      </c>
      <c r="R66" s="61">
        <f t="shared" si="85"/>
        <v>6350</v>
      </c>
      <c r="S66" s="61">
        <f t="shared" si="85"/>
        <v>6400</v>
      </c>
      <c r="T66" s="61">
        <f t="shared" si="85"/>
        <v>6475</v>
      </c>
      <c r="U66" s="61">
        <f t="shared" si="85"/>
        <v>6475</v>
      </c>
      <c r="V66" s="61">
        <f t="shared" si="85"/>
        <v>6475</v>
      </c>
      <c r="W66" s="61">
        <f t="shared" si="85"/>
        <v>6475</v>
      </c>
      <c r="X66" s="61">
        <f t="shared" si="85"/>
        <v>6500</v>
      </c>
      <c r="Y66" s="61">
        <f t="shared" si="85"/>
        <v>6500</v>
      </c>
      <c r="Z66" s="61">
        <f t="shared" si="86"/>
        <v>6500</v>
      </c>
      <c r="AA66" s="61">
        <f t="shared" si="86"/>
        <v>6450</v>
      </c>
      <c r="AB66" s="61">
        <f t="shared" si="86"/>
        <v>6325</v>
      </c>
      <c r="AC66" s="61">
        <f t="shared" si="86"/>
        <v>6350</v>
      </c>
      <c r="AD66" s="61">
        <f t="shared" si="86"/>
        <v>6350</v>
      </c>
      <c r="AE66" s="61">
        <f t="shared" si="86"/>
        <v>6400</v>
      </c>
      <c r="AF66" s="61">
        <f t="shared" si="86"/>
        <v>6475</v>
      </c>
      <c r="AG66" s="61">
        <f t="shared" si="86"/>
        <v>6475</v>
      </c>
      <c r="AH66" s="61">
        <f t="shared" si="86"/>
        <v>6475</v>
      </c>
      <c r="AI66" s="61">
        <f t="shared" si="86"/>
        <v>6475</v>
      </c>
      <c r="AJ66" s="61">
        <f t="shared" si="87"/>
        <v>6500</v>
      </c>
      <c r="AK66" s="61">
        <f t="shared" si="87"/>
        <v>6500</v>
      </c>
      <c r="AL66" s="61">
        <f t="shared" si="87"/>
        <v>6500</v>
      </c>
      <c r="AM66" s="61">
        <f t="shared" si="87"/>
        <v>6450</v>
      </c>
      <c r="AN66" s="61">
        <f t="shared" si="87"/>
        <v>6325</v>
      </c>
      <c r="AO66" s="61">
        <f t="shared" si="87"/>
        <v>6350</v>
      </c>
      <c r="AP66" s="61">
        <f t="shared" si="87"/>
        <v>6350</v>
      </c>
      <c r="AQ66" s="61">
        <f t="shared" si="87"/>
        <v>6400</v>
      </c>
      <c r="AR66" s="61">
        <f t="shared" si="87"/>
        <v>6475</v>
      </c>
      <c r="AS66" s="61">
        <f t="shared" si="87"/>
        <v>6475</v>
      </c>
      <c r="AT66" s="61">
        <f t="shared" si="88"/>
        <v>6475</v>
      </c>
      <c r="AU66" s="61">
        <f t="shared" si="88"/>
        <v>6475</v>
      </c>
      <c r="AV66" s="61">
        <f t="shared" si="88"/>
        <v>6500</v>
      </c>
      <c r="AW66" s="61">
        <f t="shared" si="88"/>
        <v>6500</v>
      </c>
      <c r="AX66" s="61">
        <f t="shared" si="88"/>
        <v>6500</v>
      </c>
      <c r="AY66" s="61">
        <f t="shared" si="88"/>
        <v>6450</v>
      </c>
      <c r="AZ66" s="61">
        <f t="shared" si="88"/>
        <v>6325</v>
      </c>
      <c r="BA66" s="61">
        <f t="shared" si="88"/>
        <v>6350</v>
      </c>
      <c r="BB66" s="61">
        <f t="shared" si="88"/>
        <v>6350</v>
      </c>
      <c r="BC66" s="61">
        <f t="shared" si="88"/>
        <v>6400</v>
      </c>
      <c r="BD66" s="61">
        <f t="shared" si="89"/>
        <v>6475</v>
      </c>
      <c r="BE66" s="61">
        <f t="shared" si="89"/>
        <v>6475</v>
      </c>
      <c r="BF66" s="61">
        <f t="shared" si="89"/>
        <v>6475</v>
      </c>
      <c r="BG66" s="61">
        <f t="shared" si="89"/>
        <v>6475</v>
      </c>
      <c r="BH66" s="61">
        <f t="shared" si="89"/>
        <v>6500</v>
      </c>
      <c r="BI66" s="61">
        <f t="shared" si="89"/>
        <v>6500</v>
      </c>
      <c r="BJ66" s="61">
        <f t="shared" si="89"/>
        <v>6500</v>
      </c>
      <c r="BK66" s="61">
        <f t="shared" si="89"/>
        <v>6450</v>
      </c>
      <c r="BL66" s="61">
        <f t="shared" si="89"/>
        <v>6325</v>
      </c>
      <c r="BM66" s="61">
        <f t="shared" si="89"/>
        <v>6350</v>
      </c>
      <c r="BN66" s="61">
        <f t="shared" si="89"/>
        <v>6350</v>
      </c>
      <c r="BO66" s="61">
        <f t="shared" si="89"/>
        <v>6400</v>
      </c>
      <c r="BP66" s="61">
        <f t="shared" si="89"/>
        <v>6475</v>
      </c>
      <c r="BQ66" s="61">
        <f t="shared" si="89"/>
        <v>6475</v>
      </c>
      <c r="BR66" s="61">
        <f t="shared" si="89"/>
        <v>6475</v>
      </c>
      <c r="BS66" s="61">
        <f t="shared" si="89"/>
        <v>6475</v>
      </c>
      <c r="BT66" s="61">
        <f t="shared" si="90"/>
        <v>6500</v>
      </c>
      <c r="BU66" s="61">
        <f t="shared" si="90"/>
        <v>6500</v>
      </c>
      <c r="BV66" s="61">
        <f t="shared" si="90"/>
        <v>6500</v>
      </c>
      <c r="BW66" s="61">
        <f t="shared" si="90"/>
        <v>6450</v>
      </c>
      <c r="BX66" s="61">
        <f t="shared" si="91"/>
        <v>6325</v>
      </c>
      <c r="BY66" s="61">
        <f t="shared" si="92"/>
        <v>6350</v>
      </c>
      <c r="BZ66" s="61">
        <f t="shared" si="93"/>
        <v>6350</v>
      </c>
      <c r="CA66" s="61">
        <f t="shared" si="94"/>
        <v>6400</v>
      </c>
      <c r="CB66" s="61">
        <f t="shared" si="95"/>
        <v>6475</v>
      </c>
      <c r="CC66" s="61">
        <f t="shared" si="96"/>
        <v>6475</v>
      </c>
      <c r="CD66" s="61">
        <f t="shared" si="97"/>
        <v>6475</v>
      </c>
      <c r="CE66" s="61">
        <f t="shared" si="98"/>
        <v>6475</v>
      </c>
      <c r="CF66" s="61">
        <f t="shared" si="99"/>
        <v>6500</v>
      </c>
      <c r="CG66" s="61">
        <f t="shared" si="100"/>
        <v>6500</v>
      </c>
      <c r="CH66" s="61">
        <f t="shared" si="101"/>
        <v>6500</v>
      </c>
      <c r="CI66" s="61">
        <f t="shared" si="102"/>
        <v>6450</v>
      </c>
    </row>
    <row r="67" spans="1:89" x14ac:dyDescent="0.2">
      <c r="A67" s="2">
        <v>57</v>
      </c>
      <c r="B67" s="2" t="s">
        <v>2</v>
      </c>
      <c r="C67" s="2"/>
      <c r="D67" s="61">
        <f>'Bill Frequency'!C56+'Contract &amp; Vol Adj'!C56</f>
        <v>53.1</v>
      </c>
      <c r="E67" s="61">
        <f>'Bill Frequency'!D56+'Contract &amp; Vol Adj'!D56</f>
        <v>155.19999999999999</v>
      </c>
      <c r="F67" s="61">
        <f>'Bill Frequency'!E56+'Contract &amp; Vol Adj'!E56</f>
        <v>121.2</v>
      </c>
      <c r="G67" s="61">
        <f>'Bill Frequency'!F56+'Contract &amp; Vol Adj'!F56</f>
        <v>68.399999999999991</v>
      </c>
      <c r="H67" s="61">
        <f>'Bill Frequency'!G56+'Contract &amp; Vol Adj'!G56</f>
        <v>73.700000000000017</v>
      </c>
      <c r="I67" s="61">
        <f>'Bill Frequency'!H56+'Contract &amp; Vol Adj'!H56</f>
        <v>801.3</v>
      </c>
      <c r="J67" s="61">
        <f>'Bill Frequency'!I56+'Contract &amp; Vol Adj'!I56</f>
        <v>203.00000000000003</v>
      </c>
      <c r="K67" s="61">
        <f>'Bill Frequency'!J56+'Contract &amp; Vol Adj'!J56</f>
        <v>336.8</v>
      </c>
      <c r="L67" s="61">
        <f>'Bill Frequency'!K56+'Contract &amp; Vol Adj'!K56</f>
        <v>356.20000000000005</v>
      </c>
      <c r="M67" s="61">
        <f>'Bill Frequency'!L56+'Contract &amp; Vol Adj'!L56</f>
        <v>87.9</v>
      </c>
      <c r="N67" s="61">
        <f>'Bill Frequency'!M56+'Contract &amp; Vol Adj'!M56</f>
        <v>174.7</v>
      </c>
      <c r="O67" s="61">
        <f>'Bill Frequency'!N56+'Contract &amp; Vol Adj'!N56</f>
        <v>100.1</v>
      </c>
      <c r="P67" s="61">
        <f t="shared" si="85"/>
        <v>53.1</v>
      </c>
      <c r="Q67" s="61">
        <f t="shared" si="85"/>
        <v>155.19999999999999</v>
      </c>
      <c r="R67" s="61">
        <f t="shared" si="85"/>
        <v>121.2</v>
      </c>
      <c r="S67" s="61">
        <f t="shared" si="85"/>
        <v>68.399999999999991</v>
      </c>
      <c r="T67" s="61">
        <f t="shared" si="85"/>
        <v>73.700000000000017</v>
      </c>
      <c r="U67" s="61">
        <f t="shared" si="85"/>
        <v>801.3</v>
      </c>
      <c r="V67" s="61">
        <f t="shared" si="85"/>
        <v>203.00000000000003</v>
      </c>
      <c r="W67" s="61">
        <f t="shared" si="85"/>
        <v>336.8</v>
      </c>
      <c r="X67" s="61">
        <f t="shared" si="85"/>
        <v>356.20000000000005</v>
      </c>
      <c r="Y67" s="61">
        <f t="shared" si="85"/>
        <v>87.9</v>
      </c>
      <c r="Z67" s="61">
        <f t="shared" si="86"/>
        <v>174.7</v>
      </c>
      <c r="AA67" s="61">
        <f t="shared" si="86"/>
        <v>100.1</v>
      </c>
      <c r="AB67" s="61">
        <f t="shared" si="86"/>
        <v>53.1</v>
      </c>
      <c r="AC67" s="61">
        <f t="shared" si="86"/>
        <v>155.19999999999999</v>
      </c>
      <c r="AD67" s="61">
        <f t="shared" si="86"/>
        <v>121.2</v>
      </c>
      <c r="AE67" s="61">
        <f t="shared" si="86"/>
        <v>68.399999999999991</v>
      </c>
      <c r="AF67" s="61">
        <f t="shared" si="86"/>
        <v>73.700000000000017</v>
      </c>
      <c r="AG67" s="61">
        <f t="shared" si="86"/>
        <v>801.3</v>
      </c>
      <c r="AH67" s="61">
        <f t="shared" si="86"/>
        <v>203.00000000000003</v>
      </c>
      <c r="AI67" s="61">
        <f t="shared" si="86"/>
        <v>336.8</v>
      </c>
      <c r="AJ67" s="61">
        <f t="shared" si="87"/>
        <v>356.20000000000005</v>
      </c>
      <c r="AK67" s="61">
        <f t="shared" si="87"/>
        <v>87.9</v>
      </c>
      <c r="AL67" s="61">
        <f t="shared" si="87"/>
        <v>174.7</v>
      </c>
      <c r="AM67" s="61">
        <f t="shared" si="87"/>
        <v>100.1</v>
      </c>
      <c r="AN67" s="61">
        <f t="shared" si="87"/>
        <v>53.1</v>
      </c>
      <c r="AO67" s="61">
        <f t="shared" si="87"/>
        <v>155.19999999999999</v>
      </c>
      <c r="AP67" s="61">
        <f t="shared" si="87"/>
        <v>121.2</v>
      </c>
      <c r="AQ67" s="61">
        <f t="shared" si="87"/>
        <v>68.399999999999991</v>
      </c>
      <c r="AR67" s="61">
        <f t="shared" si="87"/>
        <v>73.700000000000017</v>
      </c>
      <c r="AS67" s="61">
        <f t="shared" si="87"/>
        <v>801.3</v>
      </c>
      <c r="AT67" s="61">
        <f t="shared" si="88"/>
        <v>203.00000000000003</v>
      </c>
      <c r="AU67" s="61">
        <f t="shared" si="88"/>
        <v>336.8</v>
      </c>
      <c r="AV67" s="61">
        <f t="shared" si="88"/>
        <v>356.20000000000005</v>
      </c>
      <c r="AW67" s="61">
        <f t="shared" si="88"/>
        <v>87.9</v>
      </c>
      <c r="AX67" s="61">
        <f t="shared" si="88"/>
        <v>174.7</v>
      </c>
      <c r="AY67" s="61">
        <f t="shared" si="88"/>
        <v>100.1</v>
      </c>
      <c r="AZ67" s="61">
        <f t="shared" si="88"/>
        <v>53.1</v>
      </c>
      <c r="BA67" s="61">
        <f t="shared" si="88"/>
        <v>155.19999999999999</v>
      </c>
      <c r="BB67" s="61">
        <f t="shared" si="88"/>
        <v>121.2</v>
      </c>
      <c r="BC67" s="61">
        <f t="shared" si="88"/>
        <v>68.399999999999991</v>
      </c>
      <c r="BD67" s="61">
        <f t="shared" si="89"/>
        <v>73.700000000000017</v>
      </c>
      <c r="BE67" s="61">
        <f t="shared" si="89"/>
        <v>801.3</v>
      </c>
      <c r="BF67" s="61">
        <f t="shared" si="89"/>
        <v>203.00000000000003</v>
      </c>
      <c r="BG67" s="61">
        <f t="shared" si="89"/>
        <v>336.8</v>
      </c>
      <c r="BH67" s="61">
        <f t="shared" si="89"/>
        <v>356.20000000000005</v>
      </c>
      <c r="BI67" s="61">
        <f t="shared" si="89"/>
        <v>87.9</v>
      </c>
      <c r="BJ67" s="61">
        <f t="shared" si="89"/>
        <v>174.7</v>
      </c>
      <c r="BK67" s="61">
        <f t="shared" si="89"/>
        <v>100.1</v>
      </c>
      <c r="BL67" s="61">
        <f t="shared" si="89"/>
        <v>53.1</v>
      </c>
      <c r="BM67" s="61">
        <f t="shared" si="89"/>
        <v>155.19999999999999</v>
      </c>
      <c r="BN67" s="61">
        <f t="shared" si="89"/>
        <v>121.2</v>
      </c>
      <c r="BO67" s="61">
        <f t="shared" si="89"/>
        <v>68.399999999999991</v>
      </c>
      <c r="BP67" s="61">
        <f t="shared" si="89"/>
        <v>73.700000000000017</v>
      </c>
      <c r="BQ67" s="61">
        <f t="shared" si="89"/>
        <v>801.3</v>
      </c>
      <c r="BR67" s="61">
        <f t="shared" si="89"/>
        <v>203.00000000000003</v>
      </c>
      <c r="BS67" s="61">
        <f t="shared" si="89"/>
        <v>336.8</v>
      </c>
      <c r="BT67" s="61">
        <f t="shared" si="90"/>
        <v>356.20000000000005</v>
      </c>
      <c r="BU67" s="61">
        <f t="shared" si="90"/>
        <v>87.9</v>
      </c>
      <c r="BV67" s="61">
        <f t="shared" si="90"/>
        <v>174.7</v>
      </c>
      <c r="BW67" s="61">
        <f t="shared" si="90"/>
        <v>100.1</v>
      </c>
      <c r="BX67" s="61">
        <f t="shared" si="91"/>
        <v>53.1</v>
      </c>
      <c r="BY67" s="61">
        <f t="shared" si="92"/>
        <v>155.19999999999999</v>
      </c>
      <c r="BZ67" s="61">
        <f t="shared" si="93"/>
        <v>121.2</v>
      </c>
      <c r="CA67" s="61">
        <f t="shared" si="94"/>
        <v>68.399999999999991</v>
      </c>
      <c r="CB67" s="61">
        <f t="shared" si="95"/>
        <v>73.700000000000017</v>
      </c>
      <c r="CC67" s="61">
        <f t="shared" si="96"/>
        <v>801.3</v>
      </c>
      <c r="CD67" s="61">
        <f t="shared" si="97"/>
        <v>203.00000000000003</v>
      </c>
      <c r="CE67" s="61">
        <f t="shared" si="98"/>
        <v>336.8</v>
      </c>
      <c r="CF67" s="61">
        <f t="shared" si="99"/>
        <v>356.20000000000005</v>
      </c>
      <c r="CG67" s="61">
        <f t="shared" si="100"/>
        <v>87.9</v>
      </c>
      <c r="CH67" s="61">
        <f t="shared" si="101"/>
        <v>174.7</v>
      </c>
      <c r="CI67" s="61">
        <f t="shared" si="102"/>
        <v>100.1</v>
      </c>
    </row>
    <row r="68" spans="1:89" x14ac:dyDescent="0.2">
      <c r="A68" s="2">
        <v>58</v>
      </c>
      <c r="B68" s="2" t="s">
        <v>32</v>
      </c>
      <c r="C68" s="15">
        <f>'Rate Design'!G23</f>
        <v>1.6233</v>
      </c>
      <c r="D68" s="71">
        <f>'Bill Frequency'!C57+'Contract &amp; Vol Adj'!C57</f>
        <v>34058</v>
      </c>
      <c r="E68" s="71">
        <f>'Bill Frequency'!D57+'Contract &amp; Vol Adj'!D57</f>
        <v>34020</v>
      </c>
      <c r="F68" s="71">
        <f>'Bill Frequency'!E57+'Contract &amp; Vol Adj'!E57</f>
        <v>34597</v>
      </c>
      <c r="G68" s="71">
        <f>'Bill Frequency'!F57+'Contract &amp; Vol Adj'!F57</f>
        <v>35639</v>
      </c>
      <c r="H68" s="71">
        <f>'Bill Frequency'!G57+'Contract &amp; Vol Adj'!G57</f>
        <v>36965</v>
      </c>
      <c r="I68" s="71">
        <f>'Bill Frequency'!H57+'Contract &amp; Vol Adj'!H57</f>
        <v>37500</v>
      </c>
      <c r="J68" s="71">
        <f>'Bill Frequency'!I57+'Contract &amp; Vol Adj'!I57</f>
        <v>37314</v>
      </c>
      <c r="K68" s="71">
        <f>'Bill Frequency'!J57+'Contract &amp; Vol Adj'!J57</f>
        <v>37440</v>
      </c>
      <c r="L68" s="71">
        <f>'Bill Frequency'!K57+'Contract &amp; Vol Adj'!K57</f>
        <v>37200</v>
      </c>
      <c r="M68" s="71">
        <f>'Bill Frequency'!L57+'Contract &amp; Vol Adj'!L57</f>
        <v>36160</v>
      </c>
      <c r="N68" s="71">
        <f>'Bill Frequency'!M57+'Contract &amp; Vol Adj'!M57</f>
        <v>35373</v>
      </c>
      <c r="O68" s="71">
        <f>'Bill Frequency'!N57+'Contract &amp; Vol Adj'!N57</f>
        <v>34587</v>
      </c>
      <c r="P68" s="7">
        <f t="shared" si="85"/>
        <v>34058</v>
      </c>
      <c r="Q68" s="7">
        <f t="shared" si="85"/>
        <v>34020</v>
      </c>
      <c r="R68" s="7">
        <f t="shared" si="85"/>
        <v>34597</v>
      </c>
      <c r="S68" s="7">
        <f t="shared" si="85"/>
        <v>35639</v>
      </c>
      <c r="T68" s="7">
        <f t="shared" si="85"/>
        <v>36965</v>
      </c>
      <c r="U68" s="7">
        <f t="shared" si="85"/>
        <v>37500</v>
      </c>
      <c r="V68" s="7">
        <f t="shared" si="85"/>
        <v>37314</v>
      </c>
      <c r="W68" s="7">
        <f t="shared" si="85"/>
        <v>37440</v>
      </c>
      <c r="X68" s="7">
        <f t="shared" si="85"/>
        <v>37200</v>
      </c>
      <c r="Y68" s="7">
        <f t="shared" si="85"/>
        <v>36160</v>
      </c>
      <c r="Z68" s="7">
        <f t="shared" si="86"/>
        <v>35373</v>
      </c>
      <c r="AA68" s="7">
        <f t="shared" si="86"/>
        <v>34587</v>
      </c>
      <c r="AB68" s="7">
        <f t="shared" si="86"/>
        <v>34058</v>
      </c>
      <c r="AC68" s="7">
        <f t="shared" si="86"/>
        <v>34020</v>
      </c>
      <c r="AD68" s="7">
        <f t="shared" si="86"/>
        <v>34597</v>
      </c>
      <c r="AE68" s="7">
        <f t="shared" si="86"/>
        <v>35639</v>
      </c>
      <c r="AF68" s="7">
        <f t="shared" si="86"/>
        <v>36965</v>
      </c>
      <c r="AG68" s="7">
        <f t="shared" si="86"/>
        <v>37500</v>
      </c>
      <c r="AH68" s="7">
        <f t="shared" si="86"/>
        <v>37314</v>
      </c>
      <c r="AI68" s="7">
        <f t="shared" si="86"/>
        <v>37440</v>
      </c>
      <c r="AJ68" s="7">
        <f t="shared" si="87"/>
        <v>37200</v>
      </c>
      <c r="AK68" s="7">
        <f t="shared" si="87"/>
        <v>36160</v>
      </c>
      <c r="AL68" s="7">
        <f t="shared" si="87"/>
        <v>35373</v>
      </c>
      <c r="AM68" s="7">
        <f t="shared" si="87"/>
        <v>34587</v>
      </c>
      <c r="AN68" s="7">
        <f t="shared" si="87"/>
        <v>34058</v>
      </c>
      <c r="AO68" s="7">
        <f t="shared" si="87"/>
        <v>34020</v>
      </c>
      <c r="AP68" s="7">
        <f t="shared" si="87"/>
        <v>34597</v>
      </c>
      <c r="AQ68" s="7">
        <f t="shared" si="87"/>
        <v>35639</v>
      </c>
      <c r="AR68" s="7">
        <f t="shared" si="87"/>
        <v>36965</v>
      </c>
      <c r="AS68" s="7">
        <f t="shared" si="87"/>
        <v>37500</v>
      </c>
      <c r="AT68" s="7">
        <f t="shared" si="88"/>
        <v>37314</v>
      </c>
      <c r="AU68" s="7">
        <f t="shared" si="88"/>
        <v>37440</v>
      </c>
      <c r="AV68" s="7">
        <f t="shared" si="88"/>
        <v>37200</v>
      </c>
      <c r="AW68" s="7">
        <f t="shared" si="88"/>
        <v>36160</v>
      </c>
      <c r="AX68" s="7">
        <f t="shared" si="88"/>
        <v>35373</v>
      </c>
      <c r="AY68" s="7">
        <f t="shared" si="88"/>
        <v>34587</v>
      </c>
      <c r="AZ68" s="7">
        <f t="shared" si="88"/>
        <v>34058</v>
      </c>
      <c r="BA68" s="7">
        <f t="shared" si="88"/>
        <v>34020</v>
      </c>
      <c r="BB68" s="7">
        <f t="shared" si="88"/>
        <v>34597</v>
      </c>
      <c r="BC68" s="7">
        <f t="shared" si="88"/>
        <v>35639</v>
      </c>
      <c r="BD68" s="7">
        <f t="shared" si="89"/>
        <v>36965</v>
      </c>
      <c r="BE68" s="7">
        <f t="shared" si="89"/>
        <v>37500</v>
      </c>
      <c r="BF68" s="7">
        <f t="shared" si="89"/>
        <v>37314</v>
      </c>
      <c r="BG68" s="7">
        <f t="shared" si="89"/>
        <v>37440</v>
      </c>
      <c r="BH68" s="7">
        <f t="shared" si="89"/>
        <v>37200</v>
      </c>
      <c r="BI68" s="7">
        <f t="shared" si="89"/>
        <v>36160</v>
      </c>
      <c r="BJ68" s="7">
        <f t="shared" si="89"/>
        <v>35373</v>
      </c>
      <c r="BK68" s="7">
        <f t="shared" si="89"/>
        <v>34587</v>
      </c>
      <c r="BL68" s="7">
        <f t="shared" si="89"/>
        <v>34058</v>
      </c>
      <c r="BM68" s="7">
        <f t="shared" si="89"/>
        <v>34020</v>
      </c>
      <c r="BN68" s="7">
        <f t="shared" si="89"/>
        <v>34597</v>
      </c>
      <c r="BO68" s="7">
        <f t="shared" si="89"/>
        <v>35639</v>
      </c>
      <c r="BP68" s="7">
        <f t="shared" si="89"/>
        <v>36965</v>
      </c>
      <c r="BQ68" s="7">
        <f t="shared" si="89"/>
        <v>37500</v>
      </c>
      <c r="BR68" s="7">
        <f t="shared" si="89"/>
        <v>37314</v>
      </c>
      <c r="BS68" s="7">
        <f t="shared" si="89"/>
        <v>37440</v>
      </c>
      <c r="BT68" s="7">
        <f t="shared" si="90"/>
        <v>37200</v>
      </c>
      <c r="BU68" s="7">
        <f t="shared" si="90"/>
        <v>36160</v>
      </c>
      <c r="BV68" s="7">
        <f t="shared" si="90"/>
        <v>35373</v>
      </c>
      <c r="BW68" s="7">
        <f t="shared" si="90"/>
        <v>34587</v>
      </c>
      <c r="BX68" s="7">
        <f t="shared" si="91"/>
        <v>34058</v>
      </c>
      <c r="BY68" s="7">
        <f t="shared" si="92"/>
        <v>34020</v>
      </c>
      <c r="BZ68" s="7">
        <f t="shared" si="93"/>
        <v>34597</v>
      </c>
      <c r="CA68" s="7">
        <f t="shared" si="94"/>
        <v>35639</v>
      </c>
      <c r="CB68" s="7">
        <f t="shared" si="95"/>
        <v>36965</v>
      </c>
      <c r="CC68" s="7">
        <f t="shared" si="96"/>
        <v>37500</v>
      </c>
      <c r="CD68" s="7">
        <f t="shared" si="97"/>
        <v>37314</v>
      </c>
      <c r="CE68" s="7">
        <f t="shared" si="98"/>
        <v>37440</v>
      </c>
      <c r="CF68" s="7">
        <f t="shared" si="99"/>
        <v>37200</v>
      </c>
      <c r="CG68" s="7">
        <f t="shared" si="100"/>
        <v>36160</v>
      </c>
      <c r="CH68" s="7">
        <f t="shared" si="101"/>
        <v>35373</v>
      </c>
      <c r="CI68" s="7">
        <f t="shared" si="102"/>
        <v>34587</v>
      </c>
    </row>
    <row r="69" spans="1:89" x14ac:dyDescent="0.2">
      <c r="A69" s="2">
        <v>59</v>
      </c>
      <c r="B69" s="2" t="s">
        <v>33</v>
      </c>
      <c r="C69" s="15">
        <f>'Rate Design'!G24</f>
        <v>1.0052999999999999</v>
      </c>
      <c r="D69" s="71">
        <f>'Bill Frequency'!C58+'Contract &amp; Vol Adj'!C58</f>
        <v>355836.45679195208</v>
      </c>
      <c r="E69" s="71">
        <f>'Bill Frequency'!D58+'Contract &amp; Vol Adj'!D58</f>
        <v>384301.70747560309</v>
      </c>
      <c r="F69" s="71">
        <f>'Bill Frequency'!E58+'Contract &amp; Vol Adj'!E58</f>
        <v>391368.24314657244</v>
      </c>
      <c r="G69" s="71">
        <f>'Bill Frequency'!F58+'Contract &amp; Vol Adj'!F58</f>
        <v>425415.89438444393</v>
      </c>
      <c r="H69" s="71">
        <f>'Bill Frequency'!G58+'Contract &amp; Vol Adj'!G58</f>
        <v>489287.42285561224</v>
      </c>
      <c r="I69" s="71">
        <f>'Bill Frequency'!H58+'Contract &amp; Vol Adj'!H58</f>
        <v>582420.15965042147</v>
      </c>
      <c r="J69" s="71">
        <f>'Bill Frequency'!I58+'Contract &amp; Vol Adj'!I58</f>
        <v>583961.23380762443</v>
      </c>
      <c r="K69" s="71">
        <f>'Bill Frequency'!J58+'Contract &amp; Vol Adj'!J58</f>
        <v>498167.27621914505</v>
      </c>
      <c r="L69" s="71">
        <f>'Bill Frequency'!K58+'Contract &amp; Vol Adj'!K58</f>
        <v>519504.07397711946</v>
      </c>
      <c r="M69" s="71">
        <f>'Bill Frequency'!L58+'Contract &amp; Vol Adj'!L58</f>
        <v>409696.70966173004</v>
      </c>
      <c r="N69" s="71">
        <f>'Bill Frequency'!M58+'Contract &amp; Vol Adj'!M58</f>
        <v>411957.8846158387</v>
      </c>
      <c r="O69" s="71">
        <f>'Bill Frequency'!N58+'Contract &amp; Vol Adj'!N58</f>
        <v>388789.40476348629</v>
      </c>
      <c r="P69" s="7">
        <f t="shared" si="85"/>
        <v>355836.45679195208</v>
      </c>
      <c r="Q69" s="7">
        <f t="shared" si="85"/>
        <v>384301.70747560309</v>
      </c>
      <c r="R69" s="7">
        <f t="shared" si="85"/>
        <v>391368.24314657244</v>
      </c>
      <c r="S69" s="7">
        <f t="shared" si="85"/>
        <v>425415.89438444393</v>
      </c>
      <c r="T69" s="7">
        <f t="shared" si="85"/>
        <v>489287.42285561224</v>
      </c>
      <c r="U69" s="7">
        <f t="shared" si="85"/>
        <v>582420.15965042147</v>
      </c>
      <c r="V69" s="7">
        <f t="shared" si="85"/>
        <v>583961.23380762443</v>
      </c>
      <c r="W69" s="7">
        <f t="shared" si="85"/>
        <v>498167.27621914505</v>
      </c>
      <c r="X69" s="7">
        <f t="shared" si="85"/>
        <v>519504.07397711946</v>
      </c>
      <c r="Y69" s="7">
        <f t="shared" si="85"/>
        <v>409696.70966173004</v>
      </c>
      <c r="Z69" s="7">
        <f t="shared" si="86"/>
        <v>411957.8846158387</v>
      </c>
      <c r="AA69" s="7">
        <f t="shared" si="86"/>
        <v>388789.40476348629</v>
      </c>
      <c r="AB69" s="7">
        <f t="shared" si="86"/>
        <v>355836.45679195208</v>
      </c>
      <c r="AC69" s="7">
        <f t="shared" si="86"/>
        <v>384301.70747560309</v>
      </c>
      <c r="AD69" s="7">
        <f t="shared" si="86"/>
        <v>391368.24314657244</v>
      </c>
      <c r="AE69" s="7">
        <f t="shared" si="86"/>
        <v>425415.89438444393</v>
      </c>
      <c r="AF69" s="7">
        <f t="shared" si="86"/>
        <v>489287.42285561224</v>
      </c>
      <c r="AG69" s="7">
        <f t="shared" si="86"/>
        <v>582420.15965042147</v>
      </c>
      <c r="AH69" s="7">
        <f t="shared" si="86"/>
        <v>583961.23380762443</v>
      </c>
      <c r="AI69" s="7">
        <f t="shared" si="86"/>
        <v>498167.27621914505</v>
      </c>
      <c r="AJ69" s="7">
        <f t="shared" si="87"/>
        <v>519504.07397711946</v>
      </c>
      <c r="AK69" s="7">
        <f t="shared" si="87"/>
        <v>409696.70966173004</v>
      </c>
      <c r="AL69" s="7">
        <f t="shared" si="87"/>
        <v>411957.8846158387</v>
      </c>
      <c r="AM69" s="7">
        <f t="shared" si="87"/>
        <v>388789.40476348629</v>
      </c>
      <c r="AN69" s="7">
        <f t="shared" si="87"/>
        <v>355836.45679195208</v>
      </c>
      <c r="AO69" s="7">
        <f t="shared" si="87"/>
        <v>384301.70747560309</v>
      </c>
      <c r="AP69" s="7">
        <f t="shared" si="87"/>
        <v>391368.24314657244</v>
      </c>
      <c r="AQ69" s="7">
        <f t="shared" si="87"/>
        <v>425415.89438444393</v>
      </c>
      <c r="AR69" s="7">
        <f t="shared" si="87"/>
        <v>489287.42285561224</v>
      </c>
      <c r="AS69" s="7">
        <f t="shared" si="87"/>
        <v>582420.15965042147</v>
      </c>
      <c r="AT69" s="7">
        <f t="shared" si="88"/>
        <v>583961.23380762443</v>
      </c>
      <c r="AU69" s="7">
        <f t="shared" si="88"/>
        <v>498167.27621914505</v>
      </c>
      <c r="AV69" s="7">
        <f t="shared" si="88"/>
        <v>519504.07397711946</v>
      </c>
      <c r="AW69" s="7">
        <f t="shared" si="88"/>
        <v>409696.70966173004</v>
      </c>
      <c r="AX69" s="7">
        <f t="shared" si="88"/>
        <v>411957.8846158387</v>
      </c>
      <c r="AY69" s="7">
        <f t="shared" si="88"/>
        <v>388789.40476348629</v>
      </c>
      <c r="AZ69" s="7">
        <f t="shared" si="88"/>
        <v>355836.45679195208</v>
      </c>
      <c r="BA69" s="7">
        <f t="shared" si="88"/>
        <v>384301.70747560309</v>
      </c>
      <c r="BB69" s="7">
        <f t="shared" si="88"/>
        <v>391368.24314657244</v>
      </c>
      <c r="BC69" s="7">
        <f t="shared" si="88"/>
        <v>425415.89438444393</v>
      </c>
      <c r="BD69" s="7">
        <f t="shared" si="89"/>
        <v>489287.42285561224</v>
      </c>
      <c r="BE69" s="7">
        <f t="shared" si="89"/>
        <v>582420.15965042147</v>
      </c>
      <c r="BF69" s="7">
        <f t="shared" si="89"/>
        <v>583961.23380762443</v>
      </c>
      <c r="BG69" s="7">
        <f t="shared" si="89"/>
        <v>498167.27621914505</v>
      </c>
      <c r="BH69" s="7">
        <f t="shared" si="89"/>
        <v>519504.07397711946</v>
      </c>
      <c r="BI69" s="7">
        <f t="shared" si="89"/>
        <v>409696.70966173004</v>
      </c>
      <c r="BJ69" s="7">
        <f t="shared" si="89"/>
        <v>411957.8846158387</v>
      </c>
      <c r="BK69" s="7">
        <f t="shared" si="89"/>
        <v>388789.40476348629</v>
      </c>
      <c r="BL69" s="7">
        <f t="shared" si="89"/>
        <v>355836.45679195208</v>
      </c>
      <c r="BM69" s="7">
        <f t="shared" si="89"/>
        <v>384301.70747560309</v>
      </c>
      <c r="BN69" s="7">
        <f t="shared" si="89"/>
        <v>391368.24314657244</v>
      </c>
      <c r="BO69" s="7">
        <f t="shared" si="89"/>
        <v>425415.89438444393</v>
      </c>
      <c r="BP69" s="7">
        <f t="shared" si="89"/>
        <v>489287.42285561224</v>
      </c>
      <c r="BQ69" s="7">
        <f t="shared" si="89"/>
        <v>582420.15965042147</v>
      </c>
      <c r="BR69" s="7">
        <f t="shared" si="89"/>
        <v>583961.23380762443</v>
      </c>
      <c r="BS69" s="7">
        <f t="shared" si="89"/>
        <v>498167.27621914505</v>
      </c>
      <c r="BT69" s="7">
        <f t="shared" si="90"/>
        <v>519504.07397711946</v>
      </c>
      <c r="BU69" s="7">
        <f t="shared" si="90"/>
        <v>409696.70966173004</v>
      </c>
      <c r="BV69" s="7">
        <f t="shared" si="90"/>
        <v>411957.8846158387</v>
      </c>
      <c r="BW69" s="7">
        <f t="shared" si="90"/>
        <v>388789.40476348629</v>
      </c>
      <c r="BX69" s="7">
        <f t="shared" si="91"/>
        <v>355836.45679195208</v>
      </c>
      <c r="BY69" s="7">
        <f t="shared" si="92"/>
        <v>384301.70747560309</v>
      </c>
      <c r="BZ69" s="7">
        <f t="shared" si="93"/>
        <v>391368.24314657244</v>
      </c>
      <c r="CA69" s="7">
        <f t="shared" si="94"/>
        <v>425415.89438444393</v>
      </c>
      <c r="CB69" s="7">
        <f t="shared" si="95"/>
        <v>489287.42285561224</v>
      </c>
      <c r="CC69" s="7">
        <f t="shared" si="96"/>
        <v>582420.15965042147</v>
      </c>
      <c r="CD69" s="7">
        <f t="shared" si="97"/>
        <v>583961.23380762443</v>
      </c>
      <c r="CE69" s="7">
        <f t="shared" si="98"/>
        <v>498167.27621914505</v>
      </c>
      <c r="CF69" s="7">
        <f t="shared" si="99"/>
        <v>519504.07397711946</v>
      </c>
      <c r="CG69" s="7">
        <f t="shared" si="100"/>
        <v>409696.70966173004</v>
      </c>
      <c r="CH69" s="7">
        <f t="shared" si="101"/>
        <v>411957.8846158387</v>
      </c>
      <c r="CI69" s="7">
        <f t="shared" si="102"/>
        <v>388789.40476348629</v>
      </c>
    </row>
    <row r="70" spans="1:89" x14ac:dyDescent="0.2">
      <c r="A70" s="2">
        <v>60</v>
      </c>
      <c r="B70" s="2" t="s">
        <v>34</v>
      </c>
      <c r="C70" s="15">
        <f>'Rate Design'!G25</f>
        <v>0.78310000000000002</v>
      </c>
      <c r="D70" s="71">
        <f>'Bill Frequency'!C59+'Contract &amp; Vol Adj'!C59</f>
        <v>57209.261041065962</v>
      </c>
      <c r="E70" s="71">
        <f>'Bill Frequency'!D59+'Contract &amp; Vol Adj'!D59</f>
        <v>80379.669197537602</v>
      </c>
      <c r="F70" s="71">
        <f>'Bill Frequency'!E59+'Contract &amp; Vol Adj'!E59</f>
        <v>70462.388523738744</v>
      </c>
      <c r="G70" s="71">
        <f>'Bill Frequency'!F59+'Contract &amp; Vol Adj'!F59</f>
        <v>69759.34101491842</v>
      </c>
      <c r="H70" s="71">
        <f>'Bill Frequency'!G59+'Contract &amp; Vol Adj'!G59</f>
        <v>94194.925863570068</v>
      </c>
      <c r="I70" s="71">
        <f>'Bill Frequency'!H59+'Contract &amp; Vol Adj'!H59</f>
        <v>144848.1057307116</v>
      </c>
      <c r="J70" s="71">
        <f>'Bill Frequency'!I59+'Contract &amp; Vol Adj'!I59</f>
        <v>142732.62181301892</v>
      </c>
      <c r="K70" s="71">
        <f>'Bill Frequency'!J59+'Contract &amp; Vol Adj'!J59</f>
        <v>114807.53477834206</v>
      </c>
      <c r="L70" s="71">
        <f>'Bill Frequency'!K59+'Contract &amp; Vol Adj'!K59</f>
        <v>140156.96860187192</v>
      </c>
      <c r="M70" s="71">
        <f>'Bill Frequency'!L59+'Contract &amp; Vol Adj'!L59</f>
        <v>70792.783260996584</v>
      </c>
      <c r="N70" s="71">
        <f>'Bill Frequency'!M59+'Contract &amp; Vol Adj'!M59</f>
        <v>79054.205953515673</v>
      </c>
      <c r="O70" s="71">
        <f>'Bill Frequency'!N59+'Contract &amp; Vol Adj'!N59</f>
        <v>91644.72687116309</v>
      </c>
      <c r="P70" s="7">
        <f t="shared" si="85"/>
        <v>57209.261041065962</v>
      </c>
      <c r="Q70" s="7">
        <f t="shared" si="85"/>
        <v>80379.669197537602</v>
      </c>
      <c r="R70" s="7">
        <f t="shared" si="85"/>
        <v>70462.388523738744</v>
      </c>
      <c r="S70" s="7">
        <f t="shared" si="85"/>
        <v>69759.34101491842</v>
      </c>
      <c r="T70" s="7">
        <f t="shared" si="85"/>
        <v>94194.925863570068</v>
      </c>
      <c r="U70" s="7">
        <f t="shared" si="85"/>
        <v>144848.1057307116</v>
      </c>
      <c r="V70" s="7">
        <f t="shared" si="85"/>
        <v>142732.62181301892</v>
      </c>
      <c r="W70" s="7">
        <f t="shared" si="85"/>
        <v>114807.53477834206</v>
      </c>
      <c r="X70" s="7">
        <f t="shared" si="85"/>
        <v>140156.96860187192</v>
      </c>
      <c r="Y70" s="7">
        <f t="shared" si="85"/>
        <v>70792.783260996584</v>
      </c>
      <c r="Z70" s="7">
        <f t="shared" si="86"/>
        <v>79054.205953515673</v>
      </c>
      <c r="AA70" s="7">
        <f t="shared" si="86"/>
        <v>91644.72687116309</v>
      </c>
      <c r="AB70" s="7">
        <f t="shared" si="86"/>
        <v>57209.261041065962</v>
      </c>
      <c r="AC70" s="7">
        <f t="shared" si="86"/>
        <v>80379.669197537602</v>
      </c>
      <c r="AD70" s="7">
        <f t="shared" si="86"/>
        <v>70462.388523738744</v>
      </c>
      <c r="AE70" s="7">
        <f t="shared" si="86"/>
        <v>69759.34101491842</v>
      </c>
      <c r="AF70" s="7">
        <f t="shared" si="86"/>
        <v>94194.925863570068</v>
      </c>
      <c r="AG70" s="7">
        <f t="shared" si="86"/>
        <v>144848.1057307116</v>
      </c>
      <c r="AH70" s="7">
        <f t="shared" si="86"/>
        <v>142732.62181301892</v>
      </c>
      <c r="AI70" s="7">
        <f t="shared" si="86"/>
        <v>114807.53477834206</v>
      </c>
      <c r="AJ70" s="7">
        <f t="shared" si="87"/>
        <v>140156.96860187192</v>
      </c>
      <c r="AK70" s="7">
        <f t="shared" si="87"/>
        <v>70792.783260996584</v>
      </c>
      <c r="AL70" s="7">
        <f t="shared" si="87"/>
        <v>79054.205953515673</v>
      </c>
      <c r="AM70" s="7">
        <f t="shared" si="87"/>
        <v>91644.72687116309</v>
      </c>
      <c r="AN70" s="7">
        <f t="shared" si="87"/>
        <v>57209.261041065962</v>
      </c>
      <c r="AO70" s="7">
        <f t="shared" si="87"/>
        <v>80379.669197537602</v>
      </c>
      <c r="AP70" s="7">
        <f t="shared" si="87"/>
        <v>70462.388523738744</v>
      </c>
      <c r="AQ70" s="7">
        <f t="shared" si="87"/>
        <v>69759.34101491842</v>
      </c>
      <c r="AR70" s="7">
        <f t="shared" si="87"/>
        <v>94194.925863570068</v>
      </c>
      <c r="AS70" s="7">
        <f t="shared" si="87"/>
        <v>144848.1057307116</v>
      </c>
      <c r="AT70" s="7">
        <f t="shared" si="88"/>
        <v>142732.62181301892</v>
      </c>
      <c r="AU70" s="7">
        <f t="shared" si="88"/>
        <v>114807.53477834206</v>
      </c>
      <c r="AV70" s="7">
        <f t="shared" si="88"/>
        <v>140156.96860187192</v>
      </c>
      <c r="AW70" s="7">
        <f t="shared" si="88"/>
        <v>70792.783260996584</v>
      </c>
      <c r="AX70" s="7">
        <f t="shared" si="88"/>
        <v>79054.205953515673</v>
      </c>
      <c r="AY70" s="7">
        <f t="shared" si="88"/>
        <v>91644.72687116309</v>
      </c>
      <c r="AZ70" s="7">
        <f t="shared" si="88"/>
        <v>57209.261041065962</v>
      </c>
      <c r="BA70" s="7">
        <f t="shared" si="88"/>
        <v>80379.669197537602</v>
      </c>
      <c r="BB70" s="7">
        <f t="shared" si="88"/>
        <v>70462.388523738744</v>
      </c>
      <c r="BC70" s="7">
        <f t="shared" si="88"/>
        <v>69759.34101491842</v>
      </c>
      <c r="BD70" s="7">
        <f t="shared" si="89"/>
        <v>94194.925863570068</v>
      </c>
      <c r="BE70" s="7">
        <f t="shared" si="89"/>
        <v>144848.1057307116</v>
      </c>
      <c r="BF70" s="7">
        <f t="shared" si="89"/>
        <v>142732.62181301892</v>
      </c>
      <c r="BG70" s="7">
        <f t="shared" si="89"/>
        <v>114807.53477834206</v>
      </c>
      <c r="BH70" s="7">
        <f t="shared" si="89"/>
        <v>140156.96860187192</v>
      </c>
      <c r="BI70" s="7">
        <f t="shared" si="89"/>
        <v>70792.783260996584</v>
      </c>
      <c r="BJ70" s="7">
        <f t="shared" si="89"/>
        <v>79054.205953515673</v>
      </c>
      <c r="BK70" s="7">
        <f t="shared" si="89"/>
        <v>91644.72687116309</v>
      </c>
      <c r="BL70" s="7">
        <f t="shared" si="89"/>
        <v>57209.261041065962</v>
      </c>
      <c r="BM70" s="7">
        <f t="shared" si="89"/>
        <v>80379.669197537602</v>
      </c>
      <c r="BN70" s="7">
        <f t="shared" si="89"/>
        <v>70462.388523738744</v>
      </c>
      <c r="BO70" s="7">
        <f t="shared" si="89"/>
        <v>69759.34101491842</v>
      </c>
      <c r="BP70" s="7">
        <f t="shared" si="89"/>
        <v>94194.925863570068</v>
      </c>
      <c r="BQ70" s="7">
        <f t="shared" si="89"/>
        <v>144848.1057307116</v>
      </c>
      <c r="BR70" s="7">
        <f t="shared" si="89"/>
        <v>142732.62181301892</v>
      </c>
      <c r="BS70" s="7">
        <f t="shared" si="89"/>
        <v>114807.53477834206</v>
      </c>
      <c r="BT70" s="7">
        <f t="shared" si="90"/>
        <v>140156.96860187192</v>
      </c>
      <c r="BU70" s="7">
        <f t="shared" si="90"/>
        <v>70792.783260996584</v>
      </c>
      <c r="BV70" s="7">
        <f t="shared" si="90"/>
        <v>79054.205953515673</v>
      </c>
      <c r="BW70" s="7">
        <f t="shared" si="90"/>
        <v>91644.72687116309</v>
      </c>
      <c r="BX70" s="7">
        <f t="shared" si="91"/>
        <v>57209.261041065962</v>
      </c>
      <c r="BY70" s="7">
        <f t="shared" si="92"/>
        <v>80379.669197537602</v>
      </c>
      <c r="BZ70" s="7">
        <f t="shared" si="93"/>
        <v>70462.388523738744</v>
      </c>
      <c r="CA70" s="7">
        <f t="shared" si="94"/>
        <v>69759.34101491842</v>
      </c>
      <c r="CB70" s="7">
        <f t="shared" si="95"/>
        <v>94194.925863570068</v>
      </c>
      <c r="CC70" s="7">
        <f t="shared" si="96"/>
        <v>144848.1057307116</v>
      </c>
      <c r="CD70" s="7">
        <f t="shared" si="97"/>
        <v>142732.62181301892</v>
      </c>
      <c r="CE70" s="7">
        <f t="shared" si="98"/>
        <v>114807.53477834206</v>
      </c>
      <c r="CF70" s="7">
        <f t="shared" si="99"/>
        <v>140156.96860187192</v>
      </c>
      <c r="CG70" s="7">
        <f t="shared" si="100"/>
        <v>70792.783260996584</v>
      </c>
      <c r="CH70" s="7">
        <f t="shared" si="101"/>
        <v>79054.205953515673</v>
      </c>
      <c r="CI70" s="7">
        <f t="shared" si="102"/>
        <v>91644.72687116309</v>
      </c>
    </row>
    <row r="71" spans="1:89" x14ac:dyDescent="0.2">
      <c r="A71" s="2">
        <v>62</v>
      </c>
      <c r="B71" s="33" t="s">
        <v>79</v>
      </c>
      <c r="C71" s="33"/>
      <c r="D71" s="32">
        <f>D68+D69+D70</f>
        <v>447103.71783301805</v>
      </c>
      <c r="E71" s="32">
        <f t="shared" ref="E71:BP71" si="103">E68+E69+E70</f>
        <v>498701.37667314068</v>
      </c>
      <c r="F71" s="32">
        <f t="shared" si="103"/>
        <v>496427.63167031121</v>
      </c>
      <c r="G71" s="32">
        <f t="shared" si="103"/>
        <v>530814.2353993624</v>
      </c>
      <c r="H71" s="32">
        <f t="shared" si="103"/>
        <v>620447.34871918231</v>
      </c>
      <c r="I71" s="32">
        <f t="shared" si="103"/>
        <v>764768.26538113307</v>
      </c>
      <c r="J71" s="32">
        <f t="shared" si="103"/>
        <v>764007.85562064336</v>
      </c>
      <c r="K71" s="32">
        <f t="shared" si="103"/>
        <v>650414.81099748705</v>
      </c>
      <c r="L71" s="32">
        <f t="shared" si="103"/>
        <v>696861.0425789915</v>
      </c>
      <c r="M71" s="32">
        <f t="shared" si="103"/>
        <v>516649.49292272661</v>
      </c>
      <c r="N71" s="32">
        <f t="shared" si="103"/>
        <v>526385.09056935436</v>
      </c>
      <c r="O71" s="32">
        <f t="shared" si="103"/>
        <v>515021.13163464935</v>
      </c>
      <c r="P71" s="32">
        <f t="shared" si="103"/>
        <v>447103.71783301805</v>
      </c>
      <c r="Q71" s="32">
        <f t="shared" si="103"/>
        <v>498701.37667314068</v>
      </c>
      <c r="R71" s="32">
        <f t="shared" si="103"/>
        <v>496427.63167031121</v>
      </c>
      <c r="S71" s="32">
        <f t="shared" si="103"/>
        <v>530814.2353993624</v>
      </c>
      <c r="T71" s="32">
        <f t="shared" si="103"/>
        <v>620447.34871918231</v>
      </c>
      <c r="U71" s="32">
        <f t="shared" si="103"/>
        <v>764768.26538113307</v>
      </c>
      <c r="V71" s="32">
        <f t="shared" si="103"/>
        <v>764007.85562064336</v>
      </c>
      <c r="W71" s="32">
        <f t="shared" si="103"/>
        <v>650414.81099748705</v>
      </c>
      <c r="X71" s="32">
        <f t="shared" si="103"/>
        <v>696861.0425789915</v>
      </c>
      <c r="Y71" s="32">
        <f t="shared" si="103"/>
        <v>516649.49292272661</v>
      </c>
      <c r="Z71" s="32">
        <f t="shared" si="103"/>
        <v>526385.09056935436</v>
      </c>
      <c r="AA71" s="32">
        <f t="shared" si="103"/>
        <v>515021.13163464935</v>
      </c>
      <c r="AB71" s="32">
        <f t="shared" si="103"/>
        <v>447103.71783301805</v>
      </c>
      <c r="AC71" s="32">
        <f t="shared" si="103"/>
        <v>498701.37667314068</v>
      </c>
      <c r="AD71" s="32">
        <f t="shared" si="103"/>
        <v>496427.63167031121</v>
      </c>
      <c r="AE71" s="32">
        <f t="shared" si="103"/>
        <v>530814.2353993624</v>
      </c>
      <c r="AF71" s="32">
        <f t="shared" si="103"/>
        <v>620447.34871918231</v>
      </c>
      <c r="AG71" s="32">
        <f t="shared" si="103"/>
        <v>764768.26538113307</v>
      </c>
      <c r="AH71" s="32">
        <f t="shared" si="103"/>
        <v>764007.85562064336</v>
      </c>
      <c r="AI71" s="32">
        <f t="shared" si="103"/>
        <v>650414.81099748705</v>
      </c>
      <c r="AJ71" s="32">
        <f t="shared" si="103"/>
        <v>696861.0425789915</v>
      </c>
      <c r="AK71" s="32">
        <f t="shared" si="103"/>
        <v>516649.49292272661</v>
      </c>
      <c r="AL71" s="32">
        <f t="shared" si="103"/>
        <v>526385.09056935436</v>
      </c>
      <c r="AM71" s="32">
        <f t="shared" si="103"/>
        <v>515021.13163464935</v>
      </c>
      <c r="AN71" s="32">
        <f t="shared" si="103"/>
        <v>447103.71783301805</v>
      </c>
      <c r="AO71" s="32">
        <f t="shared" si="103"/>
        <v>498701.37667314068</v>
      </c>
      <c r="AP71" s="32">
        <f t="shared" si="103"/>
        <v>496427.63167031121</v>
      </c>
      <c r="AQ71" s="32">
        <f t="shared" si="103"/>
        <v>530814.2353993624</v>
      </c>
      <c r="AR71" s="32">
        <f t="shared" si="103"/>
        <v>620447.34871918231</v>
      </c>
      <c r="AS71" s="32">
        <f t="shared" si="103"/>
        <v>764768.26538113307</v>
      </c>
      <c r="AT71" s="32">
        <f t="shared" si="103"/>
        <v>764007.85562064336</v>
      </c>
      <c r="AU71" s="32">
        <f t="shared" si="103"/>
        <v>650414.81099748705</v>
      </c>
      <c r="AV71" s="32">
        <f t="shared" si="103"/>
        <v>696861.0425789915</v>
      </c>
      <c r="AW71" s="32">
        <f t="shared" si="103"/>
        <v>516649.49292272661</v>
      </c>
      <c r="AX71" s="32">
        <f t="shared" si="103"/>
        <v>526385.09056935436</v>
      </c>
      <c r="AY71" s="32">
        <f t="shared" si="103"/>
        <v>515021.13163464935</v>
      </c>
      <c r="AZ71" s="32">
        <f t="shared" si="103"/>
        <v>447103.71783301805</v>
      </c>
      <c r="BA71" s="32">
        <f t="shared" si="103"/>
        <v>498701.37667314068</v>
      </c>
      <c r="BB71" s="32">
        <f t="shared" si="103"/>
        <v>496427.63167031121</v>
      </c>
      <c r="BC71" s="32">
        <f t="shared" si="103"/>
        <v>530814.2353993624</v>
      </c>
      <c r="BD71" s="32">
        <f t="shared" si="103"/>
        <v>620447.34871918231</v>
      </c>
      <c r="BE71" s="32">
        <f t="shared" si="103"/>
        <v>764768.26538113307</v>
      </c>
      <c r="BF71" s="32">
        <f t="shared" si="103"/>
        <v>764007.85562064336</v>
      </c>
      <c r="BG71" s="32">
        <f t="shared" si="103"/>
        <v>650414.81099748705</v>
      </c>
      <c r="BH71" s="32">
        <f t="shared" si="103"/>
        <v>696861.0425789915</v>
      </c>
      <c r="BI71" s="32">
        <f t="shared" si="103"/>
        <v>516649.49292272661</v>
      </c>
      <c r="BJ71" s="32">
        <f t="shared" si="103"/>
        <v>526385.09056935436</v>
      </c>
      <c r="BK71" s="32">
        <f t="shared" si="103"/>
        <v>515021.13163464935</v>
      </c>
      <c r="BL71" s="32">
        <f t="shared" si="103"/>
        <v>447103.71783301805</v>
      </c>
      <c r="BM71" s="32">
        <f t="shared" si="103"/>
        <v>498701.37667314068</v>
      </c>
      <c r="BN71" s="32">
        <f t="shared" si="103"/>
        <v>496427.63167031121</v>
      </c>
      <c r="BO71" s="32">
        <f t="shared" si="103"/>
        <v>530814.2353993624</v>
      </c>
      <c r="BP71" s="32">
        <f t="shared" si="103"/>
        <v>620447.34871918231</v>
      </c>
      <c r="BQ71" s="32">
        <f t="shared" ref="BQ71:CI71" si="104">BQ68+BQ69+BQ70</f>
        <v>764768.26538113307</v>
      </c>
      <c r="BR71" s="32">
        <f t="shared" si="104"/>
        <v>764007.85562064336</v>
      </c>
      <c r="BS71" s="32">
        <f t="shared" si="104"/>
        <v>650414.81099748705</v>
      </c>
      <c r="BT71" s="32">
        <f t="shared" si="104"/>
        <v>696861.0425789915</v>
      </c>
      <c r="BU71" s="32">
        <f t="shared" si="104"/>
        <v>516649.49292272661</v>
      </c>
      <c r="BV71" s="32">
        <f t="shared" si="104"/>
        <v>526385.09056935436</v>
      </c>
      <c r="BW71" s="32">
        <f t="shared" si="104"/>
        <v>515021.13163464935</v>
      </c>
      <c r="BX71" s="32">
        <f t="shared" si="104"/>
        <v>447103.71783301805</v>
      </c>
      <c r="BY71" s="32">
        <f t="shared" si="104"/>
        <v>498701.37667314068</v>
      </c>
      <c r="BZ71" s="32">
        <f t="shared" si="104"/>
        <v>496427.63167031121</v>
      </c>
      <c r="CA71" s="32">
        <f t="shared" si="104"/>
        <v>530814.2353993624</v>
      </c>
      <c r="CB71" s="32">
        <f t="shared" si="104"/>
        <v>620447.34871918231</v>
      </c>
      <c r="CC71" s="32">
        <f t="shared" si="104"/>
        <v>764768.26538113307</v>
      </c>
      <c r="CD71" s="32">
        <f t="shared" si="104"/>
        <v>764007.85562064336</v>
      </c>
      <c r="CE71" s="32">
        <f t="shared" si="104"/>
        <v>650414.81099748705</v>
      </c>
      <c r="CF71" s="32">
        <f t="shared" si="104"/>
        <v>696861.0425789915</v>
      </c>
      <c r="CG71" s="32">
        <f t="shared" si="104"/>
        <v>516649.49292272661</v>
      </c>
      <c r="CH71" s="32">
        <f t="shared" si="104"/>
        <v>526385.09056935436</v>
      </c>
      <c r="CI71" s="32">
        <f t="shared" si="104"/>
        <v>515021.13163464935</v>
      </c>
    </row>
    <row r="72" spans="1:89" x14ac:dyDescent="0.2">
      <c r="A72" s="2">
        <v>63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17"/>
      <c r="V72" s="17"/>
      <c r="W72" s="17"/>
      <c r="X72" s="17"/>
      <c r="Y72" s="17"/>
      <c r="Z72" s="24"/>
      <c r="AA72" s="23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</row>
    <row r="73" spans="1:89" x14ac:dyDescent="0.2">
      <c r="A73" s="2">
        <v>64</v>
      </c>
      <c r="B73" s="172" t="s">
        <v>644</v>
      </c>
      <c r="C73" s="2"/>
      <c r="D73" s="103">
        <f>+D74*$C$74+D75*$C$75+D76*$C$76</f>
        <v>5790.869999999999</v>
      </c>
      <c r="E73" s="103">
        <f t="shared" ref="E73:BP73" si="105">+E74*$C$74+E75*$C$75+E76*$C$76</f>
        <v>9170.2649999999994</v>
      </c>
      <c r="F73" s="103">
        <f t="shared" si="105"/>
        <v>8351.64</v>
      </c>
      <c r="G73" s="103">
        <f t="shared" si="105"/>
        <v>8324.9999999999982</v>
      </c>
      <c r="H73" s="103">
        <f t="shared" si="105"/>
        <v>9030.4049999999988</v>
      </c>
      <c r="I73" s="103">
        <f t="shared" si="105"/>
        <v>7888.2149999999992</v>
      </c>
      <c r="J73" s="103">
        <f t="shared" si="105"/>
        <v>14037.614999999998</v>
      </c>
      <c r="K73" s="103">
        <f t="shared" si="105"/>
        <v>10100.445</v>
      </c>
      <c r="L73" s="103">
        <f t="shared" si="105"/>
        <v>13740.689999999999</v>
      </c>
      <c r="M73" s="103">
        <f t="shared" si="105"/>
        <v>9676.4249999999993</v>
      </c>
      <c r="N73" s="103">
        <f t="shared" si="105"/>
        <v>10826.384999999998</v>
      </c>
      <c r="O73" s="103">
        <f t="shared" si="105"/>
        <v>11063.369999999999</v>
      </c>
      <c r="P73" s="103">
        <f t="shared" si="105"/>
        <v>5790.869999999999</v>
      </c>
      <c r="Q73" s="103">
        <f t="shared" si="105"/>
        <v>9170.2649999999994</v>
      </c>
      <c r="R73" s="103">
        <f t="shared" si="105"/>
        <v>8351.64</v>
      </c>
      <c r="S73" s="103">
        <f t="shared" si="105"/>
        <v>8324.9999999999982</v>
      </c>
      <c r="T73" s="103">
        <f t="shared" si="105"/>
        <v>9030.4049999999988</v>
      </c>
      <c r="U73" s="103">
        <f t="shared" si="105"/>
        <v>7888.2149999999992</v>
      </c>
      <c r="V73" s="103">
        <f t="shared" si="105"/>
        <v>14037.614999999998</v>
      </c>
      <c r="W73" s="103">
        <f t="shared" si="105"/>
        <v>10100.445</v>
      </c>
      <c r="X73" s="103">
        <f t="shared" si="105"/>
        <v>13740.689999999999</v>
      </c>
      <c r="Y73" s="103">
        <f t="shared" si="105"/>
        <v>9676.4249999999993</v>
      </c>
      <c r="Z73" s="103">
        <f t="shared" si="105"/>
        <v>10826.384999999998</v>
      </c>
      <c r="AA73" s="103">
        <f t="shared" si="105"/>
        <v>11063.369999999999</v>
      </c>
      <c r="AB73" s="103">
        <f t="shared" si="105"/>
        <v>5790.869999999999</v>
      </c>
      <c r="AC73" s="103">
        <f t="shared" si="105"/>
        <v>9170.2649999999994</v>
      </c>
      <c r="AD73" s="103">
        <f t="shared" si="105"/>
        <v>8351.64</v>
      </c>
      <c r="AE73" s="103">
        <f t="shared" si="105"/>
        <v>8324.9999999999982</v>
      </c>
      <c r="AF73" s="103">
        <f t="shared" si="105"/>
        <v>9030.4049999999988</v>
      </c>
      <c r="AG73" s="103">
        <f t="shared" si="105"/>
        <v>7888.2149999999992</v>
      </c>
      <c r="AH73" s="103">
        <f t="shared" si="105"/>
        <v>14037.614999999998</v>
      </c>
      <c r="AI73" s="103">
        <f t="shared" si="105"/>
        <v>10100.445</v>
      </c>
      <c r="AJ73" s="103">
        <f t="shared" si="105"/>
        <v>13740.689999999999</v>
      </c>
      <c r="AK73" s="103">
        <f t="shared" si="105"/>
        <v>9676.4249999999993</v>
      </c>
      <c r="AL73" s="103">
        <f t="shared" si="105"/>
        <v>10826.384999999998</v>
      </c>
      <c r="AM73" s="103">
        <f t="shared" si="105"/>
        <v>11063.369999999999</v>
      </c>
      <c r="AN73" s="103">
        <f t="shared" si="105"/>
        <v>5790.869999999999</v>
      </c>
      <c r="AO73" s="103">
        <f t="shared" si="105"/>
        <v>9170.2649999999994</v>
      </c>
      <c r="AP73" s="103">
        <f t="shared" si="105"/>
        <v>8351.64</v>
      </c>
      <c r="AQ73" s="103">
        <f t="shared" si="105"/>
        <v>8324.9999999999982</v>
      </c>
      <c r="AR73" s="103">
        <f t="shared" si="105"/>
        <v>9030.4049999999988</v>
      </c>
      <c r="AS73" s="103">
        <f t="shared" si="105"/>
        <v>7888.2149999999992</v>
      </c>
      <c r="AT73" s="103">
        <f t="shared" si="105"/>
        <v>14037.614999999998</v>
      </c>
      <c r="AU73" s="103">
        <f t="shared" si="105"/>
        <v>10100.445</v>
      </c>
      <c r="AV73" s="103">
        <f t="shared" si="105"/>
        <v>13740.689999999999</v>
      </c>
      <c r="AW73" s="103">
        <f t="shared" si="105"/>
        <v>9676.4249999999993</v>
      </c>
      <c r="AX73" s="103">
        <f t="shared" si="105"/>
        <v>10826.384999999998</v>
      </c>
      <c r="AY73" s="103">
        <f t="shared" si="105"/>
        <v>11063.369999999999</v>
      </c>
      <c r="AZ73" s="103">
        <f t="shared" si="105"/>
        <v>5790.869999999999</v>
      </c>
      <c r="BA73" s="103">
        <f t="shared" si="105"/>
        <v>9170.2649999999994</v>
      </c>
      <c r="BB73" s="103">
        <f t="shared" si="105"/>
        <v>8351.64</v>
      </c>
      <c r="BC73" s="103">
        <f t="shared" si="105"/>
        <v>8324.9999999999982</v>
      </c>
      <c r="BD73" s="103">
        <f t="shared" si="105"/>
        <v>9030.4049999999988</v>
      </c>
      <c r="BE73" s="103">
        <f t="shared" si="105"/>
        <v>7888.2149999999992</v>
      </c>
      <c r="BF73" s="103">
        <f t="shared" si="105"/>
        <v>14037.614999999998</v>
      </c>
      <c r="BG73" s="103">
        <f t="shared" si="105"/>
        <v>10100.445</v>
      </c>
      <c r="BH73" s="103">
        <f t="shared" si="105"/>
        <v>13740.689999999999</v>
      </c>
      <c r="BI73" s="103">
        <f t="shared" si="105"/>
        <v>9676.4249999999993</v>
      </c>
      <c r="BJ73" s="103">
        <f t="shared" si="105"/>
        <v>10826.384999999998</v>
      </c>
      <c r="BK73" s="103">
        <f t="shared" si="105"/>
        <v>11063.369999999999</v>
      </c>
      <c r="BL73" s="103">
        <f t="shared" si="105"/>
        <v>5790.869999999999</v>
      </c>
      <c r="BM73" s="103">
        <f t="shared" si="105"/>
        <v>9170.2649999999994</v>
      </c>
      <c r="BN73" s="103">
        <f t="shared" si="105"/>
        <v>8351.64</v>
      </c>
      <c r="BO73" s="103">
        <f t="shared" si="105"/>
        <v>8324.9999999999982</v>
      </c>
      <c r="BP73" s="103">
        <f t="shared" si="105"/>
        <v>9030.4049999999988</v>
      </c>
      <c r="BQ73" s="103">
        <f t="shared" ref="BQ73:CI73" si="106">+BQ74*$C$74+BQ75*$C$75+BQ76*$C$76</f>
        <v>7888.2149999999992</v>
      </c>
      <c r="BR73" s="103">
        <f t="shared" si="106"/>
        <v>14037.614999999998</v>
      </c>
      <c r="BS73" s="103">
        <f t="shared" si="106"/>
        <v>10100.445</v>
      </c>
      <c r="BT73" s="103">
        <f t="shared" si="106"/>
        <v>13740.689999999999</v>
      </c>
      <c r="BU73" s="103">
        <f t="shared" si="106"/>
        <v>9676.4249999999993</v>
      </c>
      <c r="BV73" s="103">
        <f t="shared" si="106"/>
        <v>10826.384999999998</v>
      </c>
      <c r="BW73" s="103">
        <f t="shared" si="106"/>
        <v>11063.369999999999</v>
      </c>
      <c r="BX73" s="103">
        <f t="shared" si="106"/>
        <v>5790.869999999999</v>
      </c>
      <c r="BY73" s="103">
        <f t="shared" si="106"/>
        <v>9170.2649999999994</v>
      </c>
      <c r="BZ73" s="103">
        <f t="shared" si="106"/>
        <v>8351.64</v>
      </c>
      <c r="CA73" s="103">
        <f t="shared" si="106"/>
        <v>8324.9999999999982</v>
      </c>
      <c r="CB73" s="103">
        <f t="shared" si="106"/>
        <v>9030.4049999999988</v>
      </c>
      <c r="CC73" s="103">
        <f t="shared" si="106"/>
        <v>7888.2149999999992</v>
      </c>
      <c r="CD73" s="103">
        <f t="shared" si="106"/>
        <v>14037.614999999998</v>
      </c>
      <c r="CE73" s="103">
        <f t="shared" si="106"/>
        <v>10100.445</v>
      </c>
      <c r="CF73" s="103">
        <f t="shared" si="106"/>
        <v>13740.689999999999</v>
      </c>
      <c r="CG73" s="103">
        <f t="shared" si="106"/>
        <v>9676.4249999999993</v>
      </c>
      <c r="CH73" s="103">
        <f t="shared" si="106"/>
        <v>10826.384999999998</v>
      </c>
      <c r="CI73" s="103">
        <f t="shared" si="106"/>
        <v>11063.369999999999</v>
      </c>
    </row>
    <row r="74" spans="1:89" x14ac:dyDescent="0.2">
      <c r="A74" s="2">
        <v>65</v>
      </c>
      <c r="B74" s="2" t="s">
        <v>32</v>
      </c>
      <c r="C74" s="511">
        <f>'Rate Design'!S23</f>
        <v>1.1505000000000001</v>
      </c>
      <c r="D74" s="71">
        <f>'Bill Frequency'!C63+'Contract &amp; Vol Adj'!C63</f>
        <v>0</v>
      </c>
      <c r="E74" s="71">
        <f>'Bill Frequency'!D63+'Contract &amp; Vol Adj'!D63</f>
        <v>0</v>
      </c>
      <c r="F74" s="71">
        <f>'Bill Frequency'!E63+'Contract &amp; Vol Adj'!E63</f>
        <v>0</v>
      </c>
      <c r="G74" s="71">
        <f>'Bill Frequency'!F63+'Contract &amp; Vol Adj'!F63</f>
        <v>0</v>
      </c>
      <c r="H74" s="71">
        <f>'Bill Frequency'!G63+'Contract &amp; Vol Adj'!G63</f>
        <v>0</v>
      </c>
      <c r="I74" s="71">
        <f>'Bill Frequency'!H63+'Contract &amp; Vol Adj'!H63</f>
        <v>0</v>
      </c>
      <c r="J74" s="71">
        <f>'Bill Frequency'!I63+'Contract &amp; Vol Adj'!I63</f>
        <v>0</v>
      </c>
      <c r="K74" s="71">
        <f>'Bill Frequency'!J63+'Contract &amp; Vol Adj'!J63</f>
        <v>0</v>
      </c>
      <c r="L74" s="71">
        <f>'Bill Frequency'!K63+'Contract &amp; Vol Adj'!K63</f>
        <v>0</v>
      </c>
      <c r="M74" s="71">
        <f>'Bill Frequency'!L63+'Contract &amp; Vol Adj'!L63</f>
        <v>0</v>
      </c>
      <c r="N74" s="71">
        <f>'Bill Frequency'!M63+'Contract &amp; Vol Adj'!M63</f>
        <v>0</v>
      </c>
      <c r="O74" s="71">
        <f>'Bill Frequency'!N63+'Contract &amp; Vol Adj'!N63</f>
        <v>0</v>
      </c>
      <c r="P74" s="7">
        <f t="shared" ref="P74:P76" si="107">D74</f>
        <v>0</v>
      </c>
      <c r="Q74" s="7">
        <f t="shared" ref="Q74:Q76" si="108">E74</f>
        <v>0</v>
      </c>
      <c r="R74" s="7">
        <f t="shared" ref="R74:R76" si="109">F74</f>
        <v>0</v>
      </c>
      <c r="S74" s="7">
        <f t="shared" ref="S74:S76" si="110">G74</f>
        <v>0</v>
      </c>
      <c r="T74" s="7">
        <f t="shared" ref="T74:T76" si="111">H74</f>
        <v>0</v>
      </c>
      <c r="U74" s="7">
        <f t="shared" ref="U74:U76" si="112">I74</f>
        <v>0</v>
      </c>
      <c r="V74" s="7">
        <f t="shared" ref="V74:V76" si="113">J74</f>
        <v>0</v>
      </c>
      <c r="W74" s="7">
        <f t="shared" ref="W74:W76" si="114">K74</f>
        <v>0</v>
      </c>
      <c r="X74" s="7">
        <f t="shared" ref="X74:X76" si="115">L74</f>
        <v>0</v>
      </c>
      <c r="Y74" s="7">
        <f t="shared" ref="Y74:Y76" si="116">M74</f>
        <v>0</v>
      </c>
      <c r="Z74" s="7">
        <f t="shared" ref="Z74:Z76" si="117">N74</f>
        <v>0</v>
      </c>
      <c r="AA74" s="7">
        <f t="shared" ref="AA74:AA76" si="118">O74</f>
        <v>0</v>
      </c>
      <c r="AB74" s="7">
        <f t="shared" ref="AB74:AB76" si="119">P74</f>
        <v>0</v>
      </c>
      <c r="AC74" s="7">
        <f t="shared" ref="AC74:AC76" si="120">Q74</f>
        <v>0</v>
      </c>
      <c r="AD74" s="7">
        <f t="shared" ref="AD74:AD76" si="121">R74</f>
        <v>0</v>
      </c>
      <c r="AE74" s="7">
        <f t="shared" ref="AE74:AE76" si="122">S74</f>
        <v>0</v>
      </c>
      <c r="AF74" s="7">
        <f t="shared" ref="AF74:AF76" si="123">T74</f>
        <v>0</v>
      </c>
      <c r="AG74" s="7">
        <f t="shared" ref="AG74:AG76" si="124">U74</f>
        <v>0</v>
      </c>
      <c r="AH74" s="7">
        <f t="shared" ref="AH74:AH76" si="125">V74</f>
        <v>0</v>
      </c>
      <c r="AI74" s="7">
        <f t="shared" ref="AI74:AI76" si="126">W74</f>
        <v>0</v>
      </c>
      <c r="AJ74" s="7">
        <f t="shared" ref="AJ74:AJ76" si="127">X74</f>
        <v>0</v>
      </c>
      <c r="AK74" s="7">
        <f t="shared" ref="AK74:AK76" si="128">Y74</f>
        <v>0</v>
      </c>
      <c r="AL74" s="7">
        <f t="shared" ref="AL74:AL76" si="129">Z74</f>
        <v>0</v>
      </c>
      <c r="AM74" s="7">
        <f t="shared" ref="AM74:AM76" si="130">AA74</f>
        <v>0</v>
      </c>
      <c r="AN74" s="7">
        <f t="shared" ref="AN74:AN76" si="131">AB74</f>
        <v>0</v>
      </c>
      <c r="AO74" s="7">
        <f t="shared" ref="AO74:AO76" si="132">AC74</f>
        <v>0</v>
      </c>
      <c r="AP74" s="7">
        <f t="shared" ref="AP74:AP76" si="133">AD74</f>
        <v>0</v>
      </c>
      <c r="AQ74" s="7">
        <f t="shared" ref="AQ74:AQ76" si="134">AE74</f>
        <v>0</v>
      </c>
      <c r="AR74" s="7">
        <f t="shared" ref="AR74:AR76" si="135">AF74</f>
        <v>0</v>
      </c>
      <c r="AS74" s="7">
        <f t="shared" ref="AS74:AS76" si="136">AG74</f>
        <v>0</v>
      </c>
      <c r="AT74" s="7">
        <f t="shared" ref="AT74:AT76" si="137">AH74</f>
        <v>0</v>
      </c>
      <c r="AU74" s="7">
        <f t="shared" ref="AU74:AU76" si="138">AI74</f>
        <v>0</v>
      </c>
      <c r="AV74" s="7">
        <f t="shared" ref="AV74:AV76" si="139">AJ74</f>
        <v>0</v>
      </c>
      <c r="AW74" s="7">
        <f t="shared" ref="AW74:AW76" si="140">AK74</f>
        <v>0</v>
      </c>
      <c r="AX74" s="7">
        <f t="shared" ref="AX74:AX76" si="141">AL74</f>
        <v>0</v>
      </c>
      <c r="AY74" s="7">
        <f t="shared" ref="AY74:AY76" si="142">AM74</f>
        <v>0</v>
      </c>
      <c r="AZ74" s="7">
        <f t="shared" ref="AZ74:AZ76" si="143">AN74</f>
        <v>0</v>
      </c>
      <c r="BA74" s="7">
        <f t="shared" ref="BA74:BA76" si="144">AO74</f>
        <v>0</v>
      </c>
      <c r="BB74" s="7">
        <f t="shared" ref="BB74:BB76" si="145">AP74</f>
        <v>0</v>
      </c>
      <c r="BC74" s="7">
        <f t="shared" ref="BC74:BC76" si="146">AQ74</f>
        <v>0</v>
      </c>
      <c r="BD74" s="7">
        <f t="shared" ref="BD74:BD76" si="147">AR74</f>
        <v>0</v>
      </c>
      <c r="BE74" s="7">
        <f t="shared" ref="BE74:BE76" si="148">AS74</f>
        <v>0</v>
      </c>
      <c r="BF74" s="7">
        <f t="shared" ref="BF74:BF76" si="149">AT74</f>
        <v>0</v>
      </c>
      <c r="BG74" s="7">
        <f t="shared" ref="BG74:BG76" si="150">AU74</f>
        <v>0</v>
      </c>
      <c r="BH74" s="7">
        <f t="shared" ref="BH74:BH76" si="151">AV74</f>
        <v>0</v>
      </c>
      <c r="BI74" s="7">
        <f t="shared" ref="BI74:BI76" si="152">AW74</f>
        <v>0</v>
      </c>
      <c r="BJ74" s="7">
        <f t="shared" ref="BJ74:BJ76" si="153">AX74</f>
        <v>0</v>
      </c>
      <c r="BK74" s="7">
        <f t="shared" ref="BK74:BK76" si="154">AY74</f>
        <v>0</v>
      </c>
      <c r="BL74" s="7">
        <f t="shared" ref="BL74:BL76" si="155">AZ74</f>
        <v>0</v>
      </c>
      <c r="BM74" s="7">
        <f t="shared" ref="BM74:BM76" si="156">BA74</f>
        <v>0</v>
      </c>
      <c r="BN74" s="7">
        <f t="shared" ref="BN74:BN76" si="157">BB74</f>
        <v>0</v>
      </c>
      <c r="BO74" s="7">
        <f t="shared" ref="BO74:BO76" si="158">BC74</f>
        <v>0</v>
      </c>
      <c r="BP74" s="7">
        <f t="shared" ref="BP74:BP76" si="159">BD74</f>
        <v>0</v>
      </c>
      <c r="BQ74" s="7">
        <f t="shared" ref="BQ74:BQ76" si="160">BE74</f>
        <v>0</v>
      </c>
      <c r="BR74" s="7">
        <f t="shared" ref="BR74:BR76" si="161">BF74</f>
        <v>0</v>
      </c>
      <c r="BS74" s="7">
        <f t="shared" ref="BS74:BS76" si="162">BG74</f>
        <v>0</v>
      </c>
      <c r="BT74" s="7">
        <f t="shared" ref="BT74:BT76" si="163">BH74</f>
        <v>0</v>
      </c>
      <c r="BU74" s="7">
        <f t="shared" ref="BU74:BU76" si="164">BI74</f>
        <v>0</v>
      </c>
      <c r="BV74" s="7">
        <f t="shared" ref="BV74:BV76" si="165">BJ74</f>
        <v>0</v>
      </c>
      <c r="BW74" s="7">
        <f t="shared" ref="BW74:BW76" si="166">BK74</f>
        <v>0</v>
      </c>
      <c r="BX74" s="7">
        <f t="shared" ref="BX74:BX76" si="167">BL74</f>
        <v>0</v>
      </c>
      <c r="BY74" s="7">
        <f t="shared" ref="BY74:BY76" si="168">BM74</f>
        <v>0</v>
      </c>
      <c r="BZ74" s="7">
        <f t="shared" ref="BZ74:BZ76" si="169">BN74</f>
        <v>0</v>
      </c>
      <c r="CA74" s="7">
        <f t="shared" ref="CA74:CA76" si="170">BO74</f>
        <v>0</v>
      </c>
      <c r="CB74" s="7">
        <f t="shared" ref="CB74:CB76" si="171">BP74</f>
        <v>0</v>
      </c>
      <c r="CC74" s="7">
        <f t="shared" ref="CC74:CC76" si="172">BQ74</f>
        <v>0</v>
      </c>
      <c r="CD74" s="7">
        <f t="shared" ref="CD74:CD76" si="173">BR74</f>
        <v>0</v>
      </c>
      <c r="CE74" s="7">
        <f t="shared" ref="CE74:CE76" si="174">BS74</f>
        <v>0</v>
      </c>
      <c r="CF74" s="7">
        <f t="shared" ref="CF74:CF76" si="175">BT74</f>
        <v>0</v>
      </c>
      <c r="CG74" s="7">
        <f t="shared" ref="CG74:CG76" si="176">BU74</f>
        <v>0</v>
      </c>
      <c r="CH74" s="7">
        <f t="shared" ref="CH74:CH76" si="177">BV74</f>
        <v>0</v>
      </c>
      <c r="CI74" s="7">
        <f t="shared" ref="CI74:CI76" si="178">BW74</f>
        <v>0</v>
      </c>
    </row>
    <row r="75" spans="1:89" x14ac:dyDescent="0.2">
      <c r="A75" s="2">
        <v>66</v>
      </c>
      <c r="B75" s="2" t="s">
        <v>33</v>
      </c>
      <c r="C75" s="511">
        <f>'Rate Design'!S24</f>
        <v>0.71249999999999991</v>
      </c>
      <c r="D75" s="71">
        <f>'Bill Frequency'!C64+'Contract &amp; Vol Adj'!C64</f>
        <v>0</v>
      </c>
      <c r="E75" s="71">
        <f>'Bill Frequency'!D64+'Contract &amp; Vol Adj'!D64</f>
        <v>0</v>
      </c>
      <c r="F75" s="71">
        <f>'Bill Frequency'!E64+'Contract &amp; Vol Adj'!E64</f>
        <v>0</v>
      </c>
      <c r="G75" s="71">
        <f>'Bill Frequency'!F64+'Contract &amp; Vol Adj'!F64</f>
        <v>0</v>
      </c>
      <c r="H75" s="71">
        <f>'Bill Frequency'!G64+'Contract &amp; Vol Adj'!G64</f>
        <v>0</v>
      </c>
      <c r="I75" s="71">
        <f>'Bill Frequency'!H64+'Contract &amp; Vol Adj'!H64</f>
        <v>0</v>
      </c>
      <c r="J75" s="71">
        <f>'Bill Frequency'!I64+'Contract &amp; Vol Adj'!I64</f>
        <v>0</v>
      </c>
      <c r="K75" s="71">
        <f>'Bill Frequency'!J64+'Contract &amp; Vol Adj'!J64</f>
        <v>0</v>
      </c>
      <c r="L75" s="71">
        <f>'Bill Frequency'!K64+'Contract &amp; Vol Adj'!K64</f>
        <v>0</v>
      </c>
      <c r="M75" s="71">
        <f>'Bill Frequency'!L64+'Contract &amp; Vol Adj'!L64</f>
        <v>0</v>
      </c>
      <c r="N75" s="71">
        <f>'Bill Frequency'!M64+'Contract &amp; Vol Adj'!M64</f>
        <v>0</v>
      </c>
      <c r="O75" s="71">
        <f>'Bill Frequency'!N64+'Contract &amp; Vol Adj'!N64</f>
        <v>0</v>
      </c>
      <c r="P75" s="7">
        <f t="shared" si="107"/>
        <v>0</v>
      </c>
      <c r="Q75" s="7">
        <f t="shared" si="108"/>
        <v>0</v>
      </c>
      <c r="R75" s="7">
        <f t="shared" si="109"/>
        <v>0</v>
      </c>
      <c r="S75" s="7">
        <f t="shared" si="110"/>
        <v>0</v>
      </c>
      <c r="T75" s="7">
        <f t="shared" si="111"/>
        <v>0</v>
      </c>
      <c r="U75" s="7">
        <f t="shared" si="112"/>
        <v>0</v>
      </c>
      <c r="V75" s="7">
        <f t="shared" si="113"/>
        <v>0</v>
      </c>
      <c r="W75" s="7">
        <f t="shared" si="114"/>
        <v>0</v>
      </c>
      <c r="X75" s="7">
        <f t="shared" si="115"/>
        <v>0</v>
      </c>
      <c r="Y75" s="7">
        <f t="shared" si="116"/>
        <v>0</v>
      </c>
      <c r="Z75" s="7">
        <f t="shared" si="117"/>
        <v>0</v>
      </c>
      <c r="AA75" s="7">
        <f t="shared" si="118"/>
        <v>0</v>
      </c>
      <c r="AB75" s="7">
        <f t="shared" si="119"/>
        <v>0</v>
      </c>
      <c r="AC75" s="7">
        <f t="shared" si="120"/>
        <v>0</v>
      </c>
      <c r="AD75" s="7">
        <f t="shared" si="121"/>
        <v>0</v>
      </c>
      <c r="AE75" s="7">
        <f t="shared" si="122"/>
        <v>0</v>
      </c>
      <c r="AF75" s="7">
        <f t="shared" si="123"/>
        <v>0</v>
      </c>
      <c r="AG75" s="7">
        <f t="shared" si="124"/>
        <v>0</v>
      </c>
      <c r="AH75" s="7">
        <f t="shared" si="125"/>
        <v>0</v>
      </c>
      <c r="AI75" s="7">
        <f t="shared" si="126"/>
        <v>0</v>
      </c>
      <c r="AJ75" s="7">
        <f t="shared" si="127"/>
        <v>0</v>
      </c>
      <c r="AK75" s="7">
        <f t="shared" si="128"/>
        <v>0</v>
      </c>
      <c r="AL75" s="7">
        <f t="shared" si="129"/>
        <v>0</v>
      </c>
      <c r="AM75" s="7">
        <f t="shared" si="130"/>
        <v>0</v>
      </c>
      <c r="AN75" s="7">
        <f t="shared" si="131"/>
        <v>0</v>
      </c>
      <c r="AO75" s="7">
        <f t="shared" si="132"/>
        <v>0</v>
      </c>
      <c r="AP75" s="7">
        <f t="shared" si="133"/>
        <v>0</v>
      </c>
      <c r="AQ75" s="7">
        <f t="shared" si="134"/>
        <v>0</v>
      </c>
      <c r="AR75" s="7">
        <f t="shared" si="135"/>
        <v>0</v>
      </c>
      <c r="AS75" s="7">
        <f t="shared" si="136"/>
        <v>0</v>
      </c>
      <c r="AT75" s="7">
        <f t="shared" si="137"/>
        <v>0</v>
      </c>
      <c r="AU75" s="7">
        <f t="shared" si="138"/>
        <v>0</v>
      </c>
      <c r="AV75" s="7">
        <f t="shared" si="139"/>
        <v>0</v>
      </c>
      <c r="AW75" s="7">
        <f t="shared" si="140"/>
        <v>0</v>
      </c>
      <c r="AX75" s="7">
        <f t="shared" si="141"/>
        <v>0</v>
      </c>
      <c r="AY75" s="7">
        <f t="shared" si="142"/>
        <v>0</v>
      </c>
      <c r="AZ75" s="7">
        <f t="shared" si="143"/>
        <v>0</v>
      </c>
      <c r="BA75" s="7">
        <f t="shared" si="144"/>
        <v>0</v>
      </c>
      <c r="BB75" s="7">
        <f t="shared" si="145"/>
        <v>0</v>
      </c>
      <c r="BC75" s="7">
        <f t="shared" si="146"/>
        <v>0</v>
      </c>
      <c r="BD75" s="7">
        <f t="shared" si="147"/>
        <v>0</v>
      </c>
      <c r="BE75" s="7">
        <f t="shared" si="148"/>
        <v>0</v>
      </c>
      <c r="BF75" s="7">
        <f t="shared" si="149"/>
        <v>0</v>
      </c>
      <c r="BG75" s="7">
        <f t="shared" si="150"/>
        <v>0</v>
      </c>
      <c r="BH75" s="7">
        <f t="shared" si="151"/>
        <v>0</v>
      </c>
      <c r="BI75" s="7">
        <f t="shared" si="152"/>
        <v>0</v>
      </c>
      <c r="BJ75" s="7">
        <f t="shared" si="153"/>
        <v>0</v>
      </c>
      <c r="BK75" s="7">
        <f t="shared" si="154"/>
        <v>0</v>
      </c>
      <c r="BL75" s="7">
        <f t="shared" si="155"/>
        <v>0</v>
      </c>
      <c r="BM75" s="7">
        <f t="shared" si="156"/>
        <v>0</v>
      </c>
      <c r="BN75" s="7">
        <f t="shared" si="157"/>
        <v>0</v>
      </c>
      <c r="BO75" s="7">
        <f t="shared" si="158"/>
        <v>0</v>
      </c>
      <c r="BP75" s="7">
        <f t="shared" si="159"/>
        <v>0</v>
      </c>
      <c r="BQ75" s="7">
        <f t="shared" si="160"/>
        <v>0</v>
      </c>
      <c r="BR75" s="7">
        <f t="shared" si="161"/>
        <v>0</v>
      </c>
      <c r="BS75" s="7">
        <f t="shared" si="162"/>
        <v>0</v>
      </c>
      <c r="BT75" s="7">
        <f t="shared" si="163"/>
        <v>0</v>
      </c>
      <c r="BU75" s="7">
        <f t="shared" si="164"/>
        <v>0</v>
      </c>
      <c r="BV75" s="7">
        <f t="shared" si="165"/>
        <v>0</v>
      </c>
      <c r="BW75" s="7">
        <f t="shared" si="166"/>
        <v>0</v>
      </c>
      <c r="BX75" s="7">
        <f t="shared" si="167"/>
        <v>0</v>
      </c>
      <c r="BY75" s="7">
        <f t="shared" si="168"/>
        <v>0</v>
      </c>
      <c r="BZ75" s="7">
        <f t="shared" si="169"/>
        <v>0</v>
      </c>
      <c r="CA75" s="7">
        <f t="shared" si="170"/>
        <v>0</v>
      </c>
      <c r="CB75" s="7">
        <f t="shared" si="171"/>
        <v>0</v>
      </c>
      <c r="CC75" s="7">
        <f t="shared" si="172"/>
        <v>0</v>
      </c>
      <c r="CD75" s="7">
        <f t="shared" si="173"/>
        <v>0</v>
      </c>
      <c r="CE75" s="7">
        <f t="shared" si="174"/>
        <v>0</v>
      </c>
      <c r="CF75" s="7">
        <f t="shared" si="175"/>
        <v>0</v>
      </c>
      <c r="CG75" s="7">
        <f t="shared" si="176"/>
        <v>0</v>
      </c>
      <c r="CH75" s="7">
        <f t="shared" si="177"/>
        <v>0</v>
      </c>
      <c r="CI75" s="7">
        <f t="shared" si="178"/>
        <v>0</v>
      </c>
    </row>
    <row r="76" spans="1:89" x14ac:dyDescent="0.2">
      <c r="A76" s="2">
        <v>67</v>
      </c>
      <c r="B76" s="2" t="s">
        <v>645</v>
      </c>
      <c r="C76" s="511">
        <f>'Rate Design'!S25</f>
        <v>0.55499999999999994</v>
      </c>
      <c r="D76" s="71">
        <f>'Bill Frequency'!C65+'Contract &amp; Vol Adj'!C65</f>
        <v>10434</v>
      </c>
      <c r="E76" s="71">
        <f>'Bill Frequency'!D65+'Contract &amp; Vol Adj'!D65</f>
        <v>16523</v>
      </c>
      <c r="F76" s="71">
        <f>'Bill Frequency'!E65+'Contract &amp; Vol Adj'!E65</f>
        <v>15048</v>
      </c>
      <c r="G76" s="71">
        <f>'Bill Frequency'!F65+'Contract &amp; Vol Adj'!F65</f>
        <v>15000</v>
      </c>
      <c r="H76" s="71">
        <f>'Bill Frequency'!G65+'Contract &amp; Vol Adj'!G65</f>
        <v>16271</v>
      </c>
      <c r="I76" s="71">
        <f>'Bill Frequency'!H65+'Contract &amp; Vol Adj'!H65</f>
        <v>14213</v>
      </c>
      <c r="J76" s="71">
        <f>'Bill Frequency'!I65+'Contract &amp; Vol Adj'!I65</f>
        <v>25293</v>
      </c>
      <c r="K76" s="71">
        <f>'Bill Frequency'!J65+'Contract &amp; Vol Adj'!J65</f>
        <v>18199</v>
      </c>
      <c r="L76" s="71">
        <f>'Bill Frequency'!K65+'Contract &amp; Vol Adj'!K65</f>
        <v>24758</v>
      </c>
      <c r="M76" s="71">
        <f>'Bill Frequency'!L65+'Contract &amp; Vol Adj'!L65</f>
        <v>17435</v>
      </c>
      <c r="N76" s="71">
        <f>'Bill Frequency'!M65+'Contract &amp; Vol Adj'!M65</f>
        <v>19507</v>
      </c>
      <c r="O76" s="71">
        <f>'Bill Frequency'!N65+'Contract &amp; Vol Adj'!N65</f>
        <v>19934</v>
      </c>
      <c r="P76" s="7">
        <f t="shared" si="107"/>
        <v>10434</v>
      </c>
      <c r="Q76" s="7">
        <f t="shared" si="108"/>
        <v>16523</v>
      </c>
      <c r="R76" s="7">
        <f t="shared" si="109"/>
        <v>15048</v>
      </c>
      <c r="S76" s="7">
        <f t="shared" si="110"/>
        <v>15000</v>
      </c>
      <c r="T76" s="7">
        <f t="shared" si="111"/>
        <v>16271</v>
      </c>
      <c r="U76" s="7">
        <f t="shared" si="112"/>
        <v>14213</v>
      </c>
      <c r="V76" s="7">
        <f t="shared" si="113"/>
        <v>25293</v>
      </c>
      <c r="W76" s="7">
        <f t="shared" si="114"/>
        <v>18199</v>
      </c>
      <c r="X76" s="7">
        <f t="shared" si="115"/>
        <v>24758</v>
      </c>
      <c r="Y76" s="7">
        <f t="shared" si="116"/>
        <v>17435</v>
      </c>
      <c r="Z76" s="7">
        <f t="shared" si="117"/>
        <v>19507</v>
      </c>
      <c r="AA76" s="7">
        <f t="shared" si="118"/>
        <v>19934</v>
      </c>
      <c r="AB76" s="7">
        <f t="shared" si="119"/>
        <v>10434</v>
      </c>
      <c r="AC76" s="7">
        <f t="shared" si="120"/>
        <v>16523</v>
      </c>
      <c r="AD76" s="7">
        <f t="shared" si="121"/>
        <v>15048</v>
      </c>
      <c r="AE76" s="7">
        <f t="shared" si="122"/>
        <v>15000</v>
      </c>
      <c r="AF76" s="7">
        <f t="shared" si="123"/>
        <v>16271</v>
      </c>
      <c r="AG76" s="7">
        <f t="shared" si="124"/>
        <v>14213</v>
      </c>
      <c r="AH76" s="7">
        <f t="shared" si="125"/>
        <v>25293</v>
      </c>
      <c r="AI76" s="7">
        <f t="shared" si="126"/>
        <v>18199</v>
      </c>
      <c r="AJ76" s="7">
        <f t="shared" si="127"/>
        <v>24758</v>
      </c>
      <c r="AK76" s="7">
        <f t="shared" si="128"/>
        <v>17435</v>
      </c>
      <c r="AL76" s="7">
        <f t="shared" si="129"/>
        <v>19507</v>
      </c>
      <c r="AM76" s="7">
        <f t="shared" si="130"/>
        <v>19934</v>
      </c>
      <c r="AN76" s="7">
        <f t="shared" si="131"/>
        <v>10434</v>
      </c>
      <c r="AO76" s="7">
        <f t="shared" si="132"/>
        <v>16523</v>
      </c>
      <c r="AP76" s="7">
        <f t="shared" si="133"/>
        <v>15048</v>
      </c>
      <c r="AQ76" s="7">
        <f t="shared" si="134"/>
        <v>15000</v>
      </c>
      <c r="AR76" s="7">
        <f t="shared" si="135"/>
        <v>16271</v>
      </c>
      <c r="AS76" s="7">
        <f t="shared" si="136"/>
        <v>14213</v>
      </c>
      <c r="AT76" s="7">
        <f t="shared" si="137"/>
        <v>25293</v>
      </c>
      <c r="AU76" s="7">
        <f t="shared" si="138"/>
        <v>18199</v>
      </c>
      <c r="AV76" s="7">
        <f t="shared" si="139"/>
        <v>24758</v>
      </c>
      <c r="AW76" s="7">
        <f t="shared" si="140"/>
        <v>17435</v>
      </c>
      <c r="AX76" s="7">
        <f t="shared" si="141"/>
        <v>19507</v>
      </c>
      <c r="AY76" s="7">
        <f t="shared" si="142"/>
        <v>19934</v>
      </c>
      <c r="AZ76" s="7">
        <f t="shared" si="143"/>
        <v>10434</v>
      </c>
      <c r="BA76" s="7">
        <f t="shared" si="144"/>
        <v>16523</v>
      </c>
      <c r="BB76" s="7">
        <f t="shared" si="145"/>
        <v>15048</v>
      </c>
      <c r="BC76" s="7">
        <f t="shared" si="146"/>
        <v>15000</v>
      </c>
      <c r="BD76" s="7">
        <f t="shared" si="147"/>
        <v>16271</v>
      </c>
      <c r="BE76" s="7">
        <f t="shared" si="148"/>
        <v>14213</v>
      </c>
      <c r="BF76" s="7">
        <f t="shared" si="149"/>
        <v>25293</v>
      </c>
      <c r="BG76" s="7">
        <f t="shared" si="150"/>
        <v>18199</v>
      </c>
      <c r="BH76" s="7">
        <f t="shared" si="151"/>
        <v>24758</v>
      </c>
      <c r="BI76" s="7">
        <f t="shared" si="152"/>
        <v>17435</v>
      </c>
      <c r="BJ76" s="7">
        <f t="shared" si="153"/>
        <v>19507</v>
      </c>
      <c r="BK76" s="7">
        <f t="shared" si="154"/>
        <v>19934</v>
      </c>
      <c r="BL76" s="7">
        <f t="shared" si="155"/>
        <v>10434</v>
      </c>
      <c r="BM76" s="7">
        <f t="shared" si="156"/>
        <v>16523</v>
      </c>
      <c r="BN76" s="7">
        <f t="shared" si="157"/>
        <v>15048</v>
      </c>
      <c r="BO76" s="7">
        <f t="shared" si="158"/>
        <v>15000</v>
      </c>
      <c r="BP76" s="7">
        <f t="shared" si="159"/>
        <v>16271</v>
      </c>
      <c r="BQ76" s="7">
        <f t="shared" si="160"/>
        <v>14213</v>
      </c>
      <c r="BR76" s="7">
        <f t="shared" si="161"/>
        <v>25293</v>
      </c>
      <c r="BS76" s="7">
        <f t="shared" si="162"/>
        <v>18199</v>
      </c>
      <c r="BT76" s="7">
        <f t="shared" si="163"/>
        <v>24758</v>
      </c>
      <c r="BU76" s="7">
        <f t="shared" si="164"/>
        <v>17435</v>
      </c>
      <c r="BV76" s="7">
        <f t="shared" si="165"/>
        <v>19507</v>
      </c>
      <c r="BW76" s="7">
        <f t="shared" si="166"/>
        <v>19934</v>
      </c>
      <c r="BX76" s="7">
        <f t="shared" si="167"/>
        <v>10434</v>
      </c>
      <c r="BY76" s="7">
        <f t="shared" si="168"/>
        <v>16523</v>
      </c>
      <c r="BZ76" s="7">
        <f t="shared" si="169"/>
        <v>15048</v>
      </c>
      <c r="CA76" s="7">
        <f t="shared" si="170"/>
        <v>15000</v>
      </c>
      <c r="CB76" s="7">
        <f t="shared" si="171"/>
        <v>16271</v>
      </c>
      <c r="CC76" s="7">
        <f t="shared" si="172"/>
        <v>14213</v>
      </c>
      <c r="CD76" s="7">
        <f t="shared" si="173"/>
        <v>25293</v>
      </c>
      <c r="CE76" s="7">
        <f t="shared" si="174"/>
        <v>18199</v>
      </c>
      <c r="CF76" s="7">
        <f t="shared" si="175"/>
        <v>24758</v>
      </c>
      <c r="CG76" s="7">
        <f t="shared" si="176"/>
        <v>17435</v>
      </c>
      <c r="CH76" s="7">
        <f t="shared" si="177"/>
        <v>19507</v>
      </c>
      <c r="CI76" s="7">
        <f t="shared" si="178"/>
        <v>19934</v>
      </c>
    </row>
    <row r="77" spans="1:89" x14ac:dyDescent="0.2">
      <c r="A77" s="2">
        <v>68</v>
      </c>
      <c r="B77" s="33" t="s">
        <v>79</v>
      </c>
      <c r="C77" s="32"/>
      <c r="D77" s="32">
        <f>D74+D75+D76</f>
        <v>10434</v>
      </c>
      <c r="E77" s="32">
        <f t="shared" ref="E77:BP77" si="179">E74+E75+E76</f>
        <v>16523</v>
      </c>
      <c r="F77" s="32">
        <f t="shared" si="179"/>
        <v>15048</v>
      </c>
      <c r="G77" s="32">
        <f t="shared" si="179"/>
        <v>15000</v>
      </c>
      <c r="H77" s="32">
        <f t="shared" si="179"/>
        <v>16271</v>
      </c>
      <c r="I77" s="32">
        <f t="shared" si="179"/>
        <v>14213</v>
      </c>
      <c r="J77" s="32">
        <f t="shared" si="179"/>
        <v>25293</v>
      </c>
      <c r="K77" s="32">
        <f t="shared" si="179"/>
        <v>18199</v>
      </c>
      <c r="L77" s="32">
        <f t="shared" si="179"/>
        <v>24758</v>
      </c>
      <c r="M77" s="32">
        <f t="shared" si="179"/>
        <v>17435</v>
      </c>
      <c r="N77" s="32">
        <f t="shared" si="179"/>
        <v>19507</v>
      </c>
      <c r="O77" s="32">
        <f t="shared" si="179"/>
        <v>19934</v>
      </c>
      <c r="P77" s="32">
        <f t="shared" si="179"/>
        <v>10434</v>
      </c>
      <c r="Q77" s="32">
        <f t="shared" si="179"/>
        <v>16523</v>
      </c>
      <c r="R77" s="32">
        <f t="shared" si="179"/>
        <v>15048</v>
      </c>
      <c r="S77" s="32">
        <f t="shared" si="179"/>
        <v>15000</v>
      </c>
      <c r="T77" s="32">
        <f t="shared" si="179"/>
        <v>16271</v>
      </c>
      <c r="U77" s="32">
        <f t="shared" si="179"/>
        <v>14213</v>
      </c>
      <c r="V77" s="32">
        <f t="shared" si="179"/>
        <v>25293</v>
      </c>
      <c r="W77" s="32">
        <f t="shared" si="179"/>
        <v>18199</v>
      </c>
      <c r="X77" s="32">
        <f t="shared" si="179"/>
        <v>24758</v>
      </c>
      <c r="Y77" s="32">
        <f t="shared" si="179"/>
        <v>17435</v>
      </c>
      <c r="Z77" s="32">
        <f t="shared" si="179"/>
        <v>19507</v>
      </c>
      <c r="AA77" s="32">
        <f t="shared" si="179"/>
        <v>19934</v>
      </c>
      <c r="AB77" s="32">
        <f t="shared" si="179"/>
        <v>10434</v>
      </c>
      <c r="AC77" s="32">
        <f t="shared" si="179"/>
        <v>16523</v>
      </c>
      <c r="AD77" s="32">
        <f t="shared" si="179"/>
        <v>15048</v>
      </c>
      <c r="AE77" s="32">
        <f t="shared" si="179"/>
        <v>15000</v>
      </c>
      <c r="AF77" s="32">
        <f t="shared" si="179"/>
        <v>16271</v>
      </c>
      <c r="AG77" s="32">
        <f t="shared" si="179"/>
        <v>14213</v>
      </c>
      <c r="AH77" s="32">
        <f t="shared" si="179"/>
        <v>25293</v>
      </c>
      <c r="AI77" s="32">
        <f t="shared" si="179"/>
        <v>18199</v>
      </c>
      <c r="AJ77" s="32">
        <f t="shared" si="179"/>
        <v>24758</v>
      </c>
      <c r="AK77" s="32">
        <f t="shared" si="179"/>
        <v>17435</v>
      </c>
      <c r="AL77" s="32">
        <f t="shared" si="179"/>
        <v>19507</v>
      </c>
      <c r="AM77" s="32">
        <f t="shared" si="179"/>
        <v>19934</v>
      </c>
      <c r="AN77" s="32">
        <f t="shared" si="179"/>
        <v>10434</v>
      </c>
      <c r="AO77" s="32">
        <f t="shared" si="179"/>
        <v>16523</v>
      </c>
      <c r="AP77" s="32">
        <f t="shared" si="179"/>
        <v>15048</v>
      </c>
      <c r="AQ77" s="32">
        <f t="shared" si="179"/>
        <v>15000</v>
      </c>
      <c r="AR77" s="32">
        <f t="shared" si="179"/>
        <v>16271</v>
      </c>
      <c r="AS77" s="32">
        <f t="shared" si="179"/>
        <v>14213</v>
      </c>
      <c r="AT77" s="32">
        <f t="shared" si="179"/>
        <v>25293</v>
      </c>
      <c r="AU77" s="32">
        <f t="shared" si="179"/>
        <v>18199</v>
      </c>
      <c r="AV77" s="32">
        <f t="shared" si="179"/>
        <v>24758</v>
      </c>
      <c r="AW77" s="32">
        <f t="shared" si="179"/>
        <v>17435</v>
      </c>
      <c r="AX77" s="32">
        <f t="shared" si="179"/>
        <v>19507</v>
      </c>
      <c r="AY77" s="32">
        <f t="shared" si="179"/>
        <v>19934</v>
      </c>
      <c r="AZ77" s="32">
        <f t="shared" si="179"/>
        <v>10434</v>
      </c>
      <c r="BA77" s="32">
        <f t="shared" si="179"/>
        <v>16523</v>
      </c>
      <c r="BB77" s="32">
        <f t="shared" si="179"/>
        <v>15048</v>
      </c>
      <c r="BC77" s="32">
        <f t="shared" si="179"/>
        <v>15000</v>
      </c>
      <c r="BD77" s="32">
        <f t="shared" si="179"/>
        <v>16271</v>
      </c>
      <c r="BE77" s="32">
        <f t="shared" si="179"/>
        <v>14213</v>
      </c>
      <c r="BF77" s="32">
        <f t="shared" si="179"/>
        <v>25293</v>
      </c>
      <c r="BG77" s="32">
        <f t="shared" si="179"/>
        <v>18199</v>
      </c>
      <c r="BH77" s="32">
        <f t="shared" si="179"/>
        <v>24758</v>
      </c>
      <c r="BI77" s="32">
        <f t="shared" si="179"/>
        <v>17435</v>
      </c>
      <c r="BJ77" s="32">
        <f t="shared" si="179"/>
        <v>19507</v>
      </c>
      <c r="BK77" s="32">
        <f t="shared" si="179"/>
        <v>19934</v>
      </c>
      <c r="BL77" s="32">
        <f t="shared" si="179"/>
        <v>10434</v>
      </c>
      <c r="BM77" s="32">
        <f t="shared" si="179"/>
        <v>16523</v>
      </c>
      <c r="BN77" s="32">
        <f t="shared" si="179"/>
        <v>15048</v>
      </c>
      <c r="BO77" s="32">
        <f t="shared" si="179"/>
        <v>15000</v>
      </c>
      <c r="BP77" s="32">
        <f t="shared" si="179"/>
        <v>16271</v>
      </c>
      <c r="BQ77" s="32">
        <f t="shared" ref="BQ77:CI77" si="180">BQ74+BQ75+BQ76</f>
        <v>14213</v>
      </c>
      <c r="BR77" s="32">
        <f t="shared" si="180"/>
        <v>25293</v>
      </c>
      <c r="BS77" s="32">
        <f t="shared" si="180"/>
        <v>18199</v>
      </c>
      <c r="BT77" s="32">
        <f t="shared" si="180"/>
        <v>24758</v>
      </c>
      <c r="BU77" s="32">
        <f t="shared" si="180"/>
        <v>17435</v>
      </c>
      <c r="BV77" s="32">
        <f t="shared" si="180"/>
        <v>19507</v>
      </c>
      <c r="BW77" s="32">
        <f t="shared" si="180"/>
        <v>19934</v>
      </c>
      <c r="BX77" s="32">
        <f t="shared" si="180"/>
        <v>10434</v>
      </c>
      <c r="BY77" s="32">
        <f t="shared" si="180"/>
        <v>16523</v>
      </c>
      <c r="BZ77" s="32">
        <f t="shared" si="180"/>
        <v>15048</v>
      </c>
      <c r="CA77" s="32">
        <f t="shared" si="180"/>
        <v>15000</v>
      </c>
      <c r="CB77" s="32">
        <f t="shared" si="180"/>
        <v>16271</v>
      </c>
      <c r="CC77" s="32">
        <f t="shared" si="180"/>
        <v>14213</v>
      </c>
      <c r="CD77" s="32">
        <f t="shared" si="180"/>
        <v>25293</v>
      </c>
      <c r="CE77" s="32">
        <f t="shared" si="180"/>
        <v>18199</v>
      </c>
      <c r="CF77" s="32">
        <f t="shared" si="180"/>
        <v>24758</v>
      </c>
      <c r="CG77" s="32">
        <f t="shared" si="180"/>
        <v>17435</v>
      </c>
      <c r="CH77" s="32">
        <f t="shared" si="180"/>
        <v>19507</v>
      </c>
      <c r="CI77" s="32">
        <f t="shared" si="180"/>
        <v>19934</v>
      </c>
    </row>
    <row r="78" spans="1:89" x14ac:dyDescent="0.2">
      <c r="A78" s="2">
        <v>69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17"/>
      <c r="V78" s="17"/>
      <c r="W78" s="17"/>
      <c r="X78" s="17"/>
      <c r="Y78" s="17"/>
      <c r="Z78" s="24"/>
      <c r="AA78" s="23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</row>
    <row r="79" spans="1:89" x14ac:dyDescent="0.2">
      <c r="A79" s="2">
        <v>70</v>
      </c>
      <c r="B79" s="172" t="s">
        <v>89</v>
      </c>
      <c r="C79" s="2"/>
      <c r="D79" s="103">
        <f t="shared" ref="D79:AI79" si="181">D80*$C$80+D84*$C$84+D85*$C$85+D81+D82+D83</f>
        <v>505922.05733451771</v>
      </c>
      <c r="E79" s="103">
        <f t="shared" si="181"/>
        <v>550386.4086882961</v>
      </c>
      <c r="F79" s="103">
        <f t="shared" si="181"/>
        <v>562168.03640710807</v>
      </c>
      <c r="G79" s="103">
        <f t="shared" si="181"/>
        <v>607696.41978141107</v>
      </c>
      <c r="H79" s="103">
        <f t="shared" si="181"/>
        <v>638642.7199285829</v>
      </c>
      <c r="I79" s="103">
        <f t="shared" si="181"/>
        <v>674586.84000701027</v>
      </c>
      <c r="J79" s="103">
        <f t="shared" si="181"/>
        <v>687767.96034243726</v>
      </c>
      <c r="K79" s="103">
        <f t="shared" si="181"/>
        <v>610289.14323496562</v>
      </c>
      <c r="L79" s="103">
        <f t="shared" si="181"/>
        <v>662520.79334440245</v>
      </c>
      <c r="M79" s="103">
        <f t="shared" si="181"/>
        <v>588305.14733247948</v>
      </c>
      <c r="N79" s="103">
        <f t="shared" si="181"/>
        <v>604740.63685157546</v>
      </c>
      <c r="O79" s="103">
        <f t="shared" si="181"/>
        <v>570261.27056778909</v>
      </c>
      <c r="P79" s="103">
        <f t="shared" si="181"/>
        <v>505922.05733451771</v>
      </c>
      <c r="Q79" s="103">
        <f t="shared" si="181"/>
        <v>550386.4086882961</v>
      </c>
      <c r="R79" s="103">
        <f t="shared" si="181"/>
        <v>562168.03640710807</v>
      </c>
      <c r="S79" s="103">
        <f t="shared" si="181"/>
        <v>607696.41978141107</v>
      </c>
      <c r="T79" s="103">
        <f t="shared" si="181"/>
        <v>638642.7199285829</v>
      </c>
      <c r="U79" s="103">
        <f t="shared" si="181"/>
        <v>674586.84000701027</v>
      </c>
      <c r="V79" s="103">
        <f t="shared" si="181"/>
        <v>687767.96034243726</v>
      </c>
      <c r="W79" s="103">
        <f t="shared" si="181"/>
        <v>610289.14323496562</v>
      </c>
      <c r="X79" s="103">
        <f t="shared" si="181"/>
        <v>662520.79334440245</v>
      </c>
      <c r="Y79" s="103">
        <f t="shared" si="181"/>
        <v>588305.14733247948</v>
      </c>
      <c r="Z79" s="103">
        <f t="shared" si="181"/>
        <v>604740.63685157546</v>
      </c>
      <c r="AA79" s="103">
        <f t="shared" si="181"/>
        <v>570261.27056778909</v>
      </c>
      <c r="AB79" s="103">
        <f t="shared" si="181"/>
        <v>505922.05733451771</v>
      </c>
      <c r="AC79" s="103">
        <f t="shared" si="181"/>
        <v>550386.4086882961</v>
      </c>
      <c r="AD79" s="103">
        <f t="shared" si="181"/>
        <v>562168.03640710807</v>
      </c>
      <c r="AE79" s="103">
        <f t="shared" si="181"/>
        <v>607696.41978141107</v>
      </c>
      <c r="AF79" s="103">
        <f t="shared" si="181"/>
        <v>638642.7199285829</v>
      </c>
      <c r="AG79" s="103">
        <f t="shared" si="181"/>
        <v>674586.84000701027</v>
      </c>
      <c r="AH79" s="103">
        <f t="shared" si="181"/>
        <v>687767.96034243726</v>
      </c>
      <c r="AI79" s="103">
        <f t="shared" si="181"/>
        <v>610289.14323496562</v>
      </c>
      <c r="AJ79" s="103">
        <f t="shared" ref="AJ79:BO79" si="182">AJ80*$C$80+AJ84*$C$84+AJ85*$C$85+AJ81+AJ82+AJ83</f>
        <v>662520.79334440245</v>
      </c>
      <c r="AK79" s="103">
        <f t="shared" si="182"/>
        <v>588305.14733247948</v>
      </c>
      <c r="AL79" s="103">
        <f t="shared" si="182"/>
        <v>604740.63685157546</v>
      </c>
      <c r="AM79" s="103">
        <f t="shared" si="182"/>
        <v>570261.27056778909</v>
      </c>
      <c r="AN79" s="103">
        <f t="shared" si="182"/>
        <v>505922.05733451771</v>
      </c>
      <c r="AO79" s="103">
        <f t="shared" si="182"/>
        <v>550386.4086882961</v>
      </c>
      <c r="AP79" s="103">
        <f t="shared" si="182"/>
        <v>562168.03640710807</v>
      </c>
      <c r="AQ79" s="103">
        <f t="shared" si="182"/>
        <v>607696.41978141107</v>
      </c>
      <c r="AR79" s="103">
        <f t="shared" si="182"/>
        <v>638642.7199285829</v>
      </c>
      <c r="AS79" s="103">
        <f t="shared" si="182"/>
        <v>674586.84000701027</v>
      </c>
      <c r="AT79" s="103">
        <f t="shared" si="182"/>
        <v>687767.96034243726</v>
      </c>
      <c r="AU79" s="103">
        <f t="shared" si="182"/>
        <v>610289.14323496562</v>
      </c>
      <c r="AV79" s="103">
        <f t="shared" si="182"/>
        <v>662520.79334440245</v>
      </c>
      <c r="AW79" s="103">
        <f t="shared" si="182"/>
        <v>588305.14733247948</v>
      </c>
      <c r="AX79" s="103">
        <f t="shared" si="182"/>
        <v>604740.63685157546</v>
      </c>
      <c r="AY79" s="103">
        <f t="shared" si="182"/>
        <v>570261.27056778909</v>
      </c>
      <c r="AZ79" s="103">
        <f t="shared" si="182"/>
        <v>505922.05733451771</v>
      </c>
      <c r="BA79" s="103">
        <f t="shared" si="182"/>
        <v>550386.4086882961</v>
      </c>
      <c r="BB79" s="103">
        <f t="shared" si="182"/>
        <v>562168.03640710807</v>
      </c>
      <c r="BC79" s="103">
        <f t="shared" si="182"/>
        <v>607696.41978141107</v>
      </c>
      <c r="BD79" s="103">
        <f t="shared" si="182"/>
        <v>638642.7199285829</v>
      </c>
      <c r="BE79" s="103">
        <f t="shared" si="182"/>
        <v>674586.84000701027</v>
      </c>
      <c r="BF79" s="103">
        <f t="shared" si="182"/>
        <v>687767.96034243726</v>
      </c>
      <c r="BG79" s="103">
        <f t="shared" si="182"/>
        <v>610289.14323496562</v>
      </c>
      <c r="BH79" s="103">
        <f t="shared" si="182"/>
        <v>662520.79334440245</v>
      </c>
      <c r="BI79" s="103">
        <f t="shared" si="182"/>
        <v>588305.14733247948</v>
      </c>
      <c r="BJ79" s="103">
        <f t="shared" si="182"/>
        <v>604740.63685157546</v>
      </c>
      <c r="BK79" s="103">
        <f t="shared" si="182"/>
        <v>570261.27056778909</v>
      </c>
      <c r="BL79" s="103">
        <f t="shared" si="182"/>
        <v>505922.05733451771</v>
      </c>
      <c r="BM79" s="103">
        <f t="shared" si="182"/>
        <v>550386.4086882961</v>
      </c>
      <c r="BN79" s="103">
        <f t="shared" si="182"/>
        <v>562168.03640710807</v>
      </c>
      <c r="BO79" s="103">
        <f t="shared" si="182"/>
        <v>607696.41978141107</v>
      </c>
      <c r="BP79" s="103">
        <f t="shared" ref="BP79:CI79" si="183">BP80*$C$80+BP84*$C$84+BP85*$C$85+BP81+BP82+BP83</f>
        <v>638642.7199285829</v>
      </c>
      <c r="BQ79" s="103">
        <f t="shared" si="183"/>
        <v>674586.84000701027</v>
      </c>
      <c r="BR79" s="103">
        <f t="shared" si="183"/>
        <v>687767.96034243726</v>
      </c>
      <c r="BS79" s="103">
        <f t="shared" si="183"/>
        <v>610289.14323496562</v>
      </c>
      <c r="BT79" s="103">
        <f t="shared" si="183"/>
        <v>662520.79334440245</v>
      </c>
      <c r="BU79" s="103">
        <f t="shared" si="183"/>
        <v>588305.14733247948</v>
      </c>
      <c r="BV79" s="103">
        <f t="shared" si="183"/>
        <v>604740.63685157546</v>
      </c>
      <c r="BW79" s="103">
        <f t="shared" si="183"/>
        <v>570261.27056778909</v>
      </c>
      <c r="BX79" s="103">
        <f t="shared" si="183"/>
        <v>505922.05733451771</v>
      </c>
      <c r="BY79" s="103">
        <f t="shared" si="183"/>
        <v>550386.4086882961</v>
      </c>
      <c r="BZ79" s="103">
        <f t="shared" si="183"/>
        <v>562168.03640710807</v>
      </c>
      <c r="CA79" s="103">
        <f t="shared" si="183"/>
        <v>607696.41978141107</v>
      </c>
      <c r="CB79" s="103">
        <f t="shared" si="183"/>
        <v>638642.7199285829</v>
      </c>
      <c r="CC79" s="103">
        <f t="shared" si="183"/>
        <v>674586.84000701027</v>
      </c>
      <c r="CD79" s="103">
        <f t="shared" si="183"/>
        <v>687767.96034243726</v>
      </c>
      <c r="CE79" s="103">
        <f t="shared" si="183"/>
        <v>610289.14323496562</v>
      </c>
      <c r="CF79" s="103">
        <f t="shared" si="183"/>
        <v>662520.79334440245</v>
      </c>
      <c r="CG79" s="103">
        <f t="shared" si="183"/>
        <v>588305.14733247948</v>
      </c>
      <c r="CH79" s="103">
        <f t="shared" si="183"/>
        <v>604740.63685157546</v>
      </c>
      <c r="CI79" s="103">
        <f t="shared" si="183"/>
        <v>570261.27056778909</v>
      </c>
      <c r="CJ79" s="106"/>
      <c r="CK79" s="106"/>
    </row>
    <row r="80" spans="1:89" x14ac:dyDescent="0.2">
      <c r="A80" s="2">
        <v>71</v>
      </c>
      <c r="B80" s="2" t="s">
        <v>87</v>
      </c>
      <c r="C80" s="215">
        <f>'Rate Design'!G16</f>
        <v>398.04</v>
      </c>
      <c r="D80" s="71">
        <f>'Bill Frequency'!C69+'Contract &amp; Vol Adj'!C69</f>
        <v>71</v>
      </c>
      <c r="E80" s="71">
        <f>'Bill Frequency'!D69+'Contract &amp; Vol Adj'!D69</f>
        <v>71</v>
      </c>
      <c r="F80" s="71">
        <f>'Bill Frequency'!E69+'Contract &amp; Vol Adj'!E69</f>
        <v>71</v>
      </c>
      <c r="G80" s="71">
        <f>'Bill Frequency'!F69+'Contract &amp; Vol Adj'!F69</f>
        <v>71</v>
      </c>
      <c r="H80" s="71">
        <f>'Bill Frequency'!G69+'Contract &amp; Vol Adj'!G69</f>
        <v>71</v>
      </c>
      <c r="I80" s="71">
        <f>'Bill Frequency'!H69+'Contract &amp; Vol Adj'!H69</f>
        <v>71</v>
      </c>
      <c r="J80" s="71">
        <f>'Bill Frequency'!I69+'Contract &amp; Vol Adj'!I69</f>
        <v>71</v>
      </c>
      <c r="K80" s="71">
        <f>'Bill Frequency'!J69+'Contract &amp; Vol Adj'!J69</f>
        <v>71</v>
      </c>
      <c r="L80" s="71">
        <f>'Bill Frequency'!K69+'Contract &amp; Vol Adj'!K69</f>
        <v>71</v>
      </c>
      <c r="M80" s="71">
        <f>'Bill Frequency'!L69+'Contract &amp; Vol Adj'!L69</f>
        <v>71</v>
      </c>
      <c r="N80" s="71">
        <f>'Bill Frequency'!M69+'Contract &amp; Vol Adj'!M69</f>
        <v>71</v>
      </c>
      <c r="O80" s="71">
        <f>'Bill Frequency'!N69+'Contract &amp; Vol Adj'!N69</f>
        <v>71</v>
      </c>
      <c r="P80" s="7">
        <f t="shared" ref="P80:Y85" si="184">D80</f>
        <v>71</v>
      </c>
      <c r="Q80" s="7">
        <f t="shared" si="184"/>
        <v>71</v>
      </c>
      <c r="R80" s="7">
        <f t="shared" si="184"/>
        <v>71</v>
      </c>
      <c r="S80" s="7">
        <f t="shared" si="184"/>
        <v>71</v>
      </c>
      <c r="T80" s="7">
        <f t="shared" si="184"/>
        <v>71</v>
      </c>
      <c r="U80" s="7">
        <f t="shared" si="184"/>
        <v>71</v>
      </c>
      <c r="V80" s="7">
        <f t="shared" si="184"/>
        <v>71</v>
      </c>
      <c r="W80" s="7">
        <f t="shared" si="184"/>
        <v>71</v>
      </c>
      <c r="X80" s="7">
        <f t="shared" si="184"/>
        <v>71</v>
      </c>
      <c r="Y80" s="7">
        <f t="shared" si="184"/>
        <v>71</v>
      </c>
      <c r="Z80" s="7">
        <f t="shared" ref="Z80:AI85" si="185">N80</f>
        <v>71</v>
      </c>
      <c r="AA80" s="7">
        <f t="shared" si="185"/>
        <v>71</v>
      </c>
      <c r="AB80" s="7">
        <f t="shared" si="185"/>
        <v>71</v>
      </c>
      <c r="AC80" s="7">
        <f t="shared" si="185"/>
        <v>71</v>
      </c>
      <c r="AD80" s="7">
        <f t="shared" si="185"/>
        <v>71</v>
      </c>
      <c r="AE80" s="7">
        <f t="shared" si="185"/>
        <v>71</v>
      </c>
      <c r="AF80" s="7">
        <f t="shared" si="185"/>
        <v>71</v>
      </c>
      <c r="AG80" s="7">
        <f t="shared" si="185"/>
        <v>71</v>
      </c>
      <c r="AH80" s="7">
        <f t="shared" si="185"/>
        <v>71</v>
      </c>
      <c r="AI80" s="7">
        <f t="shared" si="185"/>
        <v>71</v>
      </c>
      <c r="AJ80" s="7">
        <f t="shared" ref="AJ80:AS85" si="186">X80</f>
        <v>71</v>
      </c>
      <c r="AK80" s="7">
        <f t="shared" si="186"/>
        <v>71</v>
      </c>
      <c r="AL80" s="7">
        <f t="shared" si="186"/>
        <v>71</v>
      </c>
      <c r="AM80" s="7">
        <f t="shared" si="186"/>
        <v>71</v>
      </c>
      <c r="AN80" s="7">
        <f t="shared" si="186"/>
        <v>71</v>
      </c>
      <c r="AO80" s="7">
        <f t="shared" si="186"/>
        <v>71</v>
      </c>
      <c r="AP80" s="7">
        <f t="shared" si="186"/>
        <v>71</v>
      </c>
      <c r="AQ80" s="7">
        <f t="shared" si="186"/>
        <v>71</v>
      </c>
      <c r="AR80" s="7">
        <f t="shared" si="186"/>
        <v>71</v>
      </c>
      <c r="AS80" s="7">
        <f t="shared" si="186"/>
        <v>71</v>
      </c>
      <c r="AT80" s="7">
        <f t="shared" ref="AT80:BC85" si="187">AH80</f>
        <v>71</v>
      </c>
      <c r="AU80" s="7">
        <f t="shared" si="187"/>
        <v>71</v>
      </c>
      <c r="AV80" s="7">
        <f t="shared" si="187"/>
        <v>71</v>
      </c>
      <c r="AW80" s="7">
        <f t="shared" si="187"/>
        <v>71</v>
      </c>
      <c r="AX80" s="7">
        <f t="shared" si="187"/>
        <v>71</v>
      </c>
      <c r="AY80" s="7">
        <f t="shared" si="187"/>
        <v>71</v>
      </c>
      <c r="AZ80" s="7">
        <f t="shared" si="187"/>
        <v>71</v>
      </c>
      <c r="BA80" s="7">
        <f t="shared" si="187"/>
        <v>71</v>
      </c>
      <c r="BB80" s="7">
        <f t="shared" si="187"/>
        <v>71</v>
      </c>
      <c r="BC80" s="7">
        <f t="shared" si="187"/>
        <v>71</v>
      </c>
      <c r="BD80" s="7">
        <f t="shared" ref="BD80:BS85" si="188">AR80</f>
        <v>71</v>
      </c>
      <c r="BE80" s="7">
        <f t="shared" si="188"/>
        <v>71</v>
      </c>
      <c r="BF80" s="7">
        <f t="shared" si="188"/>
        <v>71</v>
      </c>
      <c r="BG80" s="7">
        <f t="shared" si="188"/>
        <v>71</v>
      </c>
      <c r="BH80" s="7">
        <f t="shared" si="188"/>
        <v>71</v>
      </c>
      <c r="BI80" s="7">
        <f t="shared" si="188"/>
        <v>71</v>
      </c>
      <c r="BJ80" s="7">
        <f t="shared" si="188"/>
        <v>71</v>
      </c>
      <c r="BK80" s="7">
        <f t="shared" si="188"/>
        <v>71</v>
      </c>
      <c r="BL80" s="7">
        <f t="shared" si="188"/>
        <v>71</v>
      </c>
      <c r="BM80" s="7">
        <f t="shared" si="188"/>
        <v>71</v>
      </c>
      <c r="BN80" s="7">
        <f t="shared" si="188"/>
        <v>71</v>
      </c>
      <c r="BO80" s="7">
        <f t="shared" si="188"/>
        <v>71</v>
      </c>
      <c r="BP80" s="7">
        <f t="shared" si="188"/>
        <v>71</v>
      </c>
      <c r="BQ80" s="7">
        <f t="shared" si="188"/>
        <v>71</v>
      </c>
      <c r="BR80" s="7">
        <f t="shared" si="188"/>
        <v>71</v>
      </c>
      <c r="BS80" s="7">
        <f t="shared" si="188"/>
        <v>71</v>
      </c>
      <c r="BT80" s="7">
        <f t="shared" ref="BT80:BW85" si="189">BH80</f>
        <v>71</v>
      </c>
      <c r="BU80" s="7">
        <f t="shared" si="189"/>
        <v>71</v>
      </c>
      <c r="BV80" s="7">
        <f t="shared" si="189"/>
        <v>71</v>
      </c>
      <c r="BW80" s="7">
        <f t="shared" si="189"/>
        <v>71</v>
      </c>
      <c r="BX80" s="7">
        <f t="shared" ref="BX80:BX85" si="190">BL80</f>
        <v>71</v>
      </c>
      <c r="BY80" s="7">
        <f t="shared" ref="BY80:BY85" si="191">BM80</f>
        <v>71</v>
      </c>
      <c r="BZ80" s="7">
        <f t="shared" ref="BZ80:BZ85" si="192">BN80</f>
        <v>71</v>
      </c>
      <c r="CA80" s="7">
        <f t="shared" ref="CA80:CA85" si="193">BO80</f>
        <v>71</v>
      </c>
      <c r="CB80" s="7">
        <f t="shared" ref="CB80:CB85" si="194">BP80</f>
        <v>71</v>
      </c>
      <c r="CC80" s="7">
        <f t="shared" ref="CC80:CC85" si="195">BQ80</f>
        <v>71</v>
      </c>
      <c r="CD80" s="7">
        <f t="shared" ref="CD80:CD85" si="196">BR80</f>
        <v>71</v>
      </c>
      <c r="CE80" s="7">
        <f t="shared" ref="CE80:CE85" si="197">BS80</f>
        <v>71</v>
      </c>
      <c r="CF80" s="7">
        <f t="shared" ref="CF80:CF85" si="198">BT80</f>
        <v>71</v>
      </c>
      <c r="CG80" s="7">
        <f t="shared" ref="CG80:CG85" si="199">BU80</f>
        <v>71</v>
      </c>
      <c r="CH80" s="7">
        <f t="shared" ref="CH80:CH85" si="200">BV80</f>
        <v>71</v>
      </c>
      <c r="CI80" s="7">
        <f t="shared" ref="CI80:CI85" si="201">BW80</f>
        <v>71</v>
      </c>
    </row>
    <row r="81" spans="1:87" x14ac:dyDescent="0.2">
      <c r="A81" s="2">
        <v>72</v>
      </c>
      <c r="B81" s="2" t="s">
        <v>1</v>
      </c>
      <c r="C81" s="2"/>
      <c r="D81" s="61">
        <f>'Bill Frequency'!C70+'Contract &amp; Vol Adj'!C70</f>
        <v>3550</v>
      </c>
      <c r="E81" s="61">
        <f>'Bill Frequency'!D70+'Contract &amp; Vol Adj'!D70</f>
        <v>3550</v>
      </c>
      <c r="F81" s="61">
        <f>'Bill Frequency'!E70+'Contract &amp; Vol Adj'!E70</f>
        <v>3550</v>
      </c>
      <c r="G81" s="61">
        <f>'Bill Frequency'!F70+'Contract &amp; Vol Adj'!F70</f>
        <v>3550</v>
      </c>
      <c r="H81" s="61">
        <f>'Bill Frequency'!G70+'Contract &amp; Vol Adj'!G70</f>
        <v>3550</v>
      </c>
      <c r="I81" s="61">
        <f>'Bill Frequency'!H70+'Contract &amp; Vol Adj'!H70</f>
        <v>3550</v>
      </c>
      <c r="J81" s="61">
        <f>'Bill Frequency'!I70+'Contract &amp; Vol Adj'!I70</f>
        <v>3550</v>
      </c>
      <c r="K81" s="61">
        <f>'Bill Frequency'!J70+'Contract &amp; Vol Adj'!J70</f>
        <v>3550</v>
      </c>
      <c r="L81" s="61">
        <f>'Bill Frequency'!K70+'Contract &amp; Vol Adj'!K70</f>
        <v>3550</v>
      </c>
      <c r="M81" s="61">
        <f>'Bill Frequency'!L70+'Contract &amp; Vol Adj'!L70</f>
        <v>3550</v>
      </c>
      <c r="N81" s="61">
        <f>'Bill Frequency'!M70+'Contract &amp; Vol Adj'!M70</f>
        <v>3550</v>
      </c>
      <c r="O81" s="61">
        <f>'Bill Frequency'!N70+'Contract &amp; Vol Adj'!N70</f>
        <v>3550</v>
      </c>
      <c r="P81" s="61">
        <f t="shared" si="184"/>
        <v>3550</v>
      </c>
      <c r="Q81" s="61">
        <f t="shared" si="184"/>
        <v>3550</v>
      </c>
      <c r="R81" s="61">
        <f t="shared" si="184"/>
        <v>3550</v>
      </c>
      <c r="S81" s="61">
        <f t="shared" si="184"/>
        <v>3550</v>
      </c>
      <c r="T81" s="61">
        <f t="shared" si="184"/>
        <v>3550</v>
      </c>
      <c r="U81" s="61">
        <f t="shared" si="184"/>
        <v>3550</v>
      </c>
      <c r="V81" s="61">
        <f t="shared" si="184"/>
        <v>3550</v>
      </c>
      <c r="W81" s="61">
        <f t="shared" si="184"/>
        <v>3550</v>
      </c>
      <c r="X81" s="61">
        <f t="shared" si="184"/>
        <v>3550</v>
      </c>
      <c r="Y81" s="61">
        <f t="shared" si="184"/>
        <v>3550</v>
      </c>
      <c r="Z81" s="61">
        <f t="shared" si="185"/>
        <v>3550</v>
      </c>
      <c r="AA81" s="61">
        <f t="shared" si="185"/>
        <v>3550</v>
      </c>
      <c r="AB81" s="61">
        <f t="shared" si="185"/>
        <v>3550</v>
      </c>
      <c r="AC81" s="61">
        <f t="shared" si="185"/>
        <v>3550</v>
      </c>
      <c r="AD81" s="61">
        <f t="shared" si="185"/>
        <v>3550</v>
      </c>
      <c r="AE81" s="61">
        <f t="shared" si="185"/>
        <v>3550</v>
      </c>
      <c r="AF81" s="61">
        <f t="shared" si="185"/>
        <v>3550</v>
      </c>
      <c r="AG81" s="61">
        <f t="shared" si="185"/>
        <v>3550</v>
      </c>
      <c r="AH81" s="61">
        <f t="shared" si="185"/>
        <v>3550</v>
      </c>
      <c r="AI81" s="61">
        <f t="shared" si="185"/>
        <v>3550</v>
      </c>
      <c r="AJ81" s="61">
        <f t="shared" si="186"/>
        <v>3550</v>
      </c>
      <c r="AK81" s="61">
        <f t="shared" si="186"/>
        <v>3550</v>
      </c>
      <c r="AL81" s="61">
        <f t="shared" si="186"/>
        <v>3550</v>
      </c>
      <c r="AM81" s="61">
        <f t="shared" si="186"/>
        <v>3550</v>
      </c>
      <c r="AN81" s="61">
        <f t="shared" si="186"/>
        <v>3550</v>
      </c>
      <c r="AO81" s="61">
        <f t="shared" si="186"/>
        <v>3550</v>
      </c>
      <c r="AP81" s="61">
        <f t="shared" si="186"/>
        <v>3550</v>
      </c>
      <c r="AQ81" s="61">
        <f t="shared" si="186"/>
        <v>3550</v>
      </c>
      <c r="AR81" s="61">
        <f t="shared" si="186"/>
        <v>3550</v>
      </c>
      <c r="AS81" s="61">
        <f t="shared" si="186"/>
        <v>3550</v>
      </c>
      <c r="AT81" s="61">
        <f t="shared" si="187"/>
        <v>3550</v>
      </c>
      <c r="AU81" s="61">
        <f t="shared" si="187"/>
        <v>3550</v>
      </c>
      <c r="AV81" s="61">
        <f t="shared" si="187"/>
        <v>3550</v>
      </c>
      <c r="AW81" s="61">
        <f t="shared" si="187"/>
        <v>3550</v>
      </c>
      <c r="AX81" s="61">
        <f t="shared" si="187"/>
        <v>3550</v>
      </c>
      <c r="AY81" s="61">
        <f t="shared" si="187"/>
        <v>3550</v>
      </c>
      <c r="AZ81" s="61">
        <f t="shared" si="187"/>
        <v>3550</v>
      </c>
      <c r="BA81" s="61">
        <f t="shared" si="187"/>
        <v>3550</v>
      </c>
      <c r="BB81" s="61">
        <f t="shared" si="187"/>
        <v>3550</v>
      </c>
      <c r="BC81" s="61">
        <f t="shared" si="187"/>
        <v>3550</v>
      </c>
      <c r="BD81" s="61">
        <f t="shared" si="188"/>
        <v>3550</v>
      </c>
      <c r="BE81" s="61">
        <f t="shared" si="188"/>
        <v>3550</v>
      </c>
      <c r="BF81" s="61">
        <f t="shared" si="188"/>
        <v>3550</v>
      </c>
      <c r="BG81" s="61">
        <f t="shared" si="188"/>
        <v>3550</v>
      </c>
      <c r="BH81" s="61">
        <f t="shared" si="188"/>
        <v>3550</v>
      </c>
      <c r="BI81" s="61">
        <f t="shared" si="188"/>
        <v>3550</v>
      </c>
      <c r="BJ81" s="61">
        <f t="shared" si="188"/>
        <v>3550</v>
      </c>
      <c r="BK81" s="61">
        <f t="shared" si="188"/>
        <v>3550</v>
      </c>
      <c r="BL81" s="61">
        <f t="shared" si="188"/>
        <v>3550</v>
      </c>
      <c r="BM81" s="61">
        <f t="shared" si="188"/>
        <v>3550</v>
      </c>
      <c r="BN81" s="61">
        <f t="shared" si="188"/>
        <v>3550</v>
      </c>
      <c r="BO81" s="61">
        <f t="shared" si="188"/>
        <v>3550</v>
      </c>
      <c r="BP81" s="61">
        <f t="shared" si="188"/>
        <v>3550</v>
      </c>
      <c r="BQ81" s="61">
        <f t="shared" si="188"/>
        <v>3550</v>
      </c>
      <c r="BR81" s="61">
        <f t="shared" si="188"/>
        <v>3550</v>
      </c>
      <c r="BS81" s="61">
        <f t="shared" si="188"/>
        <v>3550</v>
      </c>
      <c r="BT81" s="61">
        <f t="shared" si="189"/>
        <v>3550</v>
      </c>
      <c r="BU81" s="61">
        <f t="shared" si="189"/>
        <v>3550</v>
      </c>
      <c r="BV81" s="61">
        <f t="shared" si="189"/>
        <v>3550</v>
      </c>
      <c r="BW81" s="61">
        <f t="shared" si="189"/>
        <v>3550</v>
      </c>
      <c r="BX81" s="61">
        <f t="shared" si="190"/>
        <v>3550</v>
      </c>
      <c r="BY81" s="61">
        <f t="shared" si="191"/>
        <v>3550</v>
      </c>
      <c r="BZ81" s="61">
        <f t="shared" si="192"/>
        <v>3550</v>
      </c>
      <c r="CA81" s="61">
        <f t="shared" si="193"/>
        <v>3550</v>
      </c>
      <c r="CB81" s="61">
        <f t="shared" si="194"/>
        <v>3550</v>
      </c>
      <c r="CC81" s="61">
        <f t="shared" si="195"/>
        <v>3550</v>
      </c>
      <c r="CD81" s="61">
        <f t="shared" si="196"/>
        <v>3550</v>
      </c>
      <c r="CE81" s="61">
        <f t="shared" si="197"/>
        <v>3550</v>
      </c>
      <c r="CF81" s="61">
        <f t="shared" si="198"/>
        <v>3550</v>
      </c>
      <c r="CG81" s="61">
        <f t="shared" si="199"/>
        <v>3550</v>
      </c>
      <c r="CH81" s="61">
        <f t="shared" si="200"/>
        <v>3550</v>
      </c>
      <c r="CI81" s="61">
        <f t="shared" si="201"/>
        <v>3550</v>
      </c>
    </row>
    <row r="82" spans="1:87" x14ac:dyDescent="0.2">
      <c r="A82" s="2">
        <v>73</v>
      </c>
      <c r="B82" s="2" t="s">
        <v>62</v>
      </c>
      <c r="C82" s="2"/>
      <c r="D82" s="61">
        <f>'Bill Frequency'!C71+'Contract &amp; Vol Adj'!C71</f>
        <v>3675</v>
      </c>
      <c r="E82" s="61">
        <f>'Bill Frequency'!D71+'Contract &amp; Vol Adj'!D71</f>
        <v>3675</v>
      </c>
      <c r="F82" s="61">
        <f>'Bill Frequency'!E71+'Contract &amp; Vol Adj'!E71</f>
        <v>3675</v>
      </c>
      <c r="G82" s="61">
        <f>'Bill Frequency'!F71+'Contract &amp; Vol Adj'!F71</f>
        <v>3700</v>
      </c>
      <c r="H82" s="61">
        <f>'Bill Frequency'!G71+'Contract &amp; Vol Adj'!G71</f>
        <v>3700</v>
      </c>
      <c r="I82" s="61">
        <f>'Bill Frequency'!H71+'Contract &amp; Vol Adj'!H71</f>
        <v>3700</v>
      </c>
      <c r="J82" s="61">
        <f>'Bill Frequency'!I71+'Contract &amp; Vol Adj'!I71</f>
        <v>3700</v>
      </c>
      <c r="K82" s="61">
        <f>'Bill Frequency'!J71+'Contract &amp; Vol Adj'!J71</f>
        <v>3725</v>
      </c>
      <c r="L82" s="61">
        <f>'Bill Frequency'!K71+'Contract &amp; Vol Adj'!K71</f>
        <v>3725</v>
      </c>
      <c r="M82" s="61">
        <f>'Bill Frequency'!L71+'Contract &amp; Vol Adj'!L71</f>
        <v>3725</v>
      </c>
      <c r="N82" s="61">
        <f>'Bill Frequency'!M71+'Contract &amp; Vol Adj'!M71</f>
        <v>3725</v>
      </c>
      <c r="O82" s="61">
        <f>'Bill Frequency'!N71+'Contract &amp; Vol Adj'!N71</f>
        <v>3725</v>
      </c>
      <c r="P82" s="61">
        <f t="shared" si="184"/>
        <v>3675</v>
      </c>
      <c r="Q82" s="61">
        <f t="shared" si="184"/>
        <v>3675</v>
      </c>
      <c r="R82" s="61">
        <f t="shared" si="184"/>
        <v>3675</v>
      </c>
      <c r="S82" s="61">
        <f t="shared" si="184"/>
        <v>3700</v>
      </c>
      <c r="T82" s="61">
        <f t="shared" si="184"/>
        <v>3700</v>
      </c>
      <c r="U82" s="61">
        <f t="shared" si="184"/>
        <v>3700</v>
      </c>
      <c r="V82" s="61">
        <f t="shared" si="184"/>
        <v>3700</v>
      </c>
      <c r="W82" s="61">
        <f t="shared" si="184"/>
        <v>3725</v>
      </c>
      <c r="X82" s="61">
        <f t="shared" si="184"/>
        <v>3725</v>
      </c>
      <c r="Y82" s="61">
        <f t="shared" si="184"/>
        <v>3725</v>
      </c>
      <c r="Z82" s="61">
        <f t="shared" si="185"/>
        <v>3725</v>
      </c>
      <c r="AA82" s="61">
        <f t="shared" si="185"/>
        <v>3725</v>
      </c>
      <c r="AB82" s="61">
        <f t="shared" si="185"/>
        <v>3675</v>
      </c>
      <c r="AC82" s="61">
        <f t="shared" si="185"/>
        <v>3675</v>
      </c>
      <c r="AD82" s="61">
        <f t="shared" si="185"/>
        <v>3675</v>
      </c>
      <c r="AE82" s="61">
        <f t="shared" si="185"/>
        <v>3700</v>
      </c>
      <c r="AF82" s="61">
        <f t="shared" si="185"/>
        <v>3700</v>
      </c>
      <c r="AG82" s="61">
        <f t="shared" si="185"/>
        <v>3700</v>
      </c>
      <c r="AH82" s="61">
        <f t="shared" si="185"/>
        <v>3700</v>
      </c>
      <c r="AI82" s="61">
        <f t="shared" si="185"/>
        <v>3725</v>
      </c>
      <c r="AJ82" s="61">
        <f t="shared" si="186"/>
        <v>3725</v>
      </c>
      <c r="AK82" s="61">
        <f t="shared" si="186"/>
        <v>3725</v>
      </c>
      <c r="AL82" s="61">
        <f t="shared" si="186"/>
        <v>3725</v>
      </c>
      <c r="AM82" s="61">
        <f t="shared" si="186"/>
        <v>3725</v>
      </c>
      <c r="AN82" s="61">
        <f t="shared" si="186"/>
        <v>3675</v>
      </c>
      <c r="AO82" s="61">
        <f t="shared" si="186"/>
        <v>3675</v>
      </c>
      <c r="AP82" s="61">
        <f t="shared" si="186"/>
        <v>3675</v>
      </c>
      <c r="AQ82" s="61">
        <f t="shared" si="186"/>
        <v>3700</v>
      </c>
      <c r="AR82" s="61">
        <f t="shared" si="186"/>
        <v>3700</v>
      </c>
      <c r="AS82" s="61">
        <f t="shared" si="186"/>
        <v>3700</v>
      </c>
      <c r="AT82" s="61">
        <f t="shared" si="187"/>
        <v>3700</v>
      </c>
      <c r="AU82" s="61">
        <f t="shared" si="187"/>
        <v>3725</v>
      </c>
      <c r="AV82" s="61">
        <f t="shared" si="187"/>
        <v>3725</v>
      </c>
      <c r="AW82" s="61">
        <f t="shared" si="187"/>
        <v>3725</v>
      </c>
      <c r="AX82" s="61">
        <f t="shared" si="187"/>
        <v>3725</v>
      </c>
      <c r="AY82" s="61">
        <f t="shared" si="187"/>
        <v>3725</v>
      </c>
      <c r="AZ82" s="61">
        <f t="shared" si="187"/>
        <v>3675</v>
      </c>
      <c r="BA82" s="61">
        <f t="shared" si="187"/>
        <v>3675</v>
      </c>
      <c r="BB82" s="61">
        <f t="shared" si="187"/>
        <v>3675</v>
      </c>
      <c r="BC82" s="61">
        <f t="shared" si="187"/>
        <v>3700</v>
      </c>
      <c r="BD82" s="61">
        <f t="shared" si="188"/>
        <v>3700</v>
      </c>
      <c r="BE82" s="61">
        <f t="shared" si="188"/>
        <v>3700</v>
      </c>
      <c r="BF82" s="61">
        <f t="shared" si="188"/>
        <v>3700</v>
      </c>
      <c r="BG82" s="61">
        <f t="shared" si="188"/>
        <v>3725</v>
      </c>
      <c r="BH82" s="61">
        <f t="shared" si="188"/>
        <v>3725</v>
      </c>
      <c r="BI82" s="61">
        <f t="shared" si="188"/>
        <v>3725</v>
      </c>
      <c r="BJ82" s="61">
        <f t="shared" si="188"/>
        <v>3725</v>
      </c>
      <c r="BK82" s="61">
        <f t="shared" si="188"/>
        <v>3725</v>
      </c>
      <c r="BL82" s="61">
        <f t="shared" si="188"/>
        <v>3675</v>
      </c>
      <c r="BM82" s="61">
        <f t="shared" si="188"/>
        <v>3675</v>
      </c>
      <c r="BN82" s="61">
        <f t="shared" si="188"/>
        <v>3675</v>
      </c>
      <c r="BO82" s="61">
        <f t="shared" si="188"/>
        <v>3700</v>
      </c>
      <c r="BP82" s="61">
        <f t="shared" si="188"/>
        <v>3700</v>
      </c>
      <c r="BQ82" s="61">
        <f t="shared" si="188"/>
        <v>3700</v>
      </c>
      <c r="BR82" s="61">
        <f t="shared" si="188"/>
        <v>3700</v>
      </c>
      <c r="BS82" s="61">
        <f t="shared" si="188"/>
        <v>3725</v>
      </c>
      <c r="BT82" s="61">
        <f t="shared" si="189"/>
        <v>3725</v>
      </c>
      <c r="BU82" s="61">
        <f t="shared" si="189"/>
        <v>3725</v>
      </c>
      <c r="BV82" s="61">
        <f t="shared" si="189"/>
        <v>3725</v>
      </c>
      <c r="BW82" s="61">
        <f t="shared" si="189"/>
        <v>3725</v>
      </c>
      <c r="BX82" s="61">
        <f t="shared" si="190"/>
        <v>3675</v>
      </c>
      <c r="BY82" s="61">
        <f t="shared" si="191"/>
        <v>3675</v>
      </c>
      <c r="BZ82" s="61">
        <f t="shared" si="192"/>
        <v>3675</v>
      </c>
      <c r="CA82" s="61">
        <f t="shared" si="193"/>
        <v>3700</v>
      </c>
      <c r="CB82" s="61">
        <f t="shared" si="194"/>
        <v>3700</v>
      </c>
      <c r="CC82" s="61">
        <f t="shared" si="195"/>
        <v>3700</v>
      </c>
      <c r="CD82" s="61">
        <f t="shared" si="196"/>
        <v>3700</v>
      </c>
      <c r="CE82" s="61">
        <f t="shared" si="197"/>
        <v>3725</v>
      </c>
      <c r="CF82" s="61">
        <f t="shared" si="198"/>
        <v>3725</v>
      </c>
      <c r="CG82" s="61">
        <f t="shared" si="199"/>
        <v>3725</v>
      </c>
      <c r="CH82" s="61">
        <f t="shared" si="200"/>
        <v>3725</v>
      </c>
      <c r="CI82" s="61">
        <f t="shared" si="201"/>
        <v>3725</v>
      </c>
    </row>
    <row r="83" spans="1:87" x14ac:dyDescent="0.2">
      <c r="A83" s="2">
        <v>74</v>
      </c>
      <c r="B83" s="2" t="s">
        <v>2</v>
      </c>
      <c r="C83" s="2"/>
      <c r="D83" s="61">
        <f>'Bill Frequency'!C72+'Contract &amp; Vol Adj'!C72</f>
        <v>137.5</v>
      </c>
      <c r="E83" s="61">
        <f>'Bill Frequency'!D72+'Contract &amp; Vol Adj'!D72</f>
        <v>263.2</v>
      </c>
      <c r="F83" s="61">
        <f>'Bill Frequency'!E72+'Contract &amp; Vol Adj'!E72</f>
        <v>349.4</v>
      </c>
      <c r="G83" s="61">
        <f>'Bill Frequency'!F72+'Contract &amp; Vol Adj'!F72</f>
        <v>305.7</v>
      </c>
      <c r="H83" s="61">
        <f>'Bill Frequency'!G72+'Contract &amp; Vol Adj'!G72</f>
        <v>445.5</v>
      </c>
      <c r="I83" s="61">
        <f>'Bill Frequency'!H72+'Contract &amp; Vol Adj'!H72</f>
        <v>409.8</v>
      </c>
      <c r="J83" s="61">
        <f>'Bill Frequency'!I72+'Contract &amp; Vol Adj'!I72</f>
        <v>233.2</v>
      </c>
      <c r="K83" s="61">
        <f>'Bill Frequency'!J72+'Contract &amp; Vol Adj'!J72</f>
        <v>234.2</v>
      </c>
      <c r="L83" s="61">
        <f>'Bill Frequency'!K72+'Contract &amp; Vol Adj'!K72</f>
        <v>287</v>
      </c>
      <c r="M83" s="61">
        <f>'Bill Frequency'!L72+'Contract &amp; Vol Adj'!L72</f>
        <v>344.3</v>
      </c>
      <c r="N83" s="61">
        <f>'Bill Frequency'!M72+'Contract &amp; Vol Adj'!M72</f>
        <v>381</v>
      </c>
      <c r="O83" s="61">
        <f>'Bill Frequency'!N72+'Contract &amp; Vol Adj'!N72</f>
        <v>382.1</v>
      </c>
      <c r="P83" s="61">
        <f t="shared" si="184"/>
        <v>137.5</v>
      </c>
      <c r="Q83" s="61">
        <f t="shared" si="184"/>
        <v>263.2</v>
      </c>
      <c r="R83" s="61">
        <f t="shared" si="184"/>
        <v>349.4</v>
      </c>
      <c r="S83" s="61">
        <f t="shared" si="184"/>
        <v>305.7</v>
      </c>
      <c r="T83" s="61">
        <f t="shared" si="184"/>
        <v>445.5</v>
      </c>
      <c r="U83" s="61">
        <f t="shared" si="184"/>
        <v>409.8</v>
      </c>
      <c r="V83" s="61">
        <f t="shared" si="184"/>
        <v>233.2</v>
      </c>
      <c r="W83" s="61">
        <f t="shared" si="184"/>
        <v>234.2</v>
      </c>
      <c r="X83" s="61">
        <f t="shared" si="184"/>
        <v>287</v>
      </c>
      <c r="Y83" s="61">
        <f t="shared" si="184"/>
        <v>344.3</v>
      </c>
      <c r="Z83" s="61">
        <f t="shared" si="185"/>
        <v>381</v>
      </c>
      <c r="AA83" s="61">
        <f t="shared" si="185"/>
        <v>382.1</v>
      </c>
      <c r="AB83" s="61">
        <f t="shared" si="185"/>
        <v>137.5</v>
      </c>
      <c r="AC83" s="61">
        <f t="shared" si="185"/>
        <v>263.2</v>
      </c>
      <c r="AD83" s="61">
        <f t="shared" si="185"/>
        <v>349.4</v>
      </c>
      <c r="AE83" s="61">
        <f t="shared" si="185"/>
        <v>305.7</v>
      </c>
      <c r="AF83" s="61">
        <f t="shared" si="185"/>
        <v>445.5</v>
      </c>
      <c r="AG83" s="61">
        <f t="shared" si="185"/>
        <v>409.8</v>
      </c>
      <c r="AH83" s="61">
        <f t="shared" si="185"/>
        <v>233.2</v>
      </c>
      <c r="AI83" s="61">
        <f t="shared" si="185"/>
        <v>234.2</v>
      </c>
      <c r="AJ83" s="61">
        <f t="shared" si="186"/>
        <v>287</v>
      </c>
      <c r="AK83" s="61">
        <f t="shared" si="186"/>
        <v>344.3</v>
      </c>
      <c r="AL83" s="61">
        <f t="shared" si="186"/>
        <v>381</v>
      </c>
      <c r="AM83" s="61">
        <f t="shared" si="186"/>
        <v>382.1</v>
      </c>
      <c r="AN83" s="61">
        <f t="shared" si="186"/>
        <v>137.5</v>
      </c>
      <c r="AO83" s="61">
        <f t="shared" si="186"/>
        <v>263.2</v>
      </c>
      <c r="AP83" s="61">
        <f t="shared" si="186"/>
        <v>349.4</v>
      </c>
      <c r="AQ83" s="61">
        <f t="shared" si="186"/>
        <v>305.7</v>
      </c>
      <c r="AR83" s="61">
        <f t="shared" si="186"/>
        <v>445.5</v>
      </c>
      <c r="AS83" s="61">
        <f t="shared" si="186"/>
        <v>409.8</v>
      </c>
      <c r="AT83" s="61">
        <f t="shared" si="187"/>
        <v>233.2</v>
      </c>
      <c r="AU83" s="61">
        <f t="shared" si="187"/>
        <v>234.2</v>
      </c>
      <c r="AV83" s="61">
        <f t="shared" si="187"/>
        <v>287</v>
      </c>
      <c r="AW83" s="61">
        <f t="shared" si="187"/>
        <v>344.3</v>
      </c>
      <c r="AX83" s="61">
        <f t="shared" si="187"/>
        <v>381</v>
      </c>
      <c r="AY83" s="61">
        <f t="shared" si="187"/>
        <v>382.1</v>
      </c>
      <c r="AZ83" s="61">
        <f t="shared" si="187"/>
        <v>137.5</v>
      </c>
      <c r="BA83" s="61">
        <f t="shared" si="187"/>
        <v>263.2</v>
      </c>
      <c r="BB83" s="61">
        <f t="shared" si="187"/>
        <v>349.4</v>
      </c>
      <c r="BC83" s="61">
        <f t="shared" si="187"/>
        <v>305.7</v>
      </c>
      <c r="BD83" s="61">
        <f t="shared" si="188"/>
        <v>445.5</v>
      </c>
      <c r="BE83" s="61">
        <f t="shared" si="188"/>
        <v>409.8</v>
      </c>
      <c r="BF83" s="61">
        <f t="shared" si="188"/>
        <v>233.2</v>
      </c>
      <c r="BG83" s="61">
        <f t="shared" si="188"/>
        <v>234.2</v>
      </c>
      <c r="BH83" s="61">
        <f t="shared" si="188"/>
        <v>287</v>
      </c>
      <c r="BI83" s="61">
        <f t="shared" si="188"/>
        <v>344.3</v>
      </c>
      <c r="BJ83" s="61">
        <f t="shared" si="188"/>
        <v>381</v>
      </c>
      <c r="BK83" s="61">
        <f t="shared" si="188"/>
        <v>382.1</v>
      </c>
      <c r="BL83" s="61">
        <f t="shared" si="188"/>
        <v>137.5</v>
      </c>
      <c r="BM83" s="61">
        <f t="shared" si="188"/>
        <v>263.2</v>
      </c>
      <c r="BN83" s="61">
        <f t="shared" si="188"/>
        <v>349.4</v>
      </c>
      <c r="BO83" s="61">
        <f t="shared" si="188"/>
        <v>305.7</v>
      </c>
      <c r="BP83" s="61">
        <f t="shared" si="188"/>
        <v>445.5</v>
      </c>
      <c r="BQ83" s="61">
        <f t="shared" si="188"/>
        <v>409.8</v>
      </c>
      <c r="BR83" s="61">
        <f t="shared" si="188"/>
        <v>233.2</v>
      </c>
      <c r="BS83" s="61">
        <f t="shared" si="188"/>
        <v>234.2</v>
      </c>
      <c r="BT83" s="61">
        <f t="shared" si="189"/>
        <v>287</v>
      </c>
      <c r="BU83" s="61">
        <f t="shared" si="189"/>
        <v>344.3</v>
      </c>
      <c r="BV83" s="61">
        <f t="shared" si="189"/>
        <v>381</v>
      </c>
      <c r="BW83" s="61">
        <f t="shared" si="189"/>
        <v>382.1</v>
      </c>
      <c r="BX83" s="61">
        <f t="shared" si="190"/>
        <v>137.5</v>
      </c>
      <c r="BY83" s="61">
        <f t="shared" si="191"/>
        <v>263.2</v>
      </c>
      <c r="BZ83" s="61">
        <f t="shared" si="192"/>
        <v>349.4</v>
      </c>
      <c r="CA83" s="61">
        <f t="shared" si="193"/>
        <v>305.7</v>
      </c>
      <c r="CB83" s="61">
        <f t="shared" si="194"/>
        <v>445.5</v>
      </c>
      <c r="CC83" s="61">
        <f t="shared" si="195"/>
        <v>409.8</v>
      </c>
      <c r="CD83" s="61">
        <f t="shared" si="196"/>
        <v>233.2</v>
      </c>
      <c r="CE83" s="61">
        <f t="shared" si="197"/>
        <v>234.2</v>
      </c>
      <c r="CF83" s="61">
        <f t="shared" si="198"/>
        <v>287</v>
      </c>
      <c r="CG83" s="61">
        <f t="shared" si="199"/>
        <v>344.3</v>
      </c>
      <c r="CH83" s="61">
        <f t="shared" si="200"/>
        <v>381</v>
      </c>
      <c r="CI83" s="61">
        <f t="shared" si="201"/>
        <v>382.1</v>
      </c>
    </row>
    <row r="84" spans="1:87" x14ac:dyDescent="0.2">
      <c r="A84" s="2">
        <v>75</v>
      </c>
      <c r="B84" s="2" t="s">
        <v>46</v>
      </c>
      <c r="C84" s="15">
        <f>'Rate Design'!G30</f>
        <v>0.90310000000000012</v>
      </c>
      <c r="D84" s="71">
        <f>'Bill Frequency'!C73+'Contract &amp; Vol Adj'!C73</f>
        <v>381934.1804169169</v>
      </c>
      <c r="E84" s="71">
        <f>'Bill Frequency'!D73+'Contract &amp; Vol Adj'!D73</f>
        <v>409163.96876126231</v>
      </c>
      <c r="F84" s="71">
        <f>'Bill Frequency'!E73+'Contract &amp; Vol Adj'!E73</f>
        <v>427012.13365862914</v>
      </c>
      <c r="G84" s="71">
        <f>'Bill Frequency'!F73+'Contract &amp; Vol Adj'!F73</f>
        <v>445673.23864350957</v>
      </c>
      <c r="H84" s="71">
        <f>'Bill Frequency'!G73+'Contract &amp; Vol Adj'!G73</f>
        <v>475363.93966524623</v>
      </c>
      <c r="I84" s="71">
        <f>'Bill Frequency'!H73+'Contract &amp; Vol Adj'!H73</f>
        <v>500663.36286887596</v>
      </c>
      <c r="J84" s="71">
        <f>'Bill Frequency'!I73+'Contract &amp; Vol Adj'!I73</f>
        <v>495070.88538146246</v>
      </c>
      <c r="K84" s="71">
        <f>'Bill Frequency'!J73+'Contract &amp; Vol Adj'!J73</f>
        <v>453480.78331464756</v>
      </c>
      <c r="L84" s="71">
        <f>'Bill Frequency'!K73+'Contract &amp; Vol Adj'!K73</f>
        <v>483453.96432526212</v>
      </c>
      <c r="M84" s="71">
        <f>'Bill Frequency'!L73+'Contract &amp; Vol Adj'!L73</f>
        <v>442263.13024342671</v>
      </c>
      <c r="N84" s="71">
        <f>'Bill Frequency'!M73+'Contract &amp; Vol Adj'!M73</f>
        <v>455145.42651233543</v>
      </c>
      <c r="O84" s="71">
        <f>'Bill Frequency'!N73+'Contract &amp; Vol Adj'!N73</f>
        <v>420178.1547644657</v>
      </c>
      <c r="P84" s="7">
        <f t="shared" si="184"/>
        <v>381934.1804169169</v>
      </c>
      <c r="Q84" s="7">
        <f t="shared" si="184"/>
        <v>409163.96876126231</v>
      </c>
      <c r="R84" s="7">
        <f t="shared" si="184"/>
        <v>427012.13365862914</v>
      </c>
      <c r="S84" s="7">
        <f t="shared" si="184"/>
        <v>445673.23864350957</v>
      </c>
      <c r="T84" s="7">
        <f t="shared" si="184"/>
        <v>475363.93966524623</v>
      </c>
      <c r="U84" s="7">
        <f t="shared" si="184"/>
        <v>500663.36286887596</v>
      </c>
      <c r="V84" s="7">
        <f t="shared" si="184"/>
        <v>495070.88538146246</v>
      </c>
      <c r="W84" s="7">
        <f t="shared" si="184"/>
        <v>453480.78331464756</v>
      </c>
      <c r="X84" s="7">
        <f t="shared" si="184"/>
        <v>483453.96432526212</v>
      </c>
      <c r="Y84" s="7">
        <f t="shared" si="184"/>
        <v>442263.13024342671</v>
      </c>
      <c r="Z84" s="7">
        <f t="shared" si="185"/>
        <v>455145.42651233543</v>
      </c>
      <c r="AA84" s="7">
        <f t="shared" si="185"/>
        <v>420178.1547644657</v>
      </c>
      <c r="AB84" s="7">
        <f t="shared" si="185"/>
        <v>381934.1804169169</v>
      </c>
      <c r="AC84" s="7">
        <f t="shared" si="185"/>
        <v>409163.96876126231</v>
      </c>
      <c r="AD84" s="7">
        <f t="shared" si="185"/>
        <v>427012.13365862914</v>
      </c>
      <c r="AE84" s="7">
        <f t="shared" si="185"/>
        <v>445673.23864350957</v>
      </c>
      <c r="AF84" s="7">
        <f t="shared" si="185"/>
        <v>475363.93966524623</v>
      </c>
      <c r="AG84" s="7">
        <f t="shared" si="185"/>
        <v>500663.36286887596</v>
      </c>
      <c r="AH84" s="7">
        <f t="shared" si="185"/>
        <v>495070.88538146246</v>
      </c>
      <c r="AI84" s="7">
        <f t="shared" si="185"/>
        <v>453480.78331464756</v>
      </c>
      <c r="AJ84" s="7">
        <f t="shared" si="186"/>
        <v>483453.96432526212</v>
      </c>
      <c r="AK84" s="7">
        <f t="shared" si="186"/>
        <v>442263.13024342671</v>
      </c>
      <c r="AL84" s="7">
        <f t="shared" si="186"/>
        <v>455145.42651233543</v>
      </c>
      <c r="AM84" s="7">
        <f t="shared" si="186"/>
        <v>420178.1547644657</v>
      </c>
      <c r="AN84" s="7">
        <f t="shared" si="186"/>
        <v>381934.1804169169</v>
      </c>
      <c r="AO84" s="7">
        <f t="shared" si="186"/>
        <v>409163.96876126231</v>
      </c>
      <c r="AP84" s="7">
        <f t="shared" si="186"/>
        <v>427012.13365862914</v>
      </c>
      <c r="AQ84" s="7">
        <f t="shared" si="186"/>
        <v>445673.23864350957</v>
      </c>
      <c r="AR84" s="7">
        <f t="shared" si="186"/>
        <v>475363.93966524623</v>
      </c>
      <c r="AS84" s="7">
        <f t="shared" si="186"/>
        <v>500663.36286887596</v>
      </c>
      <c r="AT84" s="7">
        <f t="shared" si="187"/>
        <v>495070.88538146246</v>
      </c>
      <c r="AU84" s="7">
        <f t="shared" si="187"/>
        <v>453480.78331464756</v>
      </c>
      <c r="AV84" s="7">
        <f t="shared" si="187"/>
        <v>483453.96432526212</v>
      </c>
      <c r="AW84" s="7">
        <f t="shared" si="187"/>
        <v>442263.13024342671</v>
      </c>
      <c r="AX84" s="7">
        <f t="shared" si="187"/>
        <v>455145.42651233543</v>
      </c>
      <c r="AY84" s="7">
        <f t="shared" si="187"/>
        <v>420178.1547644657</v>
      </c>
      <c r="AZ84" s="7">
        <f t="shared" si="187"/>
        <v>381934.1804169169</v>
      </c>
      <c r="BA84" s="7">
        <f t="shared" si="187"/>
        <v>409163.96876126231</v>
      </c>
      <c r="BB84" s="7">
        <f t="shared" si="187"/>
        <v>427012.13365862914</v>
      </c>
      <c r="BC84" s="7">
        <f t="shared" si="187"/>
        <v>445673.23864350957</v>
      </c>
      <c r="BD84" s="7">
        <f t="shared" si="188"/>
        <v>475363.93966524623</v>
      </c>
      <c r="BE84" s="7">
        <f t="shared" si="188"/>
        <v>500663.36286887596</v>
      </c>
      <c r="BF84" s="7">
        <f t="shared" si="188"/>
        <v>495070.88538146246</v>
      </c>
      <c r="BG84" s="7">
        <f t="shared" si="188"/>
        <v>453480.78331464756</v>
      </c>
      <c r="BH84" s="7">
        <f t="shared" si="188"/>
        <v>483453.96432526212</v>
      </c>
      <c r="BI84" s="7">
        <f t="shared" si="188"/>
        <v>442263.13024342671</v>
      </c>
      <c r="BJ84" s="7">
        <f t="shared" si="188"/>
        <v>455145.42651233543</v>
      </c>
      <c r="BK84" s="7">
        <f t="shared" si="188"/>
        <v>420178.1547644657</v>
      </c>
      <c r="BL84" s="7">
        <f t="shared" si="188"/>
        <v>381934.1804169169</v>
      </c>
      <c r="BM84" s="7">
        <f t="shared" si="188"/>
        <v>409163.96876126231</v>
      </c>
      <c r="BN84" s="7">
        <f t="shared" si="188"/>
        <v>427012.13365862914</v>
      </c>
      <c r="BO84" s="7">
        <f t="shared" si="188"/>
        <v>445673.23864350957</v>
      </c>
      <c r="BP84" s="7">
        <f t="shared" si="188"/>
        <v>475363.93966524623</v>
      </c>
      <c r="BQ84" s="7">
        <f t="shared" si="188"/>
        <v>500663.36286887596</v>
      </c>
      <c r="BR84" s="7">
        <f t="shared" si="188"/>
        <v>495070.88538146246</v>
      </c>
      <c r="BS84" s="7">
        <f t="shared" si="188"/>
        <v>453480.78331464756</v>
      </c>
      <c r="BT84" s="7">
        <f t="shared" si="189"/>
        <v>483453.96432526212</v>
      </c>
      <c r="BU84" s="7">
        <f t="shared" si="189"/>
        <v>442263.13024342671</v>
      </c>
      <c r="BV84" s="7">
        <f t="shared" si="189"/>
        <v>455145.42651233543</v>
      </c>
      <c r="BW84" s="7">
        <f t="shared" si="189"/>
        <v>420178.1547644657</v>
      </c>
      <c r="BX84" s="7">
        <f t="shared" si="190"/>
        <v>381934.1804169169</v>
      </c>
      <c r="BY84" s="7">
        <f t="shared" si="191"/>
        <v>409163.96876126231</v>
      </c>
      <c r="BZ84" s="7">
        <f t="shared" si="192"/>
        <v>427012.13365862914</v>
      </c>
      <c r="CA84" s="7">
        <f t="shared" si="193"/>
        <v>445673.23864350957</v>
      </c>
      <c r="CB84" s="7">
        <f t="shared" si="194"/>
        <v>475363.93966524623</v>
      </c>
      <c r="CC84" s="7">
        <f t="shared" si="195"/>
        <v>500663.36286887596</v>
      </c>
      <c r="CD84" s="7">
        <f t="shared" si="196"/>
        <v>495070.88538146246</v>
      </c>
      <c r="CE84" s="7">
        <f t="shared" si="197"/>
        <v>453480.78331464756</v>
      </c>
      <c r="CF84" s="7">
        <f t="shared" si="198"/>
        <v>483453.96432526212</v>
      </c>
      <c r="CG84" s="7">
        <f t="shared" si="199"/>
        <v>442263.13024342671</v>
      </c>
      <c r="CH84" s="7">
        <f t="shared" si="200"/>
        <v>455145.42651233543</v>
      </c>
      <c r="CI84" s="7">
        <f t="shared" si="201"/>
        <v>420178.1547644657</v>
      </c>
    </row>
    <row r="85" spans="1:87" x14ac:dyDescent="0.2">
      <c r="A85" s="2">
        <v>76</v>
      </c>
      <c r="B85" s="2" t="s">
        <v>47</v>
      </c>
      <c r="C85" s="15">
        <f>'Rate Design'!G31</f>
        <v>0.68049999999999999</v>
      </c>
      <c r="D85" s="71">
        <f>'Bill Frequency'!C74+'Contract &amp; Vol Adj'!C74</f>
        <v>184238</v>
      </c>
      <c r="E85" s="71">
        <f>'Bill Frequency'!D74+'Contract &amp; Vol Adj'!D74</f>
        <v>213257</v>
      </c>
      <c r="F85" s="71">
        <f>'Bill Frequency'!E74+'Contract &amp; Vol Adj'!E74</f>
        <v>206757</v>
      </c>
      <c r="G85" s="71">
        <f>'Bill Frequency'!F74+'Contract &amp; Vol Adj'!F74</f>
        <v>248923.40626371434</v>
      </c>
      <c r="H85" s="71">
        <f>'Bill Frequency'!G74+'Contract &amp; Vol Adj'!G74</f>
        <v>254790.89789404691</v>
      </c>
      <c r="I85" s="71">
        <f>'Bill Frequency'!H74+'Contract &amp; Vol Adj'!H74</f>
        <v>274088.34239548602</v>
      </c>
      <c r="J85" s="71">
        <f>'Bill Frequency'!I74+'Contract &amp; Vol Adj'!I74</f>
        <v>301139.46179932175</v>
      </c>
      <c r="K85" s="71">
        <f>'Bill Frequency'!J74+'Contract &amp; Vol Adj'!J74</f>
        <v>242440.27600809323</v>
      </c>
      <c r="L85" s="71">
        <f>'Bill Frequency'!K74+'Contract &amp; Vol Adj'!K74</f>
        <v>279339.71809295833</v>
      </c>
      <c r="M85" s="71">
        <f>'Bill Frequency'!L74+'Contract &amp; Vol Adj'!L74</f>
        <v>224859.91830953804</v>
      </c>
      <c r="N85" s="71">
        <f>'Bill Frequency'!M74+'Contract &amp; Vol Adj'!M74</f>
        <v>231861.81068080134</v>
      </c>
      <c r="O85" s="71">
        <f>'Bill Frequency'!N74+'Contract &amp; Vol Adj'!N74</f>
        <v>227598</v>
      </c>
      <c r="P85" s="7">
        <f t="shared" si="184"/>
        <v>184238</v>
      </c>
      <c r="Q85" s="7">
        <f t="shared" si="184"/>
        <v>213257</v>
      </c>
      <c r="R85" s="7">
        <f t="shared" si="184"/>
        <v>206757</v>
      </c>
      <c r="S85" s="7">
        <f t="shared" si="184"/>
        <v>248923.40626371434</v>
      </c>
      <c r="T85" s="7">
        <f t="shared" si="184"/>
        <v>254790.89789404691</v>
      </c>
      <c r="U85" s="7">
        <f t="shared" si="184"/>
        <v>274088.34239548602</v>
      </c>
      <c r="V85" s="7">
        <f t="shared" si="184"/>
        <v>301139.46179932175</v>
      </c>
      <c r="W85" s="7">
        <f t="shared" si="184"/>
        <v>242440.27600809323</v>
      </c>
      <c r="X85" s="7">
        <f t="shared" si="184"/>
        <v>279339.71809295833</v>
      </c>
      <c r="Y85" s="7">
        <f t="shared" si="184"/>
        <v>224859.91830953804</v>
      </c>
      <c r="Z85" s="7">
        <f t="shared" si="185"/>
        <v>231861.81068080134</v>
      </c>
      <c r="AA85" s="7">
        <f t="shared" si="185"/>
        <v>227598</v>
      </c>
      <c r="AB85" s="7">
        <f t="shared" si="185"/>
        <v>184238</v>
      </c>
      <c r="AC85" s="7">
        <f t="shared" si="185"/>
        <v>213257</v>
      </c>
      <c r="AD85" s="7">
        <f t="shared" si="185"/>
        <v>206757</v>
      </c>
      <c r="AE85" s="7">
        <f t="shared" si="185"/>
        <v>248923.40626371434</v>
      </c>
      <c r="AF85" s="7">
        <f t="shared" si="185"/>
        <v>254790.89789404691</v>
      </c>
      <c r="AG85" s="7">
        <f t="shared" si="185"/>
        <v>274088.34239548602</v>
      </c>
      <c r="AH85" s="7">
        <f t="shared" si="185"/>
        <v>301139.46179932175</v>
      </c>
      <c r="AI85" s="7">
        <f t="shared" si="185"/>
        <v>242440.27600809323</v>
      </c>
      <c r="AJ85" s="7">
        <f t="shared" si="186"/>
        <v>279339.71809295833</v>
      </c>
      <c r="AK85" s="7">
        <f t="shared" si="186"/>
        <v>224859.91830953804</v>
      </c>
      <c r="AL85" s="7">
        <f t="shared" si="186"/>
        <v>231861.81068080134</v>
      </c>
      <c r="AM85" s="7">
        <f t="shared" si="186"/>
        <v>227598</v>
      </c>
      <c r="AN85" s="7">
        <f t="shared" si="186"/>
        <v>184238</v>
      </c>
      <c r="AO85" s="7">
        <f t="shared" si="186"/>
        <v>213257</v>
      </c>
      <c r="AP85" s="7">
        <f t="shared" si="186"/>
        <v>206757</v>
      </c>
      <c r="AQ85" s="7">
        <f t="shared" si="186"/>
        <v>248923.40626371434</v>
      </c>
      <c r="AR85" s="7">
        <f t="shared" si="186"/>
        <v>254790.89789404691</v>
      </c>
      <c r="AS85" s="7">
        <f t="shared" si="186"/>
        <v>274088.34239548602</v>
      </c>
      <c r="AT85" s="7">
        <f t="shared" si="187"/>
        <v>301139.46179932175</v>
      </c>
      <c r="AU85" s="7">
        <f t="shared" si="187"/>
        <v>242440.27600809323</v>
      </c>
      <c r="AV85" s="7">
        <f t="shared" si="187"/>
        <v>279339.71809295833</v>
      </c>
      <c r="AW85" s="7">
        <f t="shared" si="187"/>
        <v>224859.91830953804</v>
      </c>
      <c r="AX85" s="7">
        <f t="shared" si="187"/>
        <v>231861.81068080134</v>
      </c>
      <c r="AY85" s="7">
        <f t="shared" si="187"/>
        <v>227598</v>
      </c>
      <c r="AZ85" s="7">
        <f t="shared" si="187"/>
        <v>184238</v>
      </c>
      <c r="BA85" s="7">
        <f t="shared" si="187"/>
        <v>213257</v>
      </c>
      <c r="BB85" s="7">
        <f t="shared" si="187"/>
        <v>206757</v>
      </c>
      <c r="BC85" s="7">
        <f t="shared" si="187"/>
        <v>248923.40626371434</v>
      </c>
      <c r="BD85" s="7">
        <f t="shared" si="188"/>
        <v>254790.89789404691</v>
      </c>
      <c r="BE85" s="7">
        <f t="shared" si="188"/>
        <v>274088.34239548602</v>
      </c>
      <c r="BF85" s="7">
        <f t="shared" si="188"/>
        <v>301139.46179932175</v>
      </c>
      <c r="BG85" s="7">
        <f t="shared" si="188"/>
        <v>242440.27600809323</v>
      </c>
      <c r="BH85" s="7">
        <f t="shared" si="188"/>
        <v>279339.71809295833</v>
      </c>
      <c r="BI85" s="7">
        <f t="shared" si="188"/>
        <v>224859.91830953804</v>
      </c>
      <c r="BJ85" s="7">
        <f t="shared" si="188"/>
        <v>231861.81068080134</v>
      </c>
      <c r="BK85" s="7">
        <f t="shared" si="188"/>
        <v>227598</v>
      </c>
      <c r="BL85" s="7">
        <f t="shared" si="188"/>
        <v>184238</v>
      </c>
      <c r="BM85" s="7">
        <f t="shared" si="188"/>
        <v>213257</v>
      </c>
      <c r="BN85" s="7">
        <f t="shared" si="188"/>
        <v>206757</v>
      </c>
      <c r="BO85" s="7">
        <f t="shared" si="188"/>
        <v>248923.40626371434</v>
      </c>
      <c r="BP85" s="7">
        <f t="shared" si="188"/>
        <v>254790.89789404691</v>
      </c>
      <c r="BQ85" s="7">
        <f t="shared" si="188"/>
        <v>274088.34239548602</v>
      </c>
      <c r="BR85" s="7">
        <f t="shared" si="188"/>
        <v>301139.46179932175</v>
      </c>
      <c r="BS85" s="7">
        <f t="shared" si="188"/>
        <v>242440.27600809323</v>
      </c>
      <c r="BT85" s="7">
        <f t="shared" si="189"/>
        <v>279339.71809295833</v>
      </c>
      <c r="BU85" s="7">
        <f t="shared" si="189"/>
        <v>224859.91830953804</v>
      </c>
      <c r="BV85" s="7">
        <f t="shared" si="189"/>
        <v>231861.81068080134</v>
      </c>
      <c r="BW85" s="7">
        <f t="shared" si="189"/>
        <v>227598</v>
      </c>
      <c r="BX85" s="7">
        <f t="shared" si="190"/>
        <v>184238</v>
      </c>
      <c r="BY85" s="7">
        <f t="shared" si="191"/>
        <v>213257</v>
      </c>
      <c r="BZ85" s="7">
        <f t="shared" si="192"/>
        <v>206757</v>
      </c>
      <c r="CA85" s="7">
        <f t="shared" si="193"/>
        <v>248923.40626371434</v>
      </c>
      <c r="CB85" s="7">
        <f t="shared" si="194"/>
        <v>254790.89789404691</v>
      </c>
      <c r="CC85" s="7">
        <f t="shared" si="195"/>
        <v>274088.34239548602</v>
      </c>
      <c r="CD85" s="7">
        <f t="shared" si="196"/>
        <v>301139.46179932175</v>
      </c>
      <c r="CE85" s="7">
        <f t="shared" si="197"/>
        <v>242440.27600809323</v>
      </c>
      <c r="CF85" s="7">
        <f t="shared" si="198"/>
        <v>279339.71809295833</v>
      </c>
      <c r="CG85" s="7">
        <f t="shared" si="199"/>
        <v>224859.91830953804</v>
      </c>
      <c r="CH85" s="7">
        <f t="shared" si="200"/>
        <v>231861.81068080134</v>
      </c>
      <c r="CI85" s="7">
        <f t="shared" si="201"/>
        <v>227598</v>
      </c>
    </row>
    <row r="86" spans="1:87" x14ac:dyDescent="0.2">
      <c r="A86" s="2">
        <v>77</v>
      </c>
      <c r="B86" s="33" t="s">
        <v>79</v>
      </c>
      <c r="C86" s="33"/>
      <c r="D86" s="32">
        <f t="shared" ref="D86:AI86" si="202">D84+D85</f>
        <v>566172.18041691696</v>
      </c>
      <c r="E86" s="32">
        <f t="shared" si="202"/>
        <v>622420.96876126225</v>
      </c>
      <c r="F86" s="32">
        <f t="shared" si="202"/>
        <v>633769.13365862914</v>
      </c>
      <c r="G86" s="32">
        <f t="shared" si="202"/>
        <v>694596.64490722388</v>
      </c>
      <c r="H86" s="32">
        <f t="shared" si="202"/>
        <v>730154.83755929314</v>
      </c>
      <c r="I86" s="32">
        <f t="shared" si="202"/>
        <v>774751.70526436204</v>
      </c>
      <c r="J86" s="32">
        <f t="shared" si="202"/>
        <v>796210.34718078421</v>
      </c>
      <c r="K86" s="32">
        <f t="shared" si="202"/>
        <v>695921.05932274077</v>
      </c>
      <c r="L86" s="32">
        <f t="shared" si="202"/>
        <v>762793.68241822044</v>
      </c>
      <c r="M86" s="32">
        <f t="shared" si="202"/>
        <v>667123.04855296481</v>
      </c>
      <c r="N86" s="32">
        <f t="shared" si="202"/>
        <v>687007.23719313671</v>
      </c>
      <c r="O86" s="32">
        <f t="shared" si="202"/>
        <v>647776.15476446575</v>
      </c>
      <c r="P86" s="32">
        <f t="shared" si="202"/>
        <v>566172.18041691696</v>
      </c>
      <c r="Q86" s="32">
        <f t="shared" si="202"/>
        <v>622420.96876126225</v>
      </c>
      <c r="R86" s="32">
        <f t="shared" si="202"/>
        <v>633769.13365862914</v>
      </c>
      <c r="S86" s="32">
        <f t="shared" si="202"/>
        <v>694596.64490722388</v>
      </c>
      <c r="T86" s="32">
        <f t="shared" si="202"/>
        <v>730154.83755929314</v>
      </c>
      <c r="U86" s="32">
        <f t="shared" si="202"/>
        <v>774751.70526436204</v>
      </c>
      <c r="V86" s="32">
        <f t="shared" si="202"/>
        <v>796210.34718078421</v>
      </c>
      <c r="W86" s="32">
        <f t="shared" si="202"/>
        <v>695921.05932274077</v>
      </c>
      <c r="X86" s="32">
        <f t="shared" si="202"/>
        <v>762793.68241822044</v>
      </c>
      <c r="Y86" s="32">
        <f t="shared" si="202"/>
        <v>667123.04855296481</v>
      </c>
      <c r="Z86" s="32">
        <f t="shared" si="202"/>
        <v>687007.23719313671</v>
      </c>
      <c r="AA86" s="32">
        <f t="shared" si="202"/>
        <v>647776.15476446575</v>
      </c>
      <c r="AB86" s="32">
        <f t="shared" si="202"/>
        <v>566172.18041691696</v>
      </c>
      <c r="AC86" s="32">
        <f t="shared" si="202"/>
        <v>622420.96876126225</v>
      </c>
      <c r="AD86" s="32">
        <f t="shared" si="202"/>
        <v>633769.13365862914</v>
      </c>
      <c r="AE86" s="32">
        <f t="shared" si="202"/>
        <v>694596.64490722388</v>
      </c>
      <c r="AF86" s="32">
        <f t="shared" si="202"/>
        <v>730154.83755929314</v>
      </c>
      <c r="AG86" s="32">
        <f t="shared" si="202"/>
        <v>774751.70526436204</v>
      </c>
      <c r="AH86" s="32">
        <f t="shared" si="202"/>
        <v>796210.34718078421</v>
      </c>
      <c r="AI86" s="32">
        <f t="shared" si="202"/>
        <v>695921.05932274077</v>
      </c>
      <c r="AJ86" s="32">
        <f t="shared" ref="AJ86:BW86" si="203">AJ84+AJ85</f>
        <v>762793.68241822044</v>
      </c>
      <c r="AK86" s="32">
        <f t="shared" si="203"/>
        <v>667123.04855296481</v>
      </c>
      <c r="AL86" s="32">
        <f t="shared" si="203"/>
        <v>687007.23719313671</v>
      </c>
      <c r="AM86" s="32">
        <f t="shared" si="203"/>
        <v>647776.15476446575</v>
      </c>
      <c r="AN86" s="32">
        <f t="shared" si="203"/>
        <v>566172.18041691696</v>
      </c>
      <c r="AO86" s="32">
        <f t="shared" si="203"/>
        <v>622420.96876126225</v>
      </c>
      <c r="AP86" s="32">
        <f t="shared" si="203"/>
        <v>633769.13365862914</v>
      </c>
      <c r="AQ86" s="32">
        <f t="shared" si="203"/>
        <v>694596.64490722388</v>
      </c>
      <c r="AR86" s="32">
        <f t="shared" si="203"/>
        <v>730154.83755929314</v>
      </c>
      <c r="AS86" s="32">
        <f t="shared" si="203"/>
        <v>774751.70526436204</v>
      </c>
      <c r="AT86" s="32">
        <f t="shared" si="203"/>
        <v>796210.34718078421</v>
      </c>
      <c r="AU86" s="32">
        <f t="shared" si="203"/>
        <v>695921.05932274077</v>
      </c>
      <c r="AV86" s="32">
        <f t="shared" si="203"/>
        <v>762793.68241822044</v>
      </c>
      <c r="AW86" s="32">
        <f t="shared" si="203"/>
        <v>667123.04855296481</v>
      </c>
      <c r="AX86" s="32">
        <f t="shared" si="203"/>
        <v>687007.23719313671</v>
      </c>
      <c r="AY86" s="32">
        <f t="shared" si="203"/>
        <v>647776.15476446575</v>
      </c>
      <c r="AZ86" s="32">
        <f t="shared" si="203"/>
        <v>566172.18041691696</v>
      </c>
      <c r="BA86" s="32">
        <f t="shared" si="203"/>
        <v>622420.96876126225</v>
      </c>
      <c r="BB86" s="32">
        <f t="shared" si="203"/>
        <v>633769.13365862914</v>
      </c>
      <c r="BC86" s="32">
        <f t="shared" si="203"/>
        <v>694596.64490722388</v>
      </c>
      <c r="BD86" s="32">
        <f t="shared" si="203"/>
        <v>730154.83755929314</v>
      </c>
      <c r="BE86" s="32">
        <f t="shared" si="203"/>
        <v>774751.70526436204</v>
      </c>
      <c r="BF86" s="32">
        <f t="shared" si="203"/>
        <v>796210.34718078421</v>
      </c>
      <c r="BG86" s="32">
        <f t="shared" si="203"/>
        <v>695921.05932274077</v>
      </c>
      <c r="BH86" s="32">
        <f t="shared" si="203"/>
        <v>762793.68241822044</v>
      </c>
      <c r="BI86" s="32">
        <f t="shared" si="203"/>
        <v>667123.04855296481</v>
      </c>
      <c r="BJ86" s="32">
        <f t="shared" si="203"/>
        <v>687007.23719313671</v>
      </c>
      <c r="BK86" s="32">
        <f t="shared" si="203"/>
        <v>647776.15476446575</v>
      </c>
      <c r="BL86" s="32">
        <f t="shared" si="203"/>
        <v>566172.18041691696</v>
      </c>
      <c r="BM86" s="32">
        <f t="shared" si="203"/>
        <v>622420.96876126225</v>
      </c>
      <c r="BN86" s="32">
        <f t="shared" si="203"/>
        <v>633769.13365862914</v>
      </c>
      <c r="BO86" s="32">
        <f t="shared" si="203"/>
        <v>694596.64490722388</v>
      </c>
      <c r="BP86" s="32">
        <f t="shared" si="203"/>
        <v>730154.83755929314</v>
      </c>
      <c r="BQ86" s="32">
        <f t="shared" si="203"/>
        <v>774751.70526436204</v>
      </c>
      <c r="BR86" s="32">
        <f t="shared" si="203"/>
        <v>796210.34718078421</v>
      </c>
      <c r="BS86" s="32">
        <f t="shared" si="203"/>
        <v>695921.05932274077</v>
      </c>
      <c r="BT86" s="32">
        <f t="shared" si="203"/>
        <v>762793.68241822044</v>
      </c>
      <c r="BU86" s="32">
        <f t="shared" si="203"/>
        <v>667123.04855296481</v>
      </c>
      <c r="BV86" s="32">
        <f t="shared" si="203"/>
        <v>687007.23719313671</v>
      </c>
      <c r="BW86" s="32">
        <f t="shared" si="203"/>
        <v>647776.15476446575</v>
      </c>
      <c r="BX86" s="32">
        <f t="shared" ref="BX86:CI86" si="204">BX84+BX85</f>
        <v>566172.18041691696</v>
      </c>
      <c r="BY86" s="32">
        <f t="shared" si="204"/>
        <v>622420.96876126225</v>
      </c>
      <c r="BZ86" s="32">
        <f t="shared" si="204"/>
        <v>633769.13365862914</v>
      </c>
      <c r="CA86" s="32">
        <f t="shared" si="204"/>
        <v>694596.64490722388</v>
      </c>
      <c r="CB86" s="32">
        <f t="shared" si="204"/>
        <v>730154.83755929314</v>
      </c>
      <c r="CC86" s="32">
        <f t="shared" si="204"/>
        <v>774751.70526436204</v>
      </c>
      <c r="CD86" s="32">
        <f t="shared" si="204"/>
        <v>796210.34718078421</v>
      </c>
      <c r="CE86" s="32">
        <f t="shared" si="204"/>
        <v>695921.05932274077</v>
      </c>
      <c r="CF86" s="32">
        <f t="shared" si="204"/>
        <v>762793.68241822044</v>
      </c>
      <c r="CG86" s="32">
        <f t="shared" si="204"/>
        <v>667123.04855296481</v>
      </c>
      <c r="CH86" s="32">
        <f t="shared" si="204"/>
        <v>687007.23719313671</v>
      </c>
      <c r="CI86" s="32">
        <f t="shared" si="204"/>
        <v>647776.15476446575</v>
      </c>
    </row>
    <row r="87" spans="1:87" x14ac:dyDescent="0.2">
      <c r="A87" s="2">
        <v>78</v>
      </c>
      <c r="C87" s="2"/>
      <c r="D87" s="474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</row>
    <row r="88" spans="1:87" x14ac:dyDescent="0.2">
      <c r="A88" s="2">
        <v>79</v>
      </c>
      <c r="B88" s="172" t="s">
        <v>90</v>
      </c>
      <c r="C88" s="2"/>
      <c r="D88" s="103">
        <f t="shared" ref="D88:AI88" si="205">D89*$C$89+D90+D91+D92+D94</f>
        <v>183286.57023593987</v>
      </c>
      <c r="E88" s="103">
        <f t="shared" si="205"/>
        <v>180802.14429106572</v>
      </c>
      <c r="F88" s="103">
        <f t="shared" si="205"/>
        <v>183627.60898165885</v>
      </c>
      <c r="G88" s="103">
        <f t="shared" si="205"/>
        <v>198676.93726818013</v>
      </c>
      <c r="H88" s="103">
        <f t="shared" si="205"/>
        <v>196958.77298331514</v>
      </c>
      <c r="I88" s="103">
        <f t="shared" si="205"/>
        <v>230122.0238050755</v>
      </c>
      <c r="J88" s="103">
        <f t="shared" si="205"/>
        <v>221910.06617049334</v>
      </c>
      <c r="K88" s="103">
        <f t="shared" si="205"/>
        <v>186721.56078293792</v>
      </c>
      <c r="L88" s="103">
        <f t="shared" si="205"/>
        <v>197751.86418905575</v>
      </c>
      <c r="M88" s="103">
        <f t="shared" si="205"/>
        <v>174643.87153331196</v>
      </c>
      <c r="N88" s="103">
        <f t="shared" si="205"/>
        <v>170439.53524474136</v>
      </c>
      <c r="O88" s="103">
        <f t="shared" si="205"/>
        <v>149118.70479717723</v>
      </c>
      <c r="P88" s="103">
        <f t="shared" si="205"/>
        <v>183286.57023593987</v>
      </c>
      <c r="Q88" s="103">
        <f t="shared" si="205"/>
        <v>180802.14429106572</v>
      </c>
      <c r="R88" s="103">
        <f t="shared" si="205"/>
        <v>183627.60898165885</v>
      </c>
      <c r="S88" s="103">
        <f t="shared" si="205"/>
        <v>198676.93726818013</v>
      </c>
      <c r="T88" s="103">
        <f t="shared" si="205"/>
        <v>196958.77298331514</v>
      </c>
      <c r="U88" s="103">
        <f t="shared" si="205"/>
        <v>230122.0238050755</v>
      </c>
      <c r="V88" s="103">
        <f t="shared" si="205"/>
        <v>221910.06617049334</v>
      </c>
      <c r="W88" s="103">
        <f t="shared" si="205"/>
        <v>186721.56078293792</v>
      </c>
      <c r="X88" s="103">
        <f t="shared" si="205"/>
        <v>197751.86418905575</v>
      </c>
      <c r="Y88" s="103">
        <f t="shared" si="205"/>
        <v>174643.87153331196</v>
      </c>
      <c r="Z88" s="103">
        <f t="shared" si="205"/>
        <v>170439.53524474136</v>
      </c>
      <c r="AA88" s="103">
        <f t="shared" si="205"/>
        <v>149118.70479717723</v>
      </c>
      <c r="AB88" s="103">
        <f t="shared" si="205"/>
        <v>183286.57023593987</v>
      </c>
      <c r="AC88" s="103">
        <f t="shared" si="205"/>
        <v>180802.14429106572</v>
      </c>
      <c r="AD88" s="103">
        <f t="shared" si="205"/>
        <v>183627.60898165885</v>
      </c>
      <c r="AE88" s="103">
        <f t="shared" si="205"/>
        <v>198676.93726818013</v>
      </c>
      <c r="AF88" s="103">
        <f t="shared" si="205"/>
        <v>196958.77298331514</v>
      </c>
      <c r="AG88" s="103">
        <f t="shared" si="205"/>
        <v>230122.0238050755</v>
      </c>
      <c r="AH88" s="103">
        <f t="shared" si="205"/>
        <v>221910.06617049334</v>
      </c>
      <c r="AI88" s="103">
        <f t="shared" si="205"/>
        <v>186721.56078293792</v>
      </c>
      <c r="AJ88" s="103">
        <f t="shared" ref="AJ88:BO88" si="206">AJ89*$C$89+AJ90+AJ91+AJ92+AJ94</f>
        <v>197751.86418905575</v>
      </c>
      <c r="AK88" s="103">
        <f t="shared" si="206"/>
        <v>174643.87153331196</v>
      </c>
      <c r="AL88" s="103">
        <f t="shared" si="206"/>
        <v>170439.53524474136</v>
      </c>
      <c r="AM88" s="103">
        <f t="shared" si="206"/>
        <v>149118.70479717723</v>
      </c>
      <c r="AN88" s="103">
        <f t="shared" si="206"/>
        <v>183286.57023593987</v>
      </c>
      <c r="AO88" s="103">
        <f t="shared" si="206"/>
        <v>180802.14429106572</v>
      </c>
      <c r="AP88" s="103">
        <f t="shared" si="206"/>
        <v>183627.60898165885</v>
      </c>
      <c r="AQ88" s="103">
        <f t="shared" si="206"/>
        <v>198676.93726818013</v>
      </c>
      <c r="AR88" s="103">
        <f t="shared" si="206"/>
        <v>196958.77298331514</v>
      </c>
      <c r="AS88" s="103">
        <f t="shared" si="206"/>
        <v>230122.0238050755</v>
      </c>
      <c r="AT88" s="103">
        <f t="shared" si="206"/>
        <v>221910.06617049334</v>
      </c>
      <c r="AU88" s="103">
        <f t="shared" si="206"/>
        <v>186721.56078293792</v>
      </c>
      <c r="AV88" s="103">
        <f t="shared" si="206"/>
        <v>197751.86418905575</v>
      </c>
      <c r="AW88" s="103">
        <f t="shared" si="206"/>
        <v>174643.87153331196</v>
      </c>
      <c r="AX88" s="103">
        <f t="shared" si="206"/>
        <v>170439.53524474136</v>
      </c>
      <c r="AY88" s="103">
        <f t="shared" si="206"/>
        <v>149118.70479717723</v>
      </c>
      <c r="AZ88" s="103">
        <f t="shared" si="206"/>
        <v>183286.57023593987</v>
      </c>
      <c r="BA88" s="103">
        <f t="shared" si="206"/>
        <v>180802.14429106572</v>
      </c>
      <c r="BB88" s="103">
        <f t="shared" si="206"/>
        <v>183627.60898165885</v>
      </c>
      <c r="BC88" s="103">
        <f t="shared" si="206"/>
        <v>198676.93726818013</v>
      </c>
      <c r="BD88" s="103">
        <f t="shared" si="206"/>
        <v>196958.77298331514</v>
      </c>
      <c r="BE88" s="103">
        <f t="shared" si="206"/>
        <v>230122.0238050755</v>
      </c>
      <c r="BF88" s="103">
        <f t="shared" si="206"/>
        <v>221910.06617049334</v>
      </c>
      <c r="BG88" s="103">
        <f t="shared" si="206"/>
        <v>186721.56078293792</v>
      </c>
      <c r="BH88" s="103">
        <f t="shared" si="206"/>
        <v>197751.86418905575</v>
      </c>
      <c r="BI88" s="103">
        <f t="shared" si="206"/>
        <v>174643.87153331196</v>
      </c>
      <c r="BJ88" s="103">
        <f t="shared" si="206"/>
        <v>170439.53524474136</v>
      </c>
      <c r="BK88" s="103">
        <f t="shared" si="206"/>
        <v>149118.70479717723</v>
      </c>
      <c r="BL88" s="103">
        <f t="shared" si="206"/>
        <v>183286.57023593987</v>
      </c>
      <c r="BM88" s="103">
        <f t="shared" si="206"/>
        <v>180802.14429106572</v>
      </c>
      <c r="BN88" s="103">
        <f t="shared" si="206"/>
        <v>183627.60898165885</v>
      </c>
      <c r="BO88" s="103">
        <f t="shared" si="206"/>
        <v>198676.93726818013</v>
      </c>
      <c r="BP88" s="103">
        <f t="shared" ref="BP88:CI88" si="207">BP89*$C$89+BP90+BP91+BP92+BP94</f>
        <v>196958.77298331514</v>
      </c>
      <c r="BQ88" s="103">
        <f t="shared" si="207"/>
        <v>230122.0238050755</v>
      </c>
      <c r="BR88" s="103">
        <f t="shared" si="207"/>
        <v>221910.06617049334</v>
      </c>
      <c r="BS88" s="103">
        <f t="shared" si="207"/>
        <v>186721.56078293792</v>
      </c>
      <c r="BT88" s="103">
        <f t="shared" si="207"/>
        <v>197751.86418905575</v>
      </c>
      <c r="BU88" s="103">
        <f t="shared" si="207"/>
        <v>174643.87153331196</v>
      </c>
      <c r="BV88" s="103">
        <f t="shared" si="207"/>
        <v>170439.53524474136</v>
      </c>
      <c r="BW88" s="103">
        <f t="shared" si="207"/>
        <v>149118.70479717723</v>
      </c>
      <c r="BX88" s="103">
        <f t="shared" si="207"/>
        <v>183286.57023593987</v>
      </c>
      <c r="BY88" s="103">
        <f t="shared" si="207"/>
        <v>180802.14429106572</v>
      </c>
      <c r="BZ88" s="103">
        <f t="shared" si="207"/>
        <v>183627.60898165885</v>
      </c>
      <c r="CA88" s="103">
        <f t="shared" si="207"/>
        <v>198676.93726818013</v>
      </c>
      <c r="CB88" s="103">
        <f t="shared" si="207"/>
        <v>196958.77298331514</v>
      </c>
      <c r="CC88" s="103">
        <f t="shared" si="207"/>
        <v>230122.0238050755</v>
      </c>
      <c r="CD88" s="103">
        <f t="shared" si="207"/>
        <v>221910.06617049334</v>
      </c>
      <c r="CE88" s="103">
        <f t="shared" si="207"/>
        <v>186721.56078293792</v>
      </c>
      <c r="CF88" s="103">
        <f t="shared" si="207"/>
        <v>197751.86418905575</v>
      </c>
      <c r="CG88" s="103">
        <f t="shared" si="207"/>
        <v>174643.87153331196</v>
      </c>
      <c r="CH88" s="103">
        <f t="shared" si="207"/>
        <v>170439.53524474136</v>
      </c>
      <c r="CI88" s="103">
        <f t="shared" si="207"/>
        <v>149118.70479717723</v>
      </c>
    </row>
    <row r="89" spans="1:87" x14ac:dyDescent="0.2">
      <c r="A89" s="2">
        <v>80</v>
      </c>
      <c r="B89" s="2" t="s">
        <v>87</v>
      </c>
      <c r="C89" s="215">
        <f>'Rate Design'!G17</f>
        <v>375</v>
      </c>
      <c r="D89" s="71">
        <f>'Bill Frequency'!C78+'Contract &amp; Vol Adj'!C78</f>
        <v>14</v>
      </c>
      <c r="E89" s="71">
        <f>'Bill Frequency'!D78+'Contract &amp; Vol Adj'!D78</f>
        <v>14</v>
      </c>
      <c r="F89" s="71">
        <f>'Bill Frequency'!E78+'Contract &amp; Vol Adj'!E78</f>
        <v>13.866666666666667</v>
      </c>
      <c r="G89" s="71">
        <f>'Bill Frequency'!F78+'Contract &amp; Vol Adj'!F78</f>
        <v>13.866666666666667</v>
      </c>
      <c r="H89" s="71">
        <f>'Bill Frequency'!G78+'Contract &amp; Vol Adj'!G78</f>
        <v>13.866666666666667</v>
      </c>
      <c r="I89" s="71">
        <f>'Bill Frequency'!H78+'Contract &amp; Vol Adj'!H78</f>
        <v>13.866666666666667</v>
      </c>
      <c r="J89" s="71">
        <f>'Bill Frequency'!I78+'Contract &amp; Vol Adj'!I78</f>
        <v>13.866666666666667</v>
      </c>
      <c r="K89" s="71">
        <f>'Bill Frequency'!J78+'Contract &amp; Vol Adj'!J78</f>
        <v>13.866666666666667</v>
      </c>
      <c r="L89" s="71">
        <f>'Bill Frequency'!K78+'Contract &amp; Vol Adj'!K78</f>
        <v>13.866666666666667</v>
      </c>
      <c r="M89" s="71">
        <f>'Bill Frequency'!L78+'Contract &amp; Vol Adj'!L78</f>
        <v>13.866666666666667</v>
      </c>
      <c r="N89" s="71">
        <f>'Bill Frequency'!M78+'Contract &amp; Vol Adj'!M78</f>
        <v>13.866666666666667</v>
      </c>
      <c r="O89" s="71">
        <f>'Bill Frequency'!N78+'Contract &amp; Vol Adj'!N78</f>
        <v>13.8</v>
      </c>
      <c r="P89" s="7">
        <f t="shared" ref="P89:Y94" si="208">D89</f>
        <v>14</v>
      </c>
      <c r="Q89" s="7">
        <f t="shared" si="208"/>
        <v>14</v>
      </c>
      <c r="R89" s="7">
        <f t="shared" si="208"/>
        <v>13.866666666666667</v>
      </c>
      <c r="S89" s="7">
        <f t="shared" si="208"/>
        <v>13.866666666666667</v>
      </c>
      <c r="T89" s="7">
        <f t="shared" si="208"/>
        <v>13.866666666666667</v>
      </c>
      <c r="U89" s="7">
        <f t="shared" si="208"/>
        <v>13.866666666666667</v>
      </c>
      <c r="V89" s="7">
        <f t="shared" si="208"/>
        <v>13.866666666666667</v>
      </c>
      <c r="W89" s="7">
        <f t="shared" si="208"/>
        <v>13.866666666666667</v>
      </c>
      <c r="X89" s="7">
        <f t="shared" si="208"/>
        <v>13.866666666666667</v>
      </c>
      <c r="Y89" s="7">
        <f t="shared" si="208"/>
        <v>13.866666666666667</v>
      </c>
      <c r="Z89" s="7">
        <f t="shared" ref="Z89:AI94" si="209">N89</f>
        <v>13.866666666666667</v>
      </c>
      <c r="AA89" s="7">
        <f t="shared" si="209"/>
        <v>13.8</v>
      </c>
      <c r="AB89" s="7">
        <f t="shared" si="209"/>
        <v>14</v>
      </c>
      <c r="AC89" s="7">
        <f t="shared" si="209"/>
        <v>14</v>
      </c>
      <c r="AD89" s="7">
        <f t="shared" si="209"/>
        <v>13.866666666666667</v>
      </c>
      <c r="AE89" s="7">
        <f t="shared" si="209"/>
        <v>13.866666666666667</v>
      </c>
      <c r="AF89" s="7">
        <f t="shared" si="209"/>
        <v>13.866666666666667</v>
      </c>
      <c r="AG89" s="7">
        <f t="shared" si="209"/>
        <v>13.866666666666667</v>
      </c>
      <c r="AH89" s="7">
        <f t="shared" si="209"/>
        <v>13.866666666666667</v>
      </c>
      <c r="AI89" s="7">
        <f t="shared" si="209"/>
        <v>13.866666666666667</v>
      </c>
      <c r="AJ89" s="7">
        <f t="shared" ref="AJ89:AS94" si="210">X89</f>
        <v>13.866666666666667</v>
      </c>
      <c r="AK89" s="7">
        <f t="shared" si="210"/>
        <v>13.866666666666667</v>
      </c>
      <c r="AL89" s="7">
        <f t="shared" si="210"/>
        <v>13.866666666666667</v>
      </c>
      <c r="AM89" s="7">
        <f t="shared" si="210"/>
        <v>13.8</v>
      </c>
      <c r="AN89" s="7">
        <f t="shared" si="210"/>
        <v>14</v>
      </c>
      <c r="AO89" s="7">
        <f t="shared" si="210"/>
        <v>14</v>
      </c>
      <c r="AP89" s="7">
        <f t="shared" si="210"/>
        <v>13.866666666666667</v>
      </c>
      <c r="AQ89" s="7">
        <f t="shared" si="210"/>
        <v>13.866666666666667</v>
      </c>
      <c r="AR89" s="7">
        <f t="shared" si="210"/>
        <v>13.866666666666667</v>
      </c>
      <c r="AS89" s="7">
        <f t="shared" si="210"/>
        <v>13.866666666666667</v>
      </c>
      <c r="AT89" s="7">
        <f t="shared" ref="AT89:BC94" si="211">AH89</f>
        <v>13.866666666666667</v>
      </c>
      <c r="AU89" s="7">
        <f t="shared" si="211"/>
        <v>13.866666666666667</v>
      </c>
      <c r="AV89" s="7">
        <f t="shared" si="211"/>
        <v>13.866666666666667</v>
      </c>
      <c r="AW89" s="7">
        <f t="shared" si="211"/>
        <v>13.866666666666667</v>
      </c>
      <c r="AX89" s="7">
        <f t="shared" si="211"/>
        <v>13.866666666666667</v>
      </c>
      <c r="AY89" s="7">
        <f t="shared" si="211"/>
        <v>13.8</v>
      </c>
      <c r="AZ89" s="7">
        <f t="shared" si="211"/>
        <v>14</v>
      </c>
      <c r="BA89" s="7">
        <f t="shared" si="211"/>
        <v>14</v>
      </c>
      <c r="BB89" s="7">
        <f t="shared" si="211"/>
        <v>13.866666666666667</v>
      </c>
      <c r="BC89" s="7">
        <f t="shared" si="211"/>
        <v>13.866666666666667</v>
      </c>
      <c r="BD89" s="7">
        <f t="shared" ref="BD89:BS94" si="212">AR89</f>
        <v>13.866666666666667</v>
      </c>
      <c r="BE89" s="7">
        <f t="shared" si="212"/>
        <v>13.866666666666667</v>
      </c>
      <c r="BF89" s="7">
        <f t="shared" si="212"/>
        <v>13.866666666666667</v>
      </c>
      <c r="BG89" s="7">
        <f t="shared" si="212"/>
        <v>13.866666666666667</v>
      </c>
      <c r="BH89" s="7">
        <f t="shared" si="212"/>
        <v>13.866666666666667</v>
      </c>
      <c r="BI89" s="7">
        <f t="shared" si="212"/>
        <v>13.866666666666667</v>
      </c>
      <c r="BJ89" s="7">
        <f t="shared" si="212"/>
        <v>13.866666666666667</v>
      </c>
      <c r="BK89" s="7">
        <f t="shared" si="212"/>
        <v>13.8</v>
      </c>
      <c r="BL89" s="7">
        <f t="shared" si="212"/>
        <v>14</v>
      </c>
      <c r="BM89" s="7">
        <f t="shared" si="212"/>
        <v>14</v>
      </c>
      <c r="BN89" s="7">
        <f t="shared" si="212"/>
        <v>13.866666666666667</v>
      </c>
      <c r="BO89" s="7">
        <f t="shared" si="212"/>
        <v>13.866666666666667</v>
      </c>
      <c r="BP89" s="7">
        <f t="shared" si="212"/>
        <v>13.866666666666667</v>
      </c>
      <c r="BQ89" s="7">
        <f t="shared" si="212"/>
        <v>13.866666666666667</v>
      </c>
      <c r="BR89" s="7">
        <f t="shared" si="212"/>
        <v>13.866666666666667</v>
      </c>
      <c r="BS89" s="7">
        <f t="shared" si="212"/>
        <v>13.866666666666667</v>
      </c>
      <c r="BT89" s="7">
        <f t="shared" ref="BT89:BW94" si="213">BH89</f>
        <v>13.866666666666667</v>
      </c>
      <c r="BU89" s="7">
        <f t="shared" si="213"/>
        <v>13.866666666666667</v>
      </c>
      <c r="BV89" s="7">
        <f t="shared" si="213"/>
        <v>13.866666666666667</v>
      </c>
      <c r="BW89" s="7">
        <f t="shared" si="213"/>
        <v>13.8</v>
      </c>
      <c r="BX89" s="7">
        <f t="shared" ref="BX89:BX94" si="214">BL89</f>
        <v>14</v>
      </c>
      <c r="BY89" s="7">
        <f t="shared" ref="BY89:BY94" si="215">BM89</f>
        <v>14</v>
      </c>
      <c r="BZ89" s="7">
        <f t="shared" ref="BZ89:BZ94" si="216">BN89</f>
        <v>13.866666666666667</v>
      </c>
      <c r="CA89" s="7">
        <f t="shared" ref="CA89:CA94" si="217">BO89</f>
        <v>13.866666666666667</v>
      </c>
      <c r="CB89" s="7">
        <f t="shared" ref="CB89:CB94" si="218">BP89</f>
        <v>13.866666666666667</v>
      </c>
      <c r="CC89" s="7">
        <f t="shared" ref="CC89:CC94" si="219">BQ89</f>
        <v>13.866666666666667</v>
      </c>
      <c r="CD89" s="7">
        <f t="shared" ref="CD89:CD94" si="220">BR89</f>
        <v>13.866666666666667</v>
      </c>
      <c r="CE89" s="7">
        <f t="shared" ref="CE89:CE94" si="221">BS89</f>
        <v>13.866666666666667</v>
      </c>
      <c r="CF89" s="7">
        <f t="shared" ref="CF89:CF94" si="222">BT89</f>
        <v>13.866666666666667</v>
      </c>
      <c r="CG89" s="7">
        <f t="shared" ref="CG89:CG94" si="223">BU89</f>
        <v>13.866666666666667</v>
      </c>
      <c r="CH89" s="7">
        <f t="shared" ref="CH89:CH94" si="224">BV89</f>
        <v>13.866666666666667</v>
      </c>
      <c r="CI89" s="7">
        <f t="shared" ref="CI89:CI94" si="225">BW89</f>
        <v>13.8</v>
      </c>
    </row>
    <row r="90" spans="1:87" x14ac:dyDescent="0.2">
      <c r="A90" s="2">
        <v>81</v>
      </c>
      <c r="B90" s="2" t="s">
        <v>1</v>
      </c>
      <c r="C90" s="2"/>
      <c r="D90" s="61">
        <f>'Bill Frequency'!C79+'Contract &amp; Vol Adj'!C79</f>
        <v>650</v>
      </c>
      <c r="E90" s="61">
        <f>'Bill Frequency'!D79+'Contract &amp; Vol Adj'!D79</f>
        <v>650</v>
      </c>
      <c r="F90" s="61">
        <f>'Bill Frequency'!E79+'Contract &amp; Vol Adj'!E79</f>
        <v>650</v>
      </c>
      <c r="G90" s="61">
        <f>'Bill Frequency'!F79+'Contract &amp; Vol Adj'!F79</f>
        <v>650</v>
      </c>
      <c r="H90" s="61">
        <f>'Bill Frequency'!G79+'Contract &amp; Vol Adj'!G79</f>
        <v>650</v>
      </c>
      <c r="I90" s="61">
        <f>'Bill Frequency'!H79+'Contract &amp; Vol Adj'!H79</f>
        <v>650</v>
      </c>
      <c r="J90" s="61">
        <f>'Bill Frequency'!I79+'Contract &amp; Vol Adj'!I79</f>
        <v>650</v>
      </c>
      <c r="K90" s="61">
        <f>'Bill Frequency'!J79+'Contract &amp; Vol Adj'!J79</f>
        <v>650</v>
      </c>
      <c r="L90" s="61">
        <f>'Bill Frequency'!K79+'Contract &amp; Vol Adj'!K79</f>
        <v>650</v>
      </c>
      <c r="M90" s="61">
        <f>'Bill Frequency'!L79+'Contract &amp; Vol Adj'!L79</f>
        <v>650</v>
      </c>
      <c r="N90" s="61">
        <f>'Bill Frequency'!M79+'Contract &amp; Vol Adj'!M79</f>
        <v>650</v>
      </c>
      <c r="O90" s="61">
        <f>'Bill Frequency'!N79+'Contract &amp; Vol Adj'!N79</f>
        <v>650</v>
      </c>
      <c r="P90" s="61">
        <f t="shared" si="208"/>
        <v>650</v>
      </c>
      <c r="Q90" s="61">
        <f t="shared" si="208"/>
        <v>650</v>
      </c>
      <c r="R90" s="61">
        <f t="shared" si="208"/>
        <v>650</v>
      </c>
      <c r="S90" s="61">
        <f t="shared" si="208"/>
        <v>650</v>
      </c>
      <c r="T90" s="61">
        <f t="shared" si="208"/>
        <v>650</v>
      </c>
      <c r="U90" s="61">
        <f t="shared" si="208"/>
        <v>650</v>
      </c>
      <c r="V90" s="61">
        <f t="shared" si="208"/>
        <v>650</v>
      </c>
      <c r="W90" s="61">
        <f t="shared" si="208"/>
        <v>650</v>
      </c>
      <c r="X90" s="61">
        <f t="shared" si="208"/>
        <v>650</v>
      </c>
      <c r="Y90" s="61">
        <f t="shared" si="208"/>
        <v>650</v>
      </c>
      <c r="Z90" s="61">
        <f t="shared" si="209"/>
        <v>650</v>
      </c>
      <c r="AA90" s="61">
        <f t="shared" si="209"/>
        <v>650</v>
      </c>
      <c r="AB90" s="61">
        <f t="shared" si="209"/>
        <v>650</v>
      </c>
      <c r="AC90" s="61">
        <f t="shared" si="209"/>
        <v>650</v>
      </c>
      <c r="AD90" s="61">
        <f t="shared" si="209"/>
        <v>650</v>
      </c>
      <c r="AE90" s="61">
        <f t="shared" si="209"/>
        <v>650</v>
      </c>
      <c r="AF90" s="61">
        <f t="shared" si="209"/>
        <v>650</v>
      </c>
      <c r="AG90" s="61">
        <f t="shared" si="209"/>
        <v>650</v>
      </c>
      <c r="AH90" s="61">
        <f t="shared" si="209"/>
        <v>650</v>
      </c>
      <c r="AI90" s="61">
        <f t="shared" si="209"/>
        <v>650</v>
      </c>
      <c r="AJ90" s="61">
        <f t="shared" si="210"/>
        <v>650</v>
      </c>
      <c r="AK90" s="61">
        <f t="shared" si="210"/>
        <v>650</v>
      </c>
      <c r="AL90" s="61">
        <f t="shared" si="210"/>
        <v>650</v>
      </c>
      <c r="AM90" s="61">
        <f t="shared" si="210"/>
        <v>650</v>
      </c>
      <c r="AN90" s="61">
        <f t="shared" si="210"/>
        <v>650</v>
      </c>
      <c r="AO90" s="61">
        <f t="shared" si="210"/>
        <v>650</v>
      </c>
      <c r="AP90" s="61">
        <f t="shared" si="210"/>
        <v>650</v>
      </c>
      <c r="AQ90" s="61">
        <f t="shared" si="210"/>
        <v>650</v>
      </c>
      <c r="AR90" s="61">
        <f t="shared" si="210"/>
        <v>650</v>
      </c>
      <c r="AS90" s="61">
        <f t="shared" si="210"/>
        <v>650</v>
      </c>
      <c r="AT90" s="61">
        <f t="shared" si="211"/>
        <v>650</v>
      </c>
      <c r="AU90" s="61">
        <f t="shared" si="211"/>
        <v>650</v>
      </c>
      <c r="AV90" s="61">
        <f t="shared" si="211"/>
        <v>650</v>
      </c>
      <c r="AW90" s="61">
        <f t="shared" si="211"/>
        <v>650</v>
      </c>
      <c r="AX90" s="61">
        <f t="shared" si="211"/>
        <v>650</v>
      </c>
      <c r="AY90" s="61">
        <f t="shared" si="211"/>
        <v>650</v>
      </c>
      <c r="AZ90" s="61">
        <f t="shared" si="211"/>
        <v>650</v>
      </c>
      <c r="BA90" s="61">
        <f t="shared" si="211"/>
        <v>650</v>
      </c>
      <c r="BB90" s="61">
        <f t="shared" si="211"/>
        <v>650</v>
      </c>
      <c r="BC90" s="61">
        <f t="shared" si="211"/>
        <v>650</v>
      </c>
      <c r="BD90" s="61">
        <f t="shared" si="212"/>
        <v>650</v>
      </c>
      <c r="BE90" s="61">
        <f t="shared" si="212"/>
        <v>650</v>
      </c>
      <c r="BF90" s="61">
        <f t="shared" si="212"/>
        <v>650</v>
      </c>
      <c r="BG90" s="61">
        <f t="shared" si="212"/>
        <v>650</v>
      </c>
      <c r="BH90" s="61">
        <f t="shared" si="212"/>
        <v>650</v>
      </c>
      <c r="BI90" s="61">
        <f t="shared" si="212"/>
        <v>650</v>
      </c>
      <c r="BJ90" s="61">
        <f t="shared" si="212"/>
        <v>650</v>
      </c>
      <c r="BK90" s="61">
        <f t="shared" si="212"/>
        <v>650</v>
      </c>
      <c r="BL90" s="61">
        <f t="shared" si="212"/>
        <v>650</v>
      </c>
      <c r="BM90" s="61">
        <f t="shared" si="212"/>
        <v>650</v>
      </c>
      <c r="BN90" s="61">
        <f t="shared" si="212"/>
        <v>650</v>
      </c>
      <c r="BO90" s="61">
        <f t="shared" si="212"/>
        <v>650</v>
      </c>
      <c r="BP90" s="61">
        <f t="shared" si="212"/>
        <v>650</v>
      </c>
      <c r="BQ90" s="61">
        <f t="shared" si="212"/>
        <v>650</v>
      </c>
      <c r="BR90" s="61">
        <f t="shared" si="212"/>
        <v>650</v>
      </c>
      <c r="BS90" s="61">
        <f t="shared" si="212"/>
        <v>650</v>
      </c>
      <c r="BT90" s="61">
        <f t="shared" si="213"/>
        <v>650</v>
      </c>
      <c r="BU90" s="61">
        <f t="shared" si="213"/>
        <v>650</v>
      </c>
      <c r="BV90" s="61">
        <f t="shared" si="213"/>
        <v>650</v>
      </c>
      <c r="BW90" s="61">
        <f t="shared" si="213"/>
        <v>650</v>
      </c>
      <c r="BX90" s="61">
        <f t="shared" si="214"/>
        <v>650</v>
      </c>
      <c r="BY90" s="61">
        <f t="shared" si="215"/>
        <v>650</v>
      </c>
      <c r="BZ90" s="61">
        <f t="shared" si="216"/>
        <v>650</v>
      </c>
      <c r="CA90" s="61">
        <f t="shared" si="217"/>
        <v>650</v>
      </c>
      <c r="CB90" s="61">
        <f t="shared" si="218"/>
        <v>650</v>
      </c>
      <c r="CC90" s="61">
        <f t="shared" si="219"/>
        <v>650</v>
      </c>
      <c r="CD90" s="61">
        <f t="shared" si="220"/>
        <v>650</v>
      </c>
      <c r="CE90" s="61">
        <f t="shared" si="221"/>
        <v>650</v>
      </c>
      <c r="CF90" s="61">
        <f t="shared" si="222"/>
        <v>650</v>
      </c>
      <c r="CG90" s="61">
        <f t="shared" si="223"/>
        <v>650</v>
      </c>
      <c r="CH90" s="61">
        <f t="shared" si="224"/>
        <v>650</v>
      </c>
      <c r="CI90" s="61">
        <f t="shared" si="225"/>
        <v>650</v>
      </c>
    </row>
    <row r="91" spans="1:87" x14ac:dyDescent="0.2">
      <c r="A91" s="2">
        <v>82</v>
      </c>
      <c r="B91" s="2" t="s">
        <v>62</v>
      </c>
      <c r="C91" s="2"/>
      <c r="D91" s="61">
        <f>'Bill Frequency'!C80+'Contract &amp; Vol Adj'!C80</f>
        <v>650</v>
      </c>
      <c r="E91" s="61">
        <f>'Bill Frequency'!D80+'Contract &amp; Vol Adj'!D80</f>
        <v>650</v>
      </c>
      <c r="F91" s="61">
        <f>'Bill Frequency'!E80+'Contract &amp; Vol Adj'!E80</f>
        <v>650</v>
      </c>
      <c r="G91" s="61">
        <f>'Bill Frequency'!F80+'Contract &amp; Vol Adj'!F80</f>
        <v>650</v>
      </c>
      <c r="H91" s="61">
        <f>'Bill Frequency'!G80+'Contract &amp; Vol Adj'!G80</f>
        <v>800</v>
      </c>
      <c r="I91" s="61">
        <f>'Bill Frequency'!H80+'Contract &amp; Vol Adj'!H80</f>
        <v>800</v>
      </c>
      <c r="J91" s="61">
        <f>'Bill Frequency'!I80+'Contract &amp; Vol Adj'!I80</f>
        <v>800</v>
      </c>
      <c r="K91" s="61">
        <f>'Bill Frequency'!J80+'Contract &amp; Vol Adj'!J80</f>
        <v>775</v>
      </c>
      <c r="L91" s="61">
        <f>'Bill Frequency'!K80+'Contract &amp; Vol Adj'!K80</f>
        <v>775</v>
      </c>
      <c r="M91" s="61">
        <f>'Bill Frequency'!L80+'Contract &amp; Vol Adj'!L80</f>
        <v>775</v>
      </c>
      <c r="N91" s="61">
        <f>'Bill Frequency'!M80+'Contract &amp; Vol Adj'!M80</f>
        <v>775</v>
      </c>
      <c r="O91" s="61">
        <f>'Bill Frequency'!N80+'Contract &amp; Vol Adj'!N80</f>
        <v>775</v>
      </c>
      <c r="P91" s="61">
        <f t="shared" si="208"/>
        <v>650</v>
      </c>
      <c r="Q91" s="61">
        <f t="shared" si="208"/>
        <v>650</v>
      </c>
      <c r="R91" s="61">
        <f t="shared" si="208"/>
        <v>650</v>
      </c>
      <c r="S91" s="61">
        <f t="shared" si="208"/>
        <v>650</v>
      </c>
      <c r="T91" s="61">
        <f t="shared" si="208"/>
        <v>800</v>
      </c>
      <c r="U91" s="61">
        <f t="shared" si="208"/>
        <v>800</v>
      </c>
      <c r="V91" s="61">
        <f t="shared" si="208"/>
        <v>800</v>
      </c>
      <c r="W91" s="61">
        <f t="shared" si="208"/>
        <v>775</v>
      </c>
      <c r="X91" s="61">
        <f t="shared" si="208"/>
        <v>775</v>
      </c>
      <c r="Y91" s="61">
        <f t="shared" si="208"/>
        <v>775</v>
      </c>
      <c r="Z91" s="61">
        <f t="shared" si="209"/>
        <v>775</v>
      </c>
      <c r="AA91" s="61">
        <f t="shared" si="209"/>
        <v>775</v>
      </c>
      <c r="AB91" s="61">
        <f t="shared" si="209"/>
        <v>650</v>
      </c>
      <c r="AC91" s="61">
        <f t="shared" si="209"/>
        <v>650</v>
      </c>
      <c r="AD91" s="61">
        <f t="shared" si="209"/>
        <v>650</v>
      </c>
      <c r="AE91" s="61">
        <f t="shared" si="209"/>
        <v>650</v>
      </c>
      <c r="AF91" s="61">
        <f t="shared" si="209"/>
        <v>800</v>
      </c>
      <c r="AG91" s="61">
        <f t="shared" si="209"/>
        <v>800</v>
      </c>
      <c r="AH91" s="61">
        <f t="shared" si="209"/>
        <v>800</v>
      </c>
      <c r="AI91" s="61">
        <f t="shared" si="209"/>
        <v>775</v>
      </c>
      <c r="AJ91" s="61">
        <f t="shared" si="210"/>
        <v>775</v>
      </c>
      <c r="AK91" s="61">
        <f t="shared" si="210"/>
        <v>775</v>
      </c>
      <c r="AL91" s="61">
        <f t="shared" si="210"/>
        <v>775</v>
      </c>
      <c r="AM91" s="61">
        <f t="shared" si="210"/>
        <v>775</v>
      </c>
      <c r="AN91" s="61">
        <f t="shared" si="210"/>
        <v>650</v>
      </c>
      <c r="AO91" s="61">
        <f t="shared" si="210"/>
        <v>650</v>
      </c>
      <c r="AP91" s="61">
        <f t="shared" si="210"/>
        <v>650</v>
      </c>
      <c r="AQ91" s="61">
        <f t="shared" si="210"/>
        <v>650</v>
      </c>
      <c r="AR91" s="61">
        <f t="shared" si="210"/>
        <v>800</v>
      </c>
      <c r="AS91" s="61">
        <f t="shared" si="210"/>
        <v>800</v>
      </c>
      <c r="AT91" s="61">
        <f t="shared" si="211"/>
        <v>800</v>
      </c>
      <c r="AU91" s="61">
        <f t="shared" si="211"/>
        <v>775</v>
      </c>
      <c r="AV91" s="61">
        <f t="shared" si="211"/>
        <v>775</v>
      </c>
      <c r="AW91" s="61">
        <f t="shared" si="211"/>
        <v>775</v>
      </c>
      <c r="AX91" s="61">
        <f t="shared" si="211"/>
        <v>775</v>
      </c>
      <c r="AY91" s="61">
        <f t="shared" si="211"/>
        <v>775</v>
      </c>
      <c r="AZ91" s="61">
        <f t="shared" si="211"/>
        <v>650</v>
      </c>
      <c r="BA91" s="61">
        <f t="shared" si="211"/>
        <v>650</v>
      </c>
      <c r="BB91" s="61">
        <f t="shared" si="211"/>
        <v>650</v>
      </c>
      <c r="BC91" s="61">
        <f t="shared" si="211"/>
        <v>650</v>
      </c>
      <c r="BD91" s="61">
        <f t="shared" si="212"/>
        <v>800</v>
      </c>
      <c r="BE91" s="61">
        <f t="shared" si="212"/>
        <v>800</v>
      </c>
      <c r="BF91" s="61">
        <f t="shared" si="212"/>
        <v>800</v>
      </c>
      <c r="BG91" s="61">
        <f t="shared" si="212"/>
        <v>775</v>
      </c>
      <c r="BH91" s="61">
        <f t="shared" si="212"/>
        <v>775</v>
      </c>
      <c r="BI91" s="61">
        <f t="shared" si="212"/>
        <v>775</v>
      </c>
      <c r="BJ91" s="61">
        <f t="shared" si="212"/>
        <v>775</v>
      </c>
      <c r="BK91" s="61">
        <f t="shared" si="212"/>
        <v>775</v>
      </c>
      <c r="BL91" s="61">
        <f t="shared" si="212"/>
        <v>650</v>
      </c>
      <c r="BM91" s="61">
        <f t="shared" si="212"/>
        <v>650</v>
      </c>
      <c r="BN91" s="61">
        <f t="shared" si="212"/>
        <v>650</v>
      </c>
      <c r="BO91" s="61">
        <f t="shared" si="212"/>
        <v>650</v>
      </c>
      <c r="BP91" s="61">
        <f t="shared" si="212"/>
        <v>800</v>
      </c>
      <c r="BQ91" s="61">
        <f t="shared" si="212"/>
        <v>800</v>
      </c>
      <c r="BR91" s="61">
        <f t="shared" si="212"/>
        <v>800</v>
      </c>
      <c r="BS91" s="61">
        <f t="shared" si="212"/>
        <v>775</v>
      </c>
      <c r="BT91" s="61">
        <f t="shared" si="213"/>
        <v>775</v>
      </c>
      <c r="BU91" s="61">
        <f t="shared" si="213"/>
        <v>775</v>
      </c>
      <c r="BV91" s="61">
        <f t="shared" si="213"/>
        <v>775</v>
      </c>
      <c r="BW91" s="61">
        <f t="shared" si="213"/>
        <v>775</v>
      </c>
      <c r="BX91" s="61">
        <f t="shared" si="214"/>
        <v>650</v>
      </c>
      <c r="BY91" s="61">
        <f t="shared" si="215"/>
        <v>650</v>
      </c>
      <c r="BZ91" s="61">
        <f t="shared" si="216"/>
        <v>650</v>
      </c>
      <c r="CA91" s="61">
        <f t="shared" si="217"/>
        <v>650</v>
      </c>
      <c r="CB91" s="61">
        <f t="shared" si="218"/>
        <v>800</v>
      </c>
      <c r="CC91" s="61">
        <f t="shared" si="219"/>
        <v>800</v>
      </c>
      <c r="CD91" s="61">
        <f t="shared" si="220"/>
        <v>800</v>
      </c>
      <c r="CE91" s="61">
        <f t="shared" si="221"/>
        <v>775</v>
      </c>
      <c r="CF91" s="61">
        <f t="shared" si="222"/>
        <v>775</v>
      </c>
      <c r="CG91" s="61">
        <f t="shared" si="223"/>
        <v>775</v>
      </c>
      <c r="CH91" s="61">
        <f t="shared" si="224"/>
        <v>775</v>
      </c>
      <c r="CI91" s="61">
        <f t="shared" si="225"/>
        <v>775</v>
      </c>
    </row>
    <row r="92" spans="1:87" x14ac:dyDescent="0.2">
      <c r="A92" s="2">
        <v>83</v>
      </c>
      <c r="B92" s="2" t="s">
        <v>2</v>
      </c>
      <c r="C92" s="2"/>
      <c r="D92" s="61">
        <f>'Bill Frequency'!C81+'Contract &amp; Vol Adj'!C81</f>
        <v>2029.4</v>
      </c>
      <c r="E92" s="61">
        <f>'Bill Frequency'!D81+'Contract &amp; Vol Adj'!D81</f>
        <v>2635.4000000000005</v>
      </c>
      <c r="F92" s="61">
        <f>'Bill Frequency'!E81+'Contract &amp; Vol Adj'!E81</f>
        <v>2262.2999999999997</v>
      </c>
      <c r="G92" s="61">
        <f>'Bill Frequency'!F81+'Contract &amp; Vol Adj'!F81</f>
        <v>4988.5</v>
      </c>
      <c r="H92" s="61">
        <f>'Bill Frequency'!G81+'Contract &amp; Vol Adj'!G81</f>
        <v>4624.2</v>
      </c>
      <c r="I92" s="61">
        <f>'Bill Frequency'!H81+'Contract &amp; Vol Adj'!H81</f>
        <v>15795.399999999998</v>
      </c>
      <c r="J92" s="61">
        <f>'Bill Frequency'!I81+'Contract &amp; Vol Adj'!I81</f>
        <v>6225.5000000000009</v>
      </c>
      <c r="K92" s="61">
        <f>'Bill Frequency'!J81+'Contract &amp; Vol Adj'!J81</f>
        <v>6311.7999999999993</v>
      </c>
      <c r="L92" s="61">
        <f>'Bill Frequency'!K81+'Contract &amp; Vol Adj'!K81</f>
        <v>7403.4000000000005</v>
      </c>
      <c r="M92" s="61">
        <f>'Bill Frequency'!L81+'Contract &amp; Vol Adj'!L81</f>
        <v>8223</v>
      </c>
      <c r="N92" s="61">
        <f>'Bill Frequency'!M81+'Contract &amp; Vol Adj'!M81</f>
        <v>4727.3</v>
      </c>
      <c r="O92" s="61">
        <f>'Bill Frequency'!N81+'Contract &amp; Vol Adj'!N81</f>
        <v>4258</v>
      </c>
      <c r="P92" s="61">
        <f t="shared" si="208"/>
        <v>2029.4</v>
      </c>
      <c r="Q92" s="61">
        <f t="shared" si="208"/>
        <v>2635.4000000000005</v>
      </c>
      <c r="R92" s="61">
        <f t="shared" si="208"/>
        <v>2262.2999999999997</v>
      </c>
      <c r="S92" s="61">
        <f t="shared" si="208"/>
        <v>4988.5</v>
      </c>
      <c r="T92" s="61">
        <f t="shared" si="208"/>
        <v>4624.2</v>
      </c>
      <c r="U92" s="61">
        <f t="shared" si="208"/>
        <v>15795.399999999998</v>
      </c>
      <c r="V92" s="61">
        <f t="shared" si="208"/>
        <v>6225.5000000000009</v>
      </c>
      <c r="W92" s="61">
        <f t="shared" si="208"/>
        <v>6311.7999999999993</v>
      </c>
      <c r="X92" s="61">
        <f t="shared" si="208"/>
        <v>7403.4000000000005</v>
      </c>
      <c r="Y92" s="61">
        <f t="shared" si="208"/>
        <v>8223</v>
      </c>
      <c r="Z92" s="61">
        <f t="shared" si="209"/>
        <v>4727.3</v>
      </c>
      <c r="AA92" s="61">
        <f t="shared" si="209"/>
        <v>4258</v>
      </c>
      <c r="AB92" s="61">
        <f t="shared" si="209"/>
        <v>2029.4</v>
      </c>
      <c r="AC92" s="61">
        <f t="shared" si="209"/>
        <v>2635.4000000000005</v>
      </c>
      <c r="AD92" s="61">
        <f t="shared" si="209"/>
        <v>2262.2999999999997</v>
      </c>
      <c r="AE92" s="61">
        <f t="shared" si="209"/>
        <v>4988.5</v>
      </c>
      <c r="AF92" s="61">
        <f t="shared" si="209"/>
        <v>4624.2</v>
      </c>
      <c r="AG92" s="61">
        <f t="shared" si="209"/>
        <v>15795.399999999998</v>
      </c>
      <c r="AH92" s="61">
        <f t="shared" si="209"/>
        <v>6225.5000000000009</v>
      </c>
      <c r="AI92" s="61">
        <f t="shared" si="209"/>
        <v>6311.7999999999993</v>
      </c>
      <c r="AJ92" s="61">
        <f t="shared" si="210"/>
        <v>7403.4000000000005</v>
      </c>
      <c r="AK92" s="61">
        <f t="shared" si="210"/>
        <v>8223</v>
      </c>
      <c r="AL92" s="61">
        <f t="shared" si="210"/>
        <v>4727.3</v>
      </c>
      <c r="AM92" s="61">
        <f t="shared" si="210"/>
        <v>4258</v>
      </c>
      <c r="AN92" s="61">
        <f t="shared" si="210"/>
        <v>2029.4</v>
      </c>
      <c r="AO92" s="61">
        <f t="shared" si="210"/>
        <v>2635.4000000000005</v>
      </c>
      <c r="AP92" s="61">
        <f t="shared" si="210"/>
        <v>2262.2999999999997</v>
      </c>
      <c r="AQ92" s="61">
        <f t="shared" si="210"/>
        <v>4988.5</v>
      </c>
      <c r="AR92" s="61">
        <f t="shared" si="210"/>
        <v>4624.2</v>
      </c>
      <c r="AS92" s="61">
        <f t="shared" si="210"/>
        <v>15795.399999999998</v>
      </c>
      <c r="AT92" s="61">
        <f t="shared" si="211"/>
        <v>6225.5000000000009</v>
      </c>
      <c r="AU92" s="61">
        <f t="shared" si="211"/>
        <v>6311.7999999999993</v>
      </c>
      <c r="AV92" s="61">
        <f t="shared" si="211"/>
        <v>7403.4000000000005</v>
      </c>
      <c r="AW92" s="61">
        <f t="shared" si="211"/>
        <v>8223</v>
      </c>
      <c r="AX92" s="61">
        <f t="shared" si="211"/>
        <v>4727.3</v>
      </c>
      <c r="AY92" s="61">
        <f t="shared" si="211"/>
        <v>4258</v>
      </c>
      <c r="AZ92" s="61">
        <f t="shared" si="211"/>
        <v>2029.4</v>
      </c>
      <c r="BA92" s="61">
        <f t="shared" si="211"/>
        <v>2635.4000000000005</v>
      </c>
      <c r="BB92" s="61">
        <f t="shared" si="211"/>
        <v>2262.2999999999997</v>
      </c>
      <c r="BC92" s="61">
        <f t="shared" si="211"/>
        <v>4988.5</v>
      </c>
      <c r="BD92" s="61">
        <f t="shared" si="212"/>
        <v>4624.2</v>
      </c>
      <c r="BE92" s="61">
        <f t="shared" si="212"/>
        <v>15795.399999999998</v>
      </c>
      <c r="BF92" s="61">
        <f t="shared" si="212"/>
        <v>6225.5000000000009</v>
      </c>
      <c r="BG92" s="61">
        <f t="shared" si="212"/>
        <v>6311.7999999999993</v>
      </c>
      <c r="BH92" s="61">
        <f t="shared" si="212"/>
        <v>7403.4000000000005</v>
      </c>
      <c r="BI92" s="61">
        <f t="shared" si="212"/>
        <v>8223</v>
      </c>
      <c r="BJ92" s="61">
        <f t="shared" si="212"/>
        <v>4727.3</v>
      </c>
      <c r="BK92" s="61">
        <f t="shared" si="212"/>
        <v>4258</v>
      </c>
      <c r="BL92" s="61">
        <f t="shared" si="212"/>
        <v>2029.4</v>
      </c>
      <c r="BM92" s="61">
        <f t="shared" si="212"/>
        <v>2635.4000000000005</v>
      </c>
      <c r="BN92" s="61">
        <f t="shared" si="212"/>
        <v>2262.2999999999997</v>
      </c>
      <c r="BO92" s="61">
        <f t="shared" si="212"/>
        <v>4988.5</v>
      </c>
      <c r="BP92" s="61">
        <f t="shared" si="212"/>
        <v>4624.2</v>
      </c>
      <c r="BQ92" s="61">
        <f t="shared" si="212"/>
        <v>15795.399999999998</v>
      </c>
      <c r="BR92" s="61">
        <f t="shared" si="212"/>
        <v>6225.5000000000009</v>
      </c>
      <c r="BS92" s="61">
        <f t="shared" si="212"/>
        <v>6311.7999999999993</v>
      </c>
      <c r="BT92" s="61">
        <f t="shared" si="213"/>
        <v>7403.4000000000005</v>
      </c>
      <c r="BU92" s="61">
        <f t="shared" si="213"/>
        <v>8223</v>
      </c>
      <c r="BV92" s="61">
        <f t="shared" si="213"/>
        <v>4727.3</v>
      </c>
      <c r="BW92" s="61">
        <f t="shared" si="213"/>
        <v>4258</v>
      </c>
      <c r="BX92" s="61">
        <f t="shared" si="214"/>
        <v>2029.4</v>
      </c>
      <c r="BY92" s="61">
        <f t="shared" si="215"/>
        <v>2635.4000000000005</v>
      </c>
      <c r="BZ92" s="61">
        <f t="shared" si="216"/>
        <v>2262.2999999999997</v>
      </c>
      <c r="CA92" s="61">
        <f t="shared" si="217"/>
        <v>4988.5</v>
      </c>
      <c r="CB92" s="61">
        <f t="shared" si="218"/>
        <v>4624.2</v>
      </c>
      <c r="CC92" s="61">
        <f t="shared" si="219"/>
        <v>15795.399999999998</v>
      </c>
      <c r="CD92" s="61">
        <f t="shared" si="220"/>
        <v>6225.5000000000009</v>
      </c>
      <c r="CE92" s="61">
        <f t="shared" si="221"/>
        <v>6311.7999999999993</v>
      </c>
      <c r="CF92" s="61">
        <f t="shared" si="222"/>
        <v>7403.4000000000005</v>
      </c>
      <c r="CG92" s="61">
        <f t="shared" si="223"/>
        <v>8223</v>
      </c>
      <c r="CH92" s="61">
        <f t="shared" si="224"/>
        <v>4727.3</v>
      </c>
      <c r="CI92" s="61">
        <f t="shared" si="225"/>
        <v>4258</v>
      </c>
    </row>
    <row r="93" spans="1:87" x14ac:dyDescent="0.2">
      <c r="A93" s="2">
        <v>84</v>
      </c>
      <c r="B93" s="2" t="s">
        <v>91</v>
      </c>
      <c r="C93" s="70" t="s">
        <v>61</v>
      </c>
      <c r="D93" s="71">
        <f>'Bill Frequency'!C82+'Contract &amp; Vol Adj'!C82</f>
        <v>1136013.1839630897</v>
      </c>
      <c r="E93" s="71">
        <f>'Bill Frequency'!D82+'Contract &amp; Vol Adj'!D82</f>
        <v>1116463.3515319249</v>
      </c>
      <c r="F93" s="71">
        <f>'Bill Frequency'!E82+'Contract &amp; Vol Adj'!E82</f>
        <v>1115726.1656929413</v>
      </c>
      <c r="G93" s="71">
        <f>'Bill Frequency'!F82+'Contract &amp; Vol Adj'!F82</f>
        <v>1185805.4856220009</v>
      </c>
      <c r="H93" s="71">
        <f>'Bill Frequency'!G82+'Contract &amp; Vol Adj'!G82</f>
        <v>1201011.3578069217</v>
      </c>
      <c r="I93" s="71">
        <f>'Bill Frequency'!H82+'Contract &amp; Vol Adj'!H82</f>
        <v>1343897.0463425026</v>
      </c>
      <c r="J93" s="71">
        <f>'Bill Frequency'!I82+'Contract &amp; Vol Adj'!I82</f>
        <v>1361392.9403710174</v>
      </c>
      <c r="K93" s="71">
        <f>'Bill Frequency'!J82+'Contract &amp; Vol Adj'!J82</f>
        <v>1137557.662015463</v>
      </c>
      <c r="L93" s="71">
        <f>'Bill Frequency'!K82+'Contract &amp; Vol Adj'!K82</f>
        <v>1208821.8641529251</v>
      </c>
      <c r="M93" s="71">
        <f>'Bill Frequency'!L82+'Contract &amp; Vol Adj'!L82</f>
        <v>1065087.9028069051</v>
      </c>
      <c r="N93" s="71">
        <f>'Bill Frequency'!M82+'Contract &amp; Vol Adj'!M82</f>
        <v>1072108.3960249547</v>
      </c>
      <c r="O93" s="71">
        <f>'Bill Frequency'!N82+'Contract &amp; Vol Adj'!N82</f>
        <v>879127.64366935391</v>
      </c>
      <c r="P93" s="7">
        <f t="shared" si="208"/>
        <v>1136013.1839630897</v>
      </c>
      <c r="Q93" s="7">
        <f t="shared" si="208"/>
        <v>1116463.3515319249</v>
      </c>
      <c r="R93" s="7">
        <f t="shared" si="208"/>
        <v>1115726.1656929413</v>
      </c>
      <c r="S93" s="7">
        <f t="shared" si="208"/>
        <v>1185805.4856220009</v>
      </c>
      <c r="T93" s="7">
        <f t="shared" si="208"/>
        <v>1201011.3578069217</v>
      </c>
      <c r="U93" s="7">
        <f t="shared" si="208"/>
        <v>1343897.0463425026</v>
      </c>
      <c r="V93" s="7">
        <f t="shared" si="208"/>
        <v>1361392.9403710174</v>
      </c>
      <c r="W93" s="7">
        <f t="shared" si="208"/>
        <v>1137557.662015463</v>
      </c>
      <c r="X93" s="7">
        <f t="shared" si="208"/>
        <v>1208821.8641529251</v>
      </c>
      <c r="Y93" s="7">
        <f t="shared" si="208"/>
        <v>1065087.9028069051</v>
      </c>
      <c r="Z93" s="7">
        <f t="shared" si="209"/>
        <v>1072108.3960249547</v>
      </c>
      <c r="AA93" s="7">
        <f t="shared" si="209"/>
        <v>879127.64366935391</v>
      </c>
      <c r="AB93" s="7">
        <f t="shared" si="209"/>
        <v>1136013.1839630897</v>
      </c>
      <c r="AC93" s="7">
        <f t="shared" si="209"/>
        <v>1116463.3515319249</v>
      </c>
      <c r="AD93" s="7">
        <f t="shared" si="209"/>
        <v>1115726.1656929413</v>
      </c>
      <c r="AE93" s="7">
        <f t="shared" si="209"/>
        <v>1185805.4856220009</v>
      </c>
      <c r="AF93" s="7">
        <f t="shared" si="209"/>
        <v>1201011.3578069217</v>
      </c>
      <c r="AG93" s="7">
        <f t="shared" si="209"/>
        <v>1343897.0463425026</v>
      </c>
      <c r="AH93" s="7">
        <f t="shared" si="209"/>
        <v>1361392.9403710174</v>
      </c>
      <c r="AI93" s="7">
        <f t="shared" si="209"/>
        <v>1137557.662015463</v>
      </c>
      <c r="AJ93" s="7">
        <f t="shared" si="210"/>
        <v>1208821.8641529251</v>
      </c>
      <c r="AK93" s="7">
        <f t="shared" si="210"/>
        <v>1065087.9028069051</v>
      </c>
      <c r="AL93" s="7">
        <f t="shared" si="210"/>
        <v>1072108.3960249547</v>
      </c>
      <c r="AM93" s="7">
        <f t="shared" si="210"/>
        <v>879127.64366935391</v>
      </c>
      <c r="AN93" s="7">
        <f t="shared" si="210"/>
        <v>1136013.1839630897</v>
      </c>
      <c r="AO93" s="7">
        <f t="shared" si="210"/>
        <v>1116463.3515319249</v>
      </c>
      <c r="AP93" s="7">
        <f t="shared" si="210"/>
        <v>1115726.1656929413</v>
      </c>
      <c r="AQ93" s="7">
        <f t="shared" si="210"/>
        <v>1185805.4856220009</v>
      </c>
      <c r="AR93" s="7">
        <f t="shared" si="210"/>
        <v>1201011.3578069217</v>
      </c>
      <c r="AS93" s="7">
        <f t="shared" si="210"/>
        <v>1343897.0463425026</v>
      </c>
      <c r="AT93" s="7">
        <f t="shared" si="211"/>
        <v>1361392.9403710174</v>
      </c>
      <c r="AU93" s="7">
        <f t="shared" si="211"/>
        <v>1137557.662015463</v>
      </c>
      <c r="AV93" s="7">
        <f t="shared" si="211"/>
        <v>1208821.8641529251</v>
      </c>
      <c r="AW93" s="7">
        <f t="shared" si="211"/>
        <v>1065087.9028069051</v>
      </c>
      <c r="AX93" s="7">
        <f t="shared" si="211"/>
        <v>1072108.3960249547</v>
      </c>
      <c r="AY93" s="7">
        <f t="shared" si="211"/>
        <v>879127.64366935391</v>
      </c>
      <c r="AZ93" s="7">
        <f t="shared" si="211"/>
        <v>1136013.1839630897</v>
      </c>
      <c r="BA93" s="7">
        <f t="shared" si="211"/>
        <v>1116463.3515319249</v>
      </c>
      <c r="BB93" s="7">
        <f t="shared" si="211"/>
        <v>1115726.1656929413</v>
      </c>
      <c r="BC93" s="7">
        <f t="shared" si="211"/>
        <v>1185805.4856220009</v>
      </c>
      <c r="BD93" s="7">
        <f t="shared" si="212"/>
        <v>1201011.3578069217</v>
      </c>
      <c r="BE93" s="7">
        <f t="shared" si="212"/>
        <v>1343897.0463425026</v>
      </c>
      <c r="BF93" s="7">
        <f t="shared" si="212"/>
        <v>1361392.9403710174</v>
      </c>
      <c r="BG93" s="7">
        <f t="shared" si="212"/>
        <v>1137557.662015463</v>
      </c>
      <c r="BH93" s="7">
        <f t="shared" si="212"/>
        <v>1208821.8641529251</v>
      </c>
      <c r="BI93" s="7">
        <f t="shared" si="212"/>
        <v>1065087.9028069051</v>
      </c>
      <c r="BJ93" s="7">
        <f t="shared" si="212"/>
        <v>1072108.3960249547</v>
      </c>
      <c r="BK93" s="7">
        <f t="shared" si="212"/>
        <v>879127.64366935391</v>
      </c>
      <c r="BL93" s="7">
        <f t="shared" si="212"/>
        <v>1136013.1839630897</v>
      </c>
      <c r="BM93" s="7">
        <f t="shared" si="212"/>
        <v>1116463.3515319249</v>
      </c>
      <c r="BN93" s="7">
        <f t="shared" si="212"/>
        <v>1115726.1656929413</v>
      </c>
      <c r="BO93" s="7">
        <f t="shared" si="212"/>
        <v>1185805.4856220009</v>
      </c>
      <c r="BP93" s="7">
        <f t="shared" si="212"/>
        <v>1201011.3578069217</v>
      </c>
      <c r="BQ93" s="7">
        <f t="shared" si="212"/>
        <v>1343897.0463425026</v>
      </c>
      <c r="BR93" s="7">
        <f t="shared" si="212"/>
        <v>1361392.9403710174</v>
      </c>
      <c r="BS93" s="7">
        <f t="shared" si="212"/>
        <v>1137557.662015463</v>
      </c>
      <c r="BT93" s="7">
        <f t="shared" si="213"/>
        <v>1208821.8641529251</v>
      </c>
      <c r="BU93" s="7">
        <f t="shared" si="213"/>
        <v>1065087.9028069051</v>
      </c>
      <c r="BV93" s="7">
        <f t="shared" si="213"/>
        <v>1072108.3960249547</v>
      </c>
      <c r="BW93" s="7">
        <f t="shared" si="213"/>
        <v>879127.64366935391</v>
      </c>
      <c r="BX93" s="7">
        <f t="shared" si="214"/>
        <v>1136013.1839630897</v>
      </c>
      <c r="BY93" s="7">
        <f t="shared" si="215"/>
        <v>1116463.3515319249</v>
      </c>
      <c r="BZ93" s="7">
        <f t="shared" si="216"/>
        <v>1115726.1656929413</v>
      </c>
      <c r="CA93" s="7">
        <f t="shared" si="217"/>
        <v>1185805.4856220009</v>
      </c>
      <c r="CB93" s="7">
        <f t="shared" si="218"/>
        <v>1201011.3578069217</v>
      </c>
      <c r="CC93" s="7">
        <f t="shared" si="219"/>
        <v>1343897.0463425026</v>
      </c>
      <c r="CD93" s="7">
        <f t="shared" si="220"/>
        <v>1361392.9403710174</v>
      </c>
      <c r="CE93" s="7">
        <f t="shared" si="221"/>
        <v>1137557.662015463</v>
      </c>
      <c r="CF93" s="7">
        <f t="shared" si="222"/>
        <v>1208821.8641529251</v>
      </c>
      <c r="CG93" s="7">
        <f t="shared" si="223"/>
        <v>1065087.9028069051</v>
      </c>
      <c r="CH93" s="7">
        <f t="shared" si="224"/>
        <v>1072108.3960249547</v>
      </c>
      <c r="CI93" s="7">
        <f t="shared" si="225"/>
        <v>879127.64366935391</v>
      </c>
    </row>
    <row r="94" spans="1:87" x14ac:dyDescent="0.2">
      <c r="A94" s="2">
        <v>85</v>
      </c>
      <c r="B94" s="2" t="s">
        <v>92</v>
      </c>
      <c r="C94" s="70"/>
      <c r="D94" s="61">
        <f>'Bill Frequency'!C83+'Contract &amp; Vol Adj'!C83</f>
        <v>174707.17023593988</v>
      </c>
      <c r="E94" s="61">
        <f>'Bill Frequency'!D83+'Contract &amp; Vol Adj'!D83</f>
        <v>171616.74429106573</v>
      </c>
      <c r="F94" s="61">
        <f>'Bill Frequency'!E83+'Contract &amp; Vol Adj'!E83</f>
        <v>174865.30898165886</v>
      </c>
      <c r="G94" s="61">
        <f>'Bill Frequency'!F83+'Contract &amp; Vol Adj'!F83</f>
        <v>187188.43726818013</v>
      </c>
      <c r="H94" s="61">
        <f>'Bill Frequency'!G83+'Contract &amp; Vol Adj'!G83</f>
        <v>185684.57298331513</v>
      </c>
      <c r="I94" s="61">
        <f>'Bill Frequency'!H83+'Contract &amp; Vol Adj'!H83</f>
        <v>207676.62380507551</v>
      </c>
      <c r="J94" s="61">
        <f>'Bill Frequency'!I83+'Contract &amp; Vol Adj'!I83</f>
        <v>209034.56617049334</v>
      </c>
      <c r="K94" s="61">
        <f>'Bill Frequency'!J83+'Contract &amp; Vol Adj'!J83</f>
        <v>173784.76078293793</v>
      </c>
      <c r="L94" s="61">
        <f>'Bill Frequency'!K83+'Contract &amp; Vol Adj'!K83</f>
        <v>183723.46418905575</v>
      </c>
      <c r="M94" s="61">
        <f>'Bill Frequency'!L83+'Contract &amp; Vol Adj'!L83</f>
        <v>159795.87153331196</v>
      </c>
      <c r="N94" s="61">
        <f>'Bill Frequency'!M83+'Contract &amp; Vol Adj'!M83</f>
        <v>159087.23524474137</v>
      </c>
      <c r="O94" s="61">
        <f>'Bill Frequency'!N83+'Contract &amp; Vol Adj'!N83</f>
        <v>138260.70479717723</v>
      </c>
      <c r="P94" s="61">
        <f t="shared" si="208"/>
        <v>174707.17023593988</v>
      </c>
      <c r="Q94" s="61">
        <f t="shared" si="208"/>
        <v>171616.74429106573</v>
      </c>
      <c r="R94" s="61">
        <f t="shared" si="208"/>
        <v>174865.30898165886</v>
      </c>
      <c r="S94" s="61">
        <f t="shared" si="208"/>
        <v>187188.43726818013</v>
      </c>
      <c r="T94" s="61">
        <f t="shared" si="208"/>
        <v>185684.57298331513</v>
      </c>
      <c r="U94" s="61">
        <f t="shared" si="208"/>
        <v>207676.62380507551</v>
      </c>
      <c r="V94" s="61">
        <f t="shared" si="208"/>
        <v>209034.56617049334</v>
      </c>
      <c r="W94" s="61">
        <f t="shared" si="208"/>
        <v>173784.76078293793</v>
      </c>
      <c r="X94" s="61">
        <f t="shared" si="208"/>
        <v>183723.46418905575</v>
      </c>
      <c r="Y94" s="61">
        <f t="shared" si="208"/>
        <v>159795.87153331196</v>
      </c>
      <c r="Z94" s="61">
        <f t="shared" si="209"/>
        <v>159087.23524474137</v>
      </c>
      <c r="AA94" s="61">
        <f t="shared" si="209"/>
        <v>138260.70479717723</v>
      </c>
      <c r="AB94" s="61">
        <f t="shared" si="209"/>
        <v>174707.17023593988</v>
      </c>
      <c r="AC94" s="61">
        <f t="shared" si="209"/>
        <v>171616.74429106573</v>
      </c>
      <c r="AD94" s="61">
        <f t="shared" si="209"/>
        <v>174865.30898165886</v>
      </c>
      <c r="AE94" s="61">
        <f t="shared" si="209"/>
        <v>187188.43726818013</v>
      </c>
      <c r="AF94" s="61">
        <f t="shared" si="209"/>
        <v>185684.57298331513</v>
      </c>
      <c r="AG94" s="61">
        <f t="shared" si="209"/>
        <v>207676.62380507551</v>
      </c>
      <c r="AH94" s="61">
        <f t="shared" si="209"/>
        <v>209034.56617049334</v>
      </c>
      <c r="AI94" s="61">
        <f t="shared" si="209"/>
        <v>173784.76078293793</v>
      </c>
      <c r="AJ94" s="61">
        <f t="shared" si="210"/>
        <v>183723.46418905575</v>
      </c>
      <c r="AK94" s="61">
        <f t="shared" si="210"/>
        <v>159795.87153331196</v>
      </c>
      <c r="AL94" s="61">
        <f t="shared" si="210"/>
        <v>159087.23524474137</v>
      </c>
      <c r="AM94" s="61">
        <f t="shared" si="210"/>
        <v>138260.70479717723</v>
      </c>
      <c r="AN94" s="61">
        <f t="shared" si="210"/>
        <v>174707.17023593988</v>
      </c>
      <c r="AO94" s="61">
        <f t="shared" si="210"/>
        <v>171616.74429106573</v>
      </c>
      <c r="AP94" s="61">
        <f t="shared" si="210"/>
        <v>174865.30898165886</v>
      </c>
      <c r="AQ94" s="61">
        <f t="shared" si="210"/>
        <v>187188.43726818013</v>
      </c>
      <c r="AR94" s="61">
        <f t="shared" si="210"/>
        <v>185684.57298331513</v>
      </c>
      <c r="AS94" s="61">
        <f t="shared" si="210"/>
        <v>207676.62380507551</v>
      </c>
      <c r="AT94" s="61">
        <f t="shared" si="211"/>
        <v>209034.56617049334</v>
      </c>
      <c r="AU94" s="61">
        <f t="shared" si="211"/>
        <v>173784.76078293793</v>
      </c>
      <c r="AV94" s="61">
        <f t="shared" si="211"/>
        <v>183723.46418905575</v>
      </c>
      <c r="AW94" s="61">
        <f t="shared" si="211"/>
        <v>159795.87153331196</v>
      </c>
      <c r="AX94" s="61">
        <f t="shared" si="211"/>
        <v>159087.23524474137</v>
      </c>
      <c r="AY94" s="61">
        <f t="shared" si="211"/>
        <v>138260.70479717723</v>
      </c>
      <c r="AZ94" s="61">
        <f t="shared" si="211"/>
        <v>174707.17023593988</v>
      </c>
      <c r="BA94" s="61">
        <f t="shared" si="211"/>
        <v>171616.74429106573</v>
      </c>
      <c r="BB94" s="61">
        <f t="shared" si="211"/>
        <v>174865.30898165886</v>
      </c>
      <c r="BC94" s="61">
        <f t="shared" si="211"/>
        <v>187188.43726818013</v>
      </c>
      <c r="BD94" s="61">
        <f t="shared" si="212"/>
        <v>185684.57298331513</v>
      </c>
      <c r="BE94" s="61">
        <f t="shared" si="212"/>
        <v>207676.62380507551</v>
      </c>
      <c r="BF94" s="61">
        <f t="shared" si="212"/>
        <v>209034.56617049334</v>
      </c>
      <c r="BG94" s="61">
        <f t="shared" si="212"/>
        <v>173784.76078293793</v>
      </c>
      <c r="BH94" s="61">
        <f t="shared" si="212"/>
        <v>183723.46418905575</v>
      </c>
      <c r="BI94" s="61">
        <f t="shared" si="212"/>
        <v>159795.87153331196</v>
      </c>
      <c r="BJ94" s="61">
        <f t="shared" si="212"/>
        <v>159087.23524474137</v>
      </c>
      <c r="BK94" s="61">
        <f t="shared" si="212"/>
        <v>138260.70479717723</v>
      </c>
      <c r="BL94" s="61">
        <f t="shared" si="212"/>
        <v>174707.17023593988</v>
      </c>
      <c r="BM94" s="61">
        <f t="shared" si="212"/>
        <v>171616.74429106573</v>
      </c>
      <c r="BN94" s="61">
        <f t="shared" si="212"/>
        <v>174865.30898165886</v>
      </c>
      <c r="BO94" s="61">
        <f t="shared" si="212"/>
        <v>187188.43726818013</v>
      </c>
      <c r="BP94" s="61">
        <f t="shared" si="212"/>
        <v>185684.57298331513</v>
      </c>
      <c r="BQ94" s="61">
        <f t="shared" si="212"/>
        <v>207676.62380507551</v>
      </c>
      <c r="BR94" s="61">
        <f t="shared" si="212"/>
        <v>209034.56617049334</v>
      </c>
      <c r="BS94" s="61">
        <f t="shared" si="212"/>
        <v>173784.76078293793</v>
      </c>
      <c r="BT94" s="61">
        <f t="shared" si="213"/>
        <v>183723.46418905575</v>
      </c>
      <c r="BU94" s="61">
        <f t="shared" si="213"/>
        <v>159795.87153331196</v>
      </c>
      <c r="BV94" s="61">
        <f t="shared" si="213"/>
        <v>159087.23524474137</v>
      </c>
      <c r="BW94" s="61">
        <f t="shared" si="213"/>
        <v>138260.70479717723</v>
      </c>
      <c r="BX94" s="61">
        <f t="shared" si="214"/>
        <v>174707.17023593988</v>
      </c>
      <c r="BY94" s="61">
        <f t="shared" si="215"/>
        <v>171616.74429106573</v>
      </c>
      <c r="BZ94" s="61">
        <f t="shared" si="216"/>
        <v>174865.30898165886</v>
      </c>
      <c r="CA94" s="61">
        <f t="shared" si="217"/>
        <v>187188.43726818013</v>
      </c>
      <c r="CB94" s="61">
        <f t="shared" si="218"/>
        <v>185684.57298331513</v>
      </c>
      <c r="CC94" s="61">
        <f t="shared" si="219"/>
        <v>207676.62380507551</v>
      </c>
      <c r="CD94" s="61">
        <f t="shared" si="220"/>
        <v>209034.56617049334</v>
      </c>
      <c r="CE94" s="61">
        <f t="shared" si="221"/>
        <v>173784.76078293793</v>
      </c>
      <c r="CF94" s="61">
        <f t="shared" si="222"/>
        <v>183723.46418905575</v>
      </c>
      <c r="CG94" s="61">
        <f t="shared" si="223"/>
        <v>159795.87153331196</v>
      </c>
      <c r="CH94" s="61">
        <f t="shared" si="224"/>
        <v>159087.23524474137</v>
      </c>
      <c r="CI94" s="61">
        <f t="shared" si="225"/>
        <v>138260.70479717723</v>
      </c>
    </row>
    <row r="95" spans="1:87" x14ac:dyDescent="0.2">
      <c r="A95" s="2">
        <v>86</v>
      </c>
      <c r="B95" s="33" t="s">
        <v>79</v>
      </c>
      <c r="C95" s="33"/>
      <c r="D95" s="32">
        <f t="shared" ref="D95:AI95" si="226">D93</f>
        <v>1136013.1839630897</v>
      </c>
      <c r="E95" s="32">
        <f t="shared" si="226"/>
        <v>1116463.3515319249</v>
      </c>
      <c r="F95" s="32">
        <f t="shared" si="226"/>
        <v>1115726.1656929413</v>
      </c>
      <c r="G95" s="32">
        <f t="shared" si="226"/>
        <v>1185805.4856220009</v>
      </c>
      <c r="H95" s="32">
        <f t="shared" si="226"/>
        <v>1201011.3578069217</v>
      </c>
      <c r="I95" s="32">
        <f t="shared" si="226"/>
        <v>1343897.0463425026</v>
      </c>
      <c r="J95" s="32">
        <f t="shared" si="226"/>
        <v>1361392.9403710174</v>
      </c>
      <c r="K95" s="32">
        <f t="shared" si="226"/>
        <v>1137557.662015463</v>
      </c>
      <c r="L95" s="32">
        <f t="shared" si="226"/>
        <v>1208821.8641529251</v>
      </c>
      <c r="M95" s="32">
        <f t="shared" si="226"/>
        <v>1065087.9028069051</v>
      </c>
      <c r="N95" s="32">
        <f t="shared" si="226"/>
        <v>1072108.3960249547</v>
      </c>
      <c r="O95" s="32">
        <f t="shared" si="226"/>
        <v>879127.64366935391</v>
      </c>
      <c r="P95" s="32">
        <f t="shared" si="226"/>
        <v>1136013.1839630897</v>
      </c>
      <c r="Q95" s="32">
        <f t="shared" si="226"/>
        <v>1116463.3515319249</v>
      </c>
      <c r="R95" s="32">
        <f t="shared" si="226"/>
        <v>1115726.1656929413</v>
      </c>
      <c r="S95" s="32">
        <f t="shared" si="226"/>
        <v>1185805.4856220009</v>
      </c>
      <c r="T95" s="32">
        <f t="shared" si="226"/>
        <v>1201011.3578069217</v>
      </c>
      <c r="U95" s="32">
        <f t="shared" si="226"/>
        <v>1343897.0463425026</v>
      </c>
      <c r="V95" s="32">
        <f t="shared" si="226"/>
        <v>1361392.9403710174</v>
      </c>
      <c r="W95" s="32">
        <f t="shared" si="226"/>
        <v>1137557.662015463</v>
      </c>
      <c r="X95" s="32">
        <f t="shared" si="226"/>
        <v>1208821.8641529251</v>
      </c>
      <c r="Y95" s="32">
        <f t="shared" si="226"/>
        <v>1065087.9028069051</v>
      </c>
      <c r="Z95" s="32">
        <f t="shared" si="226"/>
        <v>1072108.3960249547</v>
      </c>
      <c r="AA95" s="32">
        <f t="shared" si="226"/>
        <v>879127.64366935391</v>
      </c>
      <c r="AB95" s="32">
        <f t="shared" si="226"/>
        <v>1136013.1839630897</v>
      </c>
      <c r="AC95" s="32">
        <f t="shared" si="226"/>
        <v>1116463.3515319249</v>
      </c>
      <c r="AD95" s="32">
        <f t="shared" si="226"/>
        <v>1115726.1656929413</v>
      </c>
      <c r="AE95" s="32">
        <f t="shared" si="226"/>
        <v>1185805.4856220009</v>
      </c>
      <c r="AF95" s="32">
        <f t="shared" si="226"/>
        <v>1201011.3578069217</v>
      </c>
      <c r="AG95" s="32">
        <f t="shared" si="226"/>
        <v>1343897.0463425026</v>
      </c>
      <c r="AH95" s="32">
        <f t="shared" si="226"/>
        <v>1361392.9403710174</v>
      </c>
      <c r="AI95" s="32">
        <f t="shared" si="226"/>
        <v>1137557.662015463</v>
      </c>
      <c r="AJ95" s="32">
        <f t="shared" ref="AJ95:BW95" si="227">AJ93</f>
        <v>1208821.8641529251</v>
      </c>
      <c r="AK95" s="32">
        <f t="shared" si="227"/>
        <v>1065087.9028069051</v>
      </c>
      <c r="AL95" s="32">
        <f t="shared" si="227"/>
        <v>1072108.3960249547</v>
      </c>
      <c r="AM95" s="32">
        <f t="shared" si="227"/>
        <v>879127.64366935391</v>
      </c>
      <c r="AN95" s="32">
        <f t="shared" si="227"/>
        <v>1136013.1839630897</v>
      </c>
      <c r="AO95" s="32">
        <f t="shared" si="227"/>
        <v>1116463.3515319249</v>
      </c>
      <c r="AP95" s="32">
        <f t="shared" si="227"/>
        <v>1115726.1656929413</v>
      </c>
      <c r="AQ95" s="32">
        <f t="shared" si="227"/>
        <v>1185805.4856220009</v>
      </c>
      <c r="AR95" s="32">
        <f t="shared" si="227"/>
        <v>1201011.3578069217</v>
      </c>
      <c r="AS95" s="32">
        <f t="shared" si="227"/>
        <v>1343897.0463425026</v>
      </c>
      <c r="AT95" s="32">
        <f t="shared" si="227"/>
        <v>1361392.9403710174</v>
      </c>
      <c r="AU95" s="32">
        <f t="shared" si="227"/>
        <v>1137557.662015463</v>
      </c>
      <c r="AV95" s="32">
        <f t="shared" si="227"/>
        <v>1208821.8641529251</v>
      </c>
      <c r="AW95" s="32">
        <f t="shared" si="227"/>
        <v>1065087.9028069051</v>
      </c>
      <c r="AX95" s="32">
        <f t="shared" si="227"/>
        <v>1072108.3960249547</v>
      </c>
      <c r="AY95" s="32">
        <f t="shared" si="227"/>
        <v>879127.64366935391</v>
      </c>
      <c r="AZ95" s="32">
        <f t="shared" si="227"/>
        <v>1136013.1839630897</v>
      </c>
      <c r="BA95" s="32">
        <f t="shared" si="227"/>
        <v>1116463.3515319249</v>
      </c>
      <c r="BB95" s="32">
        <f t="shared" si="227"/>
        <v>1115726.1656929413</v>
      </c>
      <c r="BC95" s="32">
        <f t="shared" si="227"/>
        <v>1185805.4856220009</v>
      </c>
      <c r="BD95" s="32">
        <f t="shared" si="227"/>
        <v>1201011.3578069217</v>
      </c>
      <c r="BE95" s="32">
        <f t="shared" si="227"/>
        <v>1343897.0463425026</v>
      </c>
      <c r="BF95" s="32">
        <f t="shared" si="227"/>
        <v>1361392.9403710174</v>
      </c>
      <c r="BG95" s="32">
        <f t="shared" si="227"/>
        <v>1137557.662015463</v>
      </c>
      <c r="BH95" s="32">
        <f t="shared" si="227"/>
        <v>1208821.8641529251</v>
      </c>
      <c r="BI95" s="32">
        <f t="shared" si="227"/>
        <v>1065087.9028069051</v>
      </c>
      <c r="BJ95" s="32">
        <f t="shared" si="227"/>
        <v>1072108.3960249547</v>
      </c>
      <c r="BK95" s="32">
        <f t="shared" si="227"/>
        <v>879127.64366935391</v>
      </c>
      <c r="BL95" s="32">
        <f t="shared" si="227"/>
        <v>1136013.1839630897</v>
      </c>
      <c r="BM95" s="32">
        <f t="shared" si="227"/>
        <v>1116463.3515319249</v>
      </c>
      <c r="BN95" s="32">
        <f t="shared" si="227"/>
        <v>1115726.1656929413</v>
      </c>
      <c r="BO95" s="32">
        <f t="shared" si="227"/>
        <v>1185805.4856220009</v>
      </c>
      <c r="BP95" s="32">
        <f t="shared" si="227"/>
        <v>1201011.3578069217</v>
      </c>
      <c r="BQ95" s="32">
        <f t="shared" si="227"/>
        <v>1343897.0463425026</v>
      </c>
      <c r="BR95" s="32">
        <f t="shared" si="227"/>
        <v>1361392.9403710174</v>
      </c>
      <c r="BS95" s="32">
        <f t="shared" si="227"/>
        <v>1137557.662015463</v>
      </c>
      <c r="BT95" s="32">
        <f t="shared" si="227"/>
        <v>1208821.8641529251</v>
      </c>
      <c r="BU95" s="32">
        <f t="shared" si="227"/>
        <v>1065087.9028069051</v>
      </c>
      <c r="BV95" s="32">
        <f t="shared" si="227"/>
        <v>1072108.3960249547</v>
      </c>
      <c r="BW95" s="32">
        <f t="shared" si="227"/>
        <v>879127.64366935391</v>
      </c>
      <c r="BX95" s="32">
        <f t="shared" ref="BX95:CI95" si="228">BX93</f>
        <v>1136013.1839630897</v>
      </c>
      <c r="BY95" s="32">
        <f t="shared" si="228"/>
        <v>1116463.3515319249</v>
      </c>
      <c r="BZ95" s="32">
        <f t="shared" si="228"/>
        <v>1115726.1656929413</v>
      </c>
      <c r="CA95" s="32">
        <f t="shared" si="228"/>
        <v>1185805.4856220009</v>
      </c>
      <c r="CB95" s="32">
        <f t="shared" si="228"/>
        <v>1201011.3578069217</v>
      </c>
      <c r="CC95" s="32">
        <f t="shared" si="228"/>
        <v>1343897.0463425026</v>
      </c>
      <c r="CD95" s="32">
        <f t="shared" si="228"/>
        <v>1361392.9403710174</v>
      </c>
      <c r="CE95" s="32">
        <f t="shared" si="228"/>
        <v>1137557.662015463</v>
      </c>
      <c r="CF95" s="32">
        <f t="shared" si="228"/>
        <v>1208821.8641529251</v>
      </c>
      <c r="CG95" s="32">
        <f t="shared" si="228"/>
        <v>1065087.9028069051</v>
      </c>
      <c r="CH95" s="32">
        <f t="shared" si="228"/>
        <v>1072108.3960249547</v>
      </c>
      <c r="CI95" s="32">
        <f t="shared" si="228"/>
        <v>879127.64366935391</v>
      </c>
    </row>
    <row r="96" spans="1:87" x14ac:dyDescent="0.2">
      <c r="A96" s="2">
        <v>87</v>
      </c>
      <c r="C96" s="2"/>
      <c r="D96" s="474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</row>
    <row r="97" spans="1:87" x14ac:dyDescent="0.2">
      <c r="A97" s="2">
        <v>88</v>
      </c>
      <c r="B97" s="172" t="s">
        <v>310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</row>
    <row r="98" spans="1:87" x14ac:dyDescent="0.2">
      <c r="A98" s="2">
        <v>89</v>
      </c>
      <c r="B98" s="2" t="s">
        <v>311</v>
      </c>
      <c r="C98" s="2"/>
      <c r="D98" s="61">
        <f>'Other Revenue'!D54</f>
        <v>45327</v>
      </c>
      <c r="E98" s="61">
        <f>'Other Revenue'!E54</f>
        <v>57173</v>
      </c>
      <c r="F98" s="61">
        <f>'Other Revenue'!F54</f>
        <v>55395</v>
      </c>
      <c r="G98" s="61">
        <f>'Other Revenue'!G54</f>
        <v>88176</v>
      </c>
      <c r="H98" s="61">
        <f>'Other Revenue'!H54</f>
        <v>126545</v>
      </c>
      <c r="I98" s="61">
        <f>'Other Revenue'!I54</f>
        <v>87101</v>
      </c>
      <c r="J98" s="61">
        <f>'Other Revenue'!J54</f>
        <v>58133</v>
      </c>
      <c r="K98" s="61">
        <f>'Other Revenue'!K54</f>
        <v>54439</v>
      </c>
      <c r="L98" s="61">
        <f>'Other Revenue'!L54</f>
        <v>74821</v>
      </c>
      <c r="M98" s="61">
        <f>'Other Revenue'!M54</f>
        <v>49919</v>
      </c>
      <c r="N98" s="61">
        <f>'Other Revenue'!N54</f>
        <v>53628</v>
      </c>
      <c r="O98" s="61">
        <f>'Other Revenue'!O54</f>
        <v>55397</v>
      </c>
      <c r="P98" s="61">
        <f>'Other Revenue'!P54</f>
        <v>45327</v>
      </c>
      <c r="Q98" s="61">
        <f>'Other Revenue'!Q54</f>
        <v>57173</v>
      </c>
      <c r="R98" s="61">
        <f>'Other Revenue'!R54</f>
        <v>55395</v>
      </c>
      <c r="S98" s="61">
        <f>'Other Revenue'!S54</f>
        <v>88176</v>
      </c>
      <c r="T98" s="61">
        <f>'Other Revenue'!T54</f>
        <v>126545</v>
      </c>
      <c r="U98" s="61">
        <f>'Other Revenue'!U54</f>
        <v>87101</v>
      </c>
      <c r="V98" s="61">
        <f>'Other Revenue'!V54</f>
        <v>58133</v>
      </c>
      <c r="W98" s="61">
        <f>'Other Revenue'!W54</f>
        <v>54439</v>
      </c>
      <c r="X98" s="61">
        <f>'Other Revenue'!X54</f>
        <v>74821</v>
      </c>
      <c r="Y98" s="61">
        <f>'Other Revenue'!Y54</f>
        <v>49919</v>
      </c>
      <c r="Z98" s="61">
        <f>'Other Revenue'!Z54</f>
        <v>53628</v>
      </c>
      <c r="AA98" s="61">
        <f>'Other Revenue'!AA54</f>
        <v>55397</v>
      </c>
      <c r="AB98" s="61">
        <f>'Other Revenue'!AB54</f>
        <v>45327</v>
      </c>
      <c r="AC98" s="61">
        <f>'Other Revenue'!AC54</f>
        <v>57173</v>
      </c>
      <c r="AD98" s="61">
        <f>'Other Revenue'!AD54</f>
        <v>55395</v>
      </c>
      <c r="AE98" s="61">
        <f>'Other Revenue'!AE54</f>
        <v>88176</v>
      </c>
      <c r="AF98" s="61">
        <f>'Other Revenue'!AF54</f>
        <v>126545</v>
      </c>
      <c r="AG98" s="61">
        <f>'Other Revenue'!AG54</f>
        <v>87101</v>
      </c>
      <c r="AH98" s="61">
        <f>'Other Revenue'!AH54</f>
        <v>58133</v>
      </c>
      <c r="AI98" s="61">
        <f>'Other Revenue'!AI54</f>
        <v>54439</v>
      </c>
      <c r="AJ98" s="61">
        <f>'Other Revenue'!AJ54</f>
        <v>74821</v>
      </c>
      <c r="AK98" s="61">
        <f>'Other Revenue'!AK54</f>
        <v>49919</v>
      </c>
      <c r="AL98" s="61">
        <f>'Other Revenue'!AL54</f>
        <v>53628</v>
      </c>
      <c r="AM98" s="61">
        <f>'Other Revenue'!AM54</f>
        <v>55397</v>
      </c>
      <c r="AN98" s="61">
        <f>'Other Revenue'!AN54</f>
        <v>45327</v>
      </c>
      <c r="AO98" s="61">
        <f>'Other Revenue'!AO54</f>
        <v>57173</v>
      </c>
      <c r="AP98" s="61">
        <f>'Other Revenue'!AP54</f>
        <v>55395</v>
      </c>
      <c r="AQ98" s="61">
        <f>'Other Revenue'!AQ54</f>
        <v>88176</v>
      </c>
      <c r="AR98" s="61">
        <f>'Other Revenue'!AR54</f>
        <v>126545</v>
      </c>
      <c r="AS98" s="61">
        <f>'Other Revenue'!AS54</f>
        <v>87101</v>
      </c>
      <c r="AT98" s="61">
        <f>'Other Revenue'!AT54</f>
        <v>58133</v>
      </c>
      <c r="AU98" s="61">
        <f>'Other Revenue'!AU54</f>
        <v>54439</v>
      </c>
      <c r="AV98" s="61">
        <f>'Other Revenue'!AV54</f>
        <v>74821</v>
      </c>
      <c r="AW98" s="61">
        <f>'Other Revenue'!AW54</f>
        <v>49919</v>
      </c>
      <c r="AX98" s="61">
        <f>'Other Revenue'!AX54</f>
        <v>53628</v>
      </c>
      <c r="AY98" s="61">
        <f>'Other Revenue'!AY54</f>
        <v>55397</v>
      </c>
      <c r="AZ98" s="61">
        <f>'Other Revenue'!AZ54</f>
        <v>45327</v>
      </c>
      <c r="BA98" s="61">
        <f>'Other Revenue'!BA54</f>
        <v>57173</v>
      </c>
      <c r="BB98" s="61">
        <f>'Other Revenue'!BB54</f>
        <v>55395</v>
      </c>
      <c r="BC98" s="61">
        <f>'Other Revenue'!BC54</f>
        <v>88176</v>
      </c>
      <c r="BD98" s="61">
        <f>'Other Revenue'!BD54</f>
        <v>126545</v>
      </c>
      <c r="BE98" s="61">
        <f>'Other Revenue'!BE54</f>
        <v>87101</v>
      </c>
      <c r="BF98" s="61">
        <f>'Other Revenue'!BF54</f>
        <v>58133</v>
      </c>
      <c r="BG98" s="61">
        <f>'Other Revenue'!BG54</f>
        <v>54439</v>
      </c>
      <c r="BH98" s="61">
        <f>'Other Revenue'!BH54</f>
        <v>74821</v>
      </c>
      <c r="BI98" s="61">
        <f>'Other Revenue'!BI54</f>
        <v>49919</v>
      </c>
      <c r="BJ98" s="61">
        <f>'Other Revenue'!BJ54</f>
        <v>53628</v>
      </c>
      <c r="BK98" s="61">
        <f>'Other Revenue'!BK54</f>
        <v>55397</v>
      </c>
      <c r="BL98" s="61">
        <f>'Other Revenue'!BL54</f>
        <v>45327</v>
      </c>
      <c r="BM98" s="61">
        <f>'Other Revenue'!BM54</f>
        <v>57173</v>
      </c>
      <c r="BN98" s="61">
        <f>'Other Revenue'!BN54</f>
        <v>55395</v>
      </c>
      <c r="BO98" s="61">
        <f>'Other Revenue'!BO54</f>
        <v>88176</v>
      </c>
      <c r="BP98" s="61">
        <f>'Other Revenue'!BP54</f>
        <v>126545</v>
      </c>
      <c r="BQ98" s="61">
        <f>'Other Revenue'!BQ54</f>
        <v>87101</v>
      </c>
      <c r="BR98" s="61">
        <f>'Other Revenue'!BR54</f>
        <v>58133</v>
      </c>
      <c r="BS98" s="61">
        <f>'Other Revenue'!BS54</f>
        <v>54439</v>
      </c>
      <c r="BT98" s="61">
        <f>'Other Revenue'!BT54</f>
        <v>74821</v>
      </c>
      <c r="BU98" s="61">
        <f>'Other Revenue'!BU54</f>
        <v>49919</v>
      </c>
      <c r="BV98" s="61">
        <f>'Other Revenue'!BV54</f>
        <v>53628</v>
      </c>
      <c r="BW98" s="61">
        <f>'Other Revenue'!BW54</f>
        <v>55397</v>
      </c>
      <c r="BX98" s="61">
        <f>'Other Revenue'!BX54</f>
        <v>45327</v>
      </c>
      <c r="BY98" s="61">
        <f>'Other Revenue'!BY54</f>
        <v>57173</v>
      </c>
      <c r="BZ98" s="61">
        <f>'Other Revenue'!BZ54</f>
        <v>55395</v>
      </c>
      <c r="CA98" s="61">
        <f>'Other Revenue'!CA54</f>
        <v>88176</v>
      </c>
      <c r="CB98" s="61">
        <f>'Other Revenue'!CB54</f>
        <v>126545</v>
      </c>
      <c r="CC98" s="61">
        <f>'Other Revenue'!CC54</f>
        <v>87101</v>
      </c>
      <c r="CD98" s="61">
        <f>'Other Revenue'!CD54</f>
        <v>58133</v>
      </c>
      <c r="CE98" s="61">
        <f>'Other Revenue'!CE54</f>
        <v>54439</v>
      </c>
      <c r="CF98" s="61">
        <f>'Other Revenue'!CF54</f>
        <v>74821</v>
      </c>
      <c r="CG98" s="61">
        <f>'Other Revenue'!CG54</f>
        <v>49919</v>
      </c>
      <c r="CH98" s="61">
        <f>'Other Revenue'!CH54</f>
        <v>53628</v>
      </c>
      <c r="CI98" s="61">
        <f>'Other Revenue'!CI54</f>
        <v>55397</v>
      </c>
    </row>
    <row r="99" spans="1:87" x14ac:dyDescent="0.2">
      <c r="A99" s="2">
        <v>90</v>
      </c>
      <c r="B99" s="2" t="s">
        <v>99</v>
      </c>
      <c r="C99" s="2"/>
      <c r="D99" s="61">
        <f>'Other Revenue'!D57</f>
        <v>49459.53</v>
      </c>
      <c r="E99" s="61">
        <f>'Other Revenue'!E57</f>
        <v>49975.730071234873</v>
      </c>
      <c r="F99" s="61">
        <f>'Other Revenue'!F57</f>
        <v>51586.706720066482</v>
      </c>
      <c r="G99" s="61">
        <f>'Other Revenue'!G57</f>
        <v>51014.741294705644</v>
      </c>
      <c r="H99" s="61">
        <f>'Other Revenue'!H57</f>
        <v>63268.391752900323</v>
      </c>
      <c r="I99" s="61">
        <f>'Other Revenue'!I57</f>
        <v>103770.88188085212</v>
      </c>
      <c r="J99" s="61">
        <f>'Other Revenue'!J57</f>
        <v>151121.56343666484</v>
      </c>
      <c r="K99" s="61">
        <f>'Other Revenue'!K57</f>
        <v>180239.63098269972</v>
      </c>
      <c r="L99" s="61">
        <f>'Other Revenue'!L57</f>
        <v>193132.30681991219</v>
      </c>
      <c r="M99" s="61">
        <f>'Other Revenue'!M57</f>
        <v>149417.73979407307</v>
      </c>
      <c r="N99" s="61">
        <f>'Other Revenue'!N57</f>
        <v>107763.92308803758</v>
      </c>
      <c r="O99" s="61">
        <f>'Other Revenue'!O57</f>
        <v>76678.702587672175</v>
      </c>
      <c r="P99" s="61">
        <f>'Other Revenue'!P57</f>
        <v>59150.040279274232</v>
      </c>
      <c r="Q99" s="61">
        <f>'Other Revenue'!Q57</f>
        <v>54438.933654652523</v>
      </c>
      <c r="R99" s="61">
        <f>'Other Revenue'!R57</f>
        <v>54578.946435618629</v>
      </c>
      <c r="S99" s="61">
        <f>'Other Revenue'!S57</f>
        <v>54003.632288822264</v>
      </c>
      <c r="T99" s="61">
        <f>'Other Revenue'!T57</f>
        <v>68403.679396344829</v>
      </c>
      <c r="U99" s="61">
        <f>'Other Revenue'!U57</f>
        <v>111350.6264652091</v>
      </c>
      <c r="V99" s="61">
        <f>'Other Revenue'!V57</f>
        <v>163805.42211283173</v>
      </c>
      <c r="W99" s="61">
        <f>'Other Revenue'!W57</f>
        <v>196091.17369346175</v>
      </c>
      <c r="X99" s="61">
        <f>'Other Revenue'!X57</f>
        <v>200472.80135136913</v>
      </c>
      <c r="Y99" s="61">
        <f>'Other Revenue'!Y57</f>
        <v>154727.82135485311</v>
      </c>
      <c r="Z99" s="61">
        <f>'Other Revenue'!Z57</f>
        <v>111173.430378629</v>
      </c>
      <c r="AA99" s="61">
        <f>'Other Revenue'!AA57</f>
        <v>76088.821679641362</v>
      </c>
      <c r="AB99" s="61">
        <f>'Other Revenue'!AB57</f>
        <v>58230.972263950251</v>
      </c>
      <c r="AC99" s="61">
        <f>'Other Revenue'!AC57</f>
        <v>53684.395756861937</v>
      </c>
      <c r="AD99" s="61">
        <f>'Other Revenue'!AD57</f>
        <v>54034.705322374044</v>
      </c>
      <c r="AE99" s="61">
        <f>'Other Revenue'!AE57</f>
        <v>53460.619677659743</v>
      </c>
      <c r="AF99" s="61">
        <f>'Other Revenue'!AF57</f>
        <v>67434.49078735373</v>
      </c>
      <c r="AG99" s="61">
        <f>'Other Revenue'!AG57</f>
        <v>110915.66308377551</v>
      </c>
      <c r="AH99" s="61">
        <f>'Other Revenue'!AH57</f>
        <v>163043.36831648159</v>
      </c>
      <c r="AI99" s="61">
        <f>'Other Revenue'!AI57</f>
        <v>195126.14829354855</v>
      </c>
      <c r="AJ99" s="61">
        <f>'Other Revenue'!AJ57</f>
        <v>200043.74278253785</v>
      </c>
      <c r="AK99" s="61">
        <f>'Other Revenue'!AK57</f>
        <v>154428.44200440633</v>
      </c>
      <c r="AL99" s="61">
        <f>'Other Revenue'!AL57</f>
        <v>110999.53750596465</v>
      </c>
      <c r="AM99" s="61">
        <f>'Other Revenue'!AM57</f>
        <v>74985.196758521895</v>
      </c>
      <c r="AN99" s="61">
        <f>'Other Revenue'!AN57</f>
        <v>57616.275991656643</v>
      </c>
      <c r="AO99" s="61">
        <f>'Other Revenue'!AO57</f>
        <v>53182.308690454411</v>
      </c>
      <c r="AP99" s="61">
        <f>'Other Revenue'!AP57</f>
        <v>53546.65325677146</v>
      </c>
      <c r="AQ99" s="61">
        <f>'Other Revenue'!AQ57</f>
        <v>52973.697395133197</v>
      </c>
      <c r="AR99" s="61">
        <f>'Other Revenue'!AR57</f>
        <v>66561.886121911622</v>
      </c>
      <c r="AS99" s="61">
        <f>'Other Revenue'!AS57</f>
        <v>109723.59721316928</v>
      </c>
      <c r="AT99" s="61">
        <f>'Other Revenue'!AT57</f>
        <v>161012.00411466247</v>
      </c>
      <c r="AU99" s="61">
        <f>'Other Revenue'!AU57</f>
        <v>192572.4077098587</v>
      </c>
      <c r="AV99" s="61">
        <f>'Other Revenue'!AV57</f>
        <v>197978.1494110928</v>
      </c>
      <c r="AW99" s="61">
        <f>'Other Revenue'!AW57</f>
        <v>152949.45042069748</v>
      </c>
      <c r="AX99" s="61">
        <f>'Other Revenue'!AX57</f>
        <v>110071.46268319699</v>
      </c>
      <c r="AY99" s="61">
        <f>'Other Revenue'!AY57</f>
        <v>74724.768255165181</v>
      </c>
      <c r="AZ99" s="61">
        <f>'Other Revenue'!AZ57</f>
        <v>57485.587636998142</v>
      </c>
      <c r="BA99" s="61">
        <f>'Other Revenue'!BA57</f>
        <v>53081.558852141236</v>
      </c>
      <c r="BB99" s="61">
        <f>'Other Revenue'!BB57</f>
        <v>53548.490122299198</v>
      </c>
      <c r="BC99" s="61">
        <f>'Other Revenue'!BC57</f>
        <v>52976.042990075708</v>
      </c>
      <c r="BD99" s="61">
        <f>'Other Revenue'!BD57</f>
        <v>66535.154275572568</v>
      </c>
      <c r="BE99" s="61">
        <f>'Other Revenue'!BE57</f>
        <v>109615.91992456737</v>
      </c>
      <c r="BF99" s="61">
        <f>'Other Revenue'!BF57</f>
        <v>160799.79938316593</v>
      </c>
      <c r="BG99" s="61">
        <f>'Other Revenue'!BG57</f>
        <v>192294.88326888328</v>
      </c>
      <c r="BH99" s="61">
        <f>'Other Revenue'!BH57</f>
        <v>197443.15926212809</v>
      </c>
      <c r="BI99" s="61">
        <f>'Other Revenue'!BI57</f>
        <v>152574.33376792417</v>
      </c>
      <c r="BJ99" s="61">
        <f>'Other Revenue'!BJ57</f>
        <v>109849.21339105698</v>
      </c>
      <c r="BK99" s="61">
        <f>'Other Revenue'!BK57</f>
        <v>74809.65141489821</v>
      </c>
      <c r="BL99" s="61">
        <f>'Other Revenue'!BL57</f>
        <v>57552.850531080425</v>
      </c>
      <c r="BM99" s="61">
        <f>'Other Revenue'!BM57</f>
        <v>53144.932033056175</v>
      </c>
      <c r="BN99" s="61">
        <f>'Other Revenue'!BN57</f>
        <v>53633.683442902409</v>
      </c>
      <c r="BO99" s="61">
        <f>'Other Revenue'!BO57</f>
        <v>53061.642730987551</v>
      </c>
      <c r="BP99" s="61">
        <f>'Other Revenue'!BP57</f>
        <v>66653.256718804056</v>
      </c>
      <c r="BQ99" s="61">
        <f>'Other Revenue'!BQ57</f>
        <v>109887.81884821014</v>
      </c>
      <c r="BR99" s="61">
        <f>'Other Revenue'!BR57</f>
        <v>161223.53311284693</v>
      </c>
      <c r="BS99" s="61">
        <f>'Other Revenue'!BS57</f>
        <v>192812.98531358276</v>
      </c>
      <c r="BT99" s="61">
        <f>'Other Revenue'!BT57</f>
        <v>197882.03020936865</v>
      </c>
      <c r="BU99" s="61">
        <f>'Other Revenue'!BU57</f>
        <v>152902.94987962159</v>
      </c>
      <c r="BV99" s="61">
        <f>'Other Revenue'!BV57</f>
        <v>110076.00918344934</v>
      </c>
      <c r="BW99" s="61">
        <f>'Other Revenue'!BW57</f>
        <v>75088.100753312276</v>
      </c>
      <c r="BX99" s="61">
        <f>'Other Revenue'!BX57</f>
        <v>57730.522757154016</v>
      </c>
      <c r="BY99" s="61">
        <f>'Other Revenue'!BY57</f>
        <v>53299.83061191142</v>
      </c>
      <c r="BZ99" s="61">
        <f>'Other Revenue'!BZ57</f>
        <v>53806.490460364119</v>
      </c>
      <c r="CA99" s="61">
        <f>'Other Revenue'!CA57</f>
        <v>53234.754827075754</v>
      </c>
      <c r="CB99" s="61">
        <f>'Other Revenue'!CB57</f>
        <v>66921.946563779144</v>
      </c>
      <c r="CC99" s="61">
        <f>'Other Revenue'!CC57</f>
        <v>111545.00346403169</v>
      </c>
      <c r="CD99" s="61">
        <f>'Other Revenue'!CD57</f>
        <v>163972.30712695545</v>
      </c>
      <c r="CE99" s="61">
        <f>'Other Revenue'!CE57</f>
        <v>196238.11095027009</v>
      </c>
      <c r="CF99" s="61">
        <f>'Other Revenue'!CF57</f>
        <v>201364.95520661064</v>
      </c>
      <c r="CG99" s="61">
        <f>'Other Revenue'!CG57</f>
        <v>155427.78897913938</v>
      </c>
      <c r="CH99" s="61">
        <f>'Other Revenue'!CH57</f>
        <v>111705.84888080289</v>
      </c>
      <c r="CI99" s="61">
        <f>'Other Revenue'!CI57</f>
        <v>76011.658179623206</v>
      </c>
    </row>
    <row r="100" spans="1:87" x14ac:dyDescent="0.2">
      <c r="A100" s="2">
        <v>91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</row>
    <row r="101" spans="1:87" x14ac:dyDescent="0.2">
      <c r="A101" s="2">
        <v>92</v>
      </c>
      <c r="B101" s="173" t="s">
        <v>312</v>
      </c>
      <c r="C101" s="2"/>
      <c r="D101" s="61">
        <f>D107+D98+D99</f>
        <v>5761179.064258337</v>
      </c>
      <c r="E101" s="61">
        <f t="shared" ref="E101:O101" si="229">E107+E98+E99</f>
        <v>5881171.9601343535</v>
      </c>
      <c r="F101" s="61">
        <f t="shared" si="229"/>
        <v>5837549.9770311993</v>
      </c>
      <c r="G101" s="61">
        <f t="shared" si="229"/>
        <v>6312905.7185680596</v>
      </c>
      <c r="H101" s="61">
        <f t="shared" si="229"/>
        <v>7774149.189196921</v>
      </c>
      <c r="I101" s="61">
        <f t="shared" si="229"/>
        <v>9519266.7355747595</v>
      </c>
      <c r="J101" s="61">
        <f t="shared" si="229"/>
        <v>10487311.793011261</v>
      </c>
      <c r="K101" s="61">
        <f t="shared" si="229"/>
        <v>10451980.004587861</v>
      </c>
      <c r="L101" s="61">
        <f t="shared" si="229"/>
        <v>9318240.684695052</v>
      </c>
      <c r="M101" s="61">
        <f t="shared" si="229"/>
        <v>7683586.0654491987</v>
      </c>
      <c r="N101" s="61">
        <f t="shared" si="229"/>
        <v>6695533.1429341258</v>
      </c>
      <c r="O101" s="61">
        <f t="shared" si="229"/>
        <v>6052378.9977089986</v>
      </c>
      <c r="P101" s="61">
        <f t="shared" ref="P101:BW101" si="230">P107+P98+P99</f>
        <v>5777045.3647243036</v>
      </c>
      <c r="Q101" s="61">
        <f t="shared" si="230"/>
        <v>5891810.7031021686</v>
      </c>
      <c r="R101" s="61">
        <f t="shared" si="230"/>
        <v>5846730.3876041016</v>
      </c>
      <c r="S101" s="61">
        <f t="shared" si="230"/>
        <v>6322601.4333367953</v>
      </c>
      <c r="T101" s="61">
        <f t="shared" si="230"/>
        <v>7787618.06328707</v>
      </c>
      <c r="U101" s="61">
        <f t="shared" si="230"/>
        <v>9537034.8946611807</v>
      </c>
      <c r="V101" s="61">
        <f t="shared" si="230"/>
        <v>10511299.725125529</v>
      </c>
      <c r="W101" s="61">
        <f t="shared" si="230"/>
        <v>10479356.544349721</v>
      </c>
      <c r="X101" s="61">
        <f t="shared" si="230"/>
        <v>9335424.4469083287</v>
      </c>
      <c r="Y101" s="61">
        <f t="shared" si="230"/>
        <v>7697206.4163323976</v>
      </c>
      <c r="Z101" s="61">
        <f t="shared" si="230"/>
        <v>6705840.3657732634</v>
      </c>
      <c r="AA101" s="61">
        <f t="shared" si="230"/>
        <v>6058095.8105117567</v>
      </c>
      <c r="AB101" s="61">
        <f t="shared" si="230"/>
        <v>5782301.9092168538</v>
      </c>
      <c r="AC101" s="61">
        <f t="shared" si="230"/>
        <v>5897231.777712252</v>
      </c>
      <c r="AD101" s="61">
        <f t="shared" si="230"/>
        <v>5852373.6781787314</v>
      </c>
      <c r="AE101" s="61">
        <f t="shared" si="230"/>
        <v>6328764.6438335078</v>
      </c>
      <c r="AF101" s="61">
        <f t="shared" si="230"/>
        <v>7794982.5975403516</v>
      </c>
      <c r="AG101" s="61">
        <f t="shared" si="230"/>
        <v>9546764.4791536201</v>
      </c>
      <c r="AH101" s="61">
        <f t="shared" si="230"/>
        <v>10521841.670414651</v>
      </c>
      <c r="AI101" s="61">
        <f t="shared" si="230"/>
        <v>10489940.879034283</v>
      </c>
      <c r="AJ101" s="61">
        <f t="shared" si="230"/>
        <v>9344814.4409099724</v>
      </c>
      <c r="AK101" s="61">
        <f t="shared" si="230"/>
        <v>7705217.3476294251</v>
      </c>
      <c r="AL101" s="61">
        <f t="shared" si="230"/>
        <v>6712587.9745004736</v>
      </c>
      <c r="AM101" s="61">
        <f t="shared" si="230"/>
        <v>6063298.9550985107</v>
      </c>
      <c r="AN101" s="61">
        <f t="shared" si="230"/>
        <v>5787862.8254524348</v>
      </c>
      <c r="AO101" s="61">
        <f t="shared" si="230"/>
        <v>5902905.3031537188</v>
      </c>
      <c r="AP101" s="61">
        <f t="shared" si="230"/>
        <v>5858073.1578010032</v>
      </c>
      <c r="AQ101" s="61">
        <f t="shared" si="230"/>
        <v>6334983.944658854</v>
      </c>
      <c r="AR101" s="61">
        <f t="shared" si="230"/>
        <v>7802443.8077771841</v>
      </c>
      <c r="AS101" s="61">
        <f t="shared" si="230"/>
        <v>9555761.411582889</v>
      </c>
      <c r="AT101" s="61">
        <f t="shared" si="230"/>
        <v>10531114.489378307</v>
      </c>
      <c r="AU101" s="61">
        <f t="shared" si="230"/>
        <v>10498912.156562869</v>
      </c>
      <c r="AV101" s="61">
        <f t="shared" si="230"/>
        <v>9352592.6495116018</v>
      </c>
      <c r="AW101" s="61">
        <f t="shared" si="230"/>
        <v>7712048.7587331906</v>
      </c>
      <c r="AX101" s="61">
        <f t="shared" si="230"/>
        <v>6718556.9217055803</v>
      </c>
      <c r="AY101" s="61">
        <f t="shared" si="230"/>
        <v>6069345.2961030286</v>
      </c>
      <c r="AZ101" s="61">
        <f t="shared" si="230"/>
        <v>5793907.749605651</v>
      </c>
      <c r="BA101" s="61">
        <f t="shared" si="230"/>
        <v>5908980.1658232789</v>
      </c>
      <c r="BB101" s="61">
        <f t="shared" si="230"/>
        <v>5864262.526354406</v>
      </c>
      <c r="BC101" s="61">
        <f t="shared" si="230"/>
        <v>6341692.513361671</v>
      </c>
      <c r="BD101" s="61">
        <f t="shared" si="230"/>
        <v>7810750.9828731194</v>
      </c>
      <c r="BE101" s="61">
        <f t="shared" si="230"/>
        <v>9565842.9166741613</v>
      </c>
      <c r="BF101" s="61">
        <f t="shared" si="230"/>
        <v>10542231.208471082</v>
      </c>
      <c r="BG101" s="61">
        <f t="shared" si="230"/>
        <v>10510159.834314166</v>
      </c>
      <c r="BH101" s="61">
        <f t="shared" si="230"/>
        <v>9361876.9420331102</v>
      </c>
      <c r="BI101" s="61">
        <f t="shared" si="230"/>
        <v>7719984.1368078915</v>
      </c>
      <c r="BJ101" s="61">
        <f t="shared" si="230"/>
        <v>6725231.6944413148</v>
      </c>
      <c r="BK101" s="61">
        <f t="shared" si="230"/>
        <v>6075736.9487706367</v>
      </c>
      <c r="BL101" s="61">
        <f t="shared" si="230"/>
        <v>5800150.625007608</v>
      </c>
      <c r="BM101" s="61">
        <f t="shared" si="230"/>
        <v>5915219.1515120687</v>
      </c>
      <c r="BN101" s="61">
        <f t="shared" si="230"/>
        <v>5870535.2513628826</v>
      </c>
      <c r="BO101" s="61">
        <f t="shared" si="230"/>
        <v>6348508.0710254572</v>
      </c>
      <c r="BP101" s="61">
        <f t="shared" si="230"/>
        <v>7819203.0842986256</v>
      </c>
      <c r="BQ101" s="61">
        <f t="shared" si="230"/>
        <v>9576279.7316316776</v>
      </c>
      <c r="BR101" s="61">
        <f t="shared" si="230"/>
        <v>10553959.539546238</v>
      </c>
      <c r="BS101" s="61">
        <f t="shared" si="230"/>
        <v>10522203.322631139</v>
      </c>
      <c r="BT101" s="61">
        <f t="shared" si="230"/>
        <v>9372159.9370934237</v>
      </c>
      <c r="BU101" s="61">
        <f t="shared" si="230"/>
        <v>7728623.3396870624</v>
      </c>
      <c r="BV101" s="61">
        <f t="shared" si="230"/>
        <v>6732380.1759135816</v>
      </c>
      <c r="BW101" s="61">
        <f t="shared" si="230"/>
        <v>6082322.1676169243</v>
      </c>
      <c r="BX101" s="61">
        <f t="shared" ref="BX101:CI101" si="231">BX107+BX98+BX99</f>
        <v>5806503.9097415553</v>
      </c>
      <c r="BY101" s="61">
        <f t="shared" si="231"/>
        <v>5921549.6625987981</v>
      </c>
      <c r="BZ101" s="61">
        <f t="shared" si="231"/>
        <v>5876895.5900682183</v>
      </c>
      <c r="CA101" s="61">
        <f t="shared" si="231"/>
        <v>6355387.4522494199</v>
      </c>
      <c r="CB101" s="61">
        <f t="shared" si="231"/>
        <v>7827805.8651658744</v>
      </c>
      <c r="CC101" s="61">
        <f t="shared" si="231"/>
        <v>9588126.4207673743</v>
      </c>
      <c r="CD101" s="61">
        <f t="shared" si="231"/>
        <v>10568013.094985824</v>
      </c>
      <c r="CE101" s="61">
        <f t="shared" si="231"/>
        <v>10537178.774772303</v>
      </c>
      <c r="CF101" s="61">
        <f t="shared" si="231"/>
        <v>9385487.1702837404</v>
      </c>
      <c r="CG101" s="61">
        <f t="shared" si="231"/>
        <v>7739458.8575940551</v>
      </c>
      <c r="CH101" s="61">
        <f t="shared" si="231"/>
        <v>6740907.0836588088</v>
      </c>
      <c r="CI101" s="61">
        <f t="shared" si="231"/>
        <v>6089552.4945511092</v>
      </c>
    </row>
    <row r="102" spans="1:87" x14ac:dyDescent="0.2">
      <c r="A102" s="2">
        <v>93</v>
      </c>
      <c r="B102" s="2" t="s">
        <v>218</v>
      </c>
      <c r="C102" s="2"/>
      <c r="D102" s="61">
        <f>D108</f>
        <v>1450045.6825389999</v>
      </c>
      <c r="E102" s="61">
        <f t="shared" ref="E102:O102" si="232">E108</f>
        <v>1573239.250002</v>
      </c>
      <c r="F102" s="61">
        <f t="shared" si="232"/>
        <v>1594006.603509</v>
      </c>
      <c r="G102" s="61">
        <f t="shared" si="232"/>
        <v>2569124.4365140004</v>
      </c>
      <c r="H102" s="61">
        <f t="shared" si="232"/>
        <v>5886937.8576960005</v>
      </c>
      <c r="I102" s="61">
        <f t="shared" si="232"/>
        <v>9988586.6495270021</v>
      </c>
      <c r="J102" s="61">
        <f t="shared" si="232"/>
        <v>12594803.098288001</v>
      </c>
      <c r="K102" s="61">
        <f t="shared" si="232"/>
        <v>13647831.548087999</v>
      </c>
      <c r="L102" s="61">
        <f t="shared" si="232"/>
        <v>9912060.4687439986</v>
      </c>
      <c r="M102" s="61">
        <f t="shared" si="232"/>
        <v>6311309.1451239996</v>
      </c>
      <c r="N102" s="61">
        <f t="shared" si="232"/>
        <v>3812685.6499259998</v>
      </c>
      <c r="O102" s="61">
        <f t="shared" si="232"/>
        <v>2308856.1144070001</v>
      </c>
      <c r="P102" s="61">
        <f t="shared" ref="P102:BW102" si="233">P108</f>
        <v>2049741.5700189201</v>
      </c>
      <c r="Q102" s="61">
        <f t="shared" si="233"/>
        <v>1952677.6818862045</v>
      </c>
      <c r="R102" s="61">
        <f t="shared" si="233"/>
        <v>1979940.5312267975</v>
      </c>
      <c r="S102" s="61">
        <f t="shared" si="233"/>
        <v>3180898.954258359</v>
      </c>
      <c r="T102" s="61">
        <f t="shared" si="233"/>
        <v>6763241.1393490657</v>
      </c>
      <c r="U102" s="61">
        <f t="shared" si="233"/>
        <v>11476715.787500847</v>
      </c>
      <c r="V102" s="61">
        <f t="shared" si="233"/>
        <v>14470752.148914251</v>
      </c>
      <c r="W102" s="61">
        <f t="shared" si="233"/>
        <v>14491068.306251038</v>
      </c>
      <c r="X102" s="61">
        <f t="shared" si="233"/>
        <v>10524210.30989009</v>
      </c>
      <c r="Y102" s="61">
        <f t="shared" si="233"/>
        <v>6700952.852855457</v>
      </c>
      <c r="Z102" s="61">
        <f t="shared" si="233"/>
        <v>3731374.7120792209</v>
      </c>
      <c r="AA102" s="61">
        <f t="shared" si="233"/>
        <v>2186009.8161111251</v>
      </c>
      <c r="AB102" s="61">
        <f t="shared" si="233"/>
        <v>1935979.8486930118</v>
      </c>
      <c r="AC102" s="61">
        <f t="shared" si="233"/>
        <v>1873147.9046377917</v>
      </c>
      <c r="AD102" s="61">
        <f t="shared" si="233"/>
        <v>1898721.8071433725</v>
      </c>
      <c r="AE102" s="61">
        <f t="shared" si="233"/>
        <v>3055635.1216434315</v>
      </c>
      <c r="AF102" s="61">
        <f t="shared" si="233"/>
        <v>6703385.0372818261</v>
      </c>
      <c r="AG102" s="61">
        <f t="shared" si="233"/>
        <v>11375060.005554482</v>
      </c>
      <c r="AH102" s="61">
        <f t="shared" si="233"/>
        <v>14342541.727350224</v>
      </c>
      <c r="AI102" s="61">
        <f t="shared" si="233"/>
        <v>14428180.684907267</v>
      </c>
      <c r="AJ102" s="61">
        <f t="shared" si="233"/>
        <v>10478127.724551832</v>
      </c>
      <c r="AK102" s="61">
        <f t="shared" si="233"/>
        <v>6671573.2829845585</v>
      </c>
      <c r="AL102" s="61">
        <f t="shared" si="233"/>
        <v>3589149.8524590801</v>
      </c>
      <c r="AM102" s="61">
        <f t="shared" si="233"/>
        <v>2102238.2918917029</v>
      </c>
      <c r="AN102" s="61">
        <f t="shared" si="233"/>
        <v>1859942.1799924376</v>
      </c>
      <c r="AO102" s="61">
        <f t="shared" si="233"/>
        <v>1802789.9475938934</v>
      </c>
      <c r="AP102" s="61">
        <f t="shared" si="233"/>
        <v>1827178.2151809884</v>
      </c>
      <c r="AQ102" s="61">
        <f t="shared" si="233"/>
        <v>2943029.7209080351</v>
      </c>
      <c r="AR102" s="61">
        <f t="shared" si="233"/>
        <v>6554959.6267851545</v>
      </c>
      <c r="AS102" s="61">
        <f t="shared" si="233"/>
        <v>11123017.217566088</v>
      </c>
      <c r="AT102" s="61">
        <f t="shared" si="233"/>
        <v>14024665.089828691</v>
      </c>
      <c r="AU102" s="61">
        <f t="shared" si="233"/>
        <v>14173834.688265789</v>
      </c>
      <c r="AV102" s="61">
        <f t="shared" si="233"/>
        <v>10293118.579282088</v>
      </c>
      <c r="AW102" s="61">
        <f t="shared" si="233"/>
        <v>6553752.0965978606</v>
      </c>
      <c r="AX102" s="61">
        <f t="shared" si="233"/>
        <v>3549690.7145539345</v>
      </c>
      <c r="AY102" s="61">
        <f t="shared" si="233"/>
        <v>2078792.382825356</v>
      </c>
      <c r="AZ102" s="61">
        <f t="shared" si="233"/>
        <v>1838542.5322456453</v>
      </c>
      <c r="BA102" s="61">
        <f t="shared" si="233"/>
        <v>1795762.6470832773</v>
      </c>
      <c r="BB102" s="61">
        <f t="shared" si="233"/>
        <v>1820051.5085295155</v>
      </c>
      <c r="BC102" s="61">
        <f t="shared" si="233"/>
        <v>2932417.3121292014</v>
      </c>
      <c r="BD102" s="61">
        <f t="shared" si="233"/>
        <v>6533409.0892808009</v>
      </c>
      <c r="BE102" s="61">
        <f t="shared" si="233"/>
        <v>11086505.627136158</v>
      </c>
      <c r="BF102" s="61">
        <f t="shared" si="233"/>
        <v>13978559.514386578</v>
      </c>
      <c r="BG102" s="61">
        <f t="shared" si="233"/>
        <v>14098605.870046269</v>
      </c>
      <c r="BH102" s="61">
        <f t="shared" si="233"/>
        <v>10238138.640184212</v>
      </c>
      <c r="BI102" s="61">
        <f t="shared" si="233"/>
        <v>6518713.6437414121</v>
      </c>
      <c r="BJ102" s="61">
        <f t="shared" si="233"/>
        <v>3552296.9847721448</v>
      </c>
      <c r="BK102" s="61">
        <f t="shared" si="233"/>
        <v>2080014.5343462983</v>
      </c>
      <c r="BL102" s="61">
        <f t="shared" si="233"/>
        <v>1839480.3246477991</v>
      </c>
      <c r="BM102" s="61">
        <f t="shared" si="233"/>
        <v>1799509.1252861777</v>
      </c>
      <c r="BN102" s="61">
        <f t="shared" si="233"/>
        <v>1823883.4763039397</v>
      </c>
      <c r="BO102" s="61">
        <f t="shared" si="233"/>
        <v>2939235.6460476508</v>
      </c>
      <c r="BP102" s="61">
        <f t="shared" si="233"/>
        <v>6556264.7002954502</v>
      </c>
      <c r="BQ102" s="61">
        <f t="shared" si="233"/>
        <v>11125358.087842375</v>
      </c>
      <c r="BR102" s="61">
        <f t="shared" si="233"/>
        <v>14027474.549422262</v>
      </c>
      <c r="BS102" s="61">
        <f t="shared" si="233"/>
        <v>14137328.262778934</v>
      </c>
      <c r="BT102" s="61">
        <f t="shared" si="233"/>
        <v>10265994.331363223</v>
      </c>
      <c r="BU102" s="61">
        <f t="shared" si="233"/>
        <v>6536334.9158884408</v>
      </c>
      <c r="BV102" s="61">
        <f t="shared" si="233"/>
        <v>3578444.3663480221</v>
      </c>
      <c r="BW102" s="61">
        <f t="shared" si="233"/>
        <v>2094991.7830139836</v>
      </c>
      <c r="BX102" s="61">
        <f t="shared" ref="BX102:CI102" si="234">BX108</f>
        <v>1852869.2051789141</v>
      </c>
      <c r="BY102" s="61">
        <f t="shared" si="234"/>
        <v>1814575.8287792276</v>
      </c>
      <c r="BZ102" s="61">
        <f t="shared" si="234"/>
        <v>1839230.1761268438</v>
      </c>
      <c r="CA102" s="61">
        <f t="shared" si="234"/>
        <v>2964235.6800239617</v>
      </c>
      <c r="CB102" s="61">
        <f t="shared" si="234"/>
        <v>6738671.5791312214</v>
      </c>
      <c r="CC102" s="61">
        <f t="shared" si="234"/>
        <v>11434415.626551328</v>
      </c>
      <c r="CD102" s="61">
        <f t="shared" si="234"/>
        <v>14417142.533697903</v>
      </c>
      <c r="CE102" s="61">
        <f t="shared" si="234"/>
        <v>14527773.568572063</v>
      </c>
      <c r="CF102" s="61">
        <f t="shared" si="234"/>
        <v>10549123.713625465</v>
      </c>
      <c r="CG102" s="61">
        <f t="shared" si="234"/>
        <v>6716705.2815066092</v>
      </c>
      <c r="CH102" s="61">
        <f t="shared" si="234"/>
        <v>3680843.653345773</v>
      </c>
      <c r="CI102" s="61">
        <f t="shared" si="234"/>
        <v>2154512.4822273124</v>
      </c>
    </row>
    <row r="103" spans="1:87" x14ac:dyDescent="0.2">
      <c r="A103" s="2">
        <v>94</v>
      </c>
      <c r="B103" s="173" t="s">
        <v>313</v>
      </c>
      <c r="C103" s="2"/>
      <c r="D103" s="61">
        <f>D101+D102</f>
        <v>7211224.7467973372</v>
      </c>
      <c r="E103" s="61">
        <f t="shared" ref="E103:O103" si="235">E101+E102</f>
        <v>7454411.210136354</v>
      </c>
      <c r="F103" s="61">
        <f t="shared" si="235"/>
        <v>7431556.5805401988</v>
      </c>
      <c r="G103" s="61">
        <f t="shared" si="235"/>
        <v>8882030.15508206</v>
      </c>
      <c r="H103" s="61">
        <f t="shared" si="235"/>
        <v>13661087.046892922</v>
      </c>
      <c r="I103" s="61">
        <f t="shared" si="235"/>
        <v>19507853.385101762</v>
      </c>
      <c r="J103" s="61">
        <f t="shared" si="235"/>
        <v>23082114.891299263</v>
      </c>
      <c r="K103" s="61">
        <f t="shared" si="235"/>
        <v>24099811.552675858</v>
      </c>
      <c r="L103" s="61">
        <f t="shared" si="235"/>
        <v>19230301.153439052</v>
      </c>
      <c r="M103" s="61">
        <f t="shared" si="235"/>
        <v>13994895.210573198</v>
      </c>
      <c r="N103" s="61">
        <f t="shared" si="235"/>
        <v>10508218.792860126</v>
      </c>
      <c r="O103" s="61">
        <f t="shared" si="235"/>
        <v>8361235.1121159988</v>
      </c>
      <c r="P103" s="61">
        <f t="shared" ref="P103:AU103" si="236">P101+P102</f>
        <v>7826786.9347432237</v>
      </c>
      <c r="Q103" s="61">
        <f t="shared" si="236"/>
        <v>7844488.3849883731</v>
      </c>
      <c r="R103" s="61">
        <f t="shared" si="236"/>
        <v>7826670.9188308995</v>
      </c>
      <c r="S103" s="61">
        <f t="shared" si="236"/>
        <v>9503500.3875951543</v>
      </c>
      <c r="T103" s="61">
        <f t="shared" si="236"/>
        <v>14550859.202636136</v>
      </c>
      <c r="U103" s="61">
        <f t="shared" si="236"/>
        <v>21013750.682162028</v>
      </c>
      <c r="V103" s="61">
        <f t="shared" si="236"/>
        <v>24982051.87403978</v>
      </c>
      <c r="W103" s="61">
        <f t="shared" si="236"/>
        <v>24970424.850600757</v>
      </c>
      <c r="X103" s="61">
        <f t="shared" si="236"/>
        <v>19859634.756798416</v>
      </c>
      <c r="Y103" s="61">
        <f t="shared" si="236"/>
        <v>14398159.269187855</v>
      </c>
      <c r="Z103" s="61">
        <f t="shared" si="236"/>
        <v>10437215.077852484</v>
      </c>
      <c r="AA103" s="61">
        <f t="shared" si="236"/>
        <v>8244105.6266228817</v>
      </c>
      <c r="AB103" s="61">
        <f t="shared" si="236"/>
        <v>7718281.757909866</v>
      </c>
      <c r="AC103" s="61">
        <f t="shared" si="236"/>
        <v>7770379.6823500432</v>
      </c>
      <c r="AD103" s="61">
        <f t="shared" si="236"/>
        <v>7751095.4853221038</v>
      </c>
      <c r="AE103" s="61">
        <f t="shared" si="236"/>
        <v>9384399.7654769383</v>
      </c>
      <c r="AF103" s="61">
        <f t="shared" si="236"/>
        <v>14498367.634822179</v>
      </c>
      <c r="AG103" s="61">
        <f t="shared" si="236"/>
        <v>20921824.484708101</v>
      </c>
      <c r="AH103" s="61">
        <f t="shared" si="236"/>
        <v>24864383.397764876</v>
      </c>
      <c r="AI103" s="61">
        <f t="shared" si="236"/>
        <v>24918121.56394155</v>
      </c>
      <c r="AJ103" s="61">
        <f t="shared" si="236"/>
        <v>19822942.165461805</v>
      </c>
      <c r="AK103" s="61">
        <f t="shared" si="236"/>
        <v>14376790.630613983</v>
      </c>
      <c r="AL103" s="61">
        <f t="shared" si="236"/>
        <v>10301737.826959554</v>
      </c>
      <c r="AM103" s="61">
        <f t="shared" si="236"/>
        <v>8165537.2469902132</v>
      </c>
      <c r="AN103" s="61">
        <f t="shared" si="236"/>
        <v>7647805.0054448722</v>
      </c>
      <c r="AO103" s="61">
        <f t="shared" si="236"/>
        <v>7705695.2507476117</v>
      </c>
      <c r="AP103" s="61">
        <f t="shared" si="236"/>
        <v>7685251.3729819916</v>
      </c>
      <c r="AQ103" s="61">
        <f t="shared" si="236"/>
        <v>9278013.6655668896</v>
      </c>
      <c r="AR103" s="61">
        <f t="shared" si="236"/>
        <v>14357403.434562339</v>
      </c>
      <c r="AS103" s="61">
        <f t="shared" si="236"/>
        <v>20678778.629148975</v>
      </c>
      <c r="AT103" s="61">
        <f t="shared" si="236"/>
        <v>24555779.579206996</v>
      </c>
      <c r="AU103" s="61">
        <f t="shared" si="236"/>
        <v>24672746.844828658</v>
      </c>
      <c r="AV103" s="61">
        <f t="shared" ref="AV103:BW103" si="237">AV101+AV102</f>
        <v>19645711.228793688</v>
      </c>
      <c r="AW103" s="61">
        <f t="shared" si="237"/>
        <v>14265800.855331052</v>
      </c>
      <c r="AX103" s="61">
        <f t="shared" si="237"/>
        <v>10268247.636259515</v>
      </c>
      <c r="AY103" s="61">
        <f t="shared" si="237"/>
        <v>8148137.6789283846</v>
      </c>
      <c r="AZ103" s="61">
        <f t="shared" si="237"/>
        <v>7632450.2818512963</v>
      </c>
      <c r="BA103" s="61">
        <f t="shared" si="237"/>
        <v>7704742.8129065558</v>
      </c>
      <c r="BB103" s="61">
        <f t="shared" si="237"/>
        <v>7684314.034883922</v>
      </c>
      <c r="BC103" s="61">
        <f t="shared" si="237"/>
        <v>9274109.8254908733</v>
      </c>
      <c r="BD103" s="61">
        <f t="shared" si="237"/>
        <v>14344160.07215392</v>
      </c>
      <c r="BE103" s="61">
        <f t="shared" si="237"/>
        <v>20652348.543810319</v>
      </c>
      <c r="BF103" s="61">
        <f t="shared" si="237"/>
        <v>24520790.722857662</v>
      </c>
      <c r="BG103" s="61">
        <f t="shared" si="237"/>
        <v>24608765.704360433</v>
      </c>
      <c r="BH103" s="61">
        <f t="shared" si="237"/>
        <v>19600015.582217321</v>
      </c>
      <c r="BI103" s="61">
        <f t="shared" si="237"/>
        <v>14238697.780549303</v>
      </c>
      <c r="BJ103" s="61">
        <f t="shared" si="237"/>
        <v>10277528.679213461</v>
      </c>
      <c r="BK103" s="61">
        <f t="shared" si="237"/>
        <v>8155751.483116935</v>
      </c>
      <c r="BL103" s="61">
        <f t="shared" si="237"/>
        <v>7639630.9496554071</v>
      </c>
      <c r="BM103" s="61">
        <f t="shared" si="237"/>
        <v>7714728.2767982464</v>
      </c>
      <c r="BN103" s="61">
        <f t="shared" si="237"/>
        <v>7694418.7276668223</v>
      </c>
      <c r="BO103" s="61">
        <f t="shared" si="237"/>
        <v>9287743.717073109</v>
      </c>
      <c r="BP103" s="61">
        <f t="shared" si="237"/>
        <v>14375467.784594076</v>
      </c>
      <c r="BQ103" s="61">
        <f t="shared" si="237"/>
        <v>20701637.819474053</v>
      </c>
      <c r="BR103" s="61">
        <f t="shared" si="237"/>
        <v>24581434.0889685</v>
      </c>
      <c r="BS103" s="61">
        <f t="shared" si="237"/>
        <v>24659531.585410073</v>
      </c>
      <c r="BT103" s="61">
        <f t="shared" si="237"/>
        <v>19638154.268456645</v>
      </c>
      <c r="BU103" s="61">
        <f t="shared" si="237"/>
        <v>14264958.255575504</v>
      </c>
      <c r="BV103" s="61">
        <f t="shared" si="237"/>
        <v>10310824.542261604</v>
      </c>
      <c r="BW103" s="61">
        <f t="shared" si="237"/>
        <v>8177313.9506309079</v>
      </c>
      <c r="BX103" s="61">
        <f t="shared" ref="BX103:CI103" si="238">BX101+BX102</f>
        <v>7659373.114920469</v>
      </c>
      <c r="BY103" s="61">
        <f t="shared" si="238"/>
        <v>7736125.4913780261</v>
      </c>
      <c r="BZ103" s="61">
        <f t="shared" si="238"/>
        <v>7716125.7661950625</v>
      </c>
      <c r="CA103" s="61">
        <f t="shared" si="238"/>
        <v>9319623.1322733816</v>
      </c>
      <c r="CB103" s="61">
        <f t="shared" si="238"/>
        <v>14566477.444297096</v>
      </c>
      <c r="CC103" s="61">
        <f t="shared" si="238"/>
        <v>21022542.047318704</v>
      </c>
      <c r="CD103" s="61">
        <f t="shared" si="238"/>
        <v>24985155.628683727</v>
      </c>
      <c r="CE103" s="61">
        <f t="shared" si="238"/>
        <v>25064952.343344368</v>
      </c>
      <c r="CF103" s="61">
        <f t="shared" si="238"/>
        <v>19934610.883909203</v>
      </c>
      <c r="CG103" s="61">
        <f t="shared" si="238"/>
        <v>14456164.139100663</v>
      </c>
      <c r="CH103" s="61">
        <f t="shared" si="238"/>
        <v>10421750.737004582</v>
      </c>
      <c r="CI103" s="61">
        <f t="shared" si="238"/>
        <v>8244064.9767784216</v>
      </c>
    </row>
    <row r="104" spans="1: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</row>
    <row r="105" spans="1:87" x14ac:dyDescent="0.2">
      <c r="A105" s="2">
        <v>96</v>
      </c>
      <c r="C105" s="2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2"/>
      <c r="Q105" s="2"/>
      <c r="R105" s="2"/>
      <c r="S105" s="2"/>
      <c r="T105" s="2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</row>
    <row r="106" spans="1:87" x14ac:dyDescent="0.2">
      <c r="A106" s="2">
        <v>97</v>
      </c>
      <c r="C106" s="2" t="s">
        <v>21</v>
      </c>
      <c r="D106" s="71">
        <f>D16+D25+D34+D43+D51+D59+D71+D86+D95+D77</f>
        <v>2569183.5022130245</v>
      </c>
      <c r="E106" s="71">
        <f t="shared" ref="E106:O106" si="239">E16+E25+E34+E43+E51+E59+E71+E86+E95+E77</f>
        <v>2646692.8369663279</v>
      </c>
      <c r="F106" s="71">
        <f t="shared" si="239"/>
        <v>2660283.6210218817</v>
      </c>
      <c r="G106" s="71">
        <f t="shared" si="239"/>
        <v>3058181.6859285873</v>
      </c>
      <c r="H106" s="71">
        <f t="shared" si="239"/>
        <v>3998476.0040853973</v>
      </c>
      <c r="I106" s="71">
        <f t="shared" si="239"/>
        <v>5327863.5869879983</v>
      </c>
      <c r="J106" s="71">
        <f t="shared" si="239"/>
        <v>6010479.8231724445</v>
      </c>
      <c r="K106" s="71">
        <f t="shared" si="239"/>
        <v>5627994.582335691</v>
      </c>
      <c r="L106" s="71">
        <f t="shared" si="239"/>
        <v>4963817.8991501369</v>
      </c>
      <c r="M106" s="71">
        <f t="shared" si="239"/>
        <v>3711060.9742825963</v>
      </c>
      <c r="N106" s="71">
        <f t="shared" si="239"/>
        <v>3076232.143787446</v>
      </c>
      <c r="O106" s="71">
        <f t="shared" si="239"/>
        <v>2514261.9900684692</v>
      </c>
      <c r="P106" s="2"/>
      <c r="Q106" s="2"/>
      <c r="R106" s="2"/>
      <c r="S106" s="2"/>
      <c r="T106" s="2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</row>
    <row r="107" spans="1:87" x14ac:dyDescent="0.2">
      <c r="A107" s="2">
        <v>98</v>
      </c>
      <c r="C107" s="71" t="s">
        <v>396</v>
      </c>
      <c r="D107" s="61">
        <f>D88+D79+D63+D55+D47+D38+D29+D20+D11+D73</f>
        <v>5666392.5342583368</v>
      </c>
      <c r="E107" s="61">
        <f t="shared" ref="E107:BP107" si="240">E88+E79+E63+E55+E47+E38+E29+E20+E11+E73</f>
        <v>5774023.230063119</v>
      </c>
      <c r="F107" s="61">
        <f t="shared" si="240"/>
        <v>5730568.270311133</v>
      </c>
      <c r="G107" s="61">
        <f t="shared" si="240"/>
        <v>6173714.9772733543</v>
      </c>
      <c r="H107" s="61">
        <f t="shared" si="240"/>
        <v>7584335.7974440204</v>
      </c>
      <c r="I107" s="61">
        <f t="shared" si="240"/>
        <v>9328394.8536939081</v>
      </c>
      <c r="J107" s="61">
        <f t="shared" si="240"/>
        <v>10278057.229574597</v>
      </c>
      <c r="K107" s="61">
        <f t="shared" si="240"/>
        <v>10217301.373605162</v>
      </c>
      <c r="L107" s="61">
        <f t="shared" si="240"/>
        <v>9050287.3778751399</v>
      </c>
      <c r="M107" s="61">
        <f t="shared" si="240"/>
        <v>7484249.325655126</v>
      </c>
      <c r="N107" s="61">
        <f t="shared" si="240"/>
        <v>6534141.2198460884</v>
      </c>
      <c r="O107" s="61">
        <f t="shared" si="240"/>
        <v>5920303.2951213261</v>
      </c>
      <c r="P107" s="61">
        <f t="shared" si="240"/>
        <v>5672568.3244450297</v>
      </c>
      <c r="Q107" s="61">
        <f t="shared" si="240"/>
        <v>5780198.7694475157</v>
      </c>
      <c r="R107" s="61">
        <f t="shared" si="240"/>
        <v>5736756.4411684833</v>
      </c>
      <c r="S107" s="61">
        <f t="shared" si="240"/>
        <v>6180421.8010479733</v>
      </c>
      <c r="T107" s="61">
        <f t="shared" si="240"/>
        <v>7592669.3838907247</v>
      </c>
      <c r="U107" s="61">
        <f t="shared" si="240"/>
        <v>9338583.2681959718</v>
      </c>
      <c r="V107" s="61">
        <f t="shared" si="240"/>
        <v>10289361.303012697</v>
      </c>
      <c r="W107" s="61">
        <f t="shared" si="240"/>
        <v>10228826.370656259</v>
      </c>
      <c r="X107" s="61">
        <f t="shared" si="240"/>
        <v>9060130.6455569603</v>
      </c>
      <c r="Y107" s="61">
        <f t="shared" si="240"/>
        <v>7492559.5949775446</v>
      </c>
      <c r="Z107" s="61">
        <f t="shared" si="240"/>
        <v>6541038.9353946345</v>
      </c>
      <c r="AA107" s="61">
        <f t="shared" si="240"/>
        <v>5926609.9888321152</v>
      </c>
      <c r="AB107" s="61">
        <f t="shared" si="240"/>
        <v>5678743.9369529039</v>
      </c>
      <c r="AC107" s="61">
        <f t="shared" si="240"/>
        <v>5786374.3819553899</v>
      </c>
      <c r="AD107" s="61">
        <f t="shared" si="240"/>
        <v>5742943.9728563577</v>
      </c>
      <c r="AE107" s="61">
        <f t="shared" si="240"/>
        <v>6187128.0241558477</v>
      </c>
      <c r="AF107" s="61">
        <f t="shared" si="240"/>
        <v>7601003.1067529982</v>
      </c>
      <c r="AG107" s="61">
        <f t="shared" si="240"/>
        <v>9348747.8160698451</v>
      </c>
      <c r="AH107" s="61">
        <f t="shared" si="240"/>
        <v>10300665.30209817</v>
      </c>
      <c r="AI107" s="61">
        <f t="shared" si="240"/>
        <v>10240375.730740733</v>
      </c>
      <c r="AJ107" s="61">
        <f t="shared" si="240"/>
        <v>9069949.6981274337</v>
      </c>
      <c r="AK107" s="61">
        <f t="shared" si="240"/>
        <v>7500869.9056250192</v>
      </c>
      <c r="AL107" s="61">
        <f t="shared" si="240"/>
        <v>6547960.4369945088</v>
      </c>
      <c r="AM107" s="61">
        <f t="shared" si="240"/>
        <v>5932916.758339989</v>
      </c>
      <c r="AN107" s="61">
        <f t="shared" si="240"/>
        <v>5684919.549460778</v>
      </c>
      <c r="AO107" s="61">
        <f t="shared" si="240"/>
        <v>5792549.994463264</v>
      </c>
      <c r="AP107" s="61">
        <f t="shared" si="240"/>
        <v>5749131.504544232</v>
      </c>
      <c r="AQ107" s="61">
        <f t="shared" si="240"/>
        <v>6193834.2472637212</v>
      </c>
      <c r="AR107" s="61">
        <f t="shared" si="240"/>
        <v>7609336.9216552721</v>
      </c>
      <c r="AS107" s="61">
        <f t="shared" si="240"/>
        <v>9358936.8143697195</v>
      </c>
      <c r="AT107" s="61">
        <f t="shared" si="240"/>
        <v>10311969.485263644</v>
      </c>
      <c r="AU107" s="61">
        <f t="shared" si="240"/>
        <v>10251900.748853009</v>
      </c>
      <c r="AV107" s="61">
        <f t="shared" si="240"/>
        <v>9079793.5001005083</v>
      </c>
      <c r="AW107" s="61">
        <f t="shared" si="240"/>
        <v>7509180.3083124934</v>
      </c>
      <c r="AX107" s="61">
        <f t="shared" si="240"/>
        <v>6554857.4590223832</v>
      </c>
      <c r="AY107" s="61">
        <f t="shared" si="240"/>
        <v>5939223.5278478637</v>
      </c>
      <c r="AZ107" s="61">
        <f t="shared" si="240"/>
        <v>5691095.1619686531</v>
      </c>
      <c r="BA107" s="61">
        <f t="shared" si="240"/>
        <v>5798725.6069711382</v>
      </c>
      <c r="BB107" s="61">
        <f t="shared" si="240"/>
        <v>5755319.0362321064</v>
      </c>
      <c r="BC107" s="61">
        <f t="shared" si="240"/>
        <v>6200540.4703715956</v>
      </c>
      <c r="BD107" s="61">
        <f t="shared" si="240"/>
        <v>7617670.8285975466</v>
      </c>
      <c r="BE107" s="61">
        <f t="shared" si="240"/>
        <v>9369125.9967495948</v>
      </c>
      <c r="BF107" s="61">
        <f t="shared" si="240"/>
        <v>10323298.409087917</v>
      </c>
      <c r="BG107" s="61">
        <f t="shared" si="240"/>
        <v>10263425.951045282</v>
      </c>
      <c r="BH107" s="61">
        <f t="shared" si="240"/>
        <v>9089612.782770982</v>
      </c>
      <c r="BI107" s="61">
        <f t="shared" si="240"/>
        <v>7517490.8030399671</v>
      </c>
      <c r="BJ107" s="61">
        <f t="shared" si="240"/>
        <v>6561754.4810502576</v>
      </c>
      <c r="BK107" s="61">
        <f t="shared" si="240"/>
        <v>5945530.2973557385</v>
      </c>
      <c r="BL107" s="61">
        <f t="shared" si="240"/>
        <v>5697270.7744765272</v>
      </c>
      <c r="BM107" s="61">
        <f t="shared" si="240"/>
        <v>5804901.2194790123</v>
      </c>
      <c r="BN107" s="61">
        <f t="shared" si="240"/>
        <v>5761506.5679199798</v>
      </c>
      <c r="BO107" s="61">
        <f t="shared" si="240"/>
        <v>6207270.4282944696</v>
      </c>
      <c r="BP107" s="61">
        <f t="shared" si="240"/>
        <v>7626004.8275798215</v>
      </c>
      <c r="BQ107" s="61">
        <f t="shared" ref="BQ107:CI107" si="241">BQ88+BQ79+BQ63+BQ55+BQ47+BQ38+BQ29+BQ20+BQ11+BQ73</f>
        <v>9379290.9127834681</v>
      </c>
      <c r="BR107" s="61">
        <f t="shared" si="241"/>
        <v>10334603.006433392</v>
      </c>
      <c r="BS107" s="61">
        <f t="shared" si="241"/>
        <v>10274951.337317556</v>
      </c>
      <c r="BT107" s="61">
        <f t="shared" si="241"/>
        <v>9099456.9068840556</v>
      </c>
      <c r="BU107" s="61">
        <f t="shared" si="241"/>
        <v>7525801.3898074413</v>
      </c>
      <c r="BV107" s="61">
        <f t="shared" si="241"/>
        <v>6568676.166730132</v>
      </c>
      <c r="BW107" s="61">
        <f t="shared" si="241"/>
        <v>5951837.0668636123</v>
      </c>
      <c r="BX107" s="61">
        <f t="shared" si="241"/>
        <v>5703446.3869844014</v>
      </c>
      <c r="BY107" s="61">
        <f t="shared" si="241"/>
        <v>5811076.8319868864</v>
      </c>
      <c r="BZ107" s="61">
        <f t="shared" si="241"/>
        <v>5767694.0996078542</v>
      </c>
      <c r="CA107" s="61">
        <f t="shared" si="241"/>
        <v>6213976.6974223442</v>
      </c>
      <c r="CB107" s="61">
        <f t="shared" si="241"/>
        <v>7634338.918602095</v>
      </c>
      <c r="CC107" s="61">
        <f t="shared" si="241"/>
        <v>9389480.4173033424</v>
      </c>
      <c r="CD107" s="61">
        <f t="shared" si="241"/>
        <v>10345907.787858868</v>
      </c>
      <c r="CE107" s="61">
        <f t="shared" si="241"/>
        <v>10286501.663822033</v>
      </c>
      <c r="CF107" s="61">
        <f t="shared" si="241"/>
        <v>9109301.2150771301</v>
      </c>
      <c r="CG107" s="61">
        <f t="shared" si="241"/>
        <v>7534112.0686149159</v>
      </c>
      <c r="CH107" s="61">
        <f t="shared" si="241"/>
        <v>6575573.2347780056</v>
      </c>
      <c r="CI107" s="61">
        <f t="shared" si="241"/>
        <v>5958143.8363714861</v>
      </c>
    </row>
    <row r="108" spans="1:87" x14ac:dyDescent="0.2">
      <c r="A108" s="2">
        <v>99</v>
      </c>
      <c r="C108" s="71" t="s">
        <v>395</v>
      </c>
      <c r="D108" s="61">
        <f t="shared" ref="D108:AI108" si="242">D61+D53+D45+D36+D27+D18</f>
        <v>1450045.6825389999</v>
      </c>
      <c r="E108" s="61">
        <f t="shared" si="242"/>
        <v>1573239.250002</v>
      </c>
      <c r="F108" s="61">
        <f t="shared" si="242"/>
        <v>1594006.603509</v>
      </c>
      <c r="G108" s="61">
        <f t="shared" si="242"/>
        <v>2569124.4365140004</v>
      </c>
      <c r="H108" s="61">
        <f t="shared" si="242"/>
        <v>5886937.8576960005</v>
      </c>
      <c r="I108" s="61">
        <f t="shared" si="242"/>
        <v>9988586.6495270021</v>
      </c>
      <c r="J108" s="61">
        <f t="shared" si="242"/>
        <v>12594803.098288001</v>
      </c>
      <c r="K108" s="61">
        <f t="shared" si="242"/>
        <v>13647831.548087999</v>
      </c>
      <c r="L108" s="61">
        <f t="shared" si="242"/>
        <v>9912060.4687439986</v>
      </c>
      <c r="M108" s="61">
        <f t="shared" si="242"/>
        <v>6311309.1451239996</v>
      </c>
      <c r="N108" s="61">
        <f t="shared" si="242"/>
        <v>3812685.6499259998</v>
      </c>
      <c r="O108" s="61">
        <f t="shared" si="242"/>
        <v>2308856.1144070001</v>
      </c>
      <c r="P108" s="61">
        <f t="shared" si="242"/>
        <v>2049741.5700189201</v>
      </c>
      <c r="Q108" s="61">
        <f t="shared" si="242"/>
        <v>1952677.6818862045</v>
      </c>
      <c r="R108" s="61">
        <f t="shared" si="242"/>
        <v>1979940.5312267975</v>
      </c>
      <c r="S108" s="61">
        <f t="shared" si="242"/>
        <v>3180898.954258359</v>
      </c>
      <c r="T108" s="61">
        <f t="shared" si="242"/>
        <v>6763241.1393490657</v>
      </c>
      <c r="U108" s="61">
        <f t="shared" si="242"/>
        <v>11476715.787500847</v>
      </c>
      <c r="V108" s="61">
        <f t="shared" si="242"/>
        <v>14470752.148914251</v>
      </c>
      <c r="W108" s="61">
        <f t="shared" si="242"/>
        <v>14491068.306251038</v>
      </c>
      <c r="X108" s="61">
        <f t="shared" si="242"/>
        <v>10524210.30989009</v>
      </c>
      <c r="Y108" s="61">
        <f t="shared" si="242"/>
        <v>6700952.852855457</v>
      </c>
      <c r="Z108" s="61">
        <f t="shared" si="242"/>
        <v>3731374.7120792209</v>
      </c>
      <c r="AA108" s="61">
        <f t="shared" si="242"/>
        <v>2186009.8161111251</v>
      </c>
      <c r="AB108" s="61">
        <f t="shared" si="242"/>
        <v>1935979.8486930118</v>
      </c>
      <c r="AC108" s="61">
        <f t="shared" si="242"/>
        <v>1873147.9046377917</v>
      </c>
      <c r="AD108" s="61">
        <f t="shared" si="242"/>
        <v>1898721.8071433725</v>
      </c>
      <c r="AE108" s="61">
        <f t="shared" si="242"/>
        <v>3055635.1216434315</v>
      </c>
      <c r="AF108" s="61">
        <f t="shared" si="242"/>
        <v>6703385.0372818261</v>
      </c>
      <c r="AG108" s="61">
        <f t="shared" si="242"/>
        <v>11375060.005554482</v>
      </c>
      <c r="AH108" s="61">
        <f t="shared" si="242"/>
        <v>14342541.727350224</v>
      </c>
      <c r="AI108" s="61">
        <f t="shared" si="242"/>
        <v>14428180.684907267</v>
      </c>
      <c r="AJ108" s="61">
        <f t="shared" ref="AJ108:BO108" si="243">AJ61+AJ53+AJ45+AJ36+AJ27+AJ18</f>
        <v>10478127.724551832</v>
      </c>
      <c r="AK108" s="61">
        <f t="shared" si="243"/>
        <v>6671573.2829845585</v>
      </c>
      <c r="AL108" s="61">
        <f t="shared" si="243"/>
        <v>3589149.8524590801</v>
      </c>
      <c r="AM108" s="61">
        <f t="shared" si="243"/>
        <v>2102238.2918917029</v>
      </c>
      <c r="AN108" s="61">
        <f t="shared" si="243"/>
        <v>1859942.1799924376</v>
      </c>
      <c r="AO108" s="61">
        <f t="shared" si="243"/>
        <v>1802789.9475938934</v>
      </c>
      <c r="AP108" s="61">
        <f t="shared" si="243"/>
        <v>1827178.2151809884</v>
      </c>
      <c r="AQ108" s="61">
        <f t="shared" si="243"/>
        <v>2943029.7209080351</v>
      </c>
      <c r="AR108" s="61">
        <f t="shared" si="243"/>
        <v>6554959.6267851545</v>
      </c>
      <c r="AS108" s="61">
        <f t="shared" si="243"/>
        <v>11123017.217566088</v>
      </c>
      <c r="AT108" s="61">
        <f t="shared" si="243"/>
        <v>14024665.089828691</v>
      </c>
      <c r="AU108" s="61">
        <f t="shared" si="243"/>
        <v>14173834.688265789</v>
      </c>
      <c r="AV108" s="61">
        <f t="shared" si="243"/>
        <v>10293118.579282088</v>
      </c>
      <c r="AW108" s="61">
        <f t="shared" si="243"/>
        <v>6553752.0965978606</v>
      </c>
      <c r="AX108" s="61">
        <f t="shared" si="243"/>
        <v>3549690.7145539345</v>
      </c>
      <c r="AY108" s="61">
        <f t="shared" si="243"/>
        <v>2078792.382825356</v>
      </c>
      <c r="AZ108" s="61">
        <f t="shared" si="243"/>
        <v>1838542.5322456453</v>
      </c>
      <c r="BA108" s="61">
        <f t="shared" si="243"/>
        <v>1795762.6470832773</v>
      </c>
      <c r="BB108" s="61">
        <f t="shared" si="243"/>
        <v>1820051.5085295155</v>
      </c>
      <c r="BC108" s="61">
        <f t="shared" si="243"/>
        <v>2932417.3121292014</v>
      </c>
      <c r="BD108" s="61">
        <f t="shared" si="243"/>
        <v>6533409.0892808009</v>
      </c>
      <c r="BE108" s="61">
        <f t="shared" si="243"/>
        <v>11086505.627136158</v>
      </c>
      <c r="BF108" s="61">
        <f t="shared" si="243"/>
        <v>13978559.514386578</v>
      </c>
      <c r="BG108" s="61">
        <f t="shared" si="243"/>
        <v>14098605.870046269</v>
      </c>
      <c r="BH108" s="61">
        <f t="shared" si="243"/>
        <v>10238138.640184212</v>
      </c>
      <c r="BI108" s="61">
        <f t="shared" si="243"/>
        <v>6518713.6437414121</v>
      </c>
      <c r="BJ108" s="61">
        <f t="shared" si="243"/>
        <v>3552296.9847721448</v>
      </c>
      <c r="BK108" s="61">
        <f t="shared" si="243"/>
        <v>2080014.5343462983</v>
      </c>
      <c r="BL108" s="61">
        <f t="shared" si="243"/>
        <v>1839480.3246477991</v>
      </c>
      <c r="BM108" s="61">
        <f t="shared" si="243"/>
        <v>1799509.1252861777</v>
      </c>
      <c r="BN108" s="61">
        <f t="shared" si="243"/>
        <v>1823883.4763039397</v>
      </c>
      <c r="BO108" s="61">
        <f t="shared" si="243"/>
        <v>2939235.6460476508</v>
      </c>
      <c r="BP108" s="61">
        <f t="shared" ref="BP108:CI108" si="244">BP61+BP53+BP45+BP36+BP27+BP18</f>
        <v>6556264.7002954502</v>
      </c>
      <c r="BQ108" s="61">
        <f t="shared" si="244"/>
        <v>11125358.087842375</v>
      </c>
      <c r="BR108" s="61">
        <f t="shared" si="244"/>
        <v>14027474.549422262</v>
      </c>
      <c r="BS108" s="61">
        <f t="shared" si="244"/>
        <v>14137328.262778934</v>
      </c>
      <c r="BT108" s="61">
        <f t="shared" si="244"/>
        <v>10265994.331363223</v>
      </c>
      <c r="BU108" s="61">
        <f t="shared" si="244"/>
        <v>6536334.9158884408</v>
      </c>
      <c r="BV108" s="61">
        <f t="shared" si="244"/>
        <v>3578444.3663480221</v>
      </c>
      <c r="BW108" s="61">
        <f t="shared" si="244"/>
        <v>2094991.7830139836</v>
      </c>
      <c r="BX108" s="61">
        <f t="shared" si="244"/>
        <v>1852869.2051789141</v>
      </c>
      <c r="BY108" s="61">
        <f t="shared" si="244"/>
        <v>1814575.8287792276</v>
      </c>
      <c r="BZ108" s="61">
        <f t="shared" si="244"/>
        <v>1839230.1761268438</v>
      </c>
      <c r="CA108" s="61">
        <f t="shared" si="244"/>
        <v>2964235.6800239617</v>
      </c>
      <c r="CB108" s="61">
        <f t="shared" si="244"/>
        <v>6738671.5791312214</v>
      </c>
      <c r="CC108" s="61">
        <f t="shared" si="244"/>
        <v>11434415.626551328</v>
      </c>
      <c r="CD108" s="61">
        <f t="shared" si="244"/>
        <v>14417142.533697903</v>
      </c>
      <c r="CE108" s="61">
        <f t="shared" si="244"/>
        <v>14527773.568572063</v>
      </c>
      <c r="CF108" s="61">
        <f t="shared" si="244"/>
        <v>10549123.713625465</v>
      </c>
      <c r="CG108" s="61">
        <f t="shared" si="244"/>
        <v>6716705.2815066092</v>
      </c>
      <c r="CH108" s="61">
        <f t="shared" si="244"/>
        <v>3680843.653345773</v>
      </c>
      <c r="CI108" s="61">
        <f t="shared" si="244"/>
        <v>2154512.4822273124</v>
      </c>
    </row>
    <row r="109" spans="1:87" x14ac:dyDescent="0.2">
      <c r="A109" s="2">
        <v>100</v>
      </c>
      <c r="B109" s="2" t="s">
        <v>227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</row>
    <row r="110" spans="1:87" x14ac:dyDescent="0.2">
      <c r="A110" s="2">
        <v>101</v>
      </c>
      <c r="B110" s="2" t="s">
        <v>229</v>
      </c>
      <c r="C110" s="2"/>
      <c r="D110" s="71">
        <f>SUM(D111:D114)</f>
        <v>360995.9230291826</v>
      </c>
      <c r="E110" s="71">
        <f t="shared" ref="E110:BL110" si="245">SUM(E111:E114)</f>
        <v>365348.88789891562</v>
      </c>
      <c r="F110" s="71">
        <f t="shared" si="245"/>
        <v>429284.87271388317</v>
      </c>
      <c r="G110" s="71">
        <f t="shared" si="245"/>
        <v>972775.47058422293</v>
      </c>
      <c r="H110" s="71">
        <f t="shared" si="245"/>
        <v>1817416.1096339959</v>
      </c>
      <c r="I110" s="71">
        <f t="shared" si="245"/>
        <v>2801637.6201253301</v>
      </c>
      <c r="J110" s="71">
        <f t="shared" si="245"/>
        <v>3127544.2723232848</v>
      </c>
      <c r="K110" s="71">
        <f t="shared" si="245"/>
        <v>2604191.2896674341</v>
      </c>
      <c r="L110" s="71">
        <f t="shared" si="245"/>
        <v>1976221.6716501126</v>
      </c>
      <c r="M110" s="71">
        <f t="shared" si="245"/>
        <v>1011286.6581760312</v>
      </c>
      <c r="N110" s="71">
        <f t="shared" si="245"/>
        <v>562786.12720545626</v>
      </c>
      <c r="O110" s="38">
        <f t="shared" si="245"/>
        <v>378086.82728820108</v>
      </c>
      <c r="P110" s="38">
        <f t="shared" si="245"/>
        <v>361294.50078427762</v>
      </c>
      <c r="Q110" s="71">
        <f t="shared" si="245"/>
        <v>365647.46365276381</v>
      </c>
      <c r="R110" s="71">
        <f t="shared" si="245"/>
        <v>429677.64670083456</v>
      </c>
      <c r="S110" s="71">
        <f t="shared" si="245"/>
        <v>973910.02681584761</v>
      </c>
      <c r="T110" s="71">
        <f t="shared" si="245"/>
        <v>1819677.200256163</v>
      </c>
      <c r="U110" s="71">
        <f t="shared" si="245"/>
        <v>2805108.1534254691</v>
      </c>
      <c r="V110" s="71">
        <f t="shared" si="245"/>
        <v>3131352.5901000341</v>
      </c>
      <c r="W110" s="71">
        <f t="shared" si="245"/>
        <v>2607348.0086610056</v>
      </c>
      <c r="X110" s="71">
        <f t="shared" si="245"/>
        <v>1978557.8757279455</v>
      </c>
      <c r="Y110" s="71">
        <f t="shared" si="245"/>
        <v>1012417.4520241295</v>
      </c>
      <c r="Z110" s="71">
        <f t="shared" si="245"/>
        <v>563316.32670742925</v>
      </c>
      <c r="AA110" s="545">
        <f t="shared" si="245"/>
        <v>378393.25070227083</v>
      </c>
      <c r="AB110" s="71">
        <f t="shared" si="245"/>
        <v>361592.8386688864</v>
      </c>
      <c r="AC110" s="71">
        <f t="shared" si="245"/>
        <v>365945.79832608468</v>
      </c>
      <c r="AD110" s="71">
        <f t="shared" si="245"/>
        <v>430070.20462820004</v>
      </c>
      <c r="AE110" s="71">
        <f t="shared" si="245"/>
        <v>975044.53535411053</v>
      </c>
      <c r="AF110" s="71">
        <f t="shared" si="245"/>
        <v>1821938.5007860286</v>
      </c>
      <c r="AG110" s="71">
        <f t="shared" si="245"/>
        <v>2808579.1823036298</v>
      </c>
      <c r="AH110" s="71">
        <f t="shared" si="245"/>
        <v>3135161.4848993984</v>
      </c>
      <c r="AI110" s="71">
        <f t="shared" si="245"/>
        <v>2610505.1533652595</v>
      </c>
      <c r="AJ110" s="71">
        <f t="shared" si="245"/>
        <v>1980894.3124820809</v>
      </c>
      <c r="AK110" s="71">
        <f t="shared" si="245"/>
        <v>1013548.1954398041</v>
      </c>
      <c r="AL110" s="71">
        <f t="shared" si="245"/>
        <v>563846.33362069004</v>
      </c>
      <c r="AM110" s="545">
        <f t="shared" si="245"/>
        <v>378699.43234611402</v>
      </c>
      <c r="AN110" s="71">
        <f t="shared" si="245"/>
        <v>361891.17724215507</v>
      </c>
      <c r="AO110" s="71">
        <f t="shared" si="245"/>
        <v>366244.13388471253</v>
      </c>
      <c r="AP110" s="71">
        <f t="shared" si="245"/>
        <v>430462.76708812773</v>
      </c>
      <c r="AQ110" s="71">
        <f t="shared" si="245"/>
        <v>976179.07869753893</v>
      </c>
      <c r="AR110" s="71">
        <f t="shared" si="245"/>
        <v>1824199.8820058678</v>
      </c>
      <c r="AS110" s="71">
        <f t="shared" si="245"/>
        <v>2812050.3411758915</v>
      </c>
      <c r="AT110" s="71">
        <f t="shared" si="245"/>
        <v>3138970.5235226923</v>
      </c>
      <c r="AU110" s="71">
        <f t="shared" si="245"/>
        <v>2613662.415265413</v>
      </c>
      <c r="AV110" s="71">
        <f t="shared" si="245"/>
        <v>1983230.8332311446</v>
      </c>
      <c r="AW110" s="71">
        <f t="shared" si="245"/>
        <v>1014678.9732410865</v>
      </c>
      <c r="AX110" s="71">
        <f t="shared" si="245"/>
        <v>564376.35080614465</v>
      </c>
      <c r="AY110" s="545">
        <f t="shared" si="245"/>
        <v>379005.61502163153</v>
      </c>
      <c r="AZ110" s="71">
        <f t="shared" si="245"/>
        <v>362189.50346844713</v>
      </c>
      <c r="BA110" s="71">
        <f t="shared" si="245"/>
        <v>366542.45650682942</v>
      </c>
      <c r="BB110" s="71">
        <f t="shared" si="245"/>
        <v>430855.31924611068</v>
      </c>
      <c r="BC110" s="71">
        <f t="shared" si="245"/>
        <v>977313.62788950815</v>
      </c>
      <c r="BD110" s="71">
        <f t="shared" si="245"/>
        <v>1826461.2939910197</v>
      </c>
      <c r="BE110" s="71">
        <f t="shared" si="245"/>
        <v>2815521.5578236035</v>
      </c>
      <c r="BF110" s="71">
        <f t="shared" si="245"/>
        <v>3142779.627414708</v>
      </c>
      <c r="BG110" s="71">
        <f t="shared" si="245"/>
        <v>2616819.7281720121</v>
      </c>
      <c r="BH110" s="71">
        <f t="shared" si="245"/>
        <v>1985567.3863374442</v>
      </c>
      <c r="BI110" s="71">
        <f t="shared" si="245"/>
        <v>1015809.7575063595</v>
      </c>
      <c r="BJ110" s="71">
        <f t="shared" si="245"/>
        <v>564906.3603574041</v>
      </c>
      <c r="BK110" s="71">
        <f t="shared" si="245"/>
        <v>379311.7854310752</v>
      </c>
      <c r="BL110" s="71">
        <f t="shared" si="245"/>
        <v>362488.08143246348</v>
      </c>
      <c r="BM110" s="71">
        <f t="shared" ref="BM110:BX110" si="246">SUM(BM111:BM114)</f>
        <v>366841.03263059253</v>
      </c>
      <c r="BN110" s="71">
        <f t="shared" si="246"/>
        <v>431248.19856152876</v>
      </c>
      <c r="BO110" s="71">
        <f t="shared" si="246"/>
        <v>978449.11897931481</v>
      </c>
      <c r="BP110" s="71">
        <f t="shared" si="246"/>
        <v>1828724.5953257757</v>
      </c>
      <c r="BQ110" s="71">
        <f t="shared" si="246"/>
        <v>2818995.7332882821</v>
      </c>
      <c r="BR110" s="71">
        <f t="shared" si="246"/>
        <v>3146591.9972766023</v>
      </c>
      <c r="BS110" s="71">
        <f t="shared" si="246"/>
        <v>2619979.7602278148</v>
      </c>
      <c r="BT110" s="71">
        <f t="shared" si="246"/>
        <v>1987905.9556390033</v>
      </c>
      <c r="BU110" s="71">
        <f t="shared" si="246"/>
        <v>1016941.5043127219</v>
      </c>
      <c r="BV110" s="71">
        <f t="shared" si="246"/>
        <v>565436.82847387413</v>
      </c>
      <c r="BW110" s="71">
        <f t="shared" si="246"/>
        <v>379618.21815866878</v>
      </c>
      <c r="BX110" s="71">
        <f t="shared" si="246"/>
        <v>362786.42560598021</v>
      </c>
      <c r="BY110" s="71">
        <f t="shared" ref="BY110:CI110" si="247">SUM(BY111:BY114)</f>
        <v>367139.37367663387</v>
      </c>
      <c r="BZ110" s="71">
        <f t="shared" si="247"/>
        <v>431640.86996950267</v>
      </c>
      <c r="CA110" s="71">
        <f t="shared" si="247"/>
        <v>979584.58787798288</v>
      </c>
      <c r="CB110" s="71">
        <f t="shared" si="247"/>
        <v>1830988.1587511532</v>
      </c>
      <c r="CC110" s="71">
        <f t="shared" si="247"/>
        <v>2822470.4863012335</v>
      </c>
      <c r="CD110" s="71">
        <f t="shared" si="247"/>
        <v>3150405.0349754137</v>
      </c>
      <c r="CE110" s="71">
        <f t="shared" si="247"/>
        <v>2623140.2932346514</v>
      </c>
      <c r="CF110" s="71">
        <f t="shared" si="247"/>
        <v>1990244.8131097485</v>
      </c>
      <c r="CG110" s="71">
        <f t="shared" si="247"/>
        <v>1018073.2266192232</v>
      </c>
      <c r="CH110" s="71">
        <f t="shared" si="247"/>
        <v>565967.11567549512</v>
      </c>
      <c r="CI110" s="71">
        <f t="shared" si="247"/>
        <v>379924.41547174368</v>
      </c>
    </row>
    <row r="111" spans="1:87" x14ac:dyDescent="0.2">
      <c r="A111" s="2">
        <v>102</v>
      </c>
      <c r="B111" s="2" t="s">
        <v>230</v>
      </c>
      <c r="C111" s="2"/>
      <c r="D111" s="71">
        <f>WNA!C34</f>
        <v>153887.74283711103</v>
      </c>
      <c r="E111" s="71">
        <f>WNA!D34</f>
        <v>154749.6106464832</v>
      </c>
      <c r="F111" s="71">
        <f>WNA!E34</f>
        <v>199993.29953382449</v>
      </c>
      <c r="G111" s="71">
        <f>WNA!F34</f>
        <v>576319.40262763808</v>
      </c>
      <c r="H111" s="71">
        <f>WNA!G34</f>
        <v>1156817.2891337133</v>
      </c>
      <c r="I111" s="71">
        <f>WNA!H34</f>
        <v>1813329.1277358539</v>
      </c>
      <c r="J111" s="71">
        <f>WNA!I34</f>
        <v>2002087.9999146017</v>
      </c>
      <c r="K111" s="71">
        <f>WNA!J34</f>
        <v>1667053.2576085881</v>
      </c>
      <c r="L111" s="71">
        <f>WNA!K34</f>
        <v>1236090.6107850997</v>
      </c>
      <c r="M111" s="71">
        <f>WNA!L34</f>
        <v>589582.19667291082</v>
      </c>
      <c r="N111" s="71">
        <f>WNA!M34</f>
        <v>280689.37185047223</v>
      </c>
      <c r="O111" s="38">
        <f>WNA!N34</f>
        <v>160393.94973904485</v>
      </c>
      <c r="P111" s="38">
        <f>WNA!O34</f>
        <v>154186.33820708914</v>
      </c>
      <c r="Q111" s="71">
        <f>WNA!P34</f>
        <v>155048.20423711967</v>
      </c>
      <c r="R111" s="71">
        <f>WNA!Q34</f>
        <v>200386.0888148493</v>
      </c>
      <c r="S111" s="71">
        <f>WNA!R34</f>
        <v>577453.95673063386</v>
      </c>
      <c r="T111" s="71">
        <f>WNA!S34</f>
        <v>1159078.35103911</v>
      </c>
      <c r="U111" s="71">
        <f>WNA!T34</f>
        <v>1816799.6033342136</v>
      </c>
      <c r="V111" s="71">
        <f>WNA!U34</f>
        <v>2005896.2513825379</v>
      </c>
      <c r="W111" s="71">
        <f>WNA!V34</f>
        <v>1670209.926132828</v>
      </c>
      <c r="X111" s="71">
        <f>WNA!W34</f>
        <v>1238426.7838692532</v>
      </c>
      <c r="Y111" s="71">
        <f>WNA!X34</f>
        <v>590712.98896387336</v>
      </c>
      <c r="Z111" s="71">
        <f>WNA!Y34</f>
        <v>281219.58414141898</v>
      </c>
      <c r="AA111" s="71">
        <f>WNA!Z34</f>
        <v>160700.3908945352</v>
      </c>
      <c r="AB111" s="71">
        <f>WNA!AA34</f>
        <v>154484.67614666146</v>
      </c>
      <c r="AC111" s="71">
        <f>WNA!AB34</f>
        <v>155346.53896804375</v>
      </c>
      <c r="AD111" s="71">
        <f>WNA!AC34</f>
        <v>200778.64587243964</v>
      </c>
      <c r="AE111" s="71">
        <f>WNA!AD34</f>
        <v>578588.45695516898</v>
      </c>
      <c r="AF111" s="71">
        <f>WNA!AE34</f>
        <v>1161339.6319522529</v>
      </c>
      <c r="AG111" s="71">
        <f>WNA!AF34</f>
        <v>1820270.6005790674</v>
      </c>
      <c r="AH111" s="71">
        <f>WNA!AG34</f>
        <v>2009705.1111531451</v>
      </c>
      <c r="AI111" s="71">
        <f>WNA!AH34</f>
        <v>1673367.0424332018</v>
      </c>
      <c r="AJ111" s="71">
        <f>WNA!AI34</f>
        <v>1240763.2001282165</v>
      </c>
      <c r="AK111" s="71">
        <f>WNA!AJ34</f>
        <v>591843.72434472258</v>
      </c>
      <c r="AL111" s="71">
        <f>WNA!AK34</f>
        <v>281749.58876041748</v>
      </c>
      <c r="AM111" s="71">
        <f>WNA!AL34</f>
        <v>161006.57251623998</v>
      </c>
      <c r="AN111" s="71">
        <f>WNA!AM34</f>
        <v>154783.01052554126</v>
      </c>
      <c r="AO111" s="71">
        <f>WNA!AN34</f>
        <v>155644.87013084162</v>
      </c>
      <c r="AP111" s="71">
        <f>WNA!AO34</f>
        <v>201171.20258407321</v>
      </c>
      <c r="AQ111" s="71">
        <f>WNA!AP34</f>
        <v>579722.98204789264</v>
      </c>
      <c r="AR111" s="71">
        <f>WNA!AQ34</f>
        <v>1163600.9760603728</v>
      </c>
      <c r="AS111" s="71">
        <f>WNA!AR34</f>
        <v>1823741.702307943</v>
      </c>
      <c r="AT111" s="71">
        <f>WNA!AS34</f>
        <v>2013514.0869660259</v>
      </c>
      <c r="AU111" s="71">
        <f>WNA!AT34</f>
        <v>1676524.2525913157</v>
      </c>
      <c r="AV111" s="71">
        <f>WNA!AU34</f>
        <v>1243099.6822719551</v>
      </c>
      <c r="AW111" s="71">
        <f>WNA!AV34</f>
        <v>592974.48448744894</v>
      </c>
      <c r="AX111" s="71">
        <f>WNA!AW34</f>
        <v>282279.59767465485</v>
      </c>
      <c r="AY111" s="71">
        <f>WNA!AX34</f>
        <v>161312.75082363249</v>
      </c>
      <c r="AZ111" s="71">
        <f>WNA!AY34</f>
        <v>155081.34511521042</v>
      </c>
      <c r="BA111" s="71">
        <f>WNA!AZ34</f>
        <v>155943.20151799789</v>
      </c>
      <c r="BB111" s="71">
        <f>WNA!BA34</f>
        <v>201563.76251839942</v>
      </c>
      <c r="BC111" s="71">
        <f>WNA!BB34</f>
        <v>580857.53427865717</v>
      </c>
      <c r="BD111" s="71">
        <f>WNA!BC34</f>
        <v>1165862.3836521674</v>
      </c>
      <c r="BE111" s="71">
        <f>WNA!BD34</f>
        <v>1827212.9066218925</v>
      </c>
      <c r="BF111" s="71">
        <f>WNA!BE34</f>
        <v>2017323.1762938274</v>
      </c>
      <c r="BG111" s="71">
        <f>WNA!BF34</f>
        <v>1679681.5552633626</v>
      </c>
      <c r="BH111" s="71">
        <f>WNA!BG34</f>
        <v>1245436.2304612156</v>
      </c>
      <c r="BI111" s="71">
        <f>WNA!BH34</f>
        <v>594105.27172864822</v>
      </c>
      <c r="BJ111" s="71">
        <f>WNA!BI34</f>
        <v>282809.61434909923</v>
      </c>
      <c r="BK111" s="71">
        <f>WNA!BJ34</f>
        <v>161618.92963333571</v>
      </c>
      <c r="BL111" s="71">
        <f>WNA!BK34</f>
        <v>155379.92307922678</v>
      </c>
      <c r="BM111" s="71">
        <f>WNA!BL34</f>
        <v>156241.77764176103</v>
      </c>
      <c r="BN111" s="71">
        <f>WNA!BM34</f>
        <v>201956.64183381756</v>
      </c>
      <c r="BO111" s="71">
        <f>WNA!BN34</f>
        <v>581993.02536846383</v>
      </c>
      <c r="BP111" s="71">
        <f>WNA!BO34</f>
        <v>1168125.6849869231</v>
      </c>
      <c r="BQ111" s="71">
        <f>WNA!BP34</f>
        <v>1830687.082086571</v>
      </c>
      <c r="BR111" s="71">
        <f>WNA!BQ34</f>
        <v>2021135.5461557219</v>
      </c>
      <c r="BS111" s="71">
        <f>WNA!BR34</f>
        <v>1682841.587319165</v>
      </c>
      <c r="BT111" s="71">
        <f>WNA!BS34</f>
        <v>1247774.7997627747</v>
      </c>
      <c r="BU111" s="71">
        <f>WNA!BT34</f>
        <v>595237.01853501075</v>
      </c>
      <c r="BV111" s="71">
        <f>WNA!BU34</f>
        <v>283340.08246556926</v>
      </c>
      <c r="BW111" s="71">
        <f>WNA!BV34</f>
        <v>161925.36236092926</v>
      </c>
      <c r="BX111" s="71">
        <f>WNA!BW34</f>
        <v>155678.26725274359</v>
      </c>
      <c r="BY111" s="71">
        <f>WNA!BX34</f>
        <v>156540.11868780231</v>
      </c>
      <c r="BZ111" s="71">
        <f>WNA!BY34</f>
        <v>202349.31324179145</v>
      </c>
      <c r="CA111" s="71">
        <f>WNA!BZ34</f>
        <v>583128.4942671319</v>
      </c>
      <c r="CB111" s="71">
        <f>WNA!CA34</f>
        <v>1170389.2484123006</v>
      </c>
      <c r="CC111" s="71">
        <f>WNA!CB34</f>
        <v>1834161.8350995227</v>
      </c>
      <c r="CD111" s="71">
        <f>WNA!CC34</f>
        <v>2024948.583854533</v>
      </c>
      <c r="CE111" s="71">
        <f>WNA!CD34</f>
        <v>1686002.1203260017</v>
      </c>
      <c r="CF111" s="71">
        <f>WNA!CE34</f>
        <v>1250113.6572335199</v>
      </c>
      <c r="CG111" s="71">
        <f>WNA!CF34</f>
        <v>596368.7408415121</v>
      </c>
      <c r="CH111" s="71">
        <f>WNA!CG34</f>
        <v>283870.36966719019</v>
      </c>
      <c r="CI111" s="71">
        <f>WNA!CH34</f>
        <v>162231.55967400415</v>
      </c>
    </row>
    <row r="112" spans="1:87" x14ac:dyDescent="0.2">
      <c r="A112" s="2">
        <v>103</v>
      </c>
      <c r="B112" s="2" t="s">
        <v>231</v>
      </c>
      <c r="C112" s="2"/>
      <c r="D112" s="71">
        <f>WNA!C61</f>
        <v>158676.79952852274</v>
      </c>
      <c r="E112" s="71">
        <f>WNA!D61</f>
        <v>159841.89585964731</v>
      </c>
      <c r="F112" s="71">
        <f>WNA!E61</f>
        <v>174284.04942276803</v>
      </c>
      <c r="G112" s="71">
        <f>WNA!F61</f>
        <v>306630.18625228037</v>
      </c>
      <c r="H112" s="71">
        <f>WNA!G61</f>
        <v>521878.96609130217</v>
      </c>
      <c r="I112" s="71">
        <f>WNA!H61</f>
        <v>759103.38283188583</v>
      </c>
      <c r="J112" s="71">
        <f>WNA!I61</f>
        <v>838404.48887045926</v>
      </c>
      <c r="K112" s="71">
        <f>WNA!J61</f>
        <v>714301.00530551211</v>
      </c>
      <c r="L112" s="71">
        <f>WNA!K61</f>
        <v>558600.07352499792</v>
      </c>
      <c r="M112" s="71">
        <f>WNA!L61</f>
        <v>320329.41750223847</v>
      </c>
      <c r="N112" s="71">
        <f>WNA!M61</f>
        <v>210286.51213576834</v>
      </c>
      <c r="O112" s="38">
        <f>WNA!N61</f>
        <v>163117.80109302612</v>
      </c>
      <c r="P112" s="38">
        <f>WNA!O61</f>
        <v>158676.78418890951</v>
      </c>
      <c r="Q112" s="71">
        <f>WNA!P61</f>
        <v>159841.88040740183</v>
      </c>
      <c r="R112" s="71">
        <f>WNA!Q61</f>
        <v>174284.03531146719</v>
      </c>
      <c r="S112" s="71">
        <f>WNA!R61</f>
        <v>306630.18076610996</v>
      </c>
      <c r="T112" s="71">
        <f>WNA!S61</f>
        <v>521878.97377160256</v>
      </c>
      <c r="U112" s="71">
        <f>WNA!T61</f>
        <v>759103.40521781764</v>
      </c>
      <c r="V112" s="71">
        <f>WNA!U61</f>
        <v>838404.51583209785</v>
      </c>
      <c r="W112" s="71">
        <f>WNA!V61</f>
        <v>714301.02428731835</v>
      </c>
      <c r="X112" s="71">
        <f>WNA!W61</f>
        <v>558600.08245341154</v>
      </c>
      <c r="Y112" s="71">
        <f>WNA!X61</f>
        <v>320329.41171040043</v>
      </c>
      <c r="Z112" s="71">
        <f>WNA!Y61</f>
        <v>210286.49891330732</v>
      </c>
      <c r="AA112" s="71">
        <f>WNA!Z61</f>
        <v>163117.78555856447</v>
      </c>
      <c r="AB112" s="71">
        <f>WNA!AA61</f>
        <v>158676.78418890951</v>
      </c>
      <c r="AC112" s="71">
        <f>WNA!AB61</f>
        <v>159841.88040740183</v>
      </c>
      <c r="AD112" s="71">
        <f>WNA!AC61</f>
        <v>174284.03531146719</v>
      </c>
      <c r="AE112" s="71">
        <f>WNA!AD61</f>
        <v>306630.18076610996</v>
      </c>
      <c r="AF112" s="71">
        <f>WNA!AE61</f>
        <v>521878.97377160256</v>
      </c>
      <c r="AG112" s="71">
        <f>WNA!AF61</f>
        <v>759103.40521781764</v>
      </c>
      <c r="AH112" s="71">
        <f>WNA!AG61</f>
        <v>838404.51583209785</v>
      </c>
      <c r="AI112" s="71">
        <f>WNA!AH61</f>
        <v>714301.02428731835</v>
      </c>
      <c r="AJ112" s="71">
        <f>WNA!AI61</f>
        <v>558600.08245341154</v>
      </c>
      <c r="AK112" s="71">
        <f>WNA!AJ61</f>
        <v>320329.41171040043</v>
      </c>
      <c r="AL112" s="71">
        <f>WNA!AK61</f>
        <v>210286.49891330732</v>
      </c>
      <c r="AM112" s="71">
        <f>WNA!AL61</f>
        <v>163117.78555856447</v>
      </c>
      <c r="AN112" s="71">
        <f>WNA!AM61</f>
        <v>158676.78418890951</v>
      </c>
      <c r="AO112" s="71">
        <f>WNA!AN61</f>
        <v>159841.88040740183</v>
      </c>
      <c r="AP112" s="71">
        <f>WNA!AO61</f>
        <v>174284.03531146719</v>
      </c>
      <c r="AQ112" s="71">
        <f>WNA!AP61</f>
        <v>306630.18076610996</v>
      </c>
      <c r="AR112" s="71">
        <f>WNA!AQ61</f>
        <v>521878.97377160256</v>
      </c>
      <c r="AS112" s="71">
        <f>WNA!AR61</f>
        <v>759103.40521781764</v>
      </c>
      <c r="AT112" s="71">
        <f>WNA!AS61</f>
        <v>838404.51583209785</v>
      </c>
      <c r="AU112" s="71">
        <f>WNA!AT61</f>
        <v>714301.02428731835</v>
      </c>
      <c r="AV112" s="71">
        <f>WNA!AU61</f>
        <v>558600.08245341154</v>
      </c>
      <c r="AW112" s="71">
        <f>WNA!AV61</f>
        <v>320329.41171040043</v>
      </c>
      <c r="AX112" s="71">
        <f>WNA!AW61</f>
        <v>210286.49891330732</v>
      </c>
      <c r="AY112" s="71">
        <f>WNA!AX61</f>
        <v>163117.78555856447</v>
      </c>
      <c r="AZ112" s="71">
        <f>WNA!AY61</f>
        <v>158676.78418890951</v>
      </c>
      <c r="BA112" s="71">
        <f>WNA!AZ61</f>
        <v>159841.88040740183</v>
      </c>
      <c r="BB112" s="71">
        <f>WNA!BA61</f>
        <v>174284.03531146719</v>
      </c>
      <c r="BC112" s="71">
        <f>WNA!BB61</f>
        <v>306630.18076610996</v>
      </c>
      <c r="BD112" s="71">
        <f>WNA!BC61</f>
        <v>521878.97377160256</v>
      </c>
      <c r="BE112" s="71">
        <f>WNA!BD61</f>
        <v>759103.40521781764</v>
      </c>
      <c r="BF112" s="71">
        <f>WNA!BE61</f>
        <v>838404.51583209785</v>
      </c>
      <c r="BG112" s="71">
        <f>WNA!BF61</f>
        <v>714301.02428731835</v>
      </c>
      <c r="BH112" s="71">
        <f>WNA!BG61</f>
        <v>558600.08245341154</v>
      </c>
      <c r="BI112" s="71">
        <f>WNA!BH61</f>
        <v>320329.41171040043</v>
      </c>
      <c r="BJ112" s="71">
        <f>WNA!BI61</f>
        <v>210286.49891330732</v>
      </c>
      <c r="BK112" s="71">
        <f>WNA!BJ61</f>
        <v>163117.78555856447</v>
      </c>
      <c r="BL112" s="71">
        <f>WNA!BK61</f>
        <v>158676.78418890951</v>
      </c>
      <c r="BM112" s="71">
        <f>WNA!BL61</f>
        <v>159841.88040740183</v>
      </c>
      <c r="BN112" s="71">
        <f>WNA!BM61</f>
        <v>174284.03531146719</v>
      </c>
      <c r="BO112" s="71">
        <f>WNA!BN61</f>
        <v>306630.18076610996</v>
      </c>
      <c r="BP112" s="71">
        <f>WNA!BO61</f>
        <v>521878.97377160256</v>
      </c>
      <c r="BQ112" s="71">
        <f>WNA!BP61</f>
        <v>759103.40521781764</v>
      </c>
      <c r="BR112" s="71">
        <f>WNA!BQ61</f>
        <v>838404.51583209785</v>
      </c>
      <c r="BS112" s="71">
        <f>WNA!BR61</f>
        <v>714301.02428731835</v>
      </c>
      <c r="BT112" s="71">
        <f>WNA!BS61</f>
        <v>558600.08245341154</v>
      </c>
      <c r="BU112" s="71">
        <f>WNA!BT61</f>
        <v>320329.41171040043</v>
      </c>
      <c r="BV112" s="71">
        <f>WNA!BU61</f>
        <v>210286.49891330732</v>
      </c>
      <c r="BW112" s="71">
        <f>WNA!BV61</f>
        <v>163117.78555856447</v>
      </c>
      <c r="BX112" s="71">
        <f>WNA!BW61</f>
        <v>158676.78418890951</v>
      </c>
      <c r="BY112" s="71">
        <f>WNA!BX61</f>
        <v>159841.88040740183</v>
      </c>
      <c r="BZ112" s="71">
        <f>WNA!BY61</f>
        <v>174284.03531146719</v>
      </c>
      <c r="CA112" s="71">
        <f>WNA!BZ61</f>
        <v>306630.18076610996</v>
      </c>
      <c r="CB112" s="71">
        <f>WNA!CA61</f>
        <v>521878.97377160256</v>
      </c>
      <c r="CC112" s="71">
        <f>WNA!CB61</f>
        <v>759103.40521781764</v>
      </c>
      <c r="CD112" s="71">
        <f>WNA!CC61</f>
        <v>838404.51583209785</v>
      </c>
      <c r="CE112" s="71">
        <f>WNA!CD61</f>
        <v>714301.02428731835</v>
      </c>
      <c r="CF112" s="71">
        <f>WNA!CE61</f>
        <v>558600.08245341154</v>
      </c>
      <c r="CG112" s="71">
        <f>WNA!CF61</f>
        <v>320329.41171040043</v>
      </c>
      <c r="CH112" s="71">
        <f>WNA!CG61</f>
        <v>210286.49891330732</v>
      </c>
      <c r="CI112" s="71">
        <f>WNA!CH61</f>
        <v>163117.78555856447</v>
      </c>
    </row>
    <row r="113" spans="1:87" x14ac:dyDescent="0.2">
      <c r="A113" s="2">
        <v>104</v>
      </c>
      <c r="B113" s="2" t="s">
        <v>232</v>
      </c>
      <c r="C113" s="2"/>
      <c r="D113" s="71">
        <f t="shared" ref="D113:AI113" si="248">D34</f>
        <v>22479.759999999998</v>
      </c>
      <c r="E113" s="71">
        <f t="shared" si="248"/>
        <v>23559.4</v>
      </c>
      <c r="F113" s="71">
        <f t="shared" si="248"/>
        <v>25140.69</v>
      </c>
      <c r="G113" s="71">
        <f t="shared" si="248"/>
        <v>28480.28</v>
      </c>
      <c r="H113" s="71">
        <f t="shared" si="248"/>
        <v>30326.619999999995</v>
      </c>
      <c r="I113" s="71">
        <f t="shared" si="248"/>
        <v>70916.739999999991</v>
      </c>
      <c r="J113" s="71">
        <f t="shared" si="248"/>
        <v>114623.30000000002</v>
      </c>
      <c r="K113" s="71">
        <f t="shared" si="248"/>
        <v>78067.109999999986</v>
      </c>
      <c r="L113" s="71">
        <f t="shared" si="248"/>
        <v>69311.73</v>
      </c>
      <c r="M113" s="71">
        <f t="shared" si="248"/>
        <v>41964.569999999992</v>
      </c>
      <c r="N113" s="71">
        <f t="shared" si="248"/>
        <v>35122.82</v>
      </c>
      <c r="O113" s="38">
        <f t="shared" si="248"/>
        <v>28027.18</v>
      </c>
      <c r="P113" s="38">
        <f t="shared" si="248"/>
        <v>22479.759999999998</v>
      </c>
      <c r="Q113" s="71">
        <f t="shared" si="248"/>
        <v>23559.4</v>
      </c>
      <c r="R113" s="71">
        <f t="shared" si="248"/>
        <v>25140.69</v>
      </c>
      <c r="S113" s="71">
        <f t="shared" si="248"/>
        <v>28480.28</v>
      </c>
      <c r="T113" s="71">
        <f t="shared" si="248"/>
        <v>30326.619999999995</v>
      </c>
      <c r="U113" s="71">
        <f t="shared" si="248"/>
        <v>70916.739999999991</v>
      </c>
      <c r="V113" s="71">
        <f t="shared" si="248"/>
        <v>114623.30000000002</v>
      </c>
      <c r="W113" s="71">
        <f t="shared" si="248"/>
        <v>78067.109999999986</v>
      </c>
      <c r="X113" s="71">
        <f t="shared" si="248"/>
        <v>69311.73</v>
      </c>
      <c r="Y113" s="71">
        <f t="shared" si="248"/>
        <v>41964.569999999992</v>
      </c>
      <c r="Z113" s="71">
        <f t="shared" si="248"/>
        <v>35122.82</v>
      </c>
      <c r="AA113" s="71">
        <f t="shared" si="248"/>
        <v>28027.18</v>
      </c>
      <c r="AB113" s="71">
        <f t="shared" si="248"/>
        <v>22479.759999999998</v>
      </c>
      <c r="AC113" s="71">
        <f t="shared" si="248"/>
        <v>23559.4</v>
      </c>
      <c r="AD113" s="71">
        <f t="shared" si="248"/>
        <v>25140.69</v>
      </c>
      <c r="AE113" s="71">
        <f t="shared" si="248"/>
        <v>28480.28</v>
      </c>
      <c r="AF113" s="71">
        <f t="shared" si="248"/>
        <v>30326.619999999995</v>
      </c>
      <c r="AG113" s="71">
        <f t="shared" si="248"/>
        <v>70916.739999999991</v>
      </c>
      <c r="AH113" s="71">
        <f t="shared" si="248"/>
        <v>114623.30000000002</v>
      </c>
      <c r="AI113" s="71">
        <f t="shared" si="248"/>
        <v>78067.109999999986</v>
      </c>
      <c r="AJ113" s="71">
        <f t="shared" ref="AJ113:BO113" si="249">AJ34</f>
        <v>69311.73</v>
      </c>
      <c r="AK113" s="71">
        <f t="shared" si="249"/>
        <v>41964.569999999992</v>
      </c>
      <c r="AL113" s="71">
        <f t="shared" si="249"/>
        <v>35122.82</v>
      </c>
      <c r="AM113" s="71">
        <f t="shared" si="249"/>
        <v>28027.18</v>
      </c>
      <c r="AN113" s="71">
        <f t="shared" si="249"/>
        <v>22479.759999999998</v>
      </c>
      <c r="AO113" s="71">
        <f t="shared" si="249"/>
        <v>23559.4</v>
      </c>
      <c r="AP113" s="71">
        <f t="shared" si="249"/>
        <v>25140.69</v>
      </c>
      <c r="AQ113" s="71">
        <f t="shared" si="249"/>
        <v>28480.28</v>
      </c>
      <c r="AR113" s="71">
        <f t="shared" si="249"/>
        <v>30326.619999999995</v>
      </c>
      <c r="AS113" s="71">
        <f t="shared" si="249"/>
        <v>70916.739999999991</v>
      </c>
      <c r="AT113" s="71">
        <f t="shared" si="249"/>
        <v>114623.30000000002</v>
      </c>
      <c r="AU113" s="71">
        <f t="shared" si="249"/>
        <v>78067.109999999986</v>
      </c>
      <c r="AV113" s="71">
        <f t="shared" si="249"/>
        <v>69311.73</v>
      </c>
      <c r="AW113" s="71">
        <f t="shared" si="249"/>
        <v>41964.569999999992</v>
      </c>
      <c r="AX113" s="71">
        <f t="shared" si="249"/>
        <v>35122.82</v>
      </c>
      <c r="AY113" s="71">
        <f t="shared" si="249"/>
        <v>28027.18</v>
      </c>
      <c r="AZ113" s="71">
        <f t="shared" si="249"/>
        <v>22479.759999999998</v>
      </c>
      <c r="BA113" s="71">
        <f t="shared" si="249"/>
        <v>23559.4</v>
      </c>
      <c r="BB113" s="71">
        <f t="shared" si="249"/>
        <v>25140.69</v>
      </c>
      <c r="BC113" s="71">
        <f t="shared" si="249"/>
        <v>28480.28</v>
      </c>
      <c r="BD113" s="71">
        <f t="shared" si="249"/>
        <v>30326.619999999995</v>
      </c>
      <c r="BE113" s="71">
        <f t="shared" si="249"/>
        <v>70916.739999999991</v>
      </c>
      <c r="BF113" s="71">
        <f t="shared" si="249"/>
        <v>114623.30000000002</v>
      </c>
      <c r="BG113" s="71">
        <f t="shared" si="249"/>
        <v>78067.109999999986</v>
      </c>
      <c r="BH113" s="71">
        <f t="shared" si="249"/>
        <v>69311.73</v>
      </c>
      <c r="BI113" s="71">
        <f t="shared" si="249"/>
        <v>41964.569999999992</v>
      </c>
      <c r="BJ113" s="71">
        <f t="shared" si="249"/>
        <v>35122.82</v>
      </c>
      <c r="BK113" s="71">
        <f t="shared" si="249"/>
        <v>28027.18</v>
      </c>
      <c r="BL113" s="71">
        <f t="shared" si="249"/>
        <v>22479.759999999998</v>
      </c>
      <c r="BM113" s="71">
        <f t="shared" si="249"/>
        <v>23559.4</v>
      </c>
      <c r="BN113" s="71">
        <f t="shared" si="249"/>
        <v>25140.69</v>
      </c>
      <c r="BO113" s="71">
        <f t="shared" si="249"/>
        <v>28480.28</v>
      </c>
      <c r="BP113" s="71">
        <f t="shared" ref="BP113:CI113" si="250">BP34</f>
        <v>30326.619999999995</v>
      </c>
      <c r="BQ113" s="71">
        <f t="shared" si="250"/>
        <v>70916.739999999991</v>
      </c>
      <c r="BR113" s="71">
        <f t="shared" si="250"/>
        <v>114623.30000000002</v>
      </c>
      <c r="BS113" s="71">
        <f t="shared" si="250"/>
        <v>78067.109999999986</v>
      </c>
      <c r="BT113" s="71">
        <f t="shared" si="250"/>
        <v>69311.73</v>
      </c>
      <c r="BU113" s="71">
        <f t="shared" si="250"/>
        <v>41964.569999999992</v>
      </c>
      <c r="BV113" s="71">
        <f t="shared" si="250"/>
        <v>35122.82</v>
      </c>
      <c r="BW113" s="71">
        <f t="shared" si="250"/>
        <v>28027.18</v>
      </c>
      <c r="BX113" s="71">
        <f t="shared" si="250"/>
        <v>22479.759999999998</v>
      </c>
      <c r="BY113" s="71">
        <f t="shared" si="250"/>
        <v>23559.4</v>
      </c>
      <c r="BZ113" s="71">
        <f t="shared" si="250"/>
        <v>25140.69</v>
      </c>
      <c r="CA113" s="71">
        <f t="shared" si="250"/>
        <v>28480.28</v>
      </c>
      <c r="CB113" s="71">
        <f t="shared" si="250"/>
        <v>30326.619999999995</v>
      </c>
      <c r="CC113" s="71">
        <f t="shared" si="250"/>
        <v>70916.739999999991</v>
      </c>
      <c r="CD113" s="71">
        <f t="shared" si="250"/>
        <v>114623.30000000002</v>
      </c>
      <c r="CE113" s="71">
        <f t="shared" si="250"/>
        <v>78067.109999999986</v>
      </c>
      <c r="CF113" s="71">
        <f t="shared" si="250"/>
        <v>69311.73</v>
      </c>
      <c r="CG113" s="71">
        <f t="shared" si="250"/>
        <v>41964.569999999992</v>
      </c>
      <c r="CH113" s="71">
        <f t="shared" si="250"/>
        <v>35122.82</v>
      </c>
      <c r="CI113" s="71">
        <f t="shared" si="250"/>
        <v>28027.18</v>
      </c>
    </row>
    <row r="114" spans="1:87" x14ac:dyDescent="0.2">
      <c r="A114" s="2">
        <v>105</v>
      </c>
      <c r="B114" s="2" t="s">
        <v>233</v>
      </c>
      <c r="C114" s="2"/>
      <c r="D114" s="71">
        <f>WNA!C88</f>
        <v>25951.620663548842</v>
      </c>
      <c r="E114" s="71">
        <f>WNA!D88</f>
        <v>27197.98139278507</v>
      </c>
      <c r="F114" s="71">
        <f>WNA!E88</f>
        <v>29866.833757290675</v>
      </c>
      <c r="G114" s="71">
        <f>WNA!F88</f>
        <v>61345.601704304463</v>
      </c>
      <c r="H114" s="71">
        <f>WNA!G88</f>
        <v>108393.23440898038</v>
      </c>
      <c r="I114" s="71">
        <f>WNA!H88</f>
        <v>158288.36955759005</v>
      </c>
      <c r="J114" s="71">
        <f>WNA!I88</f>
        <v>172428.48353822407</v>
      </c>
      <c r="K114" s="71">
        <f>WNA!J88</f>
        <v>144769.91675333408</v>
      </c>
      <c r="L114" s="71">
        <f>WNA!K88</f>
        <v>112219.2573400149</v>
      </c>
      <c r="M114" s="71">
        <f>WNA!L88</f>
        <v>59410.47400088195</v>
      </c>
      <c r="N114" s="71">
        <f>WNA!M88</f>
        <v>36687.423219215656</v>
      </c>
      <c r="O114" s="38">
        <f>WNA!N88</f>
        <v>26547.896456130111</v>
      </c>
      <c r="P114" s="38">
        <f>WNA!O88</f>
        <v>25951.618388278908</v>
      </c>
      <c r="Q114" s="71">
        <f>WNA!P88</f>
        <v>27197.979008242302</v>
      </c>
      <c r="R114" s="71">
        <f>WNA!Q88</f>
        <v>29866.832574518023</v>
      </c>
      <c r="S114" s="71">
        <f>WNA!R88</f>
        <v>61345.609319103765</v>
      </c>
      <c r="T114" s="71">
        <f>WNA!S88</f>
        <v>108393.25544545033</v>
      </c>
      <c r="U114" s="71">
        <f>WNA!T88</f>
        <v>158288.40487343815</v>
      </c>
      <c r="V114" s="71">
        <f>WNA!U88</f>
        <v>172428.52288539856</v>
      </c>
      <c r="W114" s="71">
        <f>WNA!V88</f>
        <v>144769.94824085943</v>
      </c>
      <c r="X114" s="71">
        <f>WNA!W88</f>
        <v>112219.27940528082</v>
      </c>
      <c r="Y114" s="71">
        <f>WNA!X88</f>
        <v>59410.481349855778</v>
      </c>
      <c r="Z114" s="71">
        <f>WNA!Y88</f>
        <v>36687.42365270295</v>
      </c>
      <c r="AA114" s="71">
        <f>WNA!Z88</f>
        <v>26547.894249171157</v>
      </c>
      <c r="AB114" s="71">
        <f>WNA!AA88</f>
        <v>25951.618333315408</v>
      </c>
      <c r="AC114" s="71">
        <f>WNA!AB88</f>
        <v>27197.978950639106</v>
      </c>
      <c r="AD114" s="71">
        <f>WNA!AC88</f>
        <v>29866.833444293181</v>
      </c>
      <c r="AE114" s="71">
        <f>WNA!AD88</f>
        <v>61345.617632831571</v>
      </c>
      <c r="AF114" s="71">
        <f>WNA!AE88</f>
        <v>108393.27506217298</v>
      </c>
      <c r="AG114" s="71">
        <f>WNA!AF88</f>
        <v>158288.43650674427</v>
      </c>
      <c r="AH114" s="71">
        <f>WNA!AG88</f>
        <v>172428.55791415536</v>
      </c>
      <c r="AI114" s="71">
        <f>WNA!AH88</f>
        <v>144769.9766447396</v>
      </c>
      <c r="AJ114" s="71">
        <f>WNA!AI88</f>
        <v>112219.29990045294</v>
      </c>
      <c r="AK114" s="71">
        <f>WNA!AJ88</f>
        <v>59410.489384681074</v>
      </c>
      <c r="AL114" s="71">
        <f>WNA!AK88</f>
        <v>36687.425946965253</v>
      </c>
      <c r="AM114" s="71">
        <f>WNA!AL88</f>
        <v>26547.894271309582</v>
      </c>
      <c r="AN114" s="71">
        <f>WNA!AM88</f>
        <v>25951.622527704312</v>
      </c>
      <c r="AO114" s="71">
        <f>WNA!AN88</f>
        <v>27197.983346469056</v>
      </c>
      <c r="AP114" s="71">
        <f>WNA!AO88</f>
        <v>29866.839192587304</v>
      </c>
      <c r="AQ114" s="71">
        <f>WNA!AP88</f>
        <v>61345.635883536292</v>
      </c>
      <c r="AR114" s="71">
        <f>WNA!AQ88</f>
        <v>108393.31217389258</v>
      </c>
      <c r="AS114" s="71">
        <f>WNA!AR88</f>
        <v>158288.49365013099</v>
      </c>
      <c r="AT114" s="71">
        <f>WNA!AS88</f>
        <v>172428.62072456852</v>
      </c>
      <c r="AU114" s="71">
        <f>WNA!AT88</f>
        <v>144770.02838677928</v>
      </c>
      <c r="AV114" s="71">
        <f>WNA!AU88</f>
        <v>112219.33850577804</v>
      </c>
      <c r="AW114" s="71">
        <f>WNA!AV88</f>
        <v>59410.50704323707</v>
      </c>
      <c r="AX114" s="71">
        <f>WNA!AW88</f>
        <v>36687.434218182447</v>
      </c>
      <c r="AY114" s="71">
        <f>WNA!AX88</f>
        <v>26547.898639434607</v>
      </c>
      <c r="AZ114" s="71">
        <f>WNA!AY88</f>
        <v>25951.614164327126</v>
      </c>
      <c r="BA114" s="71">
        <f>WNA!AZ88</f>
        <v>27197.97458142968</v>
      </c>
      <c r="BB114" s="71">
        <f>WNA!BA88</f>
        <v>29866.831416244026</v>
      </c>
      <c r="BC114" s="71">
        <f>WNA!BB88</f>
        <v>61345.632844741005</v>
      </c>
      <c r="BD114" s="71">
        <f>WNA!BC88</f>
        <v>108393.3165672499</v>
      </c>
      <c r="BE114" s="71">
        <f>WNA!BD88</f>
        <v>158288.50598389332</v>
      </c>
      <c r="BF114" s="71">
        <f>WNA!BE88</f>
        <v>172428.635288783</v>
      </c>
      <c r="BG114" s="71">
        <f>WNA!BF88</f>
        <v>144770.03862133177</v>
      </c>
      <c r="BH114" s="71">
        <f>WNA!BG88</f>
        <v>112219.34342281699</v>
      </c>
      <c r="BI114" s="71">
        <f>WNA!BH88</f>
        <v>59410.504067310794</v>
      </c>
      <c r="BJ114" s="71">
        <f>WNA!BI88</f>
        <v>36687.427094997634</v>
      </c>
      <c r="BK114" s="71">
        <f>WNA!BJ88</f>
        <v>26547.890239175074</v>
      </c>
      <c r="BL114" s="71">
        <f>WNA!BK88</f>
        <v>25951.614164327126</v>
      </c>
      <c r="BM114" s="71">
        <f>WNA!BL88</f>
        <v>27197.97458142968</v>
      </c>
      <c r="BN114" s="71">
        <f>WNA!BM88</f>
        <v>29866.831416244026</v>
      </c>
      <c r="BO114" s="71">
        <f>WNA!BN88</f>
        <v>61345.632844741005</v>
      </c>
      <c r="BP114" s="71">
        <f>WNA!BO88</f>
        <v>108393.3165672499</v>
      </c>
      <c r="BQ114" s="71">
        <f>WNA!BP88</f>
        <v>158288.50598389332</v>
      </c>
      <c r="BR114" s="71">
        <f>WNA!BQ88</f>
        <v>172428.635288783</v>
      </c>
      <c r="BS114" s="71">
        <f>WNA!BR88</f>
        <v>144770.03862133177</v>
      </c>
      <c r="BT114" s="71">
        <f>WNA!BS88</f>
        <v>112219.34342281699</v>
      </c>
      <c r="BU114" s="71">
        <f>WNA!BT88</f>
        <v>59410.504067310794</v>
      </c>
      <c r="BV114" s="71">
        <f>WNA!BU88</f>
        <v>36687.427094997634</v>
      </c>
      <c r="BW114" s="71">
        <f>WNA!BV88</f>
        <v>26547.890239175074</v>
      </c>
      <c r="BX114" s="71">
        <f>WNA!BW88</f>
        <v>25951.614164327126</v>
      </c>
      <c r="BY114" s="71">
        <f>WNA!BX88</f>
        <v>27197.97458142968</v>
      </c>
      <c r="BZ114" s="71">
        <f>WNA!BY88</f>
        <v>29866.831416244026</v>
      </c>
      <c r="CA114" s="71">
        <f>WNA!BZ88</f>
        <v>61345.632844741005</v>
      </c>
      <c r="CB114" s="71">
        <f>WNA!CA88</f>
        <v>108393.3165672499</v>
      </c>
      <c r="CC114" s="71">
        <f>WNA!CB88</f>
        <v>158288.50598389332</v>
      </c>
      <c r="CD114" s="71">
        <f>WNA!CC88</f>
        <v>172428.635288783</v>
      </c>
      <c r="CE114" s="71">
        <f>WNA!CD88</f>
        <v>144770.03862133177</v>
      </c>
      <c r="CF114" s="71">
        <f>WNA!CE88</f>
        <v>112219.34342281699</v>
      </c>
      <c r="CG114" s="71">
        <f>WNA!CF88</f>
        <v>59410.504067310794</v>
      </c>
      <c r="CH114" s="71">
        <f>WNA!CG88</f>
        <v>36687.427094997634</v>
      </c>
      <c r="CI114" s="71">
        <f>WNA!CH88</f>
        <v>26547.890239175074</v>
      </c>
    </row>
    <row r="115" spans="1:87" x14ac:dyDescent="0.2">
      <c r="A115" s="2">
        <v>106</v>
      </c>
      <c r="B115" s="2" t="s">
        <v>228</v>
      </c>
      <c r="C115" s="2"/>
      <c r="D115" s="71">
        <f t="shared" ref="D115:AI115" si="251">D51+D59</f>
        <v>49105.030000000006</v>
      </c>
      <c r="E115" s="71">
        <f t="shared" si="251"/>
        <v>27879.34</v>
      </c>
      <c r="F115" s="71">
        <f t="shared" si="251"/>
        <v>33473.670000000006</v>
      </c>
      <c r="G115" s="71">
        <f t="shared" si="251"/>
        <v>14666.34</v>
      </c>
      <c r="H115" s="71">
        <f t="shared" si="251"/>
        <v>26534.969999999998</v>
      </c>
      <c r="I115" s="71">
        <f t="shared" si="251"/>
        <v>54829.590000000004</v>
      </c>
      <c r="J115" s="71">
        <f t="shared" si="251"/>
        <v>66585.36</v>
      </c>
      <c r="K115" s="71">
        <f t="shared" si="251"/>
        <v>46679.46</v>
      </c>
      <c r="L115" s="71">
        <f t="shared" si="251"/>
        <v>35066.94</v>
      </c>
      <c r="M115" s="71">
        <f t="shared" si="251"/>
        <v>18780.86</v>
      </c>
      <c r="N115" s="71">
        <f t="shared" si="251"/>
        <v>24881.560000000005</v>
      </c>
      <c r="O115" s="38">
        <f t="shared" si="251"/>
        <v>16545.89</v>
      </c>
      <c r="P115" s="38">
        <f t="shared" si="251"/>
        <v>49105.030000000006</v>
      </c>
      <c r="Q115" s="71">
        <f t="shared" si="251"/>
        <v>27879.34</v>
      </c>
      <c r="R115" s="71">
        <f t="shared" si="251"/>
        <v>33473.670000000006</v>
      </c>
      <c r="S115" s="71">
        <f t="shared" si="251"/>
        <v>14666.34</v>
      </c>
      <c r="T115" s="71">
        <f t="shared" si="251"/>
        <v>26534.969999999998</v>
      </c>
      <c r="U115" s="71">
        <f t="shared" si="251"/>
        <v>54829.590000000004</v>
      </c>
      <c r="V115" s="71">
        <f t="shared" si="251"/>
        <v>66585.36</v>
      </c>
      <c r="W115" s="71">
        <f t="shared" si="251"/>
        <v>46679.46</v>
      </c>
      <c r="X115" s="71">
        <f t="shared" si="251"/>
        <v>35066.94</v>
      </c>
      <c r="Y115" s="71">
        <f t="shared" si="251"/>
        <v>18780.86</v>
      </c>
      <c r="Z115" s="71">
        <f t="shared" si="251"/>
        <v>24881.560000000005</v>
      </c>
      <c r="AA115" s="545">
        <f t="shared" si="251"/>
        <v>16545.89</v>
      </c>
      <c r="AB115" s="71">
        <f t="shared" si="251"/>
        <v>49105.030000000006</v>
      </c>
      <c r="AC115" s="71">
        <f t="shared" si="251"/>
        <v>27879.34</v>
      </c>
      <c r="AD115" s="71">
        <f t="shared" si="251"/>
        <v>33473.670000000006</v>
      </c>
      <c r="AE115" s="71">
        <f t="shared" si="251"/>
        <v>14666.34</v>
      </c>
      <c r="AF115" s="71">
        <f t="shared" si="251"/>
        <v>26534.969999999998</v>
      </c>
      <c r="AG115" s="71">
        <f t="shared" si="251"/>
        <v>54829.590000000004</v>
      </c>
      <c r="AH115" s="71">
        <f t="shared" si="251"/>
        <v>66585.36</v>
      </c>
      <c r="AI115" s="71">
        <f t="shared" si="251"/>
        <v>46679.46</v>
      </c>
      <c r="AJ115" s="71">
        <f t="shared" ref="AJ115:BO115" si="252">AJ51+AJ59</f>
        <v>35066.94</v>
      </c>
      <c r="AK115" s="71">
        <f t="shared" si="252"/>
        <v>18780.86</v>
      </c>
      <c r="AL115" s="71">
        <f t="shared" si="252"/>
        <v>24881.560000000005</v>
      </c>
      <c r="AM115" s="545">
        <f t="shared" si="252"/>
        <v>16545.89</v>
      </c>
      <c r="AN115" s="71">
        <f t="shared" si="252"/>
        <v>49105.030000000006</v>
      </c>
      <c r="AO115" s="71">
        <f t="shared" si="252"/>
        <v>27879.34</v>
      </c>
      <c r="AP115" s="71">
        <f t="shared" si="252"/>
        <v>33473.670000000006</v>
      </c>
      <c r="AQ115" s="71">
        <f t="shared" si="252"/>
        <v>14666.34</v>
      </c>
      <c r="AR115" s="71">
        <f t="shared" si="252"/>
        <v>26534.969999999998</v>
      </c>
      <c r="AS115" s="71">
        <f t="shared" si="252"/>
        <v>54829.590000000004</v>
      </c>
      <c r="AT115" s="71">
        <f t="shared" si="252"/>
        <v>66585.36</v>
      </c>
      <c r="AU115" s="71">
        <f t="shared" si="252"/>
        <v>46679.46</v>
      </c>
      <c r="AV115" s="71">
        <f t="shared" si="252"/>
        <v>35066.94</v>
      </c>
      <c r="AW115" s="71">
        <f t="shared" si="252"/>
        <v>18780.86</v>
      </c>
      <c r="AX115" s="71">
        <f t="shared" si="252"/>
        <v>24881.560000000005</v>
      </c>
      <c r="AY115" s="545">
        <f t="shared" si="252"/>
        <v>16545.89</v>
      </c>
      <c r="AZ115" s="71">
        <f t="shared" si="252"/>
        <v>49105.030000000006</v>
      </c>
      <c r="BA115" s="71">
        <f t="shared" si="252"/>
        <v>27879.34</v>
      </c>
      <c r="BB115" s="71">
        <f t="shared" si="252"/>
        <v>33473.670000000006</v>
      </c>
      <c r="BC115" s="71">
        <f t="shared" si="252"/>
        <v>14666.34</v>
      </c>
      <c r="BD115" s="71">
        <f t="shared" si="252"/>
        <v>26534.969999999998</v>
      </c>
      <c r="BE115" s="71">
        <f t="shared" si="252"/>
        <v>54829.590000000004</v>
      </c>
      <c r="BF115" s="71">
        <f t="shared" si="252"/>
        <v>66585.36</v>
      </c>
      <c r="BG115" s="71">
        <f t="shared" si="252"/>
        <v>46679.46</v>
      </c>
      <c r="BH115" s="71">
        <f t="shared" si="252"/>
        <v>35066.94</v>
      </c>
      <c r="BI115" s="71">
        <f t="shared" si="252"/>
        <v>18780.86</v>
      </c>
      <c r="BJ115" s="71">
        <f t="shared" si="252"/>
        <v>24881.560000000005</v>
      </c>
      <c r="BK115" s="71">
        <f t="shared" si="252"/>
        <v>16545.89</v>
      </c>
      <c r="BL115" s="71">
        <f t="shared" si="252"/>
        <v>49105.030000000006</v>
      </c>
      <c r="BM115" s="71">
        <f t="shared" si="252"/>
        <v>27879.34</v>
      </c>
      <c r="BN115" s="71">
        <f t="shared" si="252"/>
        <v>33473.670000000006</v>
      </c>
      <c r="BO115" s="71">
        <f t="shared" si="252"/>
        <v>14666.34</v>
      </c>
      <c r="BP115" s="71">
        <f t="shared" ref="BP115:CI115" si="253">BP51+BP59</f>
        <v>26534.969999999998</v>
      </c>
      <c r="BQ115" s="71">
        <f t="shared" si="253"/>
        <v>54829.590000000004</v>
      </c>
      <c r="BR115" s="71">
        <f t="shared" si="253"/>
        <v>66585.36</v>
      </c>
      <c r="BS115" s="71">
        <f t="shared" si="253"/>
        <v>46679.46</v>
      </c>
      <c r="BT115" s="71">
        <f t="shared" si="253"/>
        <v>35066.94</v>
      </c>
      <c r="BU115" s="71">
        <f t="shared" si="253"/>
        <v>18780.86</v>
      </c>
      <c r="BV115" s="71">
        <f t="shared" si="253"/>
        <v>24881.560000000005</v>
      </c>
      <c r="BW115" s="71">
        <f t="shared" si="253"/>
        <v>16545.89</v>
      </c>
      <c r="BX115" s="71">
        <f t="shared" si="253"/>
        <v>49105.030000000006</v>
      </c>
      <c r="BY115" s="71">
        <f t="shared" si="253"/>
        <v>27879.34</v>
      </c>
      <c r="BZ115" s="71">
        <f t="shared" si="253"/>
        <v>33473.670000000006</v>
      </c>
      <c r="CA115" s="71">
        <f t="shared" si="253"/>
        <v>14666.34</v>
      </c>
      <c r="CB115" s="71">
        <f t="shared" si="253"/>
        <v>26534.969999999998</v>
      </c>
      <c r="CC115" s="71">
        <f t="shared" si="253"/>
        <v>54829.590000000004</v>
      </c>
      <c r="CD115" s="71">
        <f t="shared" si="253"/>
        <v>66585.36</v>
      </c>
      <c r="CE115" s="71">
        <f t="shared" si="253"/>
        <v>46679.46</v>
      </c>
      <c r="CF115" s="71">
        <f t="shared" si="253"/>
        <v>35066.94</v>
      </c>
      <c r="CG115" s="71">
        <f t="shared" si="253"/>
        <v>18780.86</v>
      </c>
      <c r="CH115" s="71">
        <f t="shared" si="253"/>
        <v>24881.560000000005</v>
      </c>
      <c r="CI115" s="71">
        <f t="shared" si="253"/>
        <v>16545.89</v>
      </c>
    </row>
    <row r="116" spans="1:87" x14ac:dyDescent="0.2">
      <c r="A116" s="2">
        <v>107</v>
      </c>
      <c r="C116" s="2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38"/>
      <c r="P116" s="38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545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545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545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</row>
    <row r="117" spans="1:87" x14ac:dyDescent="0.2">
      <c r="C117" s="2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38"/>
      <c r="P117" s="38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545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545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545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</row>
    <row r="118" spans="1:87" x14ac:dyDescent="0.2">
      <c r="C118" s="2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38"/>
      <c r="P118" s="38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545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545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545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</row>
    <row r="119" spans="1:87" x14ac:dyDescent="0.2">
      <c r="A119" s="3"/>
      <c r="B119" s="17"/>
      <c r="C119" s="24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23"/>
      <c r="Q119" s="23"/>
      <c r="R119" s="24"/>
      <c r="S119" s="23"/>
      <c r="T119" s="17"/>
      <c r="U119" s="38"/>
      <c r="V119" s="23"/>
      <c r="W119" s="38"/>
      <c r="X119" s="17"/>
      <c r="Y119" s="23"/>
      <c r="Z119" s="24"/>
      <c r="AA119" s="23"/>
      <c r="AB119" s="17"/>
      <c r="AC119" s="17"/>
      <c r="AD119" s="17"/>
      <c r="AE119" s="17"/>
      <c r="AF119" s="17"/>
      <c r="AG119" s="17"/>
    </row>
    <row r="120" spans="1:87" x14ac:dyDescent="0.2">
      <c r="A120" s="3"/>
      <c r="B120" s="17"/>
      <c r="C120" s="24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23"/>
      <c r="Q120" s="23"/>
      <c r="R120" s="24"/>
      <c r="S120" s="23"/>
      <c r="T120" s="17"/>
      <c r="U120" s="38"/>
      <c r="V120" s="24"/>
      <c r="W120" s="52"/>
      <c r="X120" s="17"/>
      <c r="Y120" s="23"/>
      <c r="Z120" s="24"/>
      <c r="AA120" s="23"/>
      <c r="AB120" s="17"/>
      <c r="AC120" s="17"/>
      <c r="AD120" s="17"/>
      <c r="AE120" s="17"/>
      <c r="AF120" s="17"/>
      <c r="AG120" s="17"/>
    </row>
    <row r="121" spans="1:87" x14ac:dyDescent="0.2">
      <c r="A121" s="3"/>
      <c r="B121" s="17"/>
      <c r="C121" s="24"/>
      <c r="D121" s="17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</row>
    <row r="122" spans="1:87" x14ac:dyDescent="0.2">
      <c r="A122" s="3"/>
      <c r="B122" s="17"/>
      <c r="C122" s="24"/>
      <c r="D122" s="17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</row>
    <row r="123" spans="1:87" x14ac:dyDescent="0.2">
      <c r="B123" s="17"/>
      <c r="C123" s="24"/>
      <c r="D123" s="17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</row>
    <row r="124" spans="1:87" x14ac:dyDescent="0.2">
      <c r="B124" s="17"/>
      <c r="C124" s="24"/>
      <c r="D124" s="17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</row>
    <row r="125" spans="1:87" x14ac:dyDescent="0.2">
      <c r="B125" s="17"/>
      <c r="C125" s="24"/>
      <c r="D125" s="17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</row>
    <row r="126" spans="1:87" x14ac:dyDescent="0.2">
      <c r="B126" s="17"/>
      <c r="C126" s="24"/>
      <c r="D126" s="17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</row>
    <row r="127" spans="1:87" x14ac:dyDescent="0.2">
      <c r="B127" s="17"/>
      <c r="C127" s="24"/>
      <c r="D127" s="17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</row>
    <row r="128" spans="1:87" x14ac:dyDescent="0.2">
      <c r="B128" s="17"/>
      <c r="C128" s="79"/>
      <c r="D128" s="17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</row>
    <row r="129" spans="1:87" x14ac:dyDescent="0.2">
      <c r="A129" s="17"/>
      <c r="B129" s="17"/>
      <c r="C129" s="24"/>
      <c r="D129" s="17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</row>
    <row r="130" spans="1:87" x14ac:dyDescent="0.2">
      <c r="A130" s="17"/>
      <c r="B130" s="17"/>
      <c r="C130" s="79"/>
      <c r="D130" s="17"/>
      <c r="E130" s="38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45"/>
      <c r="R130" s="79"/>
      <c r="S130" s="23"/>
      <c r="T130" s="17"/>
      <c r="U130" s="38"/>
      <c r="V130" s="49"/>
      <c r="W130" s="17"/>
      <c r="X130" s="52"/>
      <c r="Y130" s="23"/>
      <c r="Z130" s="24"/>
      <c r="AA130" s="23"/>
      <c r="AB130" s="17"/>
      <c r="AC130" s="17"/>
      <c r="AD130" s="17"/>
      <c r="AE130" s="17"/>
      <c r="AF130" s="17"/>
      <c r="AG130" s="17"/>
    </row>
    <row r="131" spans="1:87" x14ac:dyDescent="0.2">
      <c r="A131" s="17"/>
      <c r="B131" s="17"/>
      <c r="C131" s="24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23"/>
      <c r="Q131" s="23"/>
      <c r="R131" s="24"/>
      <c r="S131" s="23"/>
      <c r="T131" s="17"/>
      <c r="U131" s="38"/>
      <c r="V131" s="24"/>
      <c r="W131" s="17"/>
      <c r="X131" s="17"/>
      <c r="Y131" s="23"/>
      <c r="Z131" s="24"/>
      <c r="AA131" s="23"/>
      <c r="AB131" s="17"/>
      <c r="AC131" s="17"/>
      <c r="AD131" s="17"/>
      <c r="AE131" s="17"/>
      <c r="AF131" s="17"/>
      <c r="AG131" s="17"/>
    </row>
    <row r="132" spans="1:87" x14ac:dyDescent="0.2">
      <c r="A132" s="17"/>
      <c r="B132" s="17"/>
      <c r="C132" s="79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23"/>
      <c r="Q132" s="23"/>
      <c r="R132" s="79"/>
      <c r="S132" s="23"/>
      <c r="T132" s="17"/>
      <c r="U132" s="38"/>
      <c r="V132" s="24"/>
      <c r="W132" s="17"/>
      <c r="X132" s="17"/>
      <c r="Y132" s="23"/>
      <c r="Z132" s="24"/>
      <c r="AA132" s="23"/>
      <c r="AB132" s="17"/>
      <c r="AC132" s="17"/>
      <c r="AD132" s="17"/>
      <c r="AE132" s="17"/>
      <c r="AF132" s="17"/>
      <c r="AG132" s="17"/>
    </row>
    <row r="133" spans="1:87" x14ac:dyDescent="0.2">
      <c r="A133" s="17"/>
    </row>
    <row r="134" spans="1:87" x14ac:dyDescent="0.2">
      <c r="A134" s="17"/>
    </row>
    <row r="135" spans="1:87" x14ac:dyDescent="0.2">
      <c r="A135" s="17"/>
    </row>
    <row r="136" spans="1:87" x14ac:dyDescent="0.2">
      <c r="A136" s="17"/>
    </row>
    <row r="137" spans="1:87" x14ac:dyDescent="0.2">
      <c r="A137" s="17"/>
    </row>
    <row r="138" spans="1:87" x14ac:dyDescent="0.2">
      <c r="A138" s="17"/>
    </row>
    <row r="139" spans="1:87" x14ac:dyDescent="0.2">
      <c r="A139" s="17"/>
    </row>
    <row r="140" spans="1:87" x14ac:dyDescent="0.2">
      <c r="A140" s="17"/>
    </row>
    <row r="141" spans="1:87" x14ac:dyDescent="0.2">
      <c r="A141" s="17"/>
    </row>
    <row r="142" spans="1:87" x14ac:dyDescent="0.2">
      <c r="A142" s="17"/>
    </row>
    <row r="143" spans="1:87" x14ac:dyDescent="0.2">
      <c r="A143" s="17"/>
    </row>
    <row r="144" spans="1:87" x14ac:dyDescent="0.2">
      <c r="A144" s="17"/>
    </row>
    <row r="145" spans="1:33" x14ac:dyDescent="0.2">
      <c r="A145" s="17"/>
    </row>
    <row r="146" spans="1:33" x14ac:dyDescent="0.2">
      <c r="A146" s="17"/>
    </row>
    <row r="147" spans="1:33" x14ac:dyDescent="0.2">
      <c r="A147" s="17"/>
    </row>
    <row r="148" spans="1:33" x14ac:dyDescent="0.2">
      <c r="A148" s="17"/>
    </row>
    <row r="149" spans="1:33" x14ac:dyDescent="0.2">
      <c r="A149" s="17"/>
    </row>
    <row r="150" spans="1:33" x14ac:dyDescent="0.2">
      <c r="A150" s="17"/>
    </row>
    <row r="151" spans="1:33" x14ac:dyDescent="0.2">
      <c r="A151" s="17"/>
    </row>
    <row r="152" spans="1:33" x14ac:dyDescent="0.2">
      <c r="A152" s="17"/>
    </row>
    <row r="153" spans="1:33" x14ac:dyDescent="0.2">
      <c r="A153" s="17"/>
    </row>
    <row r="154" spans="1:33" x14ac:dyDescent="0.2">
      <c r="A154" s="17"/>
    </row>
    <row r="155" spans="1:33" x14ac:dyDescent="0.2">
      <c r="A155" s="17"/>
    </row>
    <row r="156" spans="1:33" x14ac:dyDescent="0.2">
      <c r="A156" s="17"/>
      <c r="B156" s="17"/>
      <c r="C156" s="24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23"/>
      <c r="R156" s="24"/>
      <c r="S156" s="23"/>
      <c r="T156" s="17"/>
      <c r="U156" s="38"/>
      <c r="V156" s="24"/>
      <c r="W156" s="17"/>
      <c r="X156" s="17"/>
      <c r="Y156" s="23"/>
      <c r="Z156" s="24"/>
      <c r="AA156" s="23"/>
      <c r="AB156" s="17"/>
      <c r="AC156" s="17"/>
      <c r="AD156" s="17"/>
      <c r="AE156" s="17"/>
      <c r="AF156" s="17"/>
      <c r="AG156" s="17"/>
    </row>
    <row r="157" spans="1:33" x14ac:dyDescent="0.2">
      <c r="A157" s="17"/>
      <c r="B157" s="17"/>
      <c r="C157" s="7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23"/>
      <c r="R157" s="79"/>
      <c r="S157" s="23"/>
      <c r="T157" s="17"/>
      <c r="U157" s="38"/>
      <c r="V157" s="23"/>
      <c r="W157" s="17"/>
      <c r="X157" s="17"/>
      <c r="Y157" s="23"/>
      <c r="Z157" s="24"/>
      <c r="AA157" s="23"/>
      <c r="AB157" s="17"/>
      <c r="AC157" s="17"/>
      <c r="AD157" s="17"/>
      <c r="AE157" s="17"/>
      <c r="AF157" s="17"/>
      <c r="AG157" s="17"/>
    </row>
    <row r="158" spans="1:33" x14ac:dyDescent="0.2">
      <c r="A158" s="17"/>
      <c r="B158" s="17"/>
      <c r="C158" s="24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24"/>
      <c r="S158" s="23"/>
      <c r="T158" s="17"/>
      <c r="U158" s="38"/>
      <c r="V158" s="24"/>
      <c r="W158" s="17"/>
      <c r="X158" s="17"/>
      <c r="Y158" s="23"/>
      <c r="Z158" s="24"/>
      <c r="AA158" s="23"/>
      <c r="AB158" s="17"/>
      <c r="AC158" s="17"/>
      <c r="AD158" s="17"/>
      <c r="AE158" s="17"/>
      <c r="AF158" s="17"/>
      <c r="AG158" s="17"/>
    </row>
    <row r="159" spans="1:33" x14ac:dyDescent="0.2">
      <c r="A159" s="17"/>
      <c r="B159" s="17"/>
      <c r="C159" s="24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77"/>
      <c r="Q159" s="17"/>
      <c r="R159" s="24"/>
      <c r="S159" s="23"/>
      <c r="T159" s="64"/>
      <c r="U159" s="38"/>
      <c r="V159" s="24"/>
      <c r="W159" s="17"/>
      <c r="X159" s="17"/>
      <c r="Y159" s="23"/>
      <c r="Z159" s="24"/>
      <c r="AA159" s="23"/>
      <c r="AB159" s="17"/>
      <c r="AC159" s="17"/>
      <c r="AD159" s="17"/>
      <c r="AE159" s="17"/>
      <c r="AF159" s="17"/>
      <c r="AG159" s="17"/>
    </row>
    <row r="160" spans="1:33" x14ac:dyDescent="0.2">
      <c r="A160" s="17"/>
      <c r="B160" s="17"/>
      <c r="C160" s="24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77"/>
      <c r="R160" s="24"/>
      <c r="S160" s="23"/>
      <c r="T160" s="17"/>
      <c r="U160" s="53"/>
      <c r="V160" s="24"/>
      <c r="W160" s="17"/>
      <c r="X160" s="17"/>
      <c r="Y160" s="23"/>
      <c r="Z160" s="24"/>
      <c r="AA160" s="23"/>
      <c r="AB160" s="17"/>
      <c r="AC160" s="17"/>
      <c r="AD160" s="17"/>
      <c r="AE160" s="17"/>
      <c r="AF160" s="17"/>
      <c r="AG160" s="17"/>
    </row>
    <row r="161" spans="1:33" x14ac:dyDescent="0.2">
      <c r="A161" s="17"/>
      <c r="B161" s="17"/>
      <c r="C161" s="80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23"/>
      <c r="Q161" s="45"/>
      <c r="R161" s="80"/>
      <c r="S161" s="23"/>
      <c r="T161" s="17"/>
      <c r="U161" s="38"/>
      <c r="V161" s="24"/>
      <c r="W161" s="17"/>
      <c r="X161" s="17"/>
      <c r="Y161" s="23"/>
      <c r="Z161" s="24"/>
      <c r="AA161" s="23"/>
      <c r="AB161" s="17"/>
      <c r="AC161" s="17"/>
      <c r="AD161" s="17"/>
      <c r="AE161" s="17"/>
      <c r="AF161" s="17"/>
      <c r="AG161" s="17"/>
    </row>
    <row r="162" spans="1:33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38"/>
      <c r="Q162" s="38"/>
      <c r="R162" s="17"/>
      <c r="S162" s="39"/>
      <c r="T162" s="17"/>
      <c r="U162" s="38"/>
      <c r="V162" s="49"/>
      <c r="W162" s="17"/>
      <c r="X162" s="17"/>
      <c r="Y162" s="23"/>
      <c r="Z162" s="24"/>
      <c r="AA162" s="23"/>
      <c r="AB162" s="17"/>
      <c r="AC162" s="17"/>
      <c r="AD162" s="17"/>
      <c r="AE162" s="17"/>
      <c r="AF162" s="17"/>
      <c r="AG162" s="17"/>
    </row>
    <row r="163" spans="1:33" x14ac:dyDescent="0.2">
      <c r="A163" s="17"/>
      <c r="B163" s="17"/>
      <c r="C163" s="24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23"/>
      <c r="Q163" s="23"/>
      <c r="R163" s="24"/>
      <c r="S163" s="23"/>
      <c r="T163" s="17"/>
      <c r="U163" s="45"/>
      <c r="V163" s="24"/>
      <c r="W163" s="17"/>
      <c r="X163" s="17"/>
      <c r="Y163" s="23"/>
      <c r="Z163" s="24"/>
      <c r="AA163" s="23"/>
      <c r="AB163" s="17"/>
      <c r="AC163" s="17"/>
      <c r="AD163" s="17"/>
      <c r="AE163" s="17"/>
      <c r="AF163" s="17"/>
      <c r="AG163" s="17"/>
    </row>
    <row r="164" spans="1:33" x14ac:dyDescent="0.2">
      <c r="A164" s="17"/>
      <c r="B164" s="17"/>
      <c r="C164" s="24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23"/>
      <c r="Q164" s="23"/>
      <c r="R164" s="24"/>
      <c r="S164" s="23"/>
      <c r="T164" s="17"/>
      <c r="U164" s="23"/>
      <c r="V164" s="24"/>
      <c r="W164" s="17"/>
      <c r="X164" s="17"/>
      <c r="Y164" s="23"/>
      <c r="Z164" s="24"/>
      <c r="AA164" s="23"/>
      <c r="AB164" s="17"/>
      <c r="AC164" s="17"/>
      <c r="AD164" s="17"/>
      <c r="AE164" s="17"/>
      <c r="AF164" s="17"/>
      <c r="AG164" s="17"/>
    </row>
    <row r="165" spans="1:33" x14ac:dyDescent="0.2">
      <c r="A165" s="17"/>
      <c r="B165" s="36"/>
      <c r="C165" s="24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23"/>
      <c r="Q165" s="23"/>
      <c r="R165" s="24"/>
      <c r="S165" s="23"/>
      <c r="T165" s="17"/>
      <c r="U165" s="17"/>
      <c r="V165" s="24"/>
      <c r="W165" s="17"/>
      <c r="X165" s="17"/>
      <c r="Y165" s="23"/>
      <c r="Z165" s="24"/>
      <c r="AA165" s="23"/>
      <c r="AB165" s="17"/>
      <c r="AC165" s="17"/>
      <c r="AD165" s="17"/>
      <c r="AE165" s="17"/>
      <c r="AF165" s="17"/>
      <c r="AG165" s="17"/>
    </row>
    <row r="166" spans="1:33" x14ac:dyDescent="0.2">
      <c r="A166" s="17"/>
      <c r="B166" s="17"/>
      <c r="C166" s="56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23"/>
      <c r="Q166" s="23"/>
      <c r="R166" s="56"/>
      <c r="S166" s="23"/>
      <c r="T166" s="64"/>
      <c r="U166" s="17"/>
      <c r="V166" s="49"/>
      <c r="W166" s="17"/>
      <c r="X166" s="17"/>
      <c r="Y166" s="23"/>
      <c r="Z166" s="24"/>
      <c r="AA166" s="23"/>
      <c r="AB166" s="17"/>
      <c r="AC166" s="17"/>
      <c r="AD166" s="17"/>
      <c r="AE166" s="17"/>
      <c r="AF166" s="17"/>
      <c r="AG166" s="17"/>
    </row>
    <row r="167" spans="1:33" x14ac:dyDescent="0.2">
      <c r="A167" s="17"/>
      <c r="B167" s="17"/>
      <c r="C167" s="49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23"/>
      <c r="Q167" s="23"/>
      <c r="R167" s="49"/>
      <c r="S167" s="17"/>
      <c r="T167" s="64"/>
      <c r="U167" s="38"/>
      <c r="V167" s="49"/>
      <c r="W167" s="17"/>
      <c r="X167" s="17"/>
      <c r="Y167" s="23"/>
      <c r="Z167" s="24"/>
      <c r="AA167" s="23"/>
      <c r="AB167" s="17"/>
      <c r="AC167" s="17"/>
      <c r="AD167" s="17"/>
      <c r="AE167" s="17"/>
      <c r="AF167" s="17"/>
      <c r="AG167" s="17"/>
    </row>
    <row r="168" spans="1:33" x14ac:dyDescent="0.2">
      <c r="A168" s="17"/>
      <c r="B168" s="17"/>
      <c r="C168" s="80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23"/>
      <c r="Q168" s="23"/>
      <c r="R168" s="80"/>
      <c r="S168" s="38"/>
      <c r="T168" s="64"/>
      <c r="U168" s="38"/>
      <c r="V168" s="64"/>
      <c r="W168" s="17"/>
      <c r="X168" s="17"/>
      <c r="Y168" s="23"/>
      <c r="Z168" s="24"/>
      <c r="AA168" s="23"/>
      <c r="AB168" s="17"/>
      <c r="AC168" s="17"/>
      <c r="AD168" s="17"/>
      <c r="AE168" s="17"/>
      <c r="AF168" s="17"/>
      <c r="AG168" s="17"/>
    </row>
    <row r="169" spans="1:33" x14ac:dyDescent="0.2">
      <c r="A169" s="17"/>
      <c r="B169" s="17"/>
      <c r="C169" s="24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23"/>
      <c r="Q169" s="23"/>
      <c r="R169" s="24"/>
      <c r="S169" s="23"/>
      <c r="T169" s="64"/>
      <c r="U169" s="38"/>
      <c r="V169" s="24"/>
      <c r="W169" s="17"/>
      <c r="X169" s="17"/>
      <c r="Y169" s="23"/>
      <c r="Z169" s="24"/>
      <c r="AA169" s="23"/>
      <c r="AB169" s="17"/>
      <c r="AC169" s="17"/>
      <c r="AD169" s="17"/>
      <c r="AE169" s="17"/>
      <c r="AF169" s="17"/>
      <c r="AG169" s="17"/>
    </row>
    <row r="170" spans="1:33" x14ac:dyDescent="0.2">
      <c r="A170" s="17"/>
      <c r="B170" s="17"/>
      <c r="C170" s="2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23"/>
      <c r="Q170" s="23"/>
      <c r="R170" s="24"/>
      <c r="S170" s="23"/>
      <c r="T170" s="17"/>
      <c r="U170" s="38"/>
      <c r="V170" s="24"/>
      <c r="W170" s="17"/>
      <c r="X170" s="17"/>
      <c r="Y170" s="23"/>
      <c r="Z170" s="24"/>
      <c r="AA170" s="23"/>
      <c r="AB170" s="17"/>
      <c r="AC170" s="17"/>
      <c r="AD170" s="17"/>
      <c r="AE170" s="17"/>
      <c r="AF170" s="17"/>
      <c r="AG170" s="17"/>
    </row>
    <row r="171" spans="1:33" x14ac:dyDescent="0.2">
      <c r="A171" s="17"/>
      <c r="B171" s="17"/>
      <c r="C171" s="24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23"/>
      <c r="Q171" s="23"/>
      <c r="R171" s="24"/>
      <c r="S171" s="23"/>
      <c r="T171" s="17"/>
      <c r="U171" s="38"/>
      <c r="V171" s="24"/>
      <c r="W171" s="17"/>
      <c r="X171" s="17"/>
      <c r="Y171" s="23"/>
      <c r="Z171" s="24"/>
      <c r="AA171" s="23"/>
      <c r="AB171" s="17"/>
      <c r="AC171" s="17"/>
      <c r="AD171" s="17"/>
      <c r="AE171" s="17"/>
      <c r="AF171" s="17"/>
      <c r="AG171" s="17"/>
    </row>
    <row r="172" spans="1:33" x14ac:dyDescent="0.2">
      <c r="A172" s="17"/>
      <c r="B172" s="17"/>
      <c r="C172" s="24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23"/>
      <c r="Q172" s="23"/>
      <c r="R172" s="24"/>
      <c r="S172" s="23"/>
      <c r="T172" s="17"/>
      <c r="U172" s="38"/>
      <c r="V172" s="24"/>
      <c r="W172" s="17"/>
      <c r="X172" s="17"/>
      <c r="Y172" s="23"/>
      <c r="Z172" s="24"/>
      <c r="AA172" s="23"/>
      <c r="AB172" s="17"/>
      <c r="AC172" s="17"/>
      <c r="AD172" s="17"/>
      <c r="AE172" s="17"/>
      <c r="AF172" s="17"/>
      <c r="AG172" s="17"/>
    </row>
    <row r="173" spans="1:33" x14ac:dyDescent="0.2">
      <c r="A173" s="17"/>
      <c r="B173" s="17"/>
      <c r="C173" s="24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23"/>
      <c r="Q173" s="23"/>
      <c r="R173" s="24"/>
      <c r="S173" s="23"/>
      <c r="T173" s="17"/>
      <c r="U173" s="38"/>
      <c r="V173" s="24"/>
      <c r="W173" s="17"/>
      <c r="X173" s="17"/>
      <c r="Y173" s="23"/>
      <c r="Z173" s="24"/>
      <c r="AA173" s="23"/>
      <c r="AB173" s="17"/>
      <c r="AC173" s="17"/>
      <c r="AD173" s="17"/>
      <c r="AE173" s="17"/>
      <c r="AF173" s="17"/>
      <c r="AG173" s="17"/>
    </row>
    <row r="174" spans="1:33" x14ac:dyDescent="0.2">
      <c r="A174" s="17"/>
      <c r="B174" s="17"/>
      <c r="C174" s="24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23"/>
      <c r="Q174" s="23"/>
      <c r="R174" s="24"/>
      <c r="S174" s="23"/>
      <c r="T174" s="17"/>
      <c r="U174" s="38"/>
      <c r="V174" s="24"/>
      <c r="W174" s="17"/>
      <c r="X174" s="17"/>
      <c r="Y174" s="23"/>
      <c r="Z174" s="24"/>
      <c r="AA174" s="23"/>
      <c r="AB174" s="17"/>
      <c r="AC174" s="17"/>
      <c r="AD174" s="17"/>
      <c r="AE174" s="17"/>
      <c r="AF174" s="17"/>
      <c r="AG174" s="17"/>
    </row>
    <row r="175" spans="1:33" x14ac:dyDescent="0.2">
      <c r="A175" s="17"/>
      <c r="B175" s="17"/>
      <c r="C175" s="24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23"/>
      <c r="Q175" s="23"/>
      <c r="R175" s="24"/>
      <c r="S175" s="23"/>
      <c r="T175" s="17"/>
      <c r="U175" s="38"/>
      <c r="V175" s="24"/>
      <c r="W175" s="17"/>
      <c r="X175" s="17"/>
      <c r="Y175" s="23"/>
      <c r="Z175" s="24"/>
      <c r="AA175" s="23"/>
      <c r="AB175" s="17"/>
      <c r="AC175" s="17"/>
      <c r="AD175" s="17"/>
      <c r="AE175" s="17"/>
      <c r="AF175" s="17"/>
      <c r="AG175" s="17"/>
    </row>
    <row r="176" spans="1:33" x14ac:dyDescent="0.2">
      <c r="A176" s="17"/>
      <c r="B176" s="17"/>
      <c r="C176" s="24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23"/>
      <c r="Q176" s="23"/>
      <c r="R176" s="24"/>
      <c r="S176" s="23"/>
      <c r="T176" s="17"/>
      <c r="U176" s="38"/>
      <c r="V176" s="24"/>
      <c r="W176" s="17"/>
      <c r="X176" s="17"/>
      <c r="Y176" s="23"/>
      <c r="Z176" s="24"/>
      <c r="AA176" s="23"/>
      <c r="AB176" s="17"/>
      <c r="AC176" s="17"/>
      <c r="AD176" s="17"/>
      <c r="AE176" s="17"/>
      <c r="AF176" s="17"/>
      <c r="AG176" s="17"/>
    </row>
    <row r="177" spans="1:33" x14ac:dyDescent="0.2">
      <c r="A177" s="17"/>
      <c r="B177" s="17"/>
      <c r="C177" s="24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23"/>
      <c r="Q177" s="23"/>
      <c r="R177" s="24"/>
      <c r="S177" s="23"/>
      <c r="T177" s="17"/>
      <c r="U177" s="38"/>
      <c r="V177" s="24"/>
      <c r="W177" s="17"/>
      <c r="X177" s="17"/>
      <c r="Y177" s="23"/>
      <c r="Z177" s="24"/>
      <c r="AA177" s="23"/>
      <c r="AB177" s="17"/>
      <c r="AC177" s="17"/>
      <c r="AD177" s="17"/>
      <c r="AE177" s="17"/>
      <c r="AF177" s="17"/>
      <c r="AG177" s="17"/>
    </row>
    <row r="178" spans="1:33" x14ac:dyDescent="0.2">
      <c r="A178" s="17"/>
      <c r="B178" s="17"/>
      <c r="C178" s="24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23"/>
      <c r="Q178" s="23"/>
      <c r="R178" s="24"/>
      <c r="S178" s="23"/>
      <c r="T178" s="17"/>
      <c r="U178" s="38"/>
      <c r="V178" s="24"/>
      <c r="W178" s="17"/>
      <c r="X178" s="17"/>
      <c r="Y178" s="23"/>
      <c r="Z178" s="24"/>
      <c r="AA178" s="23"/>
      <c r="AB178" s="17"/>
      <c r="AC178" s="17"/>
      <c r="AD178" s="17"/>
      <c r="AE178" s="17"/>
      <c r="AF178" s="17"/>
      <c r="AG178" s="17"/>
    </row>
    <row r="179" spans="1:33" x14ac:dyDescent="0.2">
      <c r="A179" s="17"/>
      <c r="B179" s="17"/>
      <c r="C179" s="24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23"/>
      <c r="Q179" s="23"/>
      <c r="R179" s="24"/>
      <c r="S179" s="23"/>
      <c r="T179" s="17"/>
      <c r="U179" s="38"/>
      <c r="V179" s="24"/>
      <c r="W179" s="17"/>
      <c r="X179" s="17"/>
      <c r="Y179" s="23"/>
      <c r="Z179" s="24"/>
      <c r="AA179" s="23"/>
      <c r="AB179" s="17"/>
      <c r="AC179" s="17"/>
      <c r="AD179" s="17"/>
      <c r="AE179" s="17"/>
      <c r="AF179" s="17"/>
      <c r="AG179" s="17"/>
    </row>
    <row r="180" spans="1:33" x14ac:dyDescent="0.2">
      <c r="A180" s="17"/>
      <c r="B180" s="17"/>
      <c r="C180" s="24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23"/>
      <c r="Q180" s="23"/>
      <c r="R180" s="24"/>
      <c r="S180" s="23"/>
      <c r="T180" s="17"/>
      <c r="U180" s="38"/>
      <c r="V180" s="24"/>
      <c r="W180" s="17"/>
      <c r="X180" s="17"/>
      <c r="Y180" s="23"/>
      <c r="Z180" s="24"/>
      <c r="AA180" s="23"/>
      <c r="AB180" s="17"/>
      <c r="AC180" s="17"/>
      <c r="AD180" s="17"/>
      <c r="AE180" s="17"/>
      <c r="AF180" s="17"/>
      <c r="AG180" s="17"/>
    </row>
    <row r="181" spans="1:33" x14ac:dyDescent="0.2">
      <c r="A181" s="17"/>
      <c r="B181" s="17"/>
      <c r="C181" s="24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23"/>
      <c r="Q181" s="23"/>
      <c r="R181" s="24"/>
      <c r="S181" s="23"/>
      <c r="T181" s="17"/>
      <c r="U181" s="38"/>
      <c r="V181" s="24"/>
      <c r="W181" s="17"/>
      <c r="X181" s="17"/>
      <c r="Y181" s="23"/>
      <c r="Z181" s="24"/>
      <c r="AA181" s="23"/>
      <c r="AB181" s="17"/>
      <c r="AC181" s="17"/>
      <c r="AD181" s="17"/>
      <c r="AE181" s="17"/>
      <c r="AF181" s="17"/>
      <c r="AG181" s="17"/>
    </row>
    <row r="182" spans="1:33" x14ac:dyDescent="0.2">
      <c r="A182" s="17"/>
      <c r="B182" s="17"/>
      <c r="C182" s="24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23"/>
      <c r="Q182" s="23"/>
      <c r="R182" s="24"/>
      <c r="S182" s="23"/>
      <c r="T182" s="17"/>
      <c r="U182" s="38"/>
      <c r="V182" s="24"/>
      <c r="W182" s="17"/>
      <c r="X182" s="17"/>
      <c r="Y182" s="23"/>
      <c r="Z182" s="24"/>
      <c r="AA182" s="23"/>
      <c r="AB182" s="17"/>
      <c r="AC182" s="17"/>
      <c r="AD182" s="17"/>
      <c r="AE182" s="17"/>
      <c r="AF182" s="17"/>
      <c r="AG182" s="17"/>
    </row>
    <row r="183" spans="1:33" x14ac:dyDescent="0.2">
      <c r="A183" s="17"/>
      <c r="B183" s="17"/>
      <c r="C183" s="79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23"/>
      <c r="Q183" s="23"/>
      <c r="R183" s="79"/>
      <c r="S183" s="23"/>
      <c r="T183" s="17"/>
      <c r="U183" s="38"/>
      <c r="V183" s="24"/>
      <c r="W183" s="17"/>
      <c r="X183" s="17"/>
      <c r="Y183" s="23"/>
      <c r="Z183" s="24"/>
      <c r="AA183" s="23"/>
      <c r="AB183" s="17"/>
      <c r="AC183" s="17"/>
      <c r="AD183" s="17"/>
      <c r="AE183" s="17"/>
      <c r="AF183" s="17"/>
      <c r="AG183" s="17"/>
    </row>
    <row r="184" spans="1:33" x14ac:dyDescent="0.2">
      <c r="A184" s="17"/>
      <c r="B184" s="17"/>
      <c r="C184" s="24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23"/>
      <c r="Q184" s="23"/>
      <c r="R184" s="24"/>
      <c r="S184" s="23"/>
      <c r="T184" s="17"/>
      <c r="U184" s="38"/>
      <c r="V184" s="23"/>
      <c r="W184" s="38"/>
      <c r="X184" s="17"/>
      <c r="Y184" s="23"/>
      <c r="Z184" s="24"/>
      <c r="AA184" s="23"/>
      <c r="AB184" s="17"/>
      <c r="AC184" s="17"/>
      <c r="AD184" s="17"/>
      <c r="AE184" s="17"/>
      <c r="AF184" s="17"/>
      <c r="AG184" s="17"/>
    </row>
    <row r="185" spans="1:33" x14ac:dyDescent="0.2">
      <c r="A185" s="17"/>
      <c r="B185" s="17"/>
      <c r="C185" s="79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23"/>
      <c r="Q185" s="23"/>
      <c r="R185" s="79"/>
      <c r="S185" s="23"/>
      <c r="T185" s="17"/>
      <c r="U185" s="38"/>
      <c r="V185" s="23"/>
      <c r="W185" s="38"/>
      <c r="X185" s="17"/>
      <c r="Y185" s="23"/>
      <c r="Z185" s="24"/>
      <c r="AA185" s="23"/>
      <c r="AB185" s="17"/>
      <c r="AC185" s="17"/>
      <c r="AD185" s="17"/>
      <c r="AE185" s="17"/>
      <c r="AF185" s="17"/>
      <c r="AG185" s="17"/>
    </row>
    <row r="186" spans="1:33" x14ac:dyDescent="0.2">
      <c r="A186" s="17"/>
      <c r="B186" s="17"/>
      <c r="C186" s="24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23"/>
      <c r="Q186" s="23"/>
      <c r="R186" s="24"/>
      <c r="S186" s="23"/>
      <c r="T186" s="17"/>
      <c r="U186" s="38"/>
      <c r="V186" s="24"/>
      <c r="W186" s="17"/>
      <c r="X186" s="17"/>
      <c r="Y186" s="23"/>
      <c r="Z186" s="24"/>
      <c r="AA186" s="23"/>
      <c r="AB186" s="17"/>
      <c r="AC186" s="17"/>
      <c r="AD186" s="17"/>
      <c r="AE186" s="17"/>
      <c r="AF186" s="17"/>
      <c r="AG186" s="17"/>
    </row>
    <row r="187" spans="1:33" x14ac:dyDescent="0.2">
      <c r="A187" s="17"/>
      <c r="B187" s="17"/>
      <c r="C187" s="79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23"/>
      <c r="Q187" s="23"/>
      <c r="R187" s="79"/>
      <c r="S187" s="23"/>
      <c r="T187" s="17"/>
      <c r="U187" s="38"/>
      <c r="V187" s="24"/>
      <c r="W187" s="17"/>
      <c r="X187" s="17"/>
      <c r="Y187" s="23"/>
      <c r="Z187" s="24"/>
      <c r="AA187" s="23"/>
      <c r="AB187" s="17"/>
      <c r="AC187" s="17"/>
      <c r="AD187" s="17"/>
      <c r="AE187" s="17"/>
      <c r="AF187" s="17"/>
      <c r="AG187" s="17"/>
    </row>
    <row r="188" spans="1:33" x14ac:dyDescent="0.2">
      <c r="A188" s="17"/>
      <c r="B188" s="17"/>
      <c r="C188" s="24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23"/>
      <c r="Q188" s="23"/>
      <c r="R188" s="24"/>
      <c r="S188" s="23"/>
      <c r="T188" s="17"/>
      <c r="U188" s="38"/>
      <c r="V188" s="24"/>
      <c r="W188" s="17"/>
      <c r="X188" s="17"/>
      <c r="Y188" s="23"/>
      <c r="Z188" s="24"/>
      <c r="AA188" s="23"/>
      <c r="AB188" s="17"/>
      <c r="AC188" s="17"/>
      <c r="AD188" s="17"/>
      <c r="AE188" s="17"/>
      <c r="AF188" s="17"/>
      <c r="AG188" s="17"/>
    </row>
    <row r="189" spans="1:33" x14ac:dyDescent="0.2">
      <c r="A189" s="17"/>
      <c r="B189" s="17"/>
      <c r="C189" s="79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23"/>
      <c r="Q189" s="23"/>
      <c r="R189" s="79"/>
      <c r="S189" s="23"/>
      <c r="T189" s="17"/>
      <c r="U189" s="38"/>
      <c r="V189" s="24"/>
      <c r="W189" s="17"/>
      <c r="X189" s="17"/>
      <c r="Y189" s="23"/>
      <c r="Z189" s="24"/>
      <c r="AA189" s="23"/>
      <c r="AB189" s="17"/>
      <c r="AC189" s="17"/>
      <c r="AD189" s="17"/>
      <c r="AE189" s="17"/>
      <c r="AF189" s="17"/>
      <c r="AG189" s="17"/>
    </row>
    <row r="190" spans="1:33" x14ac:dyDescent="0.2">
      <c r="A190" s="17"/>
      <c r="B190" s="17"/>
      <c r="C190" s="24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23"/>
      <c r="Q190" s="23"/>
      <c r="R190" s="24"/>
      <c r="S190" s="23"/>
      <c r="T190" s="17"/>
      <c r="U190" s="38"/>
      <c r="V190" s="24"/>
      <c r="W190" s="17"/>
      <c r="X190" s="17"/>
      <c r="Y190" s="23"/>
      <c r="Z190" s="24"/>
      <c r="AA190" s="23"/>
      <c r="AB190" s="17"/>
      <c r="AC190" s="17"/>
      <c r="AD190" s="17"/>
      <c r="AE190" s="17"/>
      <c r="AF190" s="17"/>
      <c r="AG190" s="17"/>
    </row>
    <row r="191" spans="1:33" x14ac:dyDescent="0.2">
      <c r="A191" s="17"/>
      <c r="B191" s="17"/>
      <c r="C191" s="24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23"/>
      <c r="Q191" s="23"/>
      <c r="R191" s="24"/>
      <c r="S191" s="23"/>
      <c r="T191" s="17"/>
      <c r="U191" s="38"/>
      <c r="V191" s="24"/>
      <c r="W191" s="17"/>
      <c r="X191" s="17"/>
      <c r="Y191" s="23"/>
      <c r="Z191" s="24"/>
      <c r="AA191" s="23"/>
      <c r="AB191" s="17"/>
      <c r="AC191" s="17"/>
      <c r="AD191" s="17"/>
      <c r="AE191" s="17"/>
      <c r="AF191" s="17"/>
      <c r="AG191" s="17"/>
    </row>
    <row r="192" spans="1:33" x14ac:dyDescent="0.2">
      <c r="A192" s="17"/>
      <c r="B192" s="17"/>
      <c r="C192" s="24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23"/>
      <c r="Q192" s="23"/>
      <c r="R192" s="24"/>
      <c r="S192" s="23"/>
      <c r="T192" s="17"/>
      <c r="U192" s="38"/>
      <c r="V192" s="24"/>
      <c r="W192" s="17"/>
      <c r="X192" s="17"/>
      <c r="Y192" s="23"/>
      <c r="Z192" s="24"/>
      <c r="AA192" s="23"/>
      <c r="AB192" s="17"/>
      <c r="AC192" s="17"/>
      <c r="AD192" s="17"/>
      <c r="AE192" s="17"/>
      <c r="AF192" s="17"/>
      <c r="AG192" s="17"/>
    </row>
    <row r="193" spans="1:33" x14ac:dyDescent="0.2">
      <c r="A193" s="17"/>
      <c r="B193" s="17"/>
      <c r="C193" s="80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23"/>
      <c r="Q193" s="23"/>
      <c r="R193" s="80"/>
      <c r="S193" s="23"/>
      <c r="T193" s="17"/>
      <c r="U193" s="38"/>
      <c r="V193" s="24"/>
      <c r="W193" s="17"/>
      <c r="X193" s="17"/>
      <c r="Y193" s="23"/>
      <c r="Z193" s="24"/>
      <c r="AA193" s="23"/>
      <c r="AB193" s="17"/>
      <c r="AC193" s="17"/>
      <c r="AD193" s="17"/>
      <c r="AE193" s="17"/>
      <c r="AF193" s="17"/>
      <c r="AG193" s="17"/>
    </row>
    <row r="194" spans="1:33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38"/>
      <c r="Q194" s="38"/>
      <c r="R194" s="17"/>
      <c r="S194" s="39"/>
      <c r="T194" s="17"/>
      <c r="U194" s="38"/>
      <c r="V194" s="24"/>
      <c r="W194" s="17"/>
      <c r="X194" s="17"/>
      <c r="Y194" s="23"/>
      <c r="Z194" s="24"/>
      <c r="AA194" s="23"/>
      <c r="AB194" s="17"/>
      <c r="AC194" s="17"/>
      <c r="AD194" s="17"/>
      <c r="AE194" s="17"/>
      <c r="AF194" s="17"/>
      <c r="AG194" s="17"/>
    </row>
    <row r="195" spans="1:33" x14ac:dyDescent="0.2">
      <c r="A195" s="17"/>
      <c r="B195" s="17"/>
      <c r="C195" s="56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23"/>
      <c r="Q195" s="23"/>
      <c r="R195" s="56"/>
      <c r="S195" s="23"/>
      <c r="T195" s="17"/>
      <c r="U195" s="17"/>
      <c r="V195" s="24"/>
      <c r="W195" s="17"/>
      <c r="X195" s="17"/>
      <c r="Y195" s="23"/>
      <c r="Z195" s="25"/>
      <c r="AA195" s="22"/>
      <c r="AB195" s="17"/>
      <c r="AC195" s="17"/>
      <c r="AD195" s="17"/>
      <c r="AE195" s="17"/>
      <c r="AF195" s="17"/>
      <c r="AG195" s="17"/>
    </row>
    <row r="196" spans="1:33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38"/>
      <c r="R196" s="17"/>
      <c r="S196" s="17"/>
      <c r="T196" s="17"/>
      <c r="U196" s="17"/>
      <c r="V196" s="24"/>
      <c r="W196" s="17"/>
      <c r="X196" s="17"/>
      <c r="Y196" s="23"/>
      <c r="Z196" s="24"/>
      <c r="AA196" s="23"/>
      <c r="AB196" s="17"/>
      <c r="AC196" s="17"/>
      <c r="AD196" s="17"/>
      <c r="AE196" s="17"/>
      <c r="AF196" s="17"/>
      <c r="AG196" s="17"/>
    </row>
    <row r="197" spans="1:33" x14ac:dyDescent="0.2">
      <c r="A197" s="17"/>
      <c r="B197" s="17"/>
      <c r="C197" s="24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23"/>
      <c r="Q197" s="23"/>
      <c r="R197" s="24"/>
      <c r="S197" s="23"/>
      <c r="T197" s="17"/>
      <c r="U197" s="17"/>
      <c r="V197" s="24"/>
      <c r="W197" s="17"/>
      <c r="X197" s="17"/>
      <c r="Y197" s="23"/>
      <c r="Z197" s="17"/>
      <c r="AA197" s="17"/>
      <c r="AB197" s="17"/>
      <c r="AC197" s="17"/>
      <c r="AD197" s="17"/>
      <c r="AE197" s="17"/>
      <c r="AF197" s="17"/>
      <c r="AG197" s="17"/>
    </row>
    <row r="198" spans="1:33" x14ac:dyDescent="0.2">
      <c r="A198" s="17"/>
      <c r="B198" s="42"/>
      <c r="C198" s="24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23"/>
      <c r="Q198" s="23"/>
      <c r="R198" s="24"/>
      <c r="S198" s="22"/>
      <c r="T198" s="17"/>
      <c r="U198" s="23"/>
      <c r="V198" s="24"/>
      <c r="W198" s="17"/>
      <c r="X198" s="17"/>
      <c r="Y198" s="23"/>
      <c r="Z198" s="17"/>
      <c r="AA198" s="16"/>
      <c r="AB198" s="17"/>
      <c r="AC198" s="17"/>
      <c r="AD198" s="17"/>
      <c r="AE198" s="17"/>
      <c r="AF198" s="17"/>
      <c r="AG198" s="17"/>
    </row>
    <row r="199" spans="1:33" x14ac:dyDescent="0.2">
      <c r="A199" s="17"/>
      <c r="B199" s="17"/>
      <c r="C199" s="24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23"/>
      <c r="Q199" s="23"/>
      <c r="R199" s="24"/>
      <c r="S199" s="23"/>
      <c r="T199" s="17"/>
      <c r="U199" s="17"/>
      <c r="V199" s="24"/>
      <c r="W199" s="17"/>
      <c r="X199" s="17"/>
      <c r="Y199" s="23"/>
      <c r="Z199" s="16"/>
      <c r="AA199" s="16"/>
      <c r="AB199" s="17"/>
      <c r="AC199" s="17"/>
      <c r="AD199" s="17"/>
      <c r="AE199" s="17"/>
      <c r="AF199" s="17"/>
      <c r="AG199" s="17"/>
    </row>
    <row r="200" spans="1:33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23"/>
      <c r="Q200" s="24"/>
      <c r="R200" s="17"/>
      <c r="S200" s="23"/>
      <c r="T200" s="17"/>
      <c r="U200" s="64"/>
      <c r="V200" s="24"/>
      <c r="W200" s="17"/>
      <c r="X200" s="17"/>
      <c r="Y200" s="23"/>
      <c r="Z200" s="17"/>
      <c r="AA200" s="17"/>
      <c r="AB200" s="17"/>
      <c r="AC200" s="17"/>
      <c r="AD200" s="17"/>
      <c r="AE200" s="17"/>
      <c r="AF200" s="17"/>
      <c r="AG200" s="17"/>
    </row>
    <row r="201" spans="1:33" x14ac:dyDescent="0.2">
      <c r="A201" s="17"/>
      <c r="B201" s="17"/>
      <c r="C201" s="24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23"/>
      <c r="Q201" s="23"/>
      <c r="R201" s="24"/>
      <c r="S201" s="23"/>
      <c r="T201" s="17"/>
      <c r="U201" s="17"/>
      <c r="V201" s="24"/>
      <c r="W201" s="17"/>
      <c r="X201" s="17"/>
      <c r="Y201" s="23"/>
      <c r="Z201" s="17"/>
      <c r="AA201" s="17"/>
      <c r="AB201" s="17"/>
      <c r="AC201" s="17"/>
      <c r="AD201" s="17"/>
      <c r="AE201" s="17"/>
      <c r="AF201" s="17"/>
      <c r="AG201" s="17"/>
    </row>
    <row r="202" spans="1:33" x14ac:dyDescent="0.2">
      <c r="A202" s="17"/>
      <c r="B202" s="17"/>
      <c r="C202" s="49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81"/>
      <c r="Q202" s="23"/>
      <c r="R202" s="49"/>
      <c r="S202" s="23"/>
      <c r="T202" s="17"/>
      <c r="U202" s="17"/>
      <c r="V202" s="24"/>
      <c r="W202" s="17"/>
      <c r="X202" s="17"/>
      <c r="Y202" s="23"/>
      <c r="Z202" s="17"/>
      <c r="AA202" s="17"/>
      <c r="AB202" s="17"/>
      <c r="AC202" s="17"/>
      <c r="AD202" s="17"/>
      <c r="AE202" s="17"/>
      <c r="AF202" s="17"/>
      <c r="AG202" s="17"/>
    </row>
    <row r="203" spans="1:33" x14ac:dyDescent="0.2">
      <c r="A203" s="17"/>
      <c r="B203" s="42"/>
      <c r="C203" s="17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23"/>
      <c r="Q203" s="17"/>
      <c r="R203" s="17"/>
      <c r="S203" s="23"/>
      <c r="T203" s="17"/>
      <c r="U203" s="17"/>
      <c r="V203" s="24"/>
      <c r="W203" s="17"/>
      <c r="X203" s="17"/>
      <c r="Y203" s="23"/>
      <c r="Z203" s="17"/>
      <c r="AA203" s="17"/>
      <c r="AB203" s="17"/>
      <c r="AC203" s="17"/>
      <c r="AD203" s="17"/>
      <c r="AE203" s="17"/>
      <c r="AF203" s="17"/>
      <c r="AG203" s="17"/>
    </row>
    <row r="204" spans="1:33" x14ac:dyDescent="0.2">
      <c r="A204" s="17"/>
      <c r="B204" s="42"/>
      <c r="C204" s="17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23"/>
      <c r="Q204" s="23"/>
      <c r="R204" s="17"/>
      <c r="S204" s="23"/>
      <c r="T204" s="17"/>
      <c r="U204" s="17"/>
      <c r="V204" s="24"/>
      <c r="W204" s="17"/>
      <c r="X204" s="17"/>
      <c r="Y204" s="23"/>
      <c r="Z204" s="17"/>
      <c r="AA204" s="17"/>
      <c r="AB204" s="17"/>
      <c r="AC204" s="17"/>
      <c r="AD204" s="17"/>
      <c r="AE204" s="17"/>
      <c r="AF204" s="17"/>
      <c r="AG204" s="17"/>
    </row>
    <row r="205" spans="1:33" x14ac:dyDescent="0.2">
      <c r="A205" s="17"/>
      <c r="B205" s="17"/>
      <c r="C205" s="24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23"/>
      <c r="Q205" s="23"/>
      <c r="R205" s="24"/>
      <c r="S205" s="23"/>
      <c r="T205" s="17"/>
      <c r="U205" s="23"/>
      <c r="V205" s="24"/>
      <c r="W205" s="17"/>
      <c r="X205" s="17"/>
      <c r="Y205" s="23"/>
      <c r="Z205" s="17"/>
      <c r="AA205" s="17"/>
      <c r="AB205" s="17"/>
      <c r="AC205" s="17"/>
      <c r="AD205" s="17"/>
      <c r="AE205" s="17"/>
      <c r="AF205" s="17"/>
      <c r="AG205" s="17"/>
    </row>
    <row r="206" spans="1:33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23"/>
      <c r="Q206" s="17"/>
      <c r="R206" s="17"/>
      <c r="S206" s="17"/>
      <c r="T206" s="17"/>
      <c r="U206" s="23"/>
      <c r="V206" s="24"/>
      <c r="W206" s="17"/>
      <c r="X206" s="17"/>
      <c r="Y206" s="23"/>
      <c r="Z206" s="17"/>
      <c r="AA206" s="17"/>
      <c r="AB206" s="17"/>
      <c r="AC206" s="17"/>
      <c r="AD206" s="17"/>
      <c r="AE206" s="17"/>
      <c r="AF206" s="17"/>
      <c r="AG206" s="17"/>
    </row>
    <row r="207" spans="1:33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23"/>
      <c r="Q207" s="17"/>
      <c r="R207" s="17"/>
      <c r="S207" s="38"/>
      <c r="T207" s="17"/>
      <c r="U207" s="23"/>
      <c r="V207" s="63"/>
      <c r="W207" s="17"/>
      <c r="X207" s="17"/>
      <c r="Y207" s="23"/>
      <c r="Z207" s="17"/>
      <c r="AA207" s="17"/>
      <c r="AB207" s="17"/>
      <c r="AC207" s="17"/>
      <c r="AD207" s="17"/>
      <c r="AE207" s="17"/>
      <c r="AF207" s="17"/>
      <c r="AG207" s="17"/>
    </row>
    <row r="208" spans="1:33" x14ac:dyDescent="0.2">
      <c r="A208" s="17"/>
      <c r="B208" s="17"/>
      <c r="C208" s="28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23"/>
      <c r="Q208" s="23"/>
      <c r="R208" s="28"/>
      <c r="S208" s="23"/>
      <c r="T208" s="17"/>
      <c r="U208" s="17"/>
      <c r="V208" s="24"/>
      <c r="W208" s="17"/>
      <c r="X208" s="17"/>
      <c r="Y208" s="23"/>
      <c r="Z208" s="17"/>
      <c r="AA208" s="17"/>
      <c r="AB208" s="17"/>
      <c r="AC208" s="17"/>
      <c r="AD208" s="17"/>
      <c r="AE208" s="17"/>
      <c r="AF208" s="17"/>
      <c r="AG208" s="17"/>
    </row>
    <row r="209" spans="1:33" x14ac:dyDescent="0.2">
      <c r="A209" s="17"/>
      <c r="B209" s="17"/>
      <c r="C209" s="54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38"/>
      <c r="Q209" s="31"/>
      <c r="R209" s="54"/>
      <c r="S209" s="31"/>
      <c r="T209" s="17"/>
      <c r="U209" s="17"/>
      <c r="V209" s="24"/>
      <c r="W209" s="17"/>
      <c r="X209" s="17"/>
      <c r="Y209" s="23"/>
      <c r="Z209" s="17"/>
      <c r="AA209" s="17"/>
      <c r="AB209" s="38"/>
      <c r="AC209" s="17"/>
      <c r="AD209" s="17"/>
      <c r="AE209" s="17"/>
      <c r="AF209" s="17"/>
      <c r="AG209" s="17"/>
    </row>
    <row r="210" spans="1:33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38"/>
      <c r="Q210" s="38"/>
      <c r="R210" s="17"/>
      <c r="S210" s="31"/>
      <c r="T210" s="17"/>
      <c r="U210" s="62"/>
      <c r="V210" s="24"/>
      <c r="W210" s="17"/>
      <c r="X210" s="17"/>
      <c r="Y210" s="23"/>
      <c r="Z210" s="17"/>
      <c r="AA210" s="17"/>
      <c r="AB210" s="38"/>
      <c r="AC210" s="17"/>
      <c r="AD210" s="17"/>
      <c r="AE210" s="17"/>
      <c r="AF210" s="17"/>
      <c r="AG210" s="17"/>
    </row>
    <row r="211" spans="1:33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23"/>
      <c r="R211" s="17"/>
      <c r="S211" s="31"/>
      <c r="T211" s="17"/>
      <c r="U211" s="17"/>
      <c r="V211" s="24"/>
      <c r="W211" s="17"/>
      <c r="X211" s="17"/>
      <c r="Y211" s="23"/>
      <c r="Z211" s="17"/>
      <c r="AA211" s="17"/>
      <c r="AB211" s="38"/>
      <c r="AC211" s="17"/>
      <c r="AD211" s="17"/>
      <c r="AE211" s="17"/>
      <c r="AF211" s="17"/>
      <c r="AG211" s="17"/>
    </row>
    <row r="212" spans="1:33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23"/>
      <c r="Q212" s="23"/>
      <c r="R212" s="17"/>
      <c r="S212" s="31"/>
      <c r="T212" s="17"/>
      <c r="U212" s="17"/>
      <c r="V212" s="24"/>
      <c r="W212" s="17"/>
      <c r="X212" s="17"/>
      <c r="Y212" s="23"/>
      <c r="Z212" s="17"/>
      <c r="AA212" s="17"/>
      <c r="AB212" s="17"/>
      <c r="AC212" s="17"/>
      <c r="AD212" s="17"/>
      <c r="AE212" s="17"/>
      <c r="AF212" s="17"/>
      <c r="AG212" s="17"/>
    </row>
    <row r="213" spans="1:33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23"/>
      <c r="Q213" s="23"/>
      <c r="R213" s="17"/>
      <c r="S213" s="31"/>
      <c r="T213" s="17"/>
      <c r="U213" s="38"/>
      <c r="V213" s="24"/>
      <c r="W213" s="17"/>
      <c r="X213" s="17"/>
      <c r="Y213" s="23"/>
      <c r="Z213" s="17"/>
      <c r="AA213" s="17"/>
      <c r="AB213" s="17"/>
      <c r="AC213" s="17"/>
      <c r="AD213" s="17"/>
      <c r="AE213" s="17"/>
      <c r="AF213" s="17"/>
      <c r="AG213" s="17"/>
    </row>
    <row r="214" spans="1:33" x14ac:dyDescent="0.2">
      <c r="A214" s="17"/>
      <c r="B214" s="55"/>
      <c r="C214" s="56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23"/>
      <c r="Q214" s="23"/>
      <c r="R214" s="56"/>
      <c r="S214" s="22"/>
      <c r="T214" s="17"/>
      <c r="U214" s="17"/>
      <c r="V214" s="24"/>
      <c r="W214" s="17"/>
      <c r="X214" s="17"/>
      <c r="Y214" s="23"/>
      <c r="Z214" s="17"/>
      <c r="AA214" s="17"/>
      <c r="AB214" s="17"/>
      <c r="AC214" s="17"/>
      <c r="AD214" s="17"/>
      <c r="AE214" s="17"/>
      <c r="AF214" s="17"/>
      <c r="AG214" s="17"/>
    </row>
    <row r="215" spans="1:33" x14ac:dyDescent="0.2">
      <c r="A215" s="17"/>
      <c r="B215" s="17"/>
      <c r="C215" s="56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23"/>
      <c r="Q215" s="23"/>
      <c r="R215" s="56"/>
      <c r="S215" s="22"/>
      <c r="T215" s="17"/>
      <c r="U215" s="38"/>
      <c r="V215" s="24"/>
      <c r="W215" s="17"/>
      <c r="X215" s="17"/>
      <c r="Y215" s="23"/>
      <c r="Z215" s="17"/>
      <c r="AA215" s="17"/>
      <c r="AB215" s="17"/>
      <c r="AC215" s="17"/>
      <c r="AD215" s="17"/>
      <c r="AE215" s="17"/>
      <c r="AF215" s="17"/>
      <c r="AG215" s="17"/>
    </row>
    <row r="216" spans="1:33" x14ac:dyDescent="0.2">
      <c r="A216" s="17"/>
      <c r="B216" s="17"/>
      <c r="C216" s="5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23"/>
      <c r="Q216" s="23"/>
      <c r="R216" s="57"/>
      <c r="S216" s="23"/>
      <c r="T216" s="17"/>
      <c r="U216" s="17"/>
      <c r="V216" s="24"/>
      <c r="W216" s="17"/>
      <c r="X216" s="17"/>
      <c r="Y216" s="23"/>
      <c r="Z216" s="17"/>
      <c r="AA216" s="17"/>
      <c r="AB216" s="17"/>
      <c r="AC216" s="17"/>
      <c r="AD216" s="17"/>
      <c r="AE216" s="17"/>
      <c r="AF216" s="17"/>
      <c r="AG216" s="17"/>
    </row>
    <row r="217" spans="1:33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23"/>
      <c r="R217" s="17"/>
      <c r="S217" s="23"/>
      <c r="T217" s="17"/>
      <c r="U217" s="17"/>
      <c r="V217" s="24"/>
      <c r="W217" s="17"/>
      <c r="X217" s="17"/>
      <c r="Y217" s="23"/>
      <c r="Z217" s="17"/>
      <c r="AA217" s="17"/>
      <c r="AB217" s="17"/>
      <c r="AC217" s="17"/>
      <c r="AD217" s="17"/>
      <c r="AE217" s="17"/>
      <c r="AF217" s="17"/>
      <c r="AG217" s="17"/>
    </row>
    <row r="218" spans="1:33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23"/>
      <c r="R218" s="17"/>
      <c r="S218" s="23"/>
      <c r="T218" s="17"/>
      <c r="U218" s="17"/>
      <c r="V218" s="24"/>
      <c r="W218" s="17"/>
      <c r="X218" s="17"/>
      <c r="Y218" s="23"/>
      <c r="Z218" s="17"/>
      <c r="AA218" s="17"/>
      <c r="AB218" s="17"/>
      <c r="AC218" s="17"/>
      <c r="AD218" s="17"/>
      <c r="AE218" s="17"/>
      <c r="AF218" s="17"/>
      <c r="AG218" s="17"/>
    </row>
    <row r="219" spans="1:33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23"/>
      <c r="R219" s="17"/>
      <c r="S219" s="23"/>
      <c r="T219" s="30"/>
      <c r="U219" s="17"/>
      <c r="V219" s="24"/>
      <c r="W219" s="17"/>
      <c r="X219" s="17"/>
      <c r="Y219" s="23"/>
      <c r="Z219" s="17"/>
      <c r="AA219" s="17"/>
      <c r="AB219" s="17"/>
      <c r="AC219" s="17"/>
      <c r="AD219" s="17"/>
      <c r="AE219" s="17"/>
      <c r="AF219" s="17"/>
      <c r="AG219" s="17"/>
    </row>
    <row r="220" spans="1:33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23"/>
      <c r="R220" s="17"/>
      <c r="S220" s="23"/>
      <c r="T220" s="30"/>
      <c r="U220" s="17"/>
      <c r="V220" s="24"/>
      <c r="W220" s="17"/>
      <c r="X220" s="17"/>
      <c r="Y220" s="23"/>
      <c r="Z220" s="17"/>
      <c r="AA220" s="17"/>
      <c r="AB220" s="17"/>
      <c r="AC220" s="17"/>
      <c r="AD220" s="17"/>
      <c r="AE220" s="17"/>
      <c r="AF220" s="17"/>
      <c r="AG220" s="17"/>
    </row>
    <row r="221" spans="1:33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23"/>
      <c r="R221" s="17"/>
      <c r="S221" s="23"/>
      <c r="T221" s="30"/>
      <c r="U221" s="17"/>
      <c r="V221" s="24"/>
      <c r="W221" s="17"/>
      <c r="X221" s="17"/>
      <c r="Y221" s="23"/>
      <c r="Z221" s="17"/>
      <c r="AA221" s="17"/>
      <c r="AB221" s="17"/>
      <c r="AC221" s="17"/>
      <c r="AD221" s="17"/>
      <c r="AE221" s="17"/>
      <c r="AF221" s="17"/>
      <c r="AG221" s="17"/>
    </row>
    <row r="222" spans="1:33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23"/>
      <c r="R222" s="17"/>
      <c r="S222" s="23"/>
      <c r="T222" s="23"/>
      <c r="U222" s="17"/>
      <c r="V222" s="24"/>
      <c r="W222" s="17"/>
      <c r="X222" s="17"/>
      <c r="Y222" s="23"/>
      <c r="Z222" s="17"/>
      <c r="AA222" s="17"/>
      <c r="AB222" s="17"/>
      <c r="AC222" s="17"/>
      <c r="AD222" s="17"/>
      <c r="AE222" s="17"/>
      <c r="AF222" s="17"/>
      <c r="AG222" s="17"/>
    </row>
    <row r="223" spans="1:33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23"/>
      <c r="R223" s="17"/>
      <c r="S223" s="23"/>
      <c r="T223" s="17"/>
      <c r="U223" s="17"/>
      <c r="V223" s="24"/>
      <c r="W223" s="17"/>
      <c r="X223" s="17"/>
      <c r="Y223" s="23"/>
      <c r="Z223" s="17"/>
      <c r="AA223" s="17"/>
      <c r="AB223" s="17"/>
      <c r="AC223" s="17"/>
      <c r="AD223" s="17"/>
      <c r="AE223" s="17"/>
      <c r="AF223" s="17"/>
      <c r="AG223" s="17"/>
    </row>
    <row r="224" spans="1:33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23"/>
      <c r="R224" s="17"/>
      <c r="S224" s="23"/>
      <c r="T224" s="17"/>
      <c r="U224" s="17"/>
      <c r="V224" s="24"/>
      <c r="W224" s="17"/>
      <c r="X224" s="17"/>
      <c r="Y224" s="23"/>
      <c r="Z224" s="17"/>
      <c r="AA224" s="17"/>
      <c r="AB224" s="17"/>
      <c r="AC224" s="17"/>
      <c r="AD224" s="17"/>
      <c r="AE224" s="17"/>
      <c r="AF224" s="17"/>
      <c r="AG224" s="17"/>
    </row>
    <row r="225" spans="1:33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23"/>
      <c r="R225" s="17"/>
      <c r="S225" s="23"/>
      <c r="T225" s="17"/>
      <c r="U225" s="17"/>
      <c r="V225" s="24"/>
      <c r="W225" s="17"/>
      <c r="X225" s="17"/>
      <c r="Y225" s="23"/>
      <c r="Z225" s="17"/>
      <c r="AA225" s="17"/>
      <c r="AB225" s="17"/>
      <c r="AC225" s="17"/>
      <c r="AD225" s="17"/>
      <c r="AE225" s="17"/>
      <c r="AF225" s="17"/>
      <c r="AG225" s="17"/>
    </row>
    <row r="226" spans="1:33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23"/>
      <c r="R226" s="17"/>
      <c r="S226" s="23"/>
      <c r="T226" s="17"/>
      <c r="U226" s="17"/>
      <c r="V226" s="24"/>
      <c r="W226" s="17"/>
      <c r="X226" s="17"/>
      <c r="Y226" s="23"/>
      <c r="Z226" s="17"/>
      <c r="AA226" s="17"/>
      <c r="AB226" s="17"/>
      <c r="AC226" s="17"/>
      <c r="AD226" s="17"/>
      <c r="AE226" s="17"/>
      <c r="AF226" s="17"/>
      <c r="AG226" s="17"/>
    </row>
    <row r="227" spans="1:33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38"/>
      <c r="Q227" s="38"/>
      <c r="R227" s="17"/>
      <c r="S227" s="39"/>
      <c r="T227" s="17"/>
      <c r="U227" s="17"/>
      <c r="V227" s="24"/>
      <c r="W227" s="17"/>
      <c r="X227" s="17"/>
      <c r="Y227" s="23"/>
      <c r="Z227" s="17"/>
      <c r="AA227" s="17"/>
      <c r="AB227" s="17"/>
      <c r="AC227" s="17"/>
      <c r="AD227" s="17"/>
      <c r="AE227" s="17"/>
      <c r="AF227" s="17"/>
      <c r="AG227" s="17"/>
    </row>
    <row r="228" spans="1:33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</row>
    <row r="229" spans="1:33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</row>
    <row r="230" spans="1:33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</row>
    <row r="231" spans="1:33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</row>
    <row r="232" spans="1:33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</row>
    <row r="233" spans="1:33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</row>
    <row r="234" spans="1:33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</row>
    <row r="235" spans="1:33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</row>
    <row r="236" spans="1:33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</row>
    <row r="237" spans="1:33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</row>
    <row r="238" spans="1:33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</row>
    <row r="239" spans="1:33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</row>
    <row r="240" spans="1:33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</row>
    <row r="241" spans="1:33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</row>
    <row r="242" spans="1:33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</row>
    <row r="243" spans="1:33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</row>
    <row r="244" spans="1:33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</row>
    <row r="245" spans="1:33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</row>
    <row r="246" spans="1:33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</row>
    <row r="247" spans="1:33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</row>
    <row r="248" spans="1:33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</row>
    <row r="249" spans="1:33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</row>
    <row r="250" spans="1:33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</row>
    <row r="251" spans="1:33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</row>
    <row r="252" spans="1:33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</row>
    <row r="253" spans="1:33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</row>
    <row r="254" spans="1:33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</row>
    <row r="255" spans="1:33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</row>
    <row r="256" spans="1:33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</row>
    <row r="257" spans="1:33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</row>
    <row r="258" spans="1:33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</row>
    <row r="259" spans="1:33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</row>
    <row r="260" spans="1:33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</row>
    <row r="261" spans="1:33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</row>
    <row r="262" spans="1:33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</row>
    <row r="263" spans="1:33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</row>
    <row r="264" spans="1:33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</row>
    <row r="265" spans="1:33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</row>
    <row r="266" spans="1:33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</row>
    <row r="267" spans="1:33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</row>
    <row r="268" spans="1:33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</row>
    <row r="269" spans="1:33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</row>
    <row r="270" spans="1:33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</row>
    <row r="271" spans="1:33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</row>
    <row r="272" spans="1:33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</row>
    <row r="273" spans="1:33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</row>
    <row r="274" spans="1:33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</row>
    <row r="275" spans="1:33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</row>
    <row r="276" spans="1:33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</row>
    <row r="277" spans="1:33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</row>
    <row r="278" spans="1:33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</row>
    <row r="279" spans="1:33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</row>
    <row r="280" spans="1:33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</row>
    <row r="281" spans="1:33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</row>
    <row r="282" spans="1:33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</row>
    <row r="283" spans="1:33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</row>
    <row r="284" spans="1:33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</row>
    <row r="285" spans="1:33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</row>
    <row r="286" spans="1:33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</row>
    <row r="287" spans="1:33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</row>
    <row r="288" spans="1:33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</row>
    <row r="289" spans="1:33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</row>
    <row r="290" spans="1:33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</row>
    <row r="291" spans="1:33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</row>
    <row r="292" spans="1:33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</row>
    <row r="293" spans="1:33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</row>
    <row r="294" spans="1:33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</row>
    <row r="295" spans="1:33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</row>
    <row r="296" spans="1:33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</row>
    <row r="297" spans="1:33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</row>
    <row r="298" spans="1:33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</row>
    <row r="299" spans="1:33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</row>
    <row r="300" spans="1:33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</row>
    <row r="301" spans="1:33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</row>
    <row r="302" spans="1:33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</row>
    <row r="303" spans="1:33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</row>
    <row r="304" spans="1:33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</row>
    <row r="305" spans="1:33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</row>
    <row r="306" spans="1:33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</row>
    <row r="307" spans="1:33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</row>
    <row r="308" spans="1:33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</row>
    <row r="309" spans="1:33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</row>
    <row r="310" spans="1:33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</row>
    <row r="311" spans="1:33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</row>
    <row r="312" spans="1:33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</row>
    <row r="313" spans="1:33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</row>
    <row r="314" spans="1:33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</row>
    <row r="315" spans="1:33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</row>
    <row r="316" spans="1:33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</row>
    <row r="317" spans="1:33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</row>
    <row r="318" spans="1:33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</row>
    <row r="319" spans="1:33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</row>
    <row r="320" spans="1:33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</row>
    <row r="321" spans="1:33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</row>
    <row r="322" spans="1:33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</row>
    <row r="323" spans="1:33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</row>
    <row r="324" spans="1:33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</row>
    <row r="325" spans="1:33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</row>
    <row r="326" spans="1:33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</row>
    <row r="327" spans="1:33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</row>
    <row r="328" spans="1:33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</row>
    <row r="329" spans="1:33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</row>
    <row r="330" spans="1:33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</row>
    <row r="331" spans="1:33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</row>
    <row r="332" spans="1:33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</row>
    <row r="333" spans="1:33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</row>
    <row r="334" spans="1:33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</row>
    <row r="335" spans="1:33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</row>
    <row r="336" spans="1:33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</row>
    <row r="337" spans="1:33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</row>
    <row r="338" spans="1:33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</row>
    <row r="339" spans="1:33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</row>
    <row r="340" spans="1:33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</row>
    <row r="341" spans="1:33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</row>
    <row r="342" spans="1:33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</row>
    <row r="343" spans="1:33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</row>
    <row r="344" spans="1:33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</row>
    <row r="345" spans="1:33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</row>
    <row r="346" spans="1:33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</row>
    <row r="347" spans="1:33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</row>
    <row r="348" spans="1:33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</row>
    <row r="349" spans="1:33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</row>
    <row r="350" spans="1:33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</row>
    <row r="351" spans="1:33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</row>
    <row r="352" spans="1:33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</row>
    <row r="353" spans="1:33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</row>
    <row r="354" spans="1:33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</row>
    <row r="355" spans="1:33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</row>
    <row r="356" spans="1:33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</row>
    <row r="357" spans="1:33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</row>
    <row r="358" spans="1:33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</row>
    <row r="359" spans="1:33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</row>
    <row r="360" spans="1:33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</row>
    <row r="361" spans="1:33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</row>
    <row r="362" spans="1:33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</row>
    <row r="363" spans="1:33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</row>
    <row r="364" spans="1:33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</row>
    <row r="365" spans="1:33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</row>
    <row r="366" spans="1:33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</row>
    <row r="367" spans="1:33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</row>
    <row r="368" spans="1:33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</row>
    <row r="369" spans="1:33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</row>
    <row r="370" spans="1:33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</row>
    <row r="371" spans="1:33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</row>
    <row r="372" spans="1:33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</row>
    <row r="373" spans="1:33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</row>
    <row r="374" spans="1:33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</row>
    <row r="375" spans="1:33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</row>
    <row r="376" spans="1:33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</row>
    <row r="377" spans="1:33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</row>
    <row r="378" spans="1:33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</row>
    <row r="379" spans="1:33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</row>
    <row r="380" spans="1:33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</row>
    <row r="381" spans="1:33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</row>
    <row r="382" spans="1:33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</row>
    <row r="383" spans="1:33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</row>
    <row r="384" spans="1:33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</row>
    <row r="385" spans="1:33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</row>
    <row r="386" spans="1:33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</row>
    <row r="387" spans="1:33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</row>
    <row r="388" spans="1:33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</row>
    <row r="389" spans="1:33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</row>
    <row r="390" spans="1:33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</row>
    <row r="391" spans="1:33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</row>
    <row r="392" spans="1:33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</row>
    <row r="393" spans="1:33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</row>
    <row r="394" spans="1:33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</row>
    <row r="395" spans="1:33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</row>
    <row r="396" spans="1:33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</row>
    <row r="397" spans="1:33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</row>
    <row r="398" spans="1:33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</row>
    <row r="399" spans="1:33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</row>
    <row r="400" spans="1:33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</row>
    <row r="401" spans="1:33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</row>
    <row r="402" spans="1:33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</row>
    <row r="403" spans="1:33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</row>
    <row r="404" spans="1:33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</row>
    <row r="405" spans="1:33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</row>
    <row r="406" spans="1:33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</row>
    <row r="407" spans="1:33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</row>
    <row r="408" spans="1:33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</row>
    <row r="409" spans="1:33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</row>
    <row r="410" spans="1:33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</row>
    <row r="411" spans="1:33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</row>
    <row r="412" spans="1:33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</row>
    <row r="413" spans="1:33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</row>
    <row r="414" spans="1:33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</row>
    <row r="415" spans="1:33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</row>
    <row r="416" spans="1:33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</row>
    <row r="417" spans="1:20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</row>
    <row r="418" spans="1:20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</row>
    <row r="419" spans="1:20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</row>
    <row r="420" spans="1:20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</row>
    <row r="421" spans="1:20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</row>
    <row r="422" spans="1:20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</row>
    <row r="423" spans="1:20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</row>
    <row r="424" spans="1:20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</row>
    <row r="425" spans="1:20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</row>
    <row r="426" spans="1:20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</row>
    <row r="427" spans="1:20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</row>
    <row r="428" spans="1:20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</row>
    <row r="429" spans="1:20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</row>
    <row r="430" spans="1:20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</row>
    <row r="431" spans="1:20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</row>
    <row r="432" spans="1:20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</row>
    <row r="433" spans="1:20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</row>
    <row r="434" spans="1:20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</row>
    <row r="435" spans="1:20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</row>
    <row r="436" spans="1:20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</row>
    <row r="437" spans="1:20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</row>
    <row r="438" spans="1:20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</row>
    <row r="439" spans="1:20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</row>
    <row r="440" spans="1:20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</row>
    <row r="441" spans="1:20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</row>
    <row r="442" spans="1:20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</row>
    <row r="443" spans="1:20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</row>
    <row r="444" spans="1:20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</row>
    <row r="445" spans="1:20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</row>
    <row r="446" spans="1:20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</row>
    <row r="447" spans="1:20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</row>
    <row r="448" spans="1:20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</row>
    <row r="449" spans="1:20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</row>
    <row r="450" spans="1:20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</row>
    <row r="451" spans="1:20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</row>
    <row r="452" spans="1:20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</row>
    <row r="453" spans="1:20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</row>
    <row r="454" spans="1:20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</row>
    <row r="455" spans="1:20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</row>
    <row r="456" spans="1:20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</row>
    <row r="457" spans="1:20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</row>
    <row r="458" spans="1:20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</row>
    <row r="459" spans="1:20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</row>
    <row r="460" spans="1:20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</row>
    <row r="461" spans="1:20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</row>
    <row r="462" spans="1:20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</row>
    <row r="463" spans="1:20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</row>
    <row r="464" spans="1:20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</row>
    <row r="465" spans="1:20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</row>
    <row r="466" spans="1:20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</row>
    <row r="467" spans="1:20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</row>
    <row r="468" spans="1:20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</row>
    <row r="469" spans="1:20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</row>
    <row r="470" spans="1:20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</row>
    <row r="471" spans="1:20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</row>
    <row r="472" spans="1:20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</row>
    <row r="473" spans="1:20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</row>
    <row r="474" spans="1:20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</row>
    <row r="475" spans="1:20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</row>
    <row r="476" spans="1:20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</row>
    <row r="477" spans="1:20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</row>
    <row r="478" spans="1:20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</row>
    <row r="480" spans="1:20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</row>
    <row r="481" spans="1:20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</row>
    <row r="482" spans="1:20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</row>
    <row r="483" spans="1:20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</row>
    <row r="484" spans="1:20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</row>
    <row r="485" spans="1:20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</row>
    <row r="487" spans="1:20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  <row r="727" spans="1:20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</row>
    <row r="728" spans="1:20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</row>
    <row r="729" spans="1:20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</row>
    <row r="730" spans="1:20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</row>
    <row r="731" spans="1:20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</row>
    <row r="732" spans="1:20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</row>
    <row r="733" spans="1:20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</row>
    <row r="734" spans="1:20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</row>
    <row r="735" spans="1:20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</row>
    <row r="736" spans="1:20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</row>
    <row r="737" spans="1:20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</row>
    <row r="738" spans="1:20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</row>
    <row r="739" spans="1:20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</row>
    <row r="740" spans="1:20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</row>
    <row r="741" spans="1:20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</row>
    <row r="742" spans="1:20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</row>
    <row r="743" spans="1:20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</row>
    <row r="744" spans="1:20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</row>
    <row r="745" spans="1:20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</row>
    <row r="746" spans="1:20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</row>
    <row r="747" spans="1:20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</row>
    <row r="748" spans="1:20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</row>
    <row r="749" spans="1:20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</row>
    <row r="750" spans="1:20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</row>
    <row r="751" spans="1:20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</row>
    <row r="752" spans="1:20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</row>
    <row r="753" spans="1:20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</row>
    <row r="754" spans="1:20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</row>
    <row r="755" spans="1:20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</row>
    <row r="756" spans="1:20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</row>
    <row r="757" spans="1:20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</row>
    <row r="758" spans="1:20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</row>
    <row r="759" spans="1:20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</row>
    <row r="760" spans="1:20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</row>
    <row r="761" spans="1:20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</row>
    <row r="762" spans="1:20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</row>
    <row r="763" spans="1:20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</row>
    <row r="764" spans="1:20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</row>
    <row r="765" spans="1:20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</row>
    <row r="766" spans="1:20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</row>
    <row r="767" spans="1:20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</row>
    <row r="768" spans="1:20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</row>
    <row r="769" spans="1:20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</row>
    <row r="770" spans="1:20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</row>
    <row r="771" spans="1:20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</row>
    <row r="772" spans="1:20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</row>
    <row r="773" spans="1:20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</row>
    <row r="774" spans="1:20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</row>
    <row r="775" spans="1:20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</row>
    <row r="776" spans="1:20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</row>
    <row r="777" spans="1:20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</row>
    <row r="778" spans="1:20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</row>
    <row r="779" spans="1:20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</row>
    <row r="780" spans="1:20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</row>
    <row r="781" spans="1:20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</row>
    <row r="782" spans="1:20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</row>
    <row r="783" spans="1:20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</row>
    <row r="784" spans="1:20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</row>
    <row r="785" spans="1:20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</row>
    <row r="786" spans="1:20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</row>
    <row r="787" spans="1:20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</row>
    <row r="788" spans="1:20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</row>
    <row r="789" spans="1:20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</row>
    <row r="790" spans="1:20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</row>
    <row r="791" spans="1:20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</row>
    <row r="792" spans="1:20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</row>
    <row r="793" spans="1:20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</row>
    <row r="794" spans="1:20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</row>
    <row r="795" spans="1:20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</row>
    <row r="796" spans="1:20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</row>
    <row r="797" spans="1:20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</row>
    <row r="798" spans="1:20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</row>
    <row r="799" spans="1:20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</row>
    <row r="800" spans="1:20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</row>
    <row r="801" spans="1:20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</row>
    <row r="802" spans="1:20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</row>
    <row r="803" spans="1:20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</row>
    <row r="804" spans="1:20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</row>
    <row r="805" spans="1:20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</row>
    <row r="806" spans="1:20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</row>
    <row r="807" spans="1:20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</row>
    <row r="808" spans="1:20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</row>
    <row r="809" spans="1:20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</row>
    <row r="810" spans="1:20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</row>
    <row r="811" spans="1:20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</row>
    <row r="812" spans="1:20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</row>
    <row r="813" spans="1:20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</row>
    <row r="814" spans="1:20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</row>
    <row r="815" spans="1:20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</row>
    <row r="816" spans="1:20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</row>
    <row r="817" spans="1:20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</row>
    <row r="818" spans="1:20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</row>
    <row r="819" spans="1:20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</row>
    <row r="820" spans="1:20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</row>
    <row r="821" spans="1:20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</row>
    <row r="822" spans="1:20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</row>
    <row r="823" spans="1:20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</row>
    <row r="824" spans="1:20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</row>
    <row r="825" spans="1:20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</row>
    <row r="826" spans="1:20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</row>
    <row r="827" spans="1:20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</row>
    <row r="828" spans="1:20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</row>
    <row r="829" spans="1:20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</row>
    <row r="830" spans="1:20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</row>
    <row r="831" spans="1:20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</row>
    <row r="832" spans="1:20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</row>
    <row r="833" spans="1:20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</row>
    <row r="834" spans="1:20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</row>
    <row r="835" spans="1:20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</row>
    <row r="836" spans="1:20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</row>
    <row r="837" spans="1:20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</row>
    <row r="838" spans="1:20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</row>
    <row r="839" spans="1:20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</row>
    <row r="840" spans="1:20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</row>
    <row r="841" spans="1:20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</row>
    <row r="842" spans="1:20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</row>
    <row r="843" spans="1:20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</row>
    <row r="844" spans="1:20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</row>
    <row r="845" spans="1:20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</row>
    <row r="846" spans="1:20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</row>
    <row r="847" spans="1:20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</row>
    <row r="848" spans="1:20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</row>
    <row r="849" spans="1:20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</row>
    <row r="850" spans="1:20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</row>
    <row r="851" spans="1:20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</row>
    <row r="852" spans="1:20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</row>
    <row r="853" spans="1:20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</row>
    <row r="854" spans="1:20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</row>
    <row r="855" spans="1:20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</row>
    <row r="856" spans="1:20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</row>
    <row r="857" spans="1:20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</row>
    <row r="858" spans="1:20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</row>
    <row r="859" spans="1:20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</row>
    <row r="860" spans="1:20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</row>
    <row r="861" spans="1:20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</row>
    <row r="862" spans="1:20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</row>
    <row r="863" spans="1:20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</row>
    <row r="864" spans="1:20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</row>
    <row r="865" spans="1:20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</row>
    <row r="866" spans="1:20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</row>
    <row r="867" spans="1:20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</row>
    <row r="868" spans="1:20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</row>
    <row r="869" spans="1:20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</row>
    <row r="870" spans="1:20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</row>
    <row r="871" spans="1:20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</row>
    <row r="872" spans="1:20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</row>
    <row r="873" spans="1:20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</row>
    <row r="874" spans="1:20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</row>
    <row r="875" spans="1:20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</row>
    <row r="876" spans="1:20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</row>
    <row r="877" spans="1:20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</row>
    <row r="878" spans="1:20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</row>
    <row r="879" spans="1:20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</row>
    <row r="880" spans="1:20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</row>
    <row r="881" spans="1:20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</row>
    <row r="882" spans="1:20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</row>
    <row r="883" spans="1:20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</row>
    <row r="884" spans="1:20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</row>
    <row r="885" spans="1:20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</row>
    <row r="886" spans="1:20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</row>
    <row r="887" spans="1:20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</row>
    <row r="888" spans="1:20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</row>
    <row r="889" spans="1:20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</row>
    <row r="890" spans="1:20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</row>
    <row r="891" spans="1:20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</row>
    <row r="892" spans="1:20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</row>
    <row r="893" spans="1:20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</row>
    <row r="894" spans="1:20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</row>
    <row r="895" spans="1:20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</row>
    <row r="896" spans="1:20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</row>
    <row r="897" spans="1:20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</row>
    <row r="898" spans="1:20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</row>
    <row r="899" spans="1:20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</row>
    <row r="900" spans="1:20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</row>
    <row r="901" spans="1:20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</row>
    <row r="902" spans="1:20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</row>
    <row r="903" spans="1:20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</row>
    <row r="904" spans="1:20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</row>
    <row r="905" spans="1:20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</row>
    <row r="906" spans="1:20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</row>
    <row r="907" spans="1:20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</row>
    <row r="908" spans="1:20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</row>
    <row r="909" spans="1:20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</row>
    <row r="910" spans="1:20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</row>
    <row r="911" spans="1:20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</row>
    <row r="912" spans="1:20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</row>
    <row r="913" spans="1:20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</row>
    <row r="914" spans="1:20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</row>
    <row r="915" spans="1:20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</row>
    <row r="916" spans="1:20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</row>
    <row r="917" spans="1:20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</row>
    <row r="918" spans="1:20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</row>
    <row r="919" spans="1:20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</row>
    <row r="920" spans="1:20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</row>
    <row r="921" spans="1:20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</row>
    <row r="922" spans="1:20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</row>
    <row r="923" spans="1:20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</row>
    <row r="924" spans="1:20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</row>
    <row r="925" spans="1:20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8"/>
    </row>
    <row r="926" spans="1:20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8"/>
    </row>
    <row r="927" spans="1:20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8"/>
    </row>
    <row r="928" spans="1:20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8"/>
    </row>
    <row r="929" spans="1:2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8"/>
    </row>
    <row r="930" spans="1:2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8"/>
    </row>
    <row r="931" spans="1:2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8"/>
    </row>
    <row r="932" spans="1:2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8"/>
    </row>
    <row r="933" spans="1:20" x14ac:dyDescent="0.2">
      <c r="A933" s="17"/>
      <c r="B933" s="17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</row>
    <row r="934" spans="1:20" x14ac:dyDescent="0.2">
      <c r="A934" s="17"/>
      <c r="B934" s="17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</row>
    <row r="935" spans="1:20" x14ac:dyDescent="0.2">
      <c r="A935" s="17"/>
      <c r="B935" s="17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</row>
    <row r="936" spans="1:20" x14ac:dyDescent="0.2">
      <c r="A936" s="17"/>
      <c r="B936" s="17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</row>
    <row r="937" spans="1:20" x14ac:dyDescent="0.2">
      <c r="A937" s="17"/>
      <c r="B937" s="17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</row>
    <row r="938" spans="1:20" x14ac:dyDescent="0.2">
      <c r="A938" s="17"/>
      <c r="B938" s="17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</row>
    <row r="939" spans="1:20" x14ac:dyDescent="0.2">
      <c r="A939" s="17"/>
      <c r="B939" s="17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</row>
    <row r="940" spans="1:20" x14ac:dyDescent="0.2">
      <c r="A940" s="17"/>
      <c r="B940" s="17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</row>
    <row r="941" spans="1:20" x14ac:dyDescent="0.2">
      <c r="A941" s="17"/>
      <c r="B941" s="17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</row>
    <row r="942" spans="1:20" x14ac:dyDescent="0.2">
      <c r="A942" s="17"/>
      <c r="B942" s="17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</row>
    <row r="943" spans="1:20" x14ac:dyDescent="0.2">
      <c r="A943" s="17"/>
      <c r="B943" s="17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</row>
    <row r="944" spans="1:20" x14ac:dyDescent="0.2">
      <c r="A944" s="17"/>
      <c r="B944" s="17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</row>
    <row r="945" spans="1:20" x14ac:dyDescent="0.2">
      <c r="A945" s="17"/>
      <c r="B945" s="17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</row>
    <row r="946" spans="1:20" x14ac:dyDescent="0.2">
      <c r="A946" s="17"/>
      <c r="B946" s="17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</row>
    <row r="947" spans="1:20" x14ac:dyDescent="0.2">
      <c r="A947" s="17"/>
      <c r="B947" s="17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</row>
    <row r="948" spans="1:20" x14ac:dyDescent="0.2">
      <c r="A948" s="17"/>
      <c r="B948" s="17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</row>
    <row r="949" spans="1:20" x14ac:dyDescent="0.2">
      <c r="A949" s="17"/>
      <c r="B949" s="17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</row>
    <row r="950" spans="1:20" x14ac:dyDescent="0.2">
      <c r="A950" s="17"/>
      <c r="B950" s="17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</row>
    <row r="951" spans="1:20" x14ac:dyDescent="0.2">
      <c r="A951" s="17"/>
      <c r="B951" s="17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</row>
    <row r="952" spans="1:20" x14ac:dyDescent="0.2">
      <c r="A952" s="17"/>
      <c r="B952" s="17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</row>
    <row r="953" spans="1:20" x14ac:dyDescent="0.2">
      <c r="A953" s="17"/>
      <c r="B953" s="17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</row>
    <row r="954" spans="1:20" x14ac:dyDescent="0.2">
      <c r="A954" s="17"/>
      <c r="B954" s="17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</row>
    <row r="955" spans="1:20" x14ac:dyDescent="0.2">
      <c r="A955" s="17"/>
      <c r="B955" s="17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</row>
    <row r="956" spans="1:20" x14ac:dyDescent="0.2">
      <c r="A956" s="17"/>
      <c r="B956" s="17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</row>
    <row r="957" spans="1:20" x14ac:dyDescent="0.2">
      <c r="A957" s="17"/>
      <c r="B957" s="17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</row>
    <row r="958" spans="1:20" x14ac:dyDescent="0.2">
      <c r="A958" s="17"/>
      <c r="B958" s="17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</row>
    <row r="959" spans="1:20" x14ac:dyDescent="0.2">
      <c r="A959" s="17"/>
      <c r="B959" s="17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</row>
    <row r="960" spans="1:20" x14ac:dyDescent="0.2">
      <c r="A960" s="17"/>
      <c r="B960" s="17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</row>
    <row r="961" spans="1:20" x14ac:dyDescent="0.2">
      <c r="A961" s="17"/>
      <c r="B961" s="17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</row>
    <row r="962" spans="1:20" x14ac:dyDescent="0.2">
      <c r="A962" s="17"/>
      <c r="B962" s="17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</row>
    <row r="963" spans="1:20" x14ac:dyDescent="0.2">
      <c r="A963" s="17"/>
      <c r="B963" s="17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</row>
    <row r="964" spans="1:20" x14ac:dyDescent="0.2">
      <c r="A964" s="17"/>
      <c r="B964" s="17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</row>
    <row r="965" spans="1:20" x14ac:dyDescent="0.2">
      <c r="A965" s="17"/>
      <c r="B965" s="17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</row>
    <row r="966" spans="1:20" x14ac:dyDescent="0.2">
      <c r="A966" s="17"/>
      <c r="B966" s="17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</row>
    <row r="967" spans="1:20" x14ac:dyDescent="0.2">
      <c r="A967" s="17"/>
      <c r="B967" s="17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</row>
    <row r="968" spans="1:20" x14ac:dyDescent="0.2">
      <c r="A968" s="17"/>
      <c r="B968" s="17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</row>
    <row r="969" spans="1:20" x14ac:dyDescent="0.2">
      <c r="A969" s="17"/>
      <c r="B969" s="17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</row>
    <row r="970" spans="1:20" x14ac:dyDescent="0.2">
      <c r="A970" s="17"/>
      <c r="B970" s="17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</row>
    <row r="971" spans="1:20" x14ac:dyDescent="0.2">
      <c r="A971" s="17"/>
      <c r="B971" s="17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</row>
    <row r="972" spans="1:20" x14ac:dyDescent="0.2">
      <c r="A972" s="17"/>
      <c r="B972" s="17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</row>
    <row r="973" spans="1:20" x14ac:dyDescent="0.2">
      <c r="A973" s="17"/>
      <c r="B973" s="17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</row>
    <row r="974" spans="1:20" x14ac:dyDescent="0.2">
      <c r="A974" s="17"/>
      <c r="B974" s="17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</row>
    <row r="975" spans="1:20" x14ac:dyDescent="0.2">
      <c r="A975" s="17"/>
      <c r="B975" s="17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</row>
    <row r="976" spans="1:20" x14ac:dyDescent="0.2">
      <c r="A976" s="17"/>
      <c r="B976" s="17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</row>
    <row r="977" spans="1:20" x14ac:dyDescent="0.2">
      <c r="A977" s="17"/>
      <c r="B977" s="17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</row>
    <row r="978" spans="1:20" x14ac:dyDescent="0.2">
      <c r="A978" s="17"/>
      <c r="B978" s="17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</row>
    <row r="979" spans="1:20" x14ac:dyDescent="0.2">
      <c r="A979" s="17"/>
      <c r="B979" s="17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</row>
    <row r="980" spans="1:20" x14ac:dyDescent="0.2">
      <c r="A980" s="17"/>
      <c r="B980" s="17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</row>
    <row r="981" spans="1:20" x14ac:dyDescent="0.2">
      <c r="A981" s="17"/>
      <c r="B981" s="17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</row>
    <row r="982" spans="1:20" x14ac:dyDescent="0.2">
      <c r="A982" s="17"/>
      <c r="B982" s="17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</row>
    <row r="983" spans="1:20" x14ac:dyDescent="0.2">
      <c r="A983" s="17"/>
      <c r="B983" s="17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</row>
    <row r="984" spans="1:20" x14ac:dyDescent="0.2">
      <c r="A984" s="17"/>
      <c r="B984" s="17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</row>
    <row r="985" spans="1:20" x14ac:dyDescent="0.2">
      <c r="A985" s="17"/>
      <c r="B985" s="17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</row>
    <row r="986" spans="1:20" x14ac:dyDescent="0.2">
      <c r="A986" s="17"/>
      <c r="B986" s="17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</row>
    <row r="987" spans="1:20" x14ac:dyDescent="0.2">
      <c r="A987" s="17"/>
      <c r="B987" s="17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</row>
    <row r="988" spans="1:20" x14ac:dyDescent="0.2">
      <c r="A988" s="17"/>
      <c r="B988" s="17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</row>
    <row r="989" spans="1:20" x14ac:dyDescent="0.2">
      <c r="A989" s="17"/>
      <c r="B989" s="17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</row>
    <row r="990" spans="1:20" x14ac:dyDescent="0.2">
      <c r="A990" s="17"/>
      <c r="B990" s="17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</row>
    <row r="991" spans="1:20" x14ac:dyDescent="0.2">
      <c r="A991" s="17"/>
      <c r="B991" s="17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</row>
    <row r="992" spans="1:20" x14ac:dyDescent="0.2">
      <c r="A992" s="17"/>
      <c r="B992" s="17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</row>
    <row r="993" spans="1:20" x14ac:dyDescent="0.2">
      <c r="A993" s="17"/>
      <c r="B993" s="17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</row>
    <row r="994" spans="1:20" x14ac:dyDescent="0.2">
      <c r="A994" s="17"/>
      <c r="B994" s="17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</row>
    <row r="995" spans="1:20" x14ac:dyDescent="0.2">
      <c r="A995" s="17"/>
      <c r="B995" s="17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</row>
    <row r="996" spans="1:20" x14ac:dyDescent="0.2">
      <c r="A996" s="17"/>
      <c r="B996" s="17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</row>
    <row r="997" spans="1:20" x14ac:dyDescent="0.2">
      <c r="A997" s="17"/>
      <c r="B997" s="17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</row>
    <row r="998" spans="1:20" x14ac:dyDescent="0.2">
      <c r="A998" s="17"/>
      <c r="B998" s="17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</row>
    <row r="999" spans="1:20" x14ac:dyDescent="0.2">
      <c r="A999" s="17"/>
      <c r="B999" s="17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</row>
    <row r="1000" spans="1:20" x14ac:dyDescent="0.2">
      <c r="A1000" s="17"/>
      <c r="B1000" s="17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</row>
    <row r="1001" spans="1:20" x14ac:dyDescent="0.2">
      <c r="A1001" s="17"/>
      <c r="B1001" s="17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</row>
    <row r="1002" spans="1:20" x14ac:dyDescent="0.2">
      <c r="A1002" s="17"/>
      <c r="B1002" s="17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</row>
    <row r="1003" spans="1:20" x14ac:dyDescent="0.2">
      <c r="A1003" s="17"/>
      <c r="B1003" s="17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</row>
    <row r="1004" spans="1:20" x14ac:dyDescent="0.2">
      <c r="A1004" s="17"/>
      <c r="B1004" s="17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</row>
    <row r="1005" spans="1:20" x14ac:dyDescent="0.2">
      <c r="A1005" s="17"/>
      <c r="B1005" s="17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</row>
    <row r="1006" spans="1:20" x14ac:dyDescent="0.2">
      <c r="A1006" s="17"/>
      <c r="B1006" s="17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</row>
    <row r="1007" spans="1:20" x14ac:dyDescent="0.2">
      <c r="A1007" s="17"/>
      <c r="B1007" s="17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</row>
    <row r="1008" spans="1:20" x14ac:dyDescent="0.2">
      <c r="A1008" s="17"/>
      <c r="B1008" s="17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</row>
    <row r="1009" spans="1:20" x14ac:dyDescent="0.2">
      <c r="A1009" s="17"/>
      <c r="B1009" s="17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</row>
    <row r="1010" spans="1:20" x14ac:dyDescent="0.2">
      <c r="A1010" s="17"/>
      <c r="B1010" s="17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</row>
    <row r="1011" spans="1:20" x14ac:dyDescent="0.2">
      <c r="A1011" s="17"/>
      <c r="B1011" s="17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</row>
    <row r="1012" spans="1:20" x14ac:dyDescent="0.2">
      <c r="A1012" s="17"/>
      <c r="B1012" s="17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</row>
    <row r="1013" spans="1:20" x14ac:dyDescent="0.2">
      <c r="A1013" s="17"/>
      <c r="B1013" s="17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</row>
    <row r="1014" spans="1:20" x14ac:dyDescent="0.2">
      <c r="A1014" s="17"/>
      <c r="B1014" s="17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</row>
    <row r="1015" spans="1:20" x14ac:dyDescent="0.2">
      <c r="A1015" s="17"/>
      <c r="B1015" s="17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</row>
    <row r="1016" spans="1:20" x14ac:dyDescent="0.2">
      <c r="A1016" s="17"/>
      <c r="B1016" s="17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</row>
    <row r="1017" spans="1:20" x14ac:dyDescent="0.2">
      <c r="A1017" s="17"/>
      <c r="B1017" s="17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</row>
    <row r="1018" spans="1:20" x14ac:dyDescent="0.2">
      <c r="A1018" s="17"/>
      <c r="B1018" s="17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</row>
    <row r="1019" spans="1:20" x14ac:dyDescent="0.2">
      <c r="A1019" s="17"/>
      <c r="B1019" s="17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</row>
    <row r="1020" spans="1:20" x14ac:dyDescent="0.2">
      <c r="A1020" s="17"/>
      <c r="B1020" s="17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</row>
    <row r="1021" spans="1:20" x14ac:dyDescent="0.2">
      <c r="A1021" s="17"/>
      <c r="B1021" s="17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</row>
    <row r="1022" spans="1:20" x14ac:dyDescent="0.2">
      <c r="A1022" s="17"/>
      <c r="B1022" s="17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</row>
    <row r="1023" spans="1:20" x14ac:dyDescent="0.2">
      <c r="A1023" s="17"/>
      <c r="B1023" s="17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</row>
    <row r="1024" spans="1:20" x14ac:dyDescent="0.2">
      <c r="A1024" s="17"/>
      <c r="B1024" s="17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</row>
    <row r="1025" spans="1:20" x14ac:dyDescent="0.2">
      <c r="A1025" s="17"/>
      <c r="B1025" s="17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</row>
    <row r="1026" spans="1:20" x14ac:dyDescent="0.2">
      <c r="A1026" s="17"/>
      <c r="B1026" s="17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</row>
    <row r="1027" spans="1:20" x14ac:dyDescent="0.2">
      <c r="A1027" s="17"/>
      <c r="B1027" s="17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</row>
    <row r="1028" spans="1:20" x14ac:dyDescent="0.2">
      <c r="A1028" s="17"/>
      <c r="B1028" s="17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</row>
    <row r="1029" spans="1:20" x14ac:dyDescent="0.2">
      <c r="A1029" s="17"/>
      <c r="B1029" s="17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</row>
    <row r="1030" spans="1:20" x14ac:dyDescent="0.2">
      <c r="A1030" s="17"/>
      <c r="B1030" s="17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</row>
    <row r="1031" spans="1:20" x14ac:dyDescent="0.2">
      <c r="A1031" s="17"/>
      <c r="B1031" s="17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</row>
    <row r="1032" spans="1:20" x14ac:dyDescent="0.2">
      <c r="A1032" s="17"/>
      <c r="B1032" s="17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</row>
    <row r="1033" spans="1:20" x14ac:dyDescent="0.2">
      <c r="A1033" s="17"/>
      <c r="B1033" s="17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</row>
    <row r="1034" spans="1:20" x14ac:dyDescent="0.2">
      <c r="A1034" s="17"/>
      <c r="B1034" s="17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</row>
    <row r="1035" spans="1:20" x14ac:dyDescent="0.2">
      <c r="A1035" s="17"/>
      <c r="B1035" s="17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</row>
    <row r="1036" spans="1:20" x14ac:dyDescent="0.2">
      <c r="A1036" s="17"/>
      <c r="B1036" s="17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</row>
    <row r="1037" spans="1:20" x14ac:dyDescent="0.2">
      <c r="A1037" s="17"/>
      <c r="B1037" s="17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</row>
    <row r="1038" spans="1:20" x14ac:dyDescent="0.2">
      <c r="A1038" s="17"/>
      <c r="B1038" s="17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</row>
    <row r="1039" spans="1:20" x14ac:dyDescent="0.2">
      <c r="A1039" s="17"/>
      <c r="B1039" s="17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</row>
    <row r="1040" spans="1:20" x14ac:dyDescent="0.2">
      <c r="A1040" s="17"/>
      <c r="B1040" s="17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</row>
    <row r="1041" spans="1:20" x14ac:dyDescent="0.2">
      <c r="A1041" s="17"/>
      <c r="B1041" s="17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</row>
    <row r="1042" spans="1:20" x14ac:dyDescent="0.2">
      <c r="A1042" s="17"/>
      <c r="B1042" s="17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</row>
    <row r="1043" spans="1:20" x14ac:dyDescent="0.2">
      <c r="A1043" s="17"/>
      <c r="B1043" s="17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</row>
    <row r="1044" spans="1:20" x14ac:dyDescent="0.2">
      <c r="A1044" s="17"/>
      <c r="B1044" s="17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</row>
    <row r="1045" spans="1:20" x14ac:dyDescent="0.2">
      <c r="A1045" s="17"/>
      <c r="B1045" s="17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</row>
    <row r="1046" spans="1:20" x14ac:dyDescent="0.2">
      <c r="A1046" s="17"/>
      <c r="B1046" s="17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</row>
    <row r="1047" spans="1:20" x14ac:dyDescent="0.2">
      <c r="A1047" s="17"/>
      <c r="B1047" s="17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</row>
    <row r="1048" spans="1:20" x14ac:dyDescent="0.2">
      <c r="A1048" s="17"/>
      <c r="B1048" s="17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</row>
    <row r="1049" spans="1:20" x14ac:dyDescent="0.2">
      <c r="A1049" s="17"/>
      <c r="B1049" s="17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</row>
    <row r="1050" spans="1:20" x14ac:dyDescent="0.2">
      <c r="A1050" s="17"/>
      <c r="B1050" s="17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</row>
    <row r="1051" spans="1:20" x14ac:dyDescent="0.2">
      <c r="A1051" s="17"/>
      <c r="B1051" s="17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</row>
    <row r="1052" spans="1:20" x14ac:dyDescent="0.2">
      <c r="A1052" s="17"/>
      <c r="B1052" s="17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</row>
    <row r="1053" spans="1:20" x14ac:dyDescent="0.2">
      <c r="A1053" s="17"/>
      <c r="B1053" s="17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</row>
    <row r="1054" spans="1:20" x14ac:dyDescent="0.2">
      <c r="A1054" s="17"/>
      <c r="B1054" s="17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</row>
    <row r="1055" spans="1:20" x14ac:dyDescent="0.2">
      <c r="A1055" s="17"/>
      <c r="B1055" s="17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</row>
    <row r="1056" spans="1:20" x14ac:dyDescent="0.2">
      <c r="A1056" s="17"/>
      <c r="B1056" s="17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</row>
    <row r="1057" spans="1:20" x14ac:dyDescent="0.2">
      <c r="A1057" s="17"/>
      <c r="B1057" s="17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</row>
    <row r="1058" spans="1:20" x14ac:dyDescent="0.2">
      <c r="A1058" s="17"/>
      <c r="B1058" s="17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</row>
    <row r="1059" spans="1:20" x14ac:dyDescent="0.2">
      <c r="A1059" s="17"/>
      <c r="B1059" s="17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</row>
    <row r="1060" spans="1:20" x14ac:dyDescent="0.2">
      <c r="A1060" s="17"/>
      <c r="B1060" s="17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</row>
    <row r="1061" spans="1:20" x14ac:dyDescent="0.2">
      <c r="A1061" s="17"/>
      <c r="B1061" s="17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</row>
    <row r="1062" spans="1:20" x14ac:dyDescent="0.2">
      <c r="A1062" s="17"/>
      <c r="B1062" s="17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</row>
    <row r="1063" spans="1:20" x14ac:dyDescent="0.2">
      <c r="A1063" s="17"/>
      <c r="B1063" s="17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</row>
    <row r="1064" spans="1:20" x14ac:dyDescent="0.2">
      <c r="A1064" s="17"/>
      <c r="B1064" s="17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</row>
    <row r="1065" spans="1:20" x14ac:dyDescent="0.2">
      <c r="A1065" s="17"/>
      <c r="B1065" s="17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</row>
    <row r="1066" spans="1:20" x14ac:dyDescent="0.2">
      <c r="A1066" s="17"/>
      <c r="B1066" s="17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</row>
    <row r="1067" spans="1:20" x14ac:dyDescent="0.2">
      <c r="A1067" s="17"/>
      <c r="B1067" s="17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</row>
    <row r="1068" spans="1:20" x14ac:dyDescent="0.2">
      <c r="A1068" s="17"/>
      <c r="B1068" s="17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</row>
    <row r="1069" spans="1:20" x14ac:dyDescent="0.2">
      <c r="A1069" s="17"/>
      <c r="B1069" s="17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</row>
    <row r="1070" spans="1:20" x14ac:dyDescent="0.2">
      <c r="A1070" s="17"/>
      <c r="B1070" s="17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</row>
    <row r="1071" spans="1:20" x14ac:dyDescent="0.2">
      <c r="A1071" s="17"/>
      <c r="B1071" s="17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</row>
    <row r="1072" spans="1:20" x14ac:dyDescent="0.2">
      <c r="A1072" s="17"/>
      <c r="B1072" s="17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</row>
    <row r="1073" spans="1:20" x14ac:dyDescent="0.2">
      <c r="A1073" s="17"/>
      <c r="B1073" s="17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</row>
    <row r="1074" spans="1:20" x14ac:dyDescent="0.2">
      <c r="A1074" s="17"/>
      <c r="B1074" s="17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</row>
    <row r="1075" spans="1:20" x14ac:dyDescent="0.2">
      <c r="A1075" s="17"/>
      <c r="B1075" s="17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</row>
    <row r="1076" spans="1:20" x14ac:dyDescent="0.2">
      <c r="A1076" s="17"/>
      <c r="B1076" s="17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</row>
    <row r="1077" spans="1:20" x14ac:dyDescent="0.2">
      <c r="A1077" s="17"/>
      <c r="B1077" s="17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</row>
    <row r="1078" spans="1:20" x14ac:dyDescent="0.2">
      <c r="A1078" s="17"/>
      <c r="B1078" s="17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</row>
    <row r="1079" spans="1:20" x14ac:dyDescent="0.2">
      <c r="A1079" s="17"/>
      <c r="B1079" s="17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</row>
    <row r="1080" spans="1:20" x14ac:dyDescent="0.2">
      <c r="A1080" s="17"/>
      <c r="B1080" s="17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</row>
    <row r="1081" spans="1:20" x14ac:dyDescent="0.2">
      <c r="A1081" s="17"/>
      <c r="B1081" s="17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</row>
    <row r="1082" spans="1:20" x14ac:dyDescent="0.2">
      <c r="A1082" s="17"/>
      <c r="B1082" s="17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</row>
    <row r="1083" spans="1:20" x14ac:dyDescent="0.2">
      <c r="A1083" s="17"/>
      <c r="B1083" s="17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</row>
    <row r="1084" spans="1:20" x14ac:dyDescent="0.2">
      <c r="A1084" s="17"/>
      <c r="B1084" s="17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</row>
    <row r="1085" spans="1:20" x14ac:dyDescent="0.2">
      <c r="A1085" s="17"/>
      <c r="B1085" s="17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</row>
    <row r="1086" spans="1:20" x14ac:dyDescent="0.2">
      <c r="A1086" s="17"/>
      <c r="B1086" s="17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</row>
    <row r="1087" spans="1:20" x14ac:dyDescent="0.2">
      <c r="A1087" s="17"/>
      <c r="B1087" s="17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</row>
    <row r="1088" spans="1:20" x14ac:dyDescent="0.2">
      <c r="A1088" s="17"/>
      <c r="B1088" s="17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</row>
    <row r="1089" spans="1:20" x14ac:dyDescent="0.2">
      <c r="A1089" s="17"/>
      <c r="B1089" s="17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</row>
    <row r="1090" spans="1:20" x14ac:dyDescent="0.2">
      <c r="A1090" s="17"/>
      <c r="B1090" s="17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</row>
    <row r="1091" spans="1:20" x14ac:dyDescent="0.2">
      <c r="A1091" s="17"/>
      <c r="B1091" s="17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</row>
    <row r="1092" spans="1:20" x14ac:dyDescent="0.2">
      <c r="A1092" s="17"/>
      <c r="B1092" s="17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</row>
    <row r="1093" spans="1:20" x14ac:dyDescent="0.2">
      <c r="A1093" s="17"/>
      <c r="B1093" s="17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</row>
    <row r="1094" spans="1:20" x14ac:dyDescent="0.2">
      <c r="A1094" s="17"/>
      <c r="B1094" s="17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</row>
    <row r="1095" spans="1:20" x14ac:dyDescent="0.2">
      <c r="A1095" s="17"/>
      <c r="B1095" s="17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</row>
    <row r="1096" spans="1:20" x14ac:dyDescent="0.2">
      <c r="A1096" s="17"/>
      <c r="B1096" s="17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</row>
    <row r="1097" spans="1:20" x14ac:dyDescent="0.2">
      <c r="A1097" s="17"/>
      <c r="B1097" s="17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</row>
    <row r="1098" spans="1:20" x14ac:dyDescent="0.2">
      <c r="A1098" s="17"/>
      <c r="B1098" s="17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</row>
    <row r="1099" spans="1:20" x14ac:dyDescent="0.2">
      <c r="A1099" s="17"/>
      <c r="B1099" s="17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</row>
    <row r="1100" spans="1:20" x14ac:dyDescent="0.2">
      <c r="A1100" s="17"/>
      <c r="B1100" s="17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</row>
    <row r="1101" spans="1:20" x14ac:dyDescent="0.2">
      <c r="A1101" s="17"/>
      <c r="B1101" s="17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</row>
    <row r="1102" spans="1:20" x14ac:dyDescent="0.2">
      <c r="A1102" s="17"/>
      <c r="B1102" s="17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</row>
    <row r="1103" spans="1:20" x14ac:dyDescent="0.2">
      <c r="A1103" s="17"/>
      <c r="B1103" s="17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</row>
    <row r="1104" spans="1:20" x14ac:dyDescent="0.2">
      <c r="A1104" s="17"/>
      <c r="B1104" s="17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</row>
    <row r="1105" spans="1:20" x14ac:dyDescent="0.2">
      <c r="A1105" s="17"/>
      <c r="B1105" s="17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</row>
    <row r="1106" spans="1:20" x14ac:dyDescent="0.2">
      <c r="A1106" s="17"/>
      <c r="B1106" s="17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</row>
    <row r="1107" spans="1:20" x14ac:dyDescent="0.2">
      <c r="A1107" s="17"/>
      <c r="B1107" s="17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</row>
    <row r="1108" spans="1:20" x14ac:dyDescent="0.2">
      <c r="A1108" s="17"/>
      <c r="B1108" s="17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</row>
    <row r="1109" spans="1:20" x14ac:dyDescent="0.2">
      <c r="A1109" s="17"/>
      <c r="B1109" s="17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</row>
    <row r="1110" spans="1:20" x14ac:dyDescent="0.2">
      <c r="A1110" s="17"/>
      <c r="B1110" s="17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</row>
    <row r="1111" spans="1:20" x14ac:dyDescent="0.2">
      <c r="A1111" s="17"/>
      <c r="B1111" s="17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</row>
    <row r="1112" spans="1:20" x14ac:dyDescent="0.2">
      <c r="A1112" s="17"/>
      <c r="B1112" s="17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</row>
    <row r="1113" spans="1:20" x14ac:dyDescent="0.2">
      <c r="A1113" s="17"/>
      <c r="B1113" s="17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</row>
    <row r="1114" spans="1:20" x14ac:dyDescent="0.2">
      <c r="A1114" s="17"/>
      <c r="B1114" s="17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</row>
    <row r="1115" spans="1:20" x14ac:dyDescent="0.2">
      <c r="A1115" s="17"/>
      <c r="B1115" s="17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</row>
    <row r="1116" spans="1:20" x14ac:dyDescent="0.2">
      <c r="A1116" s="17"/>
      <c r="B1116" s="17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</row>
    <row r="1117" spans="1:20" x14ac:dyDescent="0.2">
      <c r="A1117" s="17"/>
      <c r="B1117" s="17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</row>
    <row r="1118" spans="1:20" x14ac:dyDescent="0.2">
      <c r="A1118" s="17"/>
      <c r="B1118" s="17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</row>
    <row r="1119" spans="1:20" x14ac:dyDescent="0.2">
      <c r="A1119" s="17"/>
      <c r="B1119" s="17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</row>
    <row r="1120" spans="1:20" x14ac:dyDescent="0.2">
      <c r="A1120" s="17"/>
      <c r="B1120" s="17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</row>
    <row r="1121" spans="1:20" x14ac:dyDescent="0.2">
      <c r="A1121" s="17"/>
      <c r="B1121" s="17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</row>
    <row r="1122" spans="1:20" x14ac:dyDescent="0.2">
      <c r="A1122" s="17"/>
      <c r="B1122" s="17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</row>
    <row r="1123" spans="1:20" x14ac:dyDescent="0.2">
      <c r="A1123" s="17"/>
      <c r="B1123" s="17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</row>
    <row r="1124" spans="1:20" x14ac:dyDescent="0.2">
      <c r="A1124" s="17"/>
      <c r="B1124" s="17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</row>
    <row r="1125" spans="1:20" x14ac:dyDescent="0.2">
      <c r="A1125" s="17"/>
      <c r="B1125" s="17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</row>
    <row r="1126" spans="1:20" x14ac:dyDescent="0.2">
      <c r="A1126" s="17"/>
      <c r="B1126" s="17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</row>
    <row r="1127" spans="1:20" x14ac:dyDescent="0.2">
      <c r="A1127" s="17"/>
      <c r="B1127" s="17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</row>
    <row r="1128" spans="1:20" x14ac:dyDescent="0.2">
      <c r="A1128" s="17"/>
      <c r="B1128" s="17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</row>
    <row r="1129" spans="1:20" x14ac:dyDescent="0.2">
      <c r="A1129" s="17"/>
      <c r="B1129" s="17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</row>
    <row r="1130" spans="1:20" x14ac:dyDescent="0.2">
      <c r="A1130" s="17"/>
      <c r="B1130" s="17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</row>
    <row r="1131" spans="1:20" x14ac:dyDescent="0.2">
      <c r="A1131" s="17"/>
      <c r="B1131" s="17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</row>
    <row r="1132" spans="1:20" x14ac:dyDescent="0.2">
      <c r="A1132" s="17"/>
      <c r="B1132" s="17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</row>
    <row r="1133" spans="1:20" x14ac:dyDescent="0.2">
      <c r="A1133" s="17"/>
      <c r="B1133" s="17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</row>
    <row r="1134" spans="1:20" x14ac:dyDescent="0.2">
      <c r="A1134" s="17"/>
      <c r="B1134" s="17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</row>
    <row r="1135" spans="1:20" x14ac:dyDescent="0.2">
      <c r="A1135" s="17"/>
      <c r="B1135" s="17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</row>
    <row r="1136" spans="1:20" x14ac:dyDescent="0.2">
      <c r="A1136" s="17"/>
      <c r="B1136" s="17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</row>
    <row r="1137" spans="1:20" x14ac:dyDescent="0.2">
      <c r="A1137" s="17"/>
      <c r="B1137" s="17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</row>
    <row r="1138" spans="1:20" x14ac:dyDescent="0.2">
      <c r="A1138" s="17"/>
      <c r="B1138" s="17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</row>
    <row r="1139" spans="1:20" x14ac:dyDescent="0.2">
      <c r="A1139" s="17"/>
      <c r="B1139" s="17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</row>
    <row r="1140" spans="1:20" x14ac:dyDescent="0.2">
      <c r="A1140" s="17"/>
      <c r="B1140" s="17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</row>
    <row r="1141" spans="1:20" x14ac:dyDescent="0.2">
      <c r="A1141" s="17"/>
      <c r="B1141" s="17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</row>
    <row r="1142" spans="1:20" x14ac:dyDescent="0.2">
      <c r="A1142" s="17"/>
      <c r="B1142" s="17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</row>
    <row r="1143" spans="1:20" x14ac:dyDescent="0.2">
      <c r="A1143" s="17"/>
      <c r="B1143" s="17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</row>
    <row r="1144" spans="1:20" x14ac:dyDescent="0.2">
      <c r="A1144" s="17"/>
      <c r="B1144" s="17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</row>
    <row r="1145" spans="1:20" x14ac:dyDescent="0.2">
      <c r="A1145" s="17"/>
      <c r="B1145" s="17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</row>
    <row r="1146" spans="1:20" x14ac:dyDescent="0.2">
      <c r="A1146" s="17"/>
      <c r="B1146" s="17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</row>
    <row r="1147" spans="1:20" x14ac:dyDescent="0.2">
      <c r="A1147" s="17"/>
      <c r="B1147" s="17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</row>
    <row r="1148" spans="1:20" x14ac:dyDescent="0.2">
      <c r="A1148" s="17"/>
      <c r="B1148" s="17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</row>
    <row r="1149" spans="1:20" x14ac:dyDescent="0.2">
      <c r="A1149" s="17"/>
      <c r="B1149" s="17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</row>
    <row r="1150" spans="1:20" x14ac:dyDescent="0.2">
      <c r="A1150" s="17"/>
      <c r="B1150" s="17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</row>
    <row r="1151" spans="1:20" x14ac:dyDescent="0.2">
      <c r="A1151" s="17"/>
      <c r="B1151" s="17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</row>
    <row r="1152" spans="1:20" x14ac:dyDescent="0.2">
      <c r="A1152" s="17"/>
      <c r="B1152" s="17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</row>
    <row r="1153" spans="1:20" x14ac:dyDescent="0.2">
      <c r="A1153" s="17"/>
      <c r="B1153" s="17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</row>
    <row r="1154" spans="1:20" x14ac:dyDescent="0.2">
      <c r="A1154" s="17"/>
      <c r="B1154" s="17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</row>
    <row r="1155" spans="1:20" x14ac:dyDescent="0.2">
      <c r="A1155" s="17"/>
      <c r="B1155" s="17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</row>
    <row r="1156" spans="1:20" x14ac:dyDescent="0.2">
      <c r="A1156" s="17"/>
      <c r="B1156" s="17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</row>
    <row r="1157" spans="1:20" x14ac:dyDescent="0.2">
      <c r="A1157" s="17"/>
      <c r="B1157" s="17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</row>
    <row r="1158" spans="1:20" x14ac:dyDescent="0.2">
      <c r="A1158" s="17"/>
      <c r="B1158" s="17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</row>
    <row r="1159" spans="1:20" x14ac:dyDescent="0.2">
      <c r="A1159" s="17"/>
      <c r="B1159" s="17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</row>
    <row r="1160" spans="1:20" x14ac:dyDescent="0.2">
      <c r="A1160" s="17"/>
      <c r="B1160" s="17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</row>
    <row r="1161" spans="1:20" x14ac:dyDescent="0.2">
      <c r="A1161" s="17"/>
      <c r="B1161" s="17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</row>
    <row r="1162" spans="1:20" x14ac:dyDescent="0.2">
      <c r="A1162" s="17"/>
      <c r="B1162" s="17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</row>
    <row r="1163" spans="1:20" x14ac:dyDescent="0.2">
      <c r="A1163" s="17"/>
      <c r="B1163" s="17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</row>
    <row r="1164" spans="1:20" x14ac:dyDescent="0.2">
      <c r="A1164" s="17"/>
      <c r="B1164" s="17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</row>
    <row r="1165" spans="1:20" x14ac:dyDescent="0.2">
      <c r="A1165" s="17"/>
      <c r="B1165" s="17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</row>
    <row r="1166" spans="1:20" x14ac:dyDescent="0.2">
      <c r="A1166" s="17"/>
      <c r="B1166" s="17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</row>
    <row r="1167" spans="1:20" x14ac:dyDescent="0.2">
      <c r="A1167" s="17"/>
      <c r="B1167" s="17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</row>
    <row r="1168" spans="1:20" x14ac:dyDescent="0.2">
      <c r="A1168" s="17"/>
      <c r="B1168" s="17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</row>
    <row r="1169" spans="1:20" x14ac:dyDescent="0.2">
      <c r="A1169" s="17"/>
      <c r="B1169" s="17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</row>
    <row r="1170" spans="1:20" x14ac:dyDescent="0.2">
      <c r="A1170" s="17"/>
      <c r="B1170" s="17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</row>
    <row r="1171" spans="1:20" x14ac:dyDescent="0.2">
      <c r="A1171" s="17"/>
      <c r="B1171" s="17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</row>
    <row r="1172" spans="1:20" x14ac:dyDescent="0.2">
      <c r="A1172" s="17"/>
      <c r="B1172" s="17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</row>
    <row r="1173" spans="1:20" x14ac:dyDescent="0.2">
      <c r="A1173" s="17"/>
      <c r="B1173" s="17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</row>
    <row r="1174" spans="1:20" x14ac:dyDescent="0.2">
      <c r="A1174" s="17"/>
      <c r="B1174" s="17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</row>
    <row r="1175" spans="1:20" x14ac:dyDescent="0.2">
      <c r="A1175" s="17"/>
      <c r="B1175" s="17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</row>
    <row r="1176" spans="1:20" x14ac:dyDescent="0.2">
      <c r="A1176" s="17"/>
      <c r="B1176" s="17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</row>
    <row r="1177" spans="1:20" x14ac:dyDescent="0.2">
      <c r="A1177" s="17"/>
      <c r="B1177" s="17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</row>
    <row r="1178" spans="1:20" x14ac:dyDescent="0.2">
      <c r="A1178" s="17"/>
      <c r="B1178" s="17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</row>
    <row r="1179" spans="1:20" x14ac:dyDescent="0.2">
      <c r="A1179" s="17"/>
      <c r="B1179" s="17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</row>
    <row r="1180" spans="1:20" x14ac:dyDescent="0.2">
      <c r="A1180" s="17"/>
      <c r="B1180" s="17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</row>
    <row r="1181" spans="1:20" x14ac:dyDescent="0.2">
      <c r="A1181" s="17"/>
      <c r="B1181" s="17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</row>
    <row r="1182" spans="1:20" x14ac:dyDescent="0.2">
      <c r="A1182" s="17"/>
      <c r="B1182" s="17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</row>
    <row r="1183" spans="1:20" x14ac:dyDescent="0.2">
      <c r="A1183" s="17"/>
      <c r="B1183" s="17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</row>
    <row r="1184" spans="1:20" x14ac:dyDescent="0.2">
      <c r="A1184" s="17"/>
      <c r="B1184" s="17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</row>
    <row r="1185" spans="1:20" x14ac:dyDescent="0.2">
      <c r="A1185" s="17"/>
      <c r="B1185" s="17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</row>
    <row r="1186" spans="1:20" x14ac:dyDescent="0.2">
      <c r="A1186" s="17"/>
      <c r="B1186" s="17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</row>
    <row r="1187" spans="1:20" x14ac:dyDescent="0.2">
      <c r="A1187" s="17"/>
      <c r="B1187" s="17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</row>
    <row r="1188" spans="1:20" x14ac:dyDescent="0.2">
      <c r="A1188" s="17"/>
      <c r="B1188" s="17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</row>
    <row r="1189" spans="1:20" x14ac:dyDescent="0.2">
      <c r="A1189" s="17"/>
      <c r="B1189" s="17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</row>
    <row r="1190" spans="1:20" x14ac:dyDescent="0.2">
      <c r="A1190" s="17"/>
      <c r="B1190" s="17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</row>
    <row r="1191" spans="1:20" x14ac:dyDescent="0.2">
      <c r="A1191" s="17"/>
      <c r="B1191" s="17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</row>
    <row r="1192" spans="1:20" x14ac:dyDescent="0.2">
      <c r="A1192" s="17"/>
      <c r="B1192" s="17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</row>
    <row r="1193" spans="1:20" x14ac:dyDescent="0.2">
      <c r="A1193" s="17"/>
      <c r="B1193" s="17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</row>
    <row r="1194" spans="1:20" x14ac:dyDescent="0.2">
      <c r="A1194" s="17"/>
      <c r="B1194" s="17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</row>
    <row r="1195" spans="1:20" x14ac:dyDescent="0.2">
      <c r="A1195" s="17"/>
      <c r="B1195" s="17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</row>
    <row r="1196" spans="1:20" x14ac:dyDescent="0.2">
      <c r="A1196" s="17"/>
      <c r="B1196" s="17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</row>
    <row r="1197" spans="1:20" x14ac:dyDescent="0.2">
      <c r="A1197" s="17"/>
      <c r="B1197" s="17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</row>
    <row r="1198" spans="1:20" x14ac:dyDescent="0.2">
      <c r="A1198" s="17"/>
      <c r="B1198" s="17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</row>
    <row r="1199" spans="1:20" x14ac:dyDescent="0.2">
      <c r="A1199" s="17"/>
      <c r="B1199" s="17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</row>
    <row r="1200" spans="1:20" x14ac:dyDescent="0.2">
      <c r="A1200" s="17"/>
      <c r="B1200" s="17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</row>
    <row r="1201" spans="1:20" x14ac:dyDescent="0.2">
      <c r="A1201" s="17"/>
      <c r="B1201" s="17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</row>
    <row r="1202" spans="1:20" x14ac:dyDescent="0.2">
      <c r="A1202" s="17"/>
      <c r="B1202" s="17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</row>
    <row r="1203" spans="1:20" x14ac:dyDescent="0.2">
      <c r="A1203" s="17"/>
      <c r="B1203" s="17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</row>
    <row r="1204" spans="1:20" x14ac:dyDescent="0.2">
      <c r="A1204" s="17"/>
      <c r="B1204" s="17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</row>
    <row r="1205" spans="1:20" x14ac:dyDescent="0.2">
      <c r="A1205" s="17"/>
      <c r="B1205" s="17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</row>
    <row r="1206" spans="1:20" x14ac:dyDescent="0.2">
      <c r="A1206" s="17"/>
      <c r="B1206" s="17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</row>
    <row r="1207" spans="1:20" x14ac:dyDescent="0.2">
      <c r="A1207" s="17"/>
      <c r="B1207" s="17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</row>
    <row r="1208" spans="1:20" x14ac:dyDescent="0.2">
      <c r="A1208" s="17"/>
      <c r="B1208" s="17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</row>
    <row r="1209" spans="1:20" x14ac:dyDescent="0.2">
      <c r="A1209" s="17"/>
      <c r="B1209" s="17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</row>
    <row r="1210" spans="1:20" x14ac:dyDescent="0.2">
      <c r="A1210" s="17"/>
      <c r="B1210" s="17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</row>
    <row r="1211" spans="1:20" x14ac:dyDescent="0.2">
      <c r="A1211" s="17"/>
      <c r="B1211" s="17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</row>
    <row r="1212" spans="1:20" x14ac:dyDescent="0.2">
      <c r="A1212" s="17"/>
      <c r="B1212" s="17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</row>
    <row r="1213" spans="1:20" x14ac:dyDescent="0.2">
      <c r="A1213" s="17"/>
      <c r="B1213" s="17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</row>
    <row r="1214" spans="1:20" x14ac:dyDescent="0.2">
      <c r="A1214" s="17"/>
      <c r="B1214" s="17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</row>
    <row r="1215" spans="1:20" x14ac:dyDescent="0.2">
      <c r="A1215" s="17"/>
      <c r="B1215" s="17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</row>
    <row r="1216" spans="1:20" x14ac:dyDescent="0.2">
      <c r="A1216" s="17"/>
      <c r="B1216" s="17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</row>
    <row r="1217" spans="1:20" x14ac:dyDescent="0.2">
      <c r="A1217" s="17"/>
      <c r="B1217" s="17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</row>
    <row r="1218" spans="1:20" x14ac:dyDescent="0.2">
      <c r="A1218" s="17"/>
      <c r="B1218" s="17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</row>
    <row r="1219" spans="1:20" x14ac:dyDescent="0.2">
      <c r="A1219" s="17"/>
      <c r="B1219" s="17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</row>
    <row r="1220" spans="1:20" x14ac:dyDescent="0.2">
      <c r="A1220" s="17"/>
      <c r="B1220" s="17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</row>
    <row r="1221" spans="1:20" x14ac:dyDescent="0.2">
      <c r="A1221" s="17"/>
      <c r="B1221" s="17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</row>
    <row r="1222" spans="1:20" x14ac:dyDescent="0.2">
      <c r="A1222" s="17"/>
      <c r="B1222" s="17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</row>
    <row r="1223" spans="1:20" x14ac:dyDescent="0.2">
      <c r="A1223" s="17"/>
      <c r="B1223" s="17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</row>
    <row r="1224" spans="1:20" x14ac:dyDescent="0.2">
      <c r="A1224" s="17"/>
      <c r="B1224" s="17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</row>
    <row r="1225" spans="1:20" x14ac:dyDescent="0.2">
      <c r="A1225" s="17"/>
      <c r="B1225" s="17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</row>
    <row r="1226" spans="1:20" x14ac:dyDescent="0.2">
      <c r="A1226" s="17"/>
      <c r="B1226" s="17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</row>
    <row r="1227" spans="1:20" x14ac:dyDescent="0.2">
      <c r="A1227" s="17"/>
      <c r="B1227" s="17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</row>
    <row r="1228" spans="1:20" x14ac:dyDescent="0.2">
      <c r="A1228" s="17"/>
      <c r="B1228" s="17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</row>
    <row r="1229" spans="1:20" x14ac:dyDescent="0.2">
      <c r="A1229" s="17"/>
      <c r="B1229" s="17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</row>
    <row r="1230" spans="1:20" x14ac:dyDescent="0.2">
      <c r="A1230" s="17"/>
      <c r="B1230" s="17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</row>
    <row r="1231" spans="1:20" x14ac:dyDescent="0.2">
      <c r="A1231" s="17"/>
      <c r="B1231" s="17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</row>
    <row r="1232" spans="1:20" x14ac:dyDescent="0.2">
      <c r="A1232" s="17"/>
      <c r="B1232" s="17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</row>
    <row r="1233" spans="1:20" x14ac:dyDescent="0.2">
      <c r="A1233" s="17"/>
      <c r="B1233" s="17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</row>
    <row r="1234" spans="1:20" x14ac:dyDescent="0.2">
      <c r="A1234" s="17"/>
      <c r="B1234" s="17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</row>
    <row r="1235" spans="1:20" x14ac:dyDescent="0.2">
      <c r="A1235" s="17"/>
      <c r="B1235" s="17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</row>
    <row r="1236" spans="1:20" x14ac:dyDescent="0.2">
      <c r="A1236" s="17"/>
      <c r="B1236" s="17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</row>
    <row r="1237" spans="1:20" x14ac:dyDescent="0.2">
      <c r="A1237" s="17"/>
      <c r="B1237" s="17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</row>
    <row r="1238" spans="1:20" x14ac:dyDescent="0.2">
      <c r="A1238" s="17"/>
      <c r="B1238" s="17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</row>
    <row r="1239" spans="1:20" x14ac:dyDescent="0.2">
      <c r="A1239" s="17"/>
      <c r="B1239" s="17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</row>
    <row r="1240" spans="1:20" x14ac:dyDescent="0.2">
      <c r="A1240" s="17"/>
      <c r="B1240" s="17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</row>
    <row r="1241" spans="1:20" x14ac:dyDescent="0.2">
      <c r="A1241" s="17"/>
      <c r="B1241" s="17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</row>
    <row r="1242" spans="1:20" x14ac:dyDescent="0.2">
      <c r="A1242" s="17"/>
      <c r="B1242" s="17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</row>
    <row r="1243" spans="1:20" x14ac:dyDescent="0.2">
      <c r="A1243" s="17"/>
      <c r="B1243" s="17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</row>
    <row r="1244" spans="1:20" x14ac:dyDescent="0.2">
      <c r="A1244" s="17"/>
      <c r="B1244" s="17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</row>
    <row r="1245" spans="1:20" x14ac:dyDescent="0.2">
      <c r="A1245" s="17"/>
      <c r="B1245" s="17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</row>
    <row r="1246" spans="1:20" x14ac:dyDescent="0.2">
      <c r="A1246" s="17"/>
      <c r="B1246" s="17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</row>
    <row r="1247" spans="1:20" x14ac:dyDescent="0.2">
      <c r="A1247" s="17"/>
      <c r="B1247" s="17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</row>
    <row r="1248" spans="1:20" x14ac:dyDescent="0.2">
      <c r="A1248" s="17"/>
      <c r="B1248" s="17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</row>
    <row r="1249" spans="1:20" x14ac:dyDescent="0.2">
      <c r="A1249" s="17"/>
      <c r="B1249" s="17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</row>
    <row r="1250" spans="1:20" x14ac:dyDescent="0.2">
      <c r="A1250" s="17"/>
      <c r="B1250" s="17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</row>
    <row r="1251" spans="1:20" x14ac:dyDescent="0.2">
      <c r="A1251" s="17"/>
      <c r="B1251" s="17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</row>
    <row r="1252" spans="1:20" x14ac:dyDescent="0.2">
      <c r="A1252" s="17"/>
      <c r="B1252" s="17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</row>
    <row r="1253" spans="1:20" x14ac:dyDescent="0.2">
      <c r="A1253" s="17"/>
      <c r="B1253" s="17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</row>
    <row r="1254" spans="1:20" x14ac:dyDescent="0.2">
      <c r="A1254" s="17"/>
      <c r="B1254" s="17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</row>
    <row r="1255" spans="1:20" x14ac:dyDescent="0.2">
      <c r="A1255" s="17"/>
      <c r="B1255" s="17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</row>
    <row r="1256" spans="1:20" x14ac:dyDescent="0.2">
      <c r="A1256" s="17"/>
      <c r="B1256" s="17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</row>
    <row r="1257" spans="1:20" x14ac:dyDescent="0.2">
      <c r="A1257" s="17"/>
      <c r="B1257" s="17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</row>
    <row r="1258" spans="1:20" x14ac:dyDescent="0.2">
      <c r="A1258" s="17"/>
      <c r="B1258" s="17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</row>
    <row r="1259" spans="1:20" x14ac:dyDescent="0.2">
      <c r="A1259" s="17"/>
      <c r="B1259" s="17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</row>
    <row r="1260" spans="1:20" x14ac:dyDescent="0.2">
      <c r="A1260" s="17"/>
      <c r="B1260" s="17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</row>
    <row r="1261" spans="1:20" x14ac:dyDescent="0.2">
      <c r="A1261" s="17"/>
      <c r="B1261" s="17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</row>
    <row r="1262" spans="1:20" x14ac:dyDescent="0.2">
      <c r="A1262" s="17"/>
      <c r="B1262" s="17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</row>
    <row r="1263" spans="1:20" x14ac:dyDescent="0.2">
      <c r="A1263" s="17"/>
      <c r="B1263" s="17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</row>
    <row r="1264" spans="1:20" x14ac:dyDescent="0.2">
      <c r="A1264" s="17"/>
      <c r="B1264" s="17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</row>
    <row r="1265" spans="1:20" x14ac:dyDescent="0.2">
      <c r="A1265" s="17"/>
      <c r="B1265" s="17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</row>
    <row r="1266" spans="1:20" x14ac:dyDescent="0.2">
      <c r="A1266" s="17"/>
      <c r="B1266" s="17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</row>
    <row r="1267" spans="1:20" x14ac:dyDescent="0.2">
      <c r="A1267" s="17"/>
      <c r="B1267" s="17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</row>
    <row r="1268" spans="1:20" x14ac:dyDescent="0.2">
      <c r="A1268" s="17"/>
      <c r="B1268" s="17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</row>
    <row r="1269" spans="1:20" x14ac:dyDescent="0.2">
      <c r="A1269" s="17"/>
      <c r="B1269" s="17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</row>
    <row r="1270" spans="1:20" x14ac:dyDescent="0.2">
      <c r="A1270" s="17"/>
      <c r="B1270" s="17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</row>
    <row r="1271" spans="1:20" x14ac:dyDescent="0.2">
      <c r="A1271" s="17"/>
      <c r="B1271" s="17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</row>
    <row r="1272" spans="1:20" x14ac:dyDescent="0.2">
      <c r="A1272" s="17"/>
      <c r="B1272" s="17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</row>
    <row r="1273" spans="1:20" x14ac:dyDescent="0.2">
      <c r="A1273" s="17"/>
      <c r="B1273" s="17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</row>
    <row r="1274" spans="1:20" x14ac:dyDescent="0.2">
      <c r="A1274" s="17"/>
      <c r="B1274" s="17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</row>
    <row r="1275" spans="1:20" x14ac:dyDescent="0.2">
      <c r="A1275" s="17"/>
      <c r="B1275" s="17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</row>
    <row r="1276" spans="1:20" x14ac:dyDescent="0.2">
      <c r="A1276" s="17"/>
      <c r="B1276" s="17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</row>
    <row r="1277" spans="1:20" x14ac:dyDescent="0.2">
      <c r="A1277" s="17"/>
      <c r="B1277" s="17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</row>
    <row r="1278" spans="1:20" x14ac:dyDescent="0.2">
      <c r="A1278" s="17"/>
      <c r="B1278" s="17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</row>
    <row r="1279" spans="1:20" x14ac:dyDescent="0.2">
      <c r="A1279" s="17"/>
      <c r="B1279" s="17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</row>
    <row r="1280" spans="1:20" x14ac:dyDescent="0.2">
      <c r="A1280" s="17"/>
      <c r="B1280" s="17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</row>
    <row r="1281" spans="1:20" x14ac:dyDescent="0.2">
      <c r="A1281" s="17"/>
      <c r="B1281" s="17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</row>
    <row r="1282" spans="1:20" x14ac:dyDescent="0.2">
      <c r="A1282" s="17"/>
      <c r="B1282" s="17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</row>
    <row r="1283" spans="1:20" x14ac:dyDescent="0.2">
      <c r="A1283" s="17"/>
      <c r="B1283" s="17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</row>
    <row r="1284" spans="1:20" x14ac:dyDescent="0.2">
      <c r="A1284" s="17"/>
      <c r="B1284" s="17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</row>
    <row r="1285" spans="1:20" x14ac:dyDescent="0.2">
      <c r="A1285" s="17"/>
      <c r="B1285" s="17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</row>
    <row r="1286" spans="1:20" x14ac:dyDescent="0.2">
      <c r="A1286" s="17"/>
      <c r="B1286" s="17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</row>
    <row r="1287" spans="1:20" x14ac:dyDescent="0.2">
      <c r="A1287" s="17"/>
      <c r="B1287" s="17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</row>
    <row r="1288" spans="1:20" x14ac:dyDescent="0.2">
      <c r="A1288" s="17"/>
      <c r="B1288" s="17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</row>
    <row r="1289" spans="1:20" x14ac:dyDescent="0.2">
      <c r="A1289" s="17"/>
      <c r="B1289" s="17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</row>
    <row r="1290" spans="1:20" x14ac:dyDescent="0.2">
      <c r="A1290" s="17"/>
      <c r="B1290" s="17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</row>
    <row r="1291" spans="1:20" x14ac:dyDescent="0.2">
      <c r="A1291" s="17"/>
      <c r="B1291" s="17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</row>
    <row r="1292" spans="1:20" x14ac:dyDescent="0.2">
      <c r="A1292" s="17"/>
      <c r="B1292" s="17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</row>
    <row r="1293" spans="1:20" x14ac:dyDescent="0.2">
      <c r="A1293" s="17"/>
      <c r="B1293" s="17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</row>
    <row r="1294" spans="1:20" x14ac:dyDescent="0.2">
      <c r="A1294" s="17"/>
      <c r="B1294" s="17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</row>
    <row r="1295" spans="1:20" x14ac:dyDescent="0.2">
      <c r="A1295" s="17"/>
      <c r="B1295" s="17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</row>
    <row r="1296" spans="1:20" x14ac:dyDescent="0.2">
      <c r="A1296" s="17"/>
      <c r="B1296" s="17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</row>
    <row r="1297" spans="1:20" x14ac:dyDescent="0.2">
      <c r="A1297" s="17"/>
      <c r="B1297" s="17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</row>
    <row r="1298" spans="1:20" x14ac:dyDescent="0.2">
      <c r="A1298" s="17"/>
      <c r="B1298" s="17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</row>
    <row r="1299" spans="1:20" x14ac:dyDescent="0.2">
      <c r="A1299" s="17"/>
      <c r="B1299" s="17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</row>
    <row r="1300" spans="1:20" x14ac:dyDescent="0.2">
      <c r="A1300" s="17"/>
      <c r="B1300" s="17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</row>
    <row r="1301" spans="1:20" x14ac:dyDescent="0.2">
      <c r="A1301" s="17"/>
      <c r="B1301" s="17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</row>
    <row r="1302" spans="1:20" x14ac:dyDescent="0.2">
      <c r="A1302" s="17"/>
      <c r="B1302" s="17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</row>
    <row r="1303" spans="1:20" x14ac:dyDescent="0.2">
      <c r="A1303" s="17"/>
      <c r="B1303" s="17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</row>
    <row r="1304" spans="1:20" x14ac:dyDescent="0.2">
      <c r="A1304" s="17"/>
      <c r="B1304" s="17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</row>
    <row r="1305" spans="1:20" x14ac:dyDescent="0.2">
      <c r="A1305" s="17"/>
      <c r="B1305" s="17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</row>
    <row r="1306" spans="1:20" x14ac:dyDescent="0.2">
      <c r="A1306" s="17"/>
      <c r="B1306" s="17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</row>
    <row r="1307" spans="1:20" x14ac:dyDescent="0.2">
      <c r="A1307" s="17"/>
      <c r="B1307" s="17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</row>
    <row r="1308" spans="1:20" x14ac:dyDescent="0.2">
      <c r="A1308" s="17"/>
      <c r="B1308" s="17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</row>
    <row r="1309" spans="1:20" x14ac:dyDescent="0.2">
      <c r="A1309" s="17"/>
      <c r="B1309" s="17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</row>
    <row r="1310" spans="1:20" x14ac:dyDescent="0.2">
      <c r="A1310" s="17"/>
      <c r="B1310" s="17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</row>
    <row r="1311" spans="1:20" x14ac:dyDescent="0.2">
      <c r="A1311" s="17"/>
      <c r="B1311" s="17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</row>
    <row r="1312" spans="1:20" x14ac:dyDescent="0.2">
      <c r="A1312" s="17"/>
      <c r="B1312" s="17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</row>
    <row r="1313" spans="1:20" x14ac:dyDescent="0.2">
      <c r="A1313" s="17"/>
      <c r="B1313" s="17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</row>
    <row r="1314" spans="1:20" x14ac:dyDescent="0.2">
      <c r="A1314" s="17"/>
      <c r="B1314" s="17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</row>
    <row r="1315" spans="1:20" x14ac:dyDescent="0.2">
      <c r="A1315" s="17"/>
      <c r="B1315" s="17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</row>
    <row r="1316" spans="1:20" x14ac:dyDescent="0.2">
      <c r="A1316" s="17"/>
      <c r="B1316" s="17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</row>
    <row r="1317" spans="1:20" x14ac:dyDescent="0.2">
      <c r="A1317" s="17"/>
      <c r="B1317" s="17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</row>
    <row r="1318" spans="1:20" x14ac:dyDescent="0.2">
      <c r="A1318" s="17"/>
      <c r="B1318" s="17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</row>
    <row r="1319" spans="1:20" x14ac:dyDescent="0.2">
      <c r="A1319" s="17"/>
      <c r="B1319" s="17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</row>
    <row r="1320" spans="1:20" x14ac:dyDescent="0.2">
      <c r="A1320" s="17"/>
      <c r="B1320" s="17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</row>
    <row r="1321" spans="1:20" x14ac:dyDescent="0.2">
      <c r="A1321" s="17"/>
      <c r="B1321" s="17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</row>
    <row r="1322" spans="1:20" x14ac:dyDescent="0.2">
      <c r="A1322" s="17"/>
      <c r="B1322" s="17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</row>
    <row r="1323" spans="1:20" x14ac:dyDescent="0.2">
      <c r="A1323" s="17"/>
      <c r="B1323" s="17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</row>
    <row r="1324" spans="1:20" x14ac:dyDescent="0.2">
      <c r="A1324" s="17"/>
      <c r="B1324" s="17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</row>
    <row r="1325" spans="1:20" x14ac:dyDescent="0.2">
      <c r="A1325" s="17"/>
      <c r="B1325" s="17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</row>
    <row r="1326" spans="1:20" x14ac:dyDescent="0.2">
      <c r="A1326" s="17"/>
      <c r="B1326" s="17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</row>
    <row r="1327" spans="1:20" x14ac:dyDescent="0.2">
      <c r="A1327" s="17"/>
      <c r="B1327" s="17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</row>
    <row r="1328" spans="1:20" x14ac:dyDescent="0.2">
      <c r="A1328" s="17"/>
      <c r="B1328" s="17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</row>
    <row r="1329" spans="1:20" x14ac:dyDescent="0.2">
      <c r="A1329" s="17"/>
      <c r="B1329" s="17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</row>
    <row r="1330" spans="1:20" x14ac:dyDescent="0.2">
      <c r="A1330" s="17"/>
      <c r="B1330" s="17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</row>
    <row r="1331" spans="1:20" x14ac:dyDescent="0.2">
      <c r="A1331" s="17"/>
      <c r="B1331" s="17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</row>
    <row r="1332" spans="1:20" x14ac:dyDescent="0.2">
      <c r="A1332" s="17"/>
      <c r="B1332" s="17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</row>
    <row r="1333" spans="1:20" x14ac:dyDescent="0.2">
      <c r="A1333" s="17"/>
      <c r="B1333" s="17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</row>
    <row r="1334" spans="1:20" x14ac:dyDescent="0.2">
      <c r="A1334" s="17"/>
      <c r="B1334" s="17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</row>
    <row r="1335" spans="1:20" x14ac:dyDescent="0.2">
      <c r="A1335" s="17"/>
      <c r="B1335" s="17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</row>
    <row r="1336" spans="1:20" x14ac:dyDescent="0.2">
      <c r="A1336" s="17"/>
      <c r="B1336" s="17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</row>
    <row r="1337" spans="1:20" x14ac:dyDescent="0.2">
      <c r="A1337" s="17"/>
      <c r="B1337" s="17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</row>
    <row r="1338" spans="1:20" x14ac:dyDescent="0.2">
      <c r="A1338" s="17"/>
      <c r="B1338" s="17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</row>
    <row r="1339" spans="1:20" x14ac:dyDescent="0.2">
      <c r="A1339" s="17"/>
      <c r="B1339" s="17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</row>
    <row r="1340" spans="1:20" x14ac:dyDescent="0.2">
      <c r="A1340" s="17"/>
      <c r="B1340" s="17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</row>
    <row r="1341" spans="1:20" x14ac:dyDescent="0.2">
      <c r="A1341" s="17"/>
      <c r="B1341" s="17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</row>
    <row r="1342" spans="1:20" x14ac:dyDescent="0.2">
      <c r="A1342" s="17"/>
      <c r="B1342" s="17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</row>
    <row r="1343" spans="1:20" x14ac:dyDescent="0.2">
      <c r="A1343" s="17"/>
      <c r="B1343" s="17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</row>
    <row r="1344" spans="1:20" x14ac:dyDescent="0.2">
      <c r="A1344" s="17"/>
      <c r="B1344" s="17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</row>
    <row r="1345" spans="1:20" x14ac:dyDescent="0.2">
      <c r="A1345" s="17"/>
      <c r="B1345" s="17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</row>
    <row r="1346" spans="1:20" x14ac:dyDescent="0.2">
      <c r="A1346" s="17"/>
      <c r="B1346" s="17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</row>
    <row r="1347" spans="1:20" x14ac:dyDescent="0.2">
      <c r="A1347" s="17"/>
      <c r="B1347" s="17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</row>
    <row r="1348" spans="1:20" x14ac:dyDescent="0.2">
      <c r="A1348" s="17"/>
      <c r="B1348" s="17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</row>
    <row r="1349" spans="1:20" x14ac:dyDescent="0.2">
      <c r="A1349" s="17"/>
      <c r="B1349" s="17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</row>
    <row r="1350" spans="1:20" x14ac:dyDescent="0.2">
      <c r="A1350" s="17"/>
      <c r="B1350" s="17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</row>
    <row r="1351" spans="1:20" x14ac:dyDescent="0.2">
      <c r="A1351" s="17"/>
      <c r="B1351" s="17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</row>
    <row r="1352" spans="1:20" x14ac:dyDescent="0.2">
      <c r="A1352" s="17"/>
      <c r="B1352" s="17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</row>
    <row r="1353" spans="1:20" x14ac:dyDescent="0.2">
      <c r="A1353" s="17"/>
      <c r="B1353" s="17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</row>
    <row r="1354" spans="1:20" x14ac:dyDescent="0.2">
      <c r="A1354" s="17"/>
      <c r="B1354" s="17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</row>
    <row r="1355" spans="1:20" x14ac:dyDescent="0.2">
      <c r="A1355" s="17"/>
      <c r="B1355" s="17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</row>
    <row r="1356" spans="1:20" x14ac:dyDescent="0.2">
      <c r="A1356" s="17"/>
      <c r="B1356" s="17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</row>
    <row r="1357" spans="1:20" x14ac:dyDescent="0.2">
      <c r="A1357" s="17"/>
      <c r="B1357" s="17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</row>
    <row r="1358" spans="1:20" x14ac:dyDescent="0.2">
      <c r="A1358" s="17"/>
      <c r="B1358" s="17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</row>
    <row r="1359" spans="1:20" x14ac:dyDescent="0.2">
      <c r="A1359" s="17"/>
      <c r="B1359" s="17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</row>
    <row r="1360" spans="1:20" x14ac:dyDescent="0.2">
      <c r="A1360" s="17"/>
      <c r="B1360" s="17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</row>
    <row r="1361" spans="1:20" x14ac:dyDescent="0.2">
      <c r="A1361" s="17"/>
      <c r="B1361" s="17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</row>
    <row r="1362" spans="1:20" x14ac:dyDescent="0.2">
      <c r="A1362" s="17"/>
      <c r="B1362" s="17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</row>
    <row r="1363" spans="1:20" x14ac:dyDescent="0.2">
      <c r="A1363" s="17"/>
      <c r="B1363" s="17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</row>
    <row r="1364" spans="1:20" x14ac:dyDescent="0.2">
      <c r="A1364" s="17"/>
      <c r="B1364" s="17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</row>
    <row r="1365" spans="1:20" x14ac:dyDescent="0.2">
      <c r="A1365" s="17"/>
      <c r="B1365" s="17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</row>
    <row r="1366" spans="1:20" x14ac:dyDescent="0.2">
      <c r="A1366" s="17"/>
      <c r="B1366" s="17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</row>
    <row r="1367" spans="1:20" x14ac:dyDescent="0.2">
      <c r="A1367" s="17"/>
      <c r="B1367" s="17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</row>
    <row r="1368" spans="1:20" x14ac:dyDescent="0.2">
      <c r="A1368" s="17"/>
      <c r="B1368" s="17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</row>
    <row r="1369" spans="1:20" x14ac:dyDescent="0.2">
      <c r="A1369" s="17"/>
      <c r="B1369" s="17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</row>
    <row r="1370" spans="1:20" x14ac:dyDescent="0.2">
      <c r="A1370" s="17"/>
      <c r="B1370" s="17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</row>
    <row r="1371" spans="1:20" x14ac:dyDescent="0.2">
      <c r="A1371" s="17"/>
      <c r="B1371" s="17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</row>
    <row r="1372" spans="1:20" x14ac:dyDescent="0.2">
      <c r="A1372" s="17"/>
      <c r="B1372" s="17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</row>
    <row r="1373" spans="1:20" x14ac:dyDescent="0.2">
      <c r="A1373" s="17"/>
      <c r="B1373" s="17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</row>
    <row r="1374" spans="1:20" x14ac:dyDescent="0.2">
      <c r="A1374" s="17"/>
      <c r="B1374" s="17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</row>
    <row r="1375" spans="1:20" x14ac:dyDescent="0.2">
      <c r="A1375" s="17"/>
      <c r="B1375" s="17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</row>
    <row r="1376" spans="1:20" x14ac:dyDescent="0.2">
      <c r="A1376" s="17"/>
      <c r="B1376" s="17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</row>
    <row r="1377" spans="1:20" x14ac:dyDescent="0.2">
      <c r="A1377" s="17"/>
      <c r="B1377" s="17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</row>
    <row r="1378" spans="1:20" x14ac:dyDescent="0.2">
      <c r="A1378" s="17"/>
      <c r="B1378" s="17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</row>
    <row r="1379" spans="1:20" x14ac:dyDescent="0.2">
      <c r="A1379" s="17"/>
      <c r="B1379" s="17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</row>
    <row r="1380" spans="1:20" x14ac:dyDescent="0.2">
      <c r="A1380" s="17"/>
      <c r="B1380" s="17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</row>
    <row r="1381" spans="1:20" x14ac:dyDescent="0.2">
      <c r="A1381" s="17"/>
      <c r="B1381" s="17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</row>
    <row r="1382" spans="1:20" x14ac:dyDescent="0.2">
      <c r="A1382" s="17"/>
      <c r="B1382" s="17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</row>
    <row r="1383" spans="1:20" x14ac:dyDescent="0.2">
      <c r="A1383" s="17"/>
      <c r="B1383" s="17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</row>
    <row r="1384" spans="1:20" x14ac:dyDescent="0.2">
      <c r="A1384" s="17"/>
      <c r="B1384" s="17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</row>
    <row r="1385" spans="1:20" x14ac:dyDescent="0.2">
      <c r="A1385" s="17"/>
      <c r="B1385" s="17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</row>
    <row r="1386" spans="1:20" x14ac:dyDescent="0.2">
      <c r="A1386" s="17"/>
      <c r="B1386" s="17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</row>
    <row r="1387" spans="1:20" x14ac:dyDescent="0.2">
      <c r="A1387" s="17"/>
      <c r="B1387" s="17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</row>
    <row r="1388" spans="1:20" x14ac:dyDescent="0.2">
      <c r="A1388" s="17"/>
      <c r="B1388" s="17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</row>
    <row r="1389" spans="1:20" x14ac:dyDescent="0.2">
      <c r="A1389" s="17"/>
      <c r="B1389" s="17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</row>
    <row r="1390" spans="1:20" x14ac:dyDescent="0.2">
      <c r="A1390" s="17"/>
      <c r="B1390" s="17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</row>
    <row r="1391" spans="1:20" x14ac:dyDescent="0.2">
      <c r="A1391" s="17"/>
      <c r="B1391" s="17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</row>
    <row r="1392" spans="1:20" x14ac:dyDescent="0.2">
      <c r="A1392" s="17"/>
      <c r="B1392" s="17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</row>
    <row r="1393" spans="1:20" x14ac:dyDescent="0.2">
      <c r="A1393" s="17"/>
      <c r="B1393" s="17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</row>
    <row r="1394" spans="1:20" x14ac:dyDescent="0.2">
      <c r="A1394" s="17"/>
      <c r="B1394" s="17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</row>
    <row r="1395" spans="1:20" x14ac:dyDescent="0.2">
      <c r="A1395" s="17"/>
      <c r="B1395" s="17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</row>
    <row r="1396" spans="1:20" x14ac:dyDescent="0.2">
      <c r="A1396" s="17"/>
      <c r="B1396" s="17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</row>
    <row r="1397" spans="1:20" x14ac:dyDescent="0.2">
      <c r="A1397" s="17"/>
      <c r="B1397" s="17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</row>
    <row r="1398" spans="1:20" x14ac:dyDescent="0.2">
      <c r="A1398" s="17"/>
      <c r="B1398" s="17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</row>
    <row r="1399" spans="1:20" x14ac:dyDescent="0.2">
      <c r="A1399" s="17"/>
      <c r="B1399" s="17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</row>
    <row r="1400" spans="1:20" x14ac:dyDescent="0.2">
      <c r="A1400" s="17"/>
      <c r="B1400" s="17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</row>
    <row r="1401" spans="1:20" x14ac:dyDescent="0.2">
      <c r="A1401" s="17"/>
      <c r="B1401" s="17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</row>
    <row r="1402" spans="1:20" x14ac:dyDescent="0.2">
      <c r="A1402" s="17"/>
      <c r="B1402" s="17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</row>
    <row r="1403" spans="1:20" x14ac:dyDescent="0.2">
      <c r="A1403" s="17"/>
      <c r="B1403" s="17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</row>
    <row r="1404" spans="1:20" x14ac:dyDescent="0.2">
      <c r="A1404" s="17"/>
      <c r="B1404" s="17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</row>
    <row r="1405" spans="1:20" x14ac:dyDescent="0.2">
      <c r="A1405" s="17"/>
      <c r="B1405" s="17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</row>
    <row r="1406" spans="1:20" x14ac:dyDescent="0.2">
      <c r="A1406" s="17"/>
      <c r="B1406" s="17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</row>
    <row r="1407" spans="1:20" x14ac:dyDescent="0.2">
      <c r="A1407" s="17"/>
      <c r="B1407" s="17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</row>
    <row r="1408" spans="1:20" x14ac:dyDescent="0.2">
      <c r="A1408" s="17"/>
      <c r="B1408" s="17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</row>
    <row r="1409" spans="1:20" x14ac:dyDescent="0.2">
      <c r="A1409" s="17"/>
      <c r="B1409" s="17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</row>
    <row r="1410" spans="1:20" x14ac:dyDescent="0.2">
      <c r="A1410" s="17"/>
      <c r="B1410" s="17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</row>
    <row r="1411" spans="1:20" x14ac:dyDescent="0.2">
      <c r="A1411" s="17"/>
      <c r="B1411" s="17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</row>
    <row r="1412" spans="1:20" x14ac:dyDescent="0.2">
      <c r="A1412" s="17"/>
      <c r="B1412" s="17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</row>
    <row r="1413" spans="1:20" x14ac:dyDescent="0.2">
      <c r="A1413" s="17"/>
      <c r="B1413" s="17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</row>
    <row r="1414" spans="1:20" x14ac:dyDescent="0.2">
      <c r="A1414" s="17"/>
      <c r="B1414" s="17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</row>
    <row r="1415" spans="1:20" x14ac:dyDescent="0.2">
      <c r="A1415" s="17"/>
      <c r="B1415" s="17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</row>
    <row r="1416" spans="1:20" x14ac:dyDescent="0.2">
      <c r="A1416" s="17"/>
      <c r="B1416" s="17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</row>
    <row r="1417" spans="1:20" x14ac:dyDescent="0.2">
      <c r="A1417" s="17"/>
      <c r="B1417" s="17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</row>
    <row r="1418" spans="1:20" x14ac:dyDescent="0.2">
      <c r="A1418" s="17"/>
      <c r="B1418" s="17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</row>
    <row r="1419" spans="1:20" x14ac:dyDescent="0.2">
      <c r="A1419" s="17"/>
      <c r="B1419" s="17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</row>
    <row r="1420" spans="1:20" x14ac:dyDescent="0.2">
      <c r="A1420" s="17"/>
      <c r="B1420" s="17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</row>
    <row r="1421" spans="1:20" x14ac:dyDescent="0.2">
      <c r="A1421" s="17"/>
      <c r="B1421" s="17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</row>
    <row r="1422" spans="1:20" x14ac:dyDescent="0.2">
      <c r="A1422" s="17"/>
      <c r="B1422" s="17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</row>
    <row r="1423" spans="1:20" x14ac:dyDescent="0.2">
      <c r="A1423" s="17"/>
      <c r="B1423" s="17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</row>
    <row r="1424" spans="1:20" x14ac:dyDescent="0.2">
      <c r="A1424" s="17"/>
      <c r="B1424" s="17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</row>
    <row r="1425" spans="1:20" x14ac:dyDescent="0.2">
      <c r="A1425" s="17"/>
      <c r="B1425" s="17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</row>
    <row r="1426" spans="1:20" x14ac:dyDescent="0.2">
      <c r="A1426" s="17"/>
      <c r="B1426" s="17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</row>
    <row r="1427" spans="1:20" x14ac:dyDescent="0.2">
      <c r="A1427" s="17"/>
      <c r="B1427" s="17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</row>
    <row r="1428" spans="1:20" x14ac:dyDescent="0.2">
      <c r="A1428" s="17"/>
      <c r="B1428" s="17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</row>
    <row r="1429" spans="1:20" x14ac:dyDescent="0.2">
      <c r="A1429" s="17"/>
      <c r="B1429" s="17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</row>
    <row r="1430" spans="1:20" x14ac:dyDescent="0.2">
      <c r="A1430" s="17"/>
      <c r="B1430" s="17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</row>
    <row r="1431" spans="1:20" x14ac:dyDescent="0.2">
      <c r="A1431" s="17"/>
      <c r="B1431" s="17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</row>
    <row r="1432" spans="1:20" x14ac:dyDescent="0.2">
      <c r="A1432" s="17"/>
      <c r="B1432" s="17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</row>
    <row r="1433" spans="1:20" x14ac:dyDescent="0.2">
      <c r="A1433" s="17"/>
      <c r="B1433" s="17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</row>
    <row r="1434" spans="1:20" x14ac:dyDescent="0.2">
      <c r="A1434" s="17"/>
      <c r="B1434" s="17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</row>
    <row r="1435" spans="1:20" x14ac:dyDescent="0.2">
      <c r="A1435" s="17"/>
      <c r="B1435" s="17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</row>
    <row r="1436" spans="1:20" x14ac:dyDescent="0.2">
      <c r="A1436" s="17"/>
      <c r="B1436" s="17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</row>
    <row r="1437" spans="1:20" x14ac:dyDescent="0.2">
      <c r="A1437" s="17"/>
      <c r="B1437" s="17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</row>
    <row r="1438" spans="1:20" x14ac:dyDescent="0.2">
      <c r="A1438" s="17"/>
      <c r="B1438" s="17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</row>
    <row r="1439" spans="1:20" x14ac:dyDescent="0.2">
      <c r="A1439" s="17"/>
      <c r="B1439" s="17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</row>
    <row r="1440" spans="1:20" x14ac:dyDescent="0.2">
      <c r="A1440" s="17"/>
      <c r="B1440" s="17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</row>
    <row r="1441" spans="1:20" x14ac:dyDescent="0.2">
      <c r="A1441" s="17"/>
      <c r="B1441" s="17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</row>
    <row r="1442" spans="1:20" x14ac:dyDescent="0.2">
      <c r="A1442" s="17"/>
      <c r="B1442" s="17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</row>
    <row r="1443" spans="1:20" x14ac:dyDescent="0.2">
      <c r="A1443" s="17"/>
      <c r="B1443" s="17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</row>
    <row r="1444" spans="1:20" x14ac:dyDescent="0.2">
      <c r="A1444" s="17"/>
      <c r="B1444" s="17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</row>
    <row r="1445" spans="1:20" x14ac:dyDescent="0.2">
      <c r="A1445" s="17"/>
      <c r="B1445" s="17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</row>
    <row r="1446" spans="1:20" x14ac:dyDescent="0.2">
      <c r="A1446" s="17"/>
      <c r="B1446" s="17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</row>
    <row r="1447" spans="1:20" x14ac:dyDescent="0.2">
      <c r="A1447" s="17"/>
      <c r="B1447" s="17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</row>
    <row r="1448" spans="1:20" x14ac:dyDescent="0.2">
      <c r="A1448" s="17"/>
      <c r="B1448" s="17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</row>
    <row r="1449" spans="1:20" x14ac:dyDescent="0.2">
      <c r="A1449" s="17"/>
      <c r="B1449" s="17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</row>
    <row r="1450" spans="1:20" x14ac:dyDescent="0.2">
      <c r="A1450" s="17"/>
      <c r="B1450" s="17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</row>
    <row r="1451" spans="1:20" x14ac:dyDescent="0.2">
      <c r="A1451" s="17"/>
      <c r="B1451" s="17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</row>
    <row r="1452" spans="1:20" x14ac:dyDescent="0.2">
      <c r="A1452" s="17"/>
      <c r="B1452" s="17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</row>
    <row r="1453" spans="1:20" x14ac:dyDescent="0.2">
      <c r="A1453" s="17"/>
      <c r="B1453" s="17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</row>
    <row r="1454" spans="1:20" x14ac:dyDescent="0.2">
      <c r="A1454" s="17"/>
      <c r="B1454" s="17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</row>
    <row r="1455" spans="1:20" x14ac:dyDescent="0.2">
      <c r="A1455" s="17"/>
      <c r="B1455" s="17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</row>
    <row r="1456" spans="1:20" x14ac:dyDescent="0.2">
      <c r="A1456" s="17"/>
      <c r="B1456" s="17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</row>
    <row r="1457" spans="1:20" x14ac:dyDescent="0.2">
      <c r="A1457" s="17"/>
      <c r="B1457" s="17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</row>
    <row r="1458" spans="1:20" x14ac:dyDescent="0.2">
      <c r="A1458" s="17"/>
      <c r="B1458" s="17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</row>
    <row r="1459" spans="1:20" x14ac:dyDescent="0.2">
      <c r="A1459" s="17"/>
      <c r="B1459" s="17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</row>
    <row r="1460" spans="1:20" x14ac:dyDescent="0.2">
      <c r="A1460" s="17"/>
      <c r="B1460" s="17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</row>
    <row r="1461" spans="1:20" x14ac:dyDescent="0.2">
      <c r="A1461" s="17"/>
      <c r="B1461" s="17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</row>
    <row r="1462" spans="1:20" x14ac:dyDescent="0.2">
      <c r="A1462" s="17"/>
      <c r="B1462" s="17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</row>
    <row r="1463" spans="1:20" x14ac:dyDescent="0.2">
      <c r="A1463" s="17"/>
      <c r="B1463" s="17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</row>
    <row r="1464" spans="1:20" x14ac:dyDescent="0.2">
      <c r="A1464" s="17"/>
      <c r="B1464" s="17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</row>
    <row r="1465" spans="1:20" x14ac:dyDescent="0.2">
      <c r="A1465" s="17"/>
      <c r="B1465" s="17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</row>
    <row r="1466" spans="1:20" x14ac:dyDescent="0.2">
      <c r="A1466" s="17"/>
      <c r="B1466" s="17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</row>
    <row r="1467" spans="1:20" x14ac:dyDescent="0.2">
      <c r="A1467" s="17"/>
      <c r="B1467" s="17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</row>
    <row r="1468" spans="1:20" x14ac:dyDescent="0.2">
      <c r="A1468" s="17"/>
      <c r="B1468" s="17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</row>
    <row r="1469" spans="1:20" x14ac:dyDescent="0.2">
      <c r="A1469" s="17"/>
      <c r="B1469" s="17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</row>
    <row r="1470" spans="1:20" x14ac:dyDescent="0.2">
      <c r="A1470" s="17"/>
      <c r="B1470" s="17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</row>
    <row r="1471" spans="1:20" x14ac:dyDescent="0.2">
      <c r="A1471" s="17"/>
      <c r="B1471" s="17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</row>
    <row r="1472" spans="1:20" x14ac:dyDescent="0.2">
      <c r="A1472" s="17"/>
      <c r="B1472" s="17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</row>
    <row r="1473" spans="1:20" x14ac:dyDescent="0.2">
      <c r="A1473" s="17"/>
      <c r="B1473" s="17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</row>
    <row r="1474" spans="1:20" x14ac:dyDescent="0.2">
      <c r="A1474" s="17"/>
      <c r="B1474" s="17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</row>
    <row r="1475" spans="1:20" x14ac:dyDescent="0.2">
      <c r="A1475" s="17"/>
      <c r="B1475" s="17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</row>
    <row r="1476" spans="1:20" x14ac:dyDescent="0.2">
      <c r="A1476" s="17"/>
      <c r="B1476" s="17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</row>
    <row r="1477" spans="1:20" x14ac:dyDescent="0.2">
      <c r="A1477" s="17"/>
      <c r="B1477" s="17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</row>
    <row r="1478" spans="1:20" x14ac:dyDescent="0.2">
      <c r="A1478" s="17"/>
      <c r="B1478" s="17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</row>
    <row r="1479" spans="1:20" x14ac:dyDescent="0.2">
      <c r="A1479" s="17"/>
      <c r="B1479" s="17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</row>
    <row r="1480" spans="1:20" x14ac:dyDescent="0.2">
      <c r="A1480" s="17"/>
      <c r="B1480" s="17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</row>
    <row r="1481" spans="1:20" x14ac:dyDescent="0.2">
      <c r="A1481" s="17"/>
      <c r="B1481" s="17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</row>
    <row r="1482" spans="1:20" x14ac:dyDescent="0.2">
      <c r="A1482" s="17"/>
      <c r="B1482" s="17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</row>
    <row r="1483" spans="1:20" x14ac:dyDescent="0.2">
      <c r="A1483" s="17"/>
      <c r="B1483" s="17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</row>
    <row r="1484" spans="1:20" x14ac:dyDescent="0.2">
      <c r="A1484" s="17"/>
      <c r="B1484" s="17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</row>
    <row r="1485" spans="1:20" x14ac:dyDescent="0.2">
      <c r="A1485" s="17"/>
      <c r="B1485" s="17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</row>
    <row r="1486" spans="1:20" x14ac:dyDescent="0.2">
      <c r="A1486" s="17"/>
      <c r="B1486" s="17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</row>
    <row r="1487" spans="1:20" x14ac:dyDescent="0.2">
      <c r="A1487" s="17"/>
      <c r="B1487" s="17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</row>
    <row r="1488" spans="1:20" x14ac:dyDescent="0.2">
      <c r="A1488" s="17"/>
      <c r="B1488" s="17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</row>
    <row r="1489" spans="1:20" x14ac:dyDescent="0.2">
      <c r="A1489" s="17"/>
      <c r="B1489" s="17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</row>
    <row r="1490" spans="1:20" x14ac:dyDescent="0.2">
      <c r="A1490" s="17"/>
      <c r="B1490" s="17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</row>
    <row r="1491" spans="1:20" x14ac:dyDescent="0.2">
      <c r="A1491" s="17"/>
      <c r="B1491" s="17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</row>
    <row r="1492" spans="1:20" x14ac:dyDescent="0.2">
      <c r="A1492" s="17"/>
      <c r="B1492" s="17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</row>
    <row r="1493" spans="1:20" x14ac:dyDescent="0.2">
      <c r="A1493" s="17"/>
      <c r="B1493" s="17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</row>
    <row r="1494" spans="1:20" x14ac:dyDescent="0.2">
      <c r="A1494" s="17"/>
      <c r="B1494" s="17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</row>
    <row r="1495" spans="1:20" x14ac:dyDescent="0.2">
      <c r="A1495" s="17"/>
      <c r="B1495" s="17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</row>
    <row r="1496" spans="1:20" x14ac:dyDescent="0.2">
      <c r="A1496" s="17"/>
      <c r="B1496" s="17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</row>
    <row r="1497" spans="1:20" x14ac:dyDescent="0.2">
      <c r="A1497" s="17"/>
      <c r="B1497" s="17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</row>
    <row r="1498" spans="1:20" x14ac:dyDescent="0.2">
      <c r="A1498" s="17"/>
      <c r="B1498" s="17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</row>
    <row r="1499" spans="1:20" x14ac:dyDescent="0.2">
      <c r="A1499" s="17"/>
      <c r="B1499" s="17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</row>
    <row r="1500" spans="1:20" x14ac:dyDescent="0.2">
      <c r="A1500" s="17"/>
      <c r="B1500" s="17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</row>
    <row r="1501" spans="1:20" x14ac:dyDescent="0.2">
      <c r="A1501" s="17"/>
      <c r="B1501" s="17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</row>
    <row r="1502" spans="1:20" x14ac:dyDescent="0.2">
      <c r="A1502" s="17"/>
      <c r="B1502" s="17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</row>
    <row r="1503" spans="1:20" x14ac:dyDescent="0.2">
      <c r="A1503" s="17"/>
      <c r="B1503" s="17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</row>
    <row r="1504" spans="1:20" x14ac:dyDescent="0.2">
      <c r="A1504" s="17"/>
      <c r="B1504" s="17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</row>
    <row r="1505" spans="1:20" x14ac:dyDescent="0.2">
      <c r="A1505" s="17"/>
      <c r="B1505" s="17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</row>
    <row r="1506" spans="1:20" x14ac:dyDescent="0.2">
      <c r="A1506" s="17"/>
      <c r="B1506" s="17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</row>
    <row r="1507" spans="1:20" x14ac:dyDescent="0.2">
      <c r="A1507" s="17"/>
      <c r="B1507" s="17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</row>
    <row r="1508" spans="1:20" x14ac:dyDescent="0.2">
      <c r="A1508" s="17"/>
      <c r="B1508" s="17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</row>
    <row r="1509" spans="1:20" x14ac:dyDescent="0.2">
      <c r="A1509" s="17"/>
      <c r="B1509" s="17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</row>
    <row r="1510" spans="1:20" x14ac:dyDescent="0.2">
      <c r="A1510" s="17"/>
      <c r="B1510" s="17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</row>
    <row r="1511" spans="1:20" x14ac:dyDescent="0.2">
      <c r="A1511" s="17"/>
      <c r="B1511" s="17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</row>
    <row r="1512" spans="1:20" x14ac:dyDescent="0.2">
      <c r="A1512" s="17"/>
      <c r="B1512" s="17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</row>
    <row r="1513" spans="1:20" x14ac:dyDescent="0.2">
      <c r="A1513" s="17"/>
      <c r="B1513" s="17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</row>
    <row r="1514" spans="1:20" x14ac:dyDescent="0.2">
      <c r="A1514" s="17"/>
      <c r="B1514" s="17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</row>
    <row r="1515" spans="1:20" x14ac:dyDescent="0.2">
      <c r="A1515" s="17"/>
      <c r="B1515" s="17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</row>
    <row r="1516" spans="1:20" x14ac:dyDescent="0.2">
      <c r="A1516" s="17"/>
      <c r="B1516" s="17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</row>
    <row r="1517" spans="1:20" x14ac:dyDescent="0.2">
      <c r="A1517" s="17"/>
      <c r="B1517" s="17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</row>
    <row r="1518" spans="1:20" x14ac:dyDescent="0.2">
      <c r="A1518" s="17"/>
      <c r="B1518" s="17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</row>
    <row r="1519" spans="1:20" x14ac:dyDescent="0.2">
      <c r="A1519" s="17"/>
      <c r="B1519" s="17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</row>
    <row r="1520" spans="1:20" x14ac:dyDescent="0.2">
      <c r="A1520" s="17"/>
      <c r="B1520" s="17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</row>
    <row r="1521" spans="1:20" x14ac:dyDescent="0.2">
      <c r="A1521" s="17"/>
      <c r="B1521" s="17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</row>
    <row r="1522" spans="1:20" x14ac:dyDescent="0.2">
      <c r="A1522" s="17"/>
      <c r="B1522" s="17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</row>
    <row r="1523" spans="1:20" x14ac:dyDescent="0.2">
      <c r="A1523" s="17"/>
      <c r="B1523" s="17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</row>
    <row r="1524" spans="1:20" x14ac:dyDescent="0.2">
      <c r="A1524" s="17"/>
      <c r="B1524" s="17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</row>
    <row r="1525" spans="1:20" x14ac:dyDescent="0.2">
      <c r="A1525" s="17"/>
      <c r="B1525" s="17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</row>
    <row r="1526" spans="1:20" x14ac:dyDescent="0.2">
      <c r="A1526" s="17"/>
      <c r="B1526" s="17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</row>
    <row r="1527" spans="1:20" x14ac:dyDescent="0.2">
      <c r="A1527" s="17"/>
      <c r="B1527" s="17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</row>
    <row r="1528" spans="1:20" x14ac:dyDescent="0.2">
      <c r="A1528" s="17"/>
      <c r="B1528" s="17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</row>
    <row r="1529" spans="1:20" x14ac:dyDescent="0.2">
      <c r="A1529" s="17"/>
      <c r="B1529" s="17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</row>
    <row r="1530" spans="1:20" x14ac:dyDescent="0.2">
      <c r="A1530" s="17"/>
      <c r="B1530" s="17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</row>
    <row r="1531" spans="1:20" x14ac:dyDescent="0.2">
      <c r="A1531" s="17"/>
      <c r="B1531" s="17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</row>
    <row r="1532" spans="1:20" x14ac:dyDescent="0.2">
      <c r="A1532" s="17"/>
      <c r="B1532" s="17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</row>
    <row r="1533" spans="1:20" x14ac:dyDescent="0.2">
      <c r="A1533" s="17"/>
      <c r="B1533" s="17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</row>
    <row r="1534" spans="1:20" x14ac:dyDescent="0.2">
      <c r="A1534" s="17"/>
      <c r="B1534" s="17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</row>
    <row r="1535" spans="1:20" x14ac:dyDescent="0.2">
      <c r="A1535" s="17"/>
      <c r="B1535" s="17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</row>
    <row r="1536" spans="1:20" x14ac:dyDescent="0.2">
      <c r="A1536" s="17"/>
      <c r="B1536" s="17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</row>
    <row r="1537" spans="1:20" x14ac:dyDescent="0.2">
      <c r="A1537" s="17"/>
      <c r="B1537" s="17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</row>
    <row r="1538" spans="1:20" x14ac:dyDescent="0.2">
      <c r="A1538" s="17"/>
      <c r="B1538" s="17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</row>
    <row r="1539" spans="1:20" x14ac:dyDescent="0.2">
      <c r="A1539" s="17"/>
      <c r="B1539" s="17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</row>
    <row r="1540" spans="1:20" x14ac:dyDescent="0.2">
      <c r="A1540" s="17"/>
      <c r="B1540" s="17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</row>
    <row r="1541" spans="1:20" x14ac:dyDescent="0.2">
      <c r="A1541" s="17"/>
      <c r="B1541" s="17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</row>
    <row r="1542" spans="1:20" x14ac:dyDescent="0.2">
      <c r="A1542" s="17"/>
      <c r="B1542" s="17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</row>
    <row r="1543" spans="1:20" x14ac:dyDescent="0.2">
      <c r="A1543" s="17"/>
      <c r="B1543" s="17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</row>
    <row r="1544" spans="1:20" x14ac:dyDescent="0.2">
      <c r="A1544" s="17"/>
      <c r="B1544" s="17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</row>
    <row r="1545" spans="1:20" x14ac:dyDescent="0.2">
      <c r="A1545" s="17"/>
      <c r="B1545" s="17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</row>
    <row r="1546" spans="1:20" x14ac:dyDescent="0.2">
      <c r="A1546" s="17"/>
      <c r="B1546" s="17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</row>
    <row r="1547" spans="1:20" x14ac:dyDescent="0.2">
      <c r="A1547" s="17"/>
      <c r="B1547" s="17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</row>
    <row r="1548" spans="1:20" x14ac:dyDescent="0.2">
      <c r="A1548" s="17"/>
      <c r="B1548" s="17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</row>
    <row r="1549" spans="1:20" x14ac:dyDescent="0.2">
      <c r="A1549" s="17"/>
      <c r="B1549" s="17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</row>
    <row r="1550" spans="1:20" x14ac:dyDescent="0.2">
      <c r="A1550" s="17"/>
      <c r="B1550" s="17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</row>
    <row r="1551" spans="1:20" x14ac:dyDescent="0.2">
      <c r="A1551" s="17"/>
      <c r="B1551" s="17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</row>
    <row r="1552" spans="1:20" x14ac:dyDescent="0.2">
      <c r="A1552" s="17"/>
      <c r="B1552" s="17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</row>
    <row r="1553" spans="1:20" x14ac:dyDescent="0.2">
      <c r="A1553" s="17"/>
      <c r="B1553" s="17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</row>
    <row r="1554" spans="1:20" x14ac:dyDescent="0.2">
      <c r="A1554" s="17"/>
      <c r="B1554" s="17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</row>
    <row r="1555" spans="1:20" x14ac:dyDescent="0.2">
      <c r="A1555" s="17"/>
      <c r="B1555" s="17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</row>
    <row r="1556" spans="1:20" x14ac:dyDescent="0.2">
      <c r="A1556" s="17"/>
      <c r="B1556" s="17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</row>
    <row r="1557" spans="1:20" x14ac:dyDescent="0.2">
      <c r="A1557" s="17"/>
      <c r="B1557" s="17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</row>
    <row r="1558" spans="1:20" x14ac:dyDescent="0.2">
      <c r="A1558" s="17"/>
      <c r="B1558" s="17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</row>
    <row r="1559" spans="1:20" x14ac:dyDescent="0.2">
      <c r="A1559" s="17"/>
      <c r="B1559" s="17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</row>
    <row r="1560" spans="1:20" x14ac:dyDescent="0.2">
      <c r="A1560" s="17"/>
      <c r="B1560" s="17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</row>
    <row r="1561" spans="1:20" x14ac:dyDescent="0.2">
      <c r="A1561" s="17"/>
      <c r="B1561" s="17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</row>
    <row r="1562" spans="1:20" x14ac:dyDescent="0.2">
      <c r="A1562" s="17"/>
      <c r="B1562" s="17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</row>
    <row r="1563" spans="1:20" x14ac:dyDescent="0.2">
      <c r="A1563" s="17"/>
      <c r="B1563" s="17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</row>
    <row r="1564" spans="1:20" x14ac:dyDescent="0.2">
      <c r="A1564" s="17"/>
      <c r="B1564" s="17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</row>
    <row r="1565" spans="1:20" x14ac:dyDescent="0.2">
      <c r="A1565" s="17"/>
      <c r="B1565" s="17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</row>
    <row r="1566" spans="1:20" x14ac:dyDescent="0.2">
      <c r="A1566" s="17"/>
      <c r="B1566" s="17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</row>
    <row r="1567" spans="1:20" x14ac:dyDescent="0.2">
      <c r="A1567" s="17"/>
      <c r="B1567" s="17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</row>
    <row r="1568" spans="1:20" x14ac:dyDescent="0.2">
      <c r="A1568" s="17"/>
      <c r="B1568" s="17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</row>
    <row r="1569" spans="1:20" x14ac:dyDescent="0.2">
      <c r="A1569" s="17"/>
      <c r="B1569" s="17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</row>
    <row r="1570" spans="1:20" x14ac:dyDescent="0.2">
      <c r="A1570" s="17"/>
      <c r="B1570" s="17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</row>
    <row r="1571" spans="1:20" x14ac:dyDescent="0.2">
      <c r="A1571" s="17"/>
      <c r="B1571" s="17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</row>
    <row r="1572" spans="1:20" x14ac:dyDescent="0.2">
      <c r="A1572" s="17"/>
      <c r="B1572" s="17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</row>
    <row r="1573" spans="1:20" x14ac:dyDescent="0.2">
      <c r="A1573" s="17"/>
      <c r="B1573" s="17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</row>
    <row r="1574" spans="1:20" x14ac:dyDescent="0.2">
      <c r="A1574" s="17"/>
      <c r="B1574" s="17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</row>
    <row r="1575" spans="1:20" x14ac:dyDescent="0.2">
      <c r="A1575" s="17"/>
      <c r="B1575" s="17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</row>
    <row r="1576" spans="1:20" x14ac:dyDescent="0.2">
      <c r="A1576" s="17"/>
      <c r="B1576" s="17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</row>
    <row r="1577" spans="1:20" x14ac:dyDescent="0.2">
      <c r="A1577" s="17"/>
      <c r="B1577" s="17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</row>
    <row r="1578" spans="1:20" x14ac:dyDescent="0.2">
      <c r="A1578" s="17"/>
      <c r="B1578" s="17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</row>
    <row r="1579" spans="1:20" x14ac:dyDescent="0.2">
      <c r="A1579" s="17"/>
      <c r="B1579" s="17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</row>
    <row r="1580" spans="1:20" x14ac:dyDescent="0.2">
      <c r="A1580" s="17"/>
      <c r="B1580" s="17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</row>
    <row r="1581" spans="1:20" x14ac:dyDescent="0.2">
      <c r="A1581" s="17"/>
      <c r="B1581" s="17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</row>
    <row r="1582" spans="1:20" x14ac:dyDescent="0.2">
      <c r="A1582" s="17"/>
      <c r="B1582" s="17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</row>
    <row r="1583" spans="1:20" x14ac:dyDescent="0.2">
      <c r="A1583" s="17"/>
      <c r="B1583" s="17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</row>
    <row r="1584" spans="1:20" x14ac:dyDescent="0.2">
      <c r="A1584" s="17"/>
      <c r="B1584" s="17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</row>
    <row r="1585" spans="1:20" x14ac:dyDescent="0.2">
      <c r="A1585" s="17"/>
      <c r="B1585" s="17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</row>
    <row r="1586" spans="1:20" x14ac:dyDescent="0.2">
      <c r="A1586" s="17"/>
      <c r="B1586" s="17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</row>
    <row r="1587" spans="1:20" x14ac:dyDescent="0.2">
      <c r="A1587" s="17"/>
      <c r="B1587" s="17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</row>
    <row r="1588" spans="1:20" x14ac:dyDescent="0.2">
      <c r="A1588" s="17"/>
      <c r="B1588" s="17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</row>
    <row r="1589" spans="1:20" x14ac:dyDescent="0.2">
      <c r="A1589" s="17"/>
      <c r="B1589" s="17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</row>
    <row r="1590" spans="1:20" x14ac:dyDescent="0.2">
      <c r="A1590" s="17"/>
      <c r="B1590" s="17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</row>
    <row r="1591" spans="1:20" x14ac:dyDescent="0.2">
      <c r="A1591" s="17"/>
      <c r="B1591" s="17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</row>
    <row r="1592" spans="1:20" x14ac:dyDescent="0.2">
      <c r="A1592" s="17"/>
      <c r="B1592" s="17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</row>
    <row r="1593" spans="1:20" x14ac:dyDescent="0.2">
      <c r="A1593" s="17"/>
      <c r="B1593" s="17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</row>
    <row r="1594" spans="1:20" x14ac:dyDescent="0.2">
      <c r="A1594" s="17"/>
      <c r="B1594" s="17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</row>
    <row r="1595" spans="1:20" x14ac:dyDescent="0.2">
      <c r="A1595" s="17"/>
      <c r="B1595" s="17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</row>
    <row r="1596" spans="1:20" x14ac:dyDescent="0.2">
      <c r="A1596" s="17"/>
      <c r="B1596" s="17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</row>
    <row r="1597" spans="1:20" x14ac:dyDescent="0.2">
      <c r="A1597" s="17"/>
      <c r="B1597" s="17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</row>
    <row r="1598" spans="1:20" x14ac:dyDescent="0.2">
      <c r="A1598" s="17"/>
      <c r="B1598" s="17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</row>
    <row r="1599" spans="1:20" x14ac:dyDescent="0.2">
      <c r="A1599" s="17"/>
      <c r="B1599" s="17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</row>
    <row r="1600" spans="1:20" x14ac:dyDescent="0.2">
      <c r="A1600" s="17"/>
      <c r="B1600" s="17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</row>
    <row r="1601" spans="1:20" x14ac:dyDescent="0.2">
      <c r="A1601" s="17"/>
      <c r="B1601" s="17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</row>
    <row r="1602" spans="1:20" x14ac:dyDescent="0.2">
      <c r="A1602" s="17"/>
      <c r="B1602" s="17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</row>
    <row r="1603" spans="1:20" x14ac:dyDescent="0.2">
      <c r="A1603" s="17"/>
      <c r="B1603" s="17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</row>
    <row r="1604" spans="1:20" x14ac:dyDescent="0.2">
      <c r="A1604" s="17"/>
      <c r="B1604" s="17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</row>
    <row r="1605" spans="1:20" x14ac:dyDescent="0.2">
      <c r="A1605" s="17"/>
      <c r="B1605" s="17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</row>
    <row r="1606" spans="1:20" x14ac:dyDescent="0.2">
      <c r="A1606" s="17"/>
      <c r="B1606" s="17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</row>
    <row r="1607" spans="1:20" x14ac:dyDescent="0.2">
      <c r="A1607" s="17"/>
      <c r="B1607" s="17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</row>
    <row r="1608" spans="1:20" x14ac:dyDescent="0.2">
      <c r="A1608" s="17"/>
      <c r="B1608" s="17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</row>
    <row r="1609" spans="1:20" x14ac:dyDescent="0.2">
      <c r="A1609" s="17"/>
      <c r="B1609" s="17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</row>
    <row r="1610" spans="1:20" x14ac:dyDescent="0.2">
      <c r="A1610" s="17"/>
      <c r="B1610" s="17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</row>
    <row r="1611" spans="1:20" x14ac:dyDescent="0.2">
      <c r="A1611" s="17"/>
      <c r="B1611" s="17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</row>
    <row r="1612" spans="1:20" x14ac:dyDescent="0.2">
      <c r="A1612" s="17"/>
      <c r="B1612" s="17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</row>
    <row r="1613" spans="1:20" x14ac:dyDescent="0.2">
      <c r="A1613" s="17"/>
      <c r="B1613" s="17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</row>
    <row r="1614" spans="1:20" x14ac:dyDescent="0.2">
      <c r="A1614" s="17"/>
      <c r="B1614" s="17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</row>
    <row r="1615" spans="1:20" x14ac:dyDescent="0.2">
      <c r="A1615" s="17"/>
      <c r="B1615" s="17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</row>
    <row r="1616" spans="1:20" x14ac:dyDescent="0.2">
      <c r="A1616" s="17"/>
      <c r="B1616" s="17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</row>
    <row r="1617" spans="1:20" x14ac:dyDescent="0.2">
      <c r="A1617" s="17"/>
      <c r="B1617" s="17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</row>
    <row r="1618" spans="1:20" x14ac:dyDescent="0.2">
      <c r="A1618" s="17"/>
      <c r="B1618" s="17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</row>
    <row r="1619" spans="1:20" x14ac:dyDescent="0.2">
      <c r="A1619" s="17"/>
      <c r="B1619" s="17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</row>
    <row r="1620" spans="1:20" x14ac:dyDescent="0.2">
      <c r="A1620" s="17"/>
      <c r="B1620" s="17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</row>
    <row r="1621" spans="1:20" x14ac:dyDescent="0.2">
      <c r="A1621" s="17"/>
      <c r="B1621" s="17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</row>
    <row r="1622" spans="1:20" x14ac:dyDescent="0.2">
      <c r="A1622" s="17"/>
      <c r="B1622" s="17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</row>
    <row r="1623" spans="1:20" x14ac:dyDescent="0.2">
      <c r="A1623" s="17"/>
      <c r="B1623" s="17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</row>
    <row r="1624" spans="1:20" x14ac:dyDescent="0.2">
      <c r="A1624" s="17"/>
      <c r="B1624" s="17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</row>
    <row r="1625" spans="1:20" x14ac:dyDescent="0.2">
      <c r="A1625" s="17"/>
      <c r="B1625" s="17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</row>
    <row r="1626" spans="1:20" x14ac:dyDescent="0.2">
      <c r="A1626" s="17"/>
      <c r="B1626" s="17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</row>
    <row r="1627" spans="1:20" x14ac:dyDescent="0.2">
      <c r="A1627" s="17"/>
      <c r="B1627" s="17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</row>
    <row r="1628" spans="1:20" x14ac:dyDescent="0.2">
      <c r="A1628" s="17"/>
      <c r="B1628" s="17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</row>
    <row r="1629" spans="1:20" x14ac:dyDescent="0.2">
      <c r="A1629" s="17"/>
      <c r="B1629" s="17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</row>
    <row r="1630" spans="1:20" x14ac:dyDescent="0.2">
      <c r="A1630" s="17"/>
      <c r="B1630" s="17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</row>
    <row r="1631" spans="1:20" x14ac:dyDescent="0.2">
      <c r="A1631" s="17"/>
      <c r="B1631" s="17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</row>
    <row r="1632" spans="1:20" x14ac:dyDescent="0.2">
      <c r="A1632" s="17"/>
      <c r="B1632" s="17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</row>
    <row r="1633" spans="1:20" x14ac:dyDescent="0.2">
      <c r="A1633" s="17"/>
      <c r="B1633" s="17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</row>
    <row r="1634" spans="1:20" x14ac:dyDescent="0.2">
      <c r="A1634" s="17"/>
      <c r="B1634" s="17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</row>
    <row r="1635" spans="1:20" x14ac:dyDescent="0.2">
      <c r="A1635" s="17"/>
      <c r="B1635" s="17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</row>
    <row r="1636" spans="1:20" x14ac:dyDescent="0.2">
      <c r="A1636" s="17"/>
      <c r="B1636" s="17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</row>
    <row r="1637" spans="1:20" x14ac:dyDescent="0.2">
      <c r="A1637" s="17"/>
      <c r="B1637" s="17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</row>
    <row r="1638" spans="1:20" x14ac:dyDescent="0.2">
      <c r="A1638" s="17"/>
      <c r="B1638" s="17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</row>
    <row r="1639" spans="1:20" x14ac:dyDescent="0.2">
      <c r="A1639" s="17"/>
      <c r="B1639" s="17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</row>
    <row r="1640" spans="1:20" x14ac:dyDescent="0.2">
      <c r="A1640" s="17"/>
      <c r="B1640" s="17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</row>
    <row r="1641" spans="1:20" x14ac:dyDescent="0.2">
      <c r="A1641" s="17"/>
      <c r="B1641" s="17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</row>
    <row r="1642" spans="1:20" x14ac:dyDescent="0.2">
      <c r="A1642" s="17"/>
      <c r="B1642" s="17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</row>
    <row r="1643" spans="1:20" x14ac:dyDescent="0.2">
      <c r="A1643" s="17"/>
      <c r="B1643" s="17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</row>
    <row r="1644" spans="1:20" x14ac:dyDescent="0.2">
      <c r="A1644" s="17"/>
      <c r="B1644" s="17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</row>
    <row r="1645" spans="1:20" x14ac:dyDescent="0.2">
      <c r="A1645" s="17"/>
      <c r="B1645" s="17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</row>
    <row r="1646" spans="1:20" x14ac:dyDescent="0.2">
      <c r="A1646" s="17"/>
      <c r="B1646" s="17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</row>
    <row r="1647" spans="1:20" x14ac:dyDescent="0.2">
      <c r="A1647" s="17"/>
      <c r="B1647" s="17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</row>
    <row r="1648" spans="1:20" x14ac:dyDescent="0.2">
      <c r="A1648" s="17"/>
      <c r="B1648" s="17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</row>
    <row r="1649" spans="1:20" x14ac:dyDescent="0.2">
      <c r="A1649" s="17"/>
      <c r="B1649" s="17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</row>
    <row r="1650" spans="1:20" x14ac:dyDescent="0.2">
      <c r="A1650" s="17"/>
      <c r="B1650" s="17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</row>
    <row r="1651" spans="1:20" x14ac:dyDescent="0.2">
      <c r="A1651" s="17"/>
      <c r="B1651" s="17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</row>
    <row r="1652" spans="1:20" x14ac:dyDescent="0.2">
      <c r="A1652" s="17"/>
      <c r="B1652" s="17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</row>
    <row r="1653" spans="1:20" x14ac:dyDescent="0.2">
      <c r="A1653" s="17"/>
      <c r="B1653" s="17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</row>
    <row r="1654" spans="1:20" x14ac:dyDescent="0.2">
      <c r="A1654" s="17"/>
      <c r="B1654" s="17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</row>
    <row r="1655" spans="1:20" x14ac:dyDescent="0.2">
      <c r="A1655" s="17"/>
      <c r="B1655" s="17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</row>
    <row r="1656" spans="1:20" x14ac:dyDescent="0.2">
      <c r="A1656" s="17"/>
      <c r="B1656" s="17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</row>
    <row r="1657" spans="1:20" x14ac:dyDescent="0.2">
      <c r="A1657" s="17"/>
      <c r="B1657" s="17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</row>
    <row r="1658" spans="1:20" x14ac:dyDescent="0.2">
      <c r="A1658" s="17"/>
      <c r="B1658" s="17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</row>
    <row r="1659" spans="1:20" x14ac:dyDescent="0.2">
      <c r="A1659" s="17"/>
      <c r="B1659" s="17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</row>
    <row r="1660" spans="1:20" x14ac:dyDescent="0.2">
      <c r="A1660" s="17"/>
      <c r="B1660" s="17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</row>
    <row r="1661" spans="1:20" x14ac:dyDescent="0.2">
      <c r="A1661" s="17"/>
      <c r="B1661" s="17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</row>
    <row r="1662" spans="1:20" x14ac:dyDescent="0.2">
      <c r="A1662" s="17"/>
      <c r="B1662" s="17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</row>
    <row r="1663" spans="1:20" x14ac:dyDescent="0.2">
      <c r="A1663" s="17"/>
      <c r="B1663" s="17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</row>
    <row r="1664" spans="1:20" x14ac:dyDescent="0.2">
      <c r="A1664" s="17"/>
      <c r="B1664" s="17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18"/>
    </row>
    <row r="1665" spans="1:20" x14ac:dyDescent="0.2">
      <c r="A1665" s="17"/>
      <c r="B1665" s="17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</row>
    <row r="1666" spans="1:20" x14ac:dyDescent="0.2">
      <c r="A1666" s="17"/>
      <c r="B1666" s="17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</row>
    <row r="1667" spans="1:20" x14ac:dyDescent="0.2">
      <c r="A1667" s="17"/>
      <c r="B1667" s="17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</row>
    <row r="1668" spans="1:20" x14ac:dyDescent="0.2">
      <c r="A1668" s="17"/>
      <c r="B1668" s="17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</row>
    <row r="1669" spans="1:20" x14ac:dyDescent="0.2">
      <c r="A1669" s="17"/>
      <c r="B1669" s="17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</row>
    <row r="1670" spans="1:20" x14ac:dyDescent="0.2">
      <c r="A1670" s="17"/>
      <c r="B1670" s="17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</row>
    <row r="1671" spans="1:20" x14ac:dyDescent="0.2">
      <c r="A1671" s="17"/>
      <c r="B1671" s="17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</row>
    <row r="1672" spans="1:20" x14ac:dyDescent="0.2">
      <c r="A1672" s="17"/>
      <c r="B1672" s="17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</row>
    <row r="1673" spans="1:20" x14ac:dyDescent="0.2">
      <c r="A1673" s="17"/>
      <c r="B1673" s="17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</row>
    <row r="1674" spans="1:20" x14ac:dyDescent="0.2">
      <c r="A1674" s="17"/>
      <c r="B1674" s="17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</row>
    <row r="1675" spans="1:20" x14ac:dyDescent="0.2">
      <c r="A1675" s="17"/>
      <c r="B1675" s="17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</row>
    <row r="1676" spans="1:20" x14ac:dyDescent="0.2">
      <c r="A1676" s="17"/>
      <c r="B1676" s="17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</row>
    <row r="1677" spans="1:20" x14ac:dyDescent="0.2">
      <c r="A1677" s="17"/>
      <c r="B1677" s="17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</row>
    <row r="1678" spans="1:20" x14ac:dyDescent="0.2">
      <c r="A1678" s="17"/>
      <c r="B1678" s="17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</row>
    <row r="1679" spans="1:20" x14ac:dyDescent="0.2">
      <c r="A1679" s="17"/>
      <c r="B1679" s="17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</row>
    <row r="1680" spans="1:20" x14ac:dyDescent="0.2">
      <c r="A1680" s="17"/>
      <c r="B1680" s="17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</row>
    <row r="1681" spans="1:20" x14ac:dyDescent="0.2">
      <c r="A1681" s="17"/>
      <c r="B1681" s="17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</row>
    <row r="1682" spans="1:20" x14ac:dyDescent="0.2">
      <c r="A1682" s="17"/>
      <c r="B1682" s="17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</row>
    <row r="1683" spans="1:20" x14ac:dyDescent="0.2">
      <c r="A1683" s="17"/>
      <c r="B1683" s="17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</row>
    <row r="1684" spans="1:20" x14ac:dyDescent="0.2">
      <c r="A1684" s="17"/>
      <c r="B1684" s="17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</row>
    <row r="1685" spans="1:20" x14ac:dyDescent="0.2">
      <c r="A1685" s="17"/>
      <c r="B1685" s="17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</row>
    <row r="1686" spans="1:20" x14ac:dyDescent="0.2">
      <c r="A1686" s="17"/>
      <c r="B1686" s="17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</row>
    <row r="1687" spans="1:20" x14ac:dyDescent="0.2">
      <c r="A1687" s="17"/>
      <c r="B1687" s="17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</row>
    <row r="1688" spans="1:20" x14ac:dyDescent="0.2">
      <c r="A1688" s="17"/>
      <c r="B1688" s="17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</row>
    <row r="1689" spans="1:20" x14ac:dyDescent="0.2">
      <c r="A1689" s="17"/>
      <c r="B1689" s="17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</row>
    <row r="1690" spans="1:20" x14ac:dyDescent="0.2">
      <c r="A1690" s="17"/>
      <c r="B1690" s="17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18"/>
    </row>
    <row r="1691" spans="1:20" x14ac:dyDescent="0.2">
      <c r="A1691" s="17"/>
      <c r="B1691" s="17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</row>
    <row r="1692" spans="1:20" x14ac:dyDescent="0.2">
      <c r="A1692" s="17"/>
      <c r="B1692" s="17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</row>
    <row r="1693" spans="1:20" x14ac:dyDescent="0.2">
      <c r="A1693" s="17"/>
      <c r="B1693" s="17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</row>
    <row r="1694" spans="1:20" x14ac:dyDescent="0.2">
      <c r="A1694" s="17"/>
      <c r="B1694" s="17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</row>
    <row r="1695" spans="1:20" x14ac:dyDescent="0.2">
      <c r="A1695" s="17"/>
      <c r="B1695" s="17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</row>
    <row r="1696" spans="1:20" x14ac:dyDescent="0.2">
      <c r="A1696" s="17"/>
      <c r="B1696" s="17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</row>
    <row r="1697" spans="1:20" x14ac:dyDescent="0.2">
      <c r="A1697" s="17"/>
      <c r="B1697" s="17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</row>
    <row r="1698" spans="1:20" x14ac:dyDescent="0.2">
      <c r="A1698" s="17"/>
      <c r="B1698" s="17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</row>
    <row r="1699" spans="1:20" x14ac:dyDescent="0.2">
      <c r="A1699" s="17"/>
      <c r="B1699" s="17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</row>
    <row r="1700" spans="1:20" x14ac:dyDescent="0.2">
      <c r="A1700" s="17"/>
      <c r="B1700" s="17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</row>
    <row r="1701" spans="1:20" x14ac:dyDescent="0.2">
      <c r="A1701" s="17"/>
      <c r="B1701" s="17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</row>
    <row r="1702" spans="1:20" x14ac:dyDescent="0.2">
      <c r="A1702" s="17"/>
      <c r="B1702" s="17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</row>
    <row r="1703" spans="1:20" x14ac:dyDescent="0.2">
      <c r="A1703" s="17"/>
      <c r="B1703" s="17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</row>
    <row r="1704" spans="1:20" x14ac:dyDescent="0.2">
      <c r="A1704" s="17"/>
      <c r="B1704" s="17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</row>
    <row r="1705" spans="1:20" x14ac:dyDescent="0.2">
      <c r="A1705" s="17"/>
      <c r="B1705" s="17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</row>
    <row r="1706" spans="1:20" x14ac:dyDescent="0.2">
      <c r="A1706" s="17"/>
      <c r="B1706" s="17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</row>
    <row r="1707" spans="1:20" x14ac:dyDescent="0.2">
      <c r="A1707" s="17"/>
      <c r="B1707" s="17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</row>
    <row r="1708" spans="1:20" x14ac:dyDescent="0.2">
      <c r="A1708" s="17"/>
      <c r="B1708" s="17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</row>
    <row r="1709" spans="1:20" x14ac:dyDescent="0.2">
      <c r="A1709" s="17"/>
      <c r="B1709" s="17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  <c r="T1709" s="18"/>
    </row>
    <row r="1710" spans="1:20" x14ac:dyDescent="0.2">
      <c r="A1710" s="17"/>
      <c r="B1710" s="17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</row>
    <row r="1711" spans="1:20" x14ac:dyDescent="0.2">
      <c r="A1711" s="17"/>
      <c r="B1711" s="17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</row>
    <row r="1712" spans="1:20" x14ac:dyDescent="0.2">
      <c r="A1712" s="17"/>
      <c r="B1712" s="17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</row>
    <row r="1713" spans="1:20" x14ac:dyDescent="0.2">
      <c r="A1713" s="17"/>
      <c r="B1713" s="17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</row>
    <row r="1714" spans="1:20" x14ac:dyDescent="0.2">
      <c r="A1714" s="17"/>
      <c r="B1714" s="17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</row>
    <row r="1715" spans="1:20" x14ac:dyDescent="0.2">
      <c r="A1715" s="17"/>
      <c r="B1715" s="17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</row>
    <row r="1716" spans="1:20" x14ac:dyDescent="0.2">
      <c r="A1716" s="17"/>
      <c r="B1716" s="17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</row>
    <row r="1717" spans="1:20" x14ac:dyDescent="0.2">
      <c r="A1717" s="17"/>
      <c r="B1717" s="17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</row>
    <row r="1718" spans="1:20" x14ac:dyDescent="0.2">
      <c r="A1718" s="17"/>
      <c r="B1718" s="17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</row>
    <row r="1719" spans="1:20" x14ac:dyDescent="0.2">
      <c r="A1719" s="17"/>
      <c r="B1719" s="17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18"/>
    </row>
    <row r="1720" spans="1:20" x14ac:dyDescent="0.2">
      <c r="A1720" s="17"/>
      <c r="B1720" s="17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</row>
    <row r="1721" spans="1:20" x14ac:dyDescent="0.2">
      <c r="A1721" s="17"/>
      <c r="B1721" s="17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</row>
    <row r="1722" spans="1:20" x14ac:dyDescent="0.2">
      <c r="A1722" s="17"/>
      <c r="B1722" s="17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</row>
    <row r="1723" spans="1:20" x14ac:dyDescent="0.2">
      <c r="A1723" s="17"/>
      <c r="B1723" s="17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</row>
    <row r="1724" spans="1:20" x14ac:dyDescent="0.2">
      <c r="A1724" s="17"/>
      <c r="B1724" s="17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</row>
    <row r="1725" spans="1:20" x14ac:dyDescent="0.2">
      <c r="A1725" s="17"/>
      <c r="B1725" s="17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</row>
    <row r="1726" spans="1:20" x14ac:dyDescent="0.2">
      <c r="A1726" s="17"/>
      <c r="B1726" s="17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</row>
    <row r="1727" spans="1:20" x14ac:dyDescent="0.2">
      <c r="A1727" s="17"/>
      <c r="B1727" s="17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</row>
    <row r="1728" spans="1:20" x14ac:dyDescent="0.2">
      <c r="A1728" s="17"/>
      <c r="B1728" s="17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</row>
    <row r="1729" spans="1:20" x14ac:dyDescent="0.2">
      <c r="A1729" s="17"/>
      <c r="B1729" s="17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</row>
    <row r="1730" spans="1:20" x14ac:dyDescent="0.2">
      <c r="A1730" s="17"/>
      <c r="B1730" s="17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</row>
    <row r="1731" spans="1:20" x14ac:dyDescent="0.2">
      <c r="A1731" s="17"/>
      <c r="B1731" s="17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</row>
    <row r="1732" spans="1:20" x14ac:dyDescent="0.2">
      <c r="A1732" s="17"/>
      <c r="B1732" s="17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</row>
    <row r="1733" spans="1:20" x14ac:dyDescent="0.2">
      <c r="A1733" s="17"/>
      <c r="B1733" s="17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</row>
    <row r="1734" spans="1:20" x14ac:dyDescent="0.2">
      <c r="A1734" s="17"/>
      <c r="B1734" s="17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  <c r="T1734" s="18"/>
    </row>
    <row r="1735" spans="1:20" x14ac:dyDescent="0.2">
      <c r="A1735" s="17"/>
      <c r="B1735" s="17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</row>
    <row r="1736" spans="1:20" x14ac:dyDescent="0.2">
      <c r="A1736" s="17"/>
      <c r="B1736" s="17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  <c r="T1736" s="18"/>
    </row>
    <row r="1737" spans="1:20" x14ac:dyDescent="0.2">
      <c r="A1737" s="17"/>
      <c r="B1737" s="17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</row>
    <row r="1738" spans="1:20" x14ac:dyDescent="0.2">
      <c r="A1738" s="17"/>
      <c r="B1738" s="17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</row>
    <row r="1739" spans="1:20" x14ac:dyDescent="0.2">
      <c r="A1739" s="17"/>
      <c r="B1739" s="17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</row>
    <row r="1740" spans="1:20" x14ac:dyDescent="0.2">
      <c r="A1740" s="17"/>
      <c r="B1740" s="17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  <c r="T1740" s="18"/>
    </row>
    <row r="1741" spans="1:20" x14ac:dyDescent="0.2">
      <c r="A1741" s="17"/>
      <c r="B1741" s="17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</row>
    <row r="1742" spans="1:20" x14ac:dyDescent="0.2">
      <c r="A1742" s="17"/>
      <c r="B1742" s="17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  <c r="T1742" s="18"/>
    </row>
    <row r="1743" spans="1:20" x14ac:dyDescent="0.2">
      <c r="A1743" s="17"/>
      <c r="B1743" s="17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</row>
    <row r="1744" spans="1:20" x14ac:dyDescent="0.2">
      <c r="A1744" s="17"/>
      <c r="B1744" s="17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</row>
    <row r="1745" spans="1:20" x14ac:dyDescent="0.2">
      <c r="A1745" s="17"/>
      <c r="B1745" s="17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</row>
    <row r="1746" spans="1:20" x14ac:dyDescent="0.2">
      <c r="A1746" s="17"/>
      <c r="B1746" s="17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</row>
    <row r="1747" spans="1:20" x14ac:dyDescent="0.2">
      <c r="A1747" s="17"/>
      <c r="B1747" s="17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</row>
    <row r="1748" spans="1:20" x14ac:dyDescent="0.2">
      <c r="A1748" s="17"/>
      <c r="B1748" s="17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</row>
    <row r="1749" spans="1:20" x14ac:dyDescent="0.2">
      <c r="A1749" s="17"/>
      <c r="B1749" s="17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  <c r="T1749" s="18"/>
    </row>
    <row r="1750" spans="1:20" x14ac:dyDescent="0.2">
      <c r="A1750" s="17"/>
      <c r="B1750" s="17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  <c r="T1750" s="18"/>
    </row>
    <row r="1751" spans="1:20" x14ac:dyDescent="0.2">
      <c r="A1751" s="17"/>
      <c r="B1751" s="17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18"/>
    </row>
    <row r="1752" spans="1:20" x14ac:dyDescent="0.2">
      <c r="A1752" s="17"/>
      <c r="B1752" s="17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  <c r="T1752" s="18"/>
    </row>
    <row r="1753" spans="1:20" x14ac:dyDescent="0.2">
      <c r="A1753" s="17"/>
      <c r="B1753" s="17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</row>
    <row r="1754" spans="1:20" x14ac:dyDescent="0.2">
      <c r="A1754" s="17"/>
      <c r="B1754" s="17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</row>
    <row r="1755" spans="1:20" x14ac:dyDescent="0.2">
      <c r="A1755" s="17"/>
      <c r="B1755" s="17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</row>
    <row r="1756" spans="1:20" x14ac:dyDescent="0.2">
      <c r="A1756" s="17"/>
      <c r="B1756" s="17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18"/>
    </row>
    <row r="1757" spans="1:20" x14ac:dyDescent="0.2">
      <c r="A1757" s="17"/>
      <c r="B1757" s="17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</row>
    <row r="1758" spans="1:20" x14ac:dyDescent="0.2">
      <c r="A1758" s="17"/>
      <c r="B1758" s="17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  <c r="T1758" s="18"/>
    </row>
    <row r="1759" spans="1:20" x14ac:dyDescent="0.2">
      <c r="A1759" s="17"/>
      <c r="B1759" s="17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  <c r="T1759" s="18"/>
    </row>
    <row r="1760" spans="1:20" x14ac:dyDescent="0.2">
      <c r="A1760" s="17"/>
      <c r="B1760" s="17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</row>
    <row r="1761" spans="1:20" x14ac:dyDescent="0.2">
      <c r="A1761" s="17"/>
      <c r="B1761" s="17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</row>
    <row r="1762" spans="1:20" x14ac:dyDescent="0.2">
      <c r="A1762" s="17"/>
      <c r="B1762" s="17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  <c r="T1762" s="18"/>
    </row>
    <row r="1763" spans="1:20" x14ac:dyDescent="0.2">
      <c r="A1763" s="17"/>
      <c r="B1763" s="17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</row>
    <row r="1764" spans="1:20" x14ac:dyDescent="0.2">
      <c r="A1764" s="17"/>
      <c r="B1764" s="17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</row>
    <row r="1765" spans="1:20" x14ac:dyDescent="0.2">
      <c r="A1765" s="17"/>
      <c r="B1765" s="17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</row>
    <row r="1766" spans="1:20" x14ac:dyDescent="0.2">
      <c r="A1766" s="17"/>
      <c r="B1766" s="17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</row>
    <row r="1767" spans="1:20" x14ac:dyDescent="0.2">
      <c r="A1767" s="17"/>
      <c r="B1767" s="17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</row>
    <row r="1768" spans="1:20" x14ac:dyDescent="0.2">
      <c r="A1768" s="17"/>
      <c r="B1768" s="17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</row>
    <row r="1769" spans="1:20" x14ac:dyDescent="0.2">
      <c r="A1769" s="17"/>
      <c r="B1769" s="17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</row>
    <row r="1770" spans="1:20" x14ac:dyDescent="0.2">
      <c r="A1770" s="17"/>
      <c r="B1770" s="17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</row>
    <row r="1771" spans="1:20" x14ac:dyDescent="0.2">
      <c r="A1771" s="17"/>
      <c r="B1771" s="17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</row>
    <row r="1772" spans="1:20" x14ac:dyDescent="0.2">
      <c r="A1772" s="17"/>
      <c r="B1772" s="17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</row>
    <row r="1773" spans="1:20" x14ac:dyDescent="0.2">
      <c r="A1773" s="17"/>
      <c r="B1773" s="17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</row>
    <row r="1774" spans="1:20" x14ac:dyDescent="0.2">
      <c r="A1774" s="17"/>
      <c r="B1774" s="17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</row>
    <row r="1775" spans="1:20" x14ac:dyDescent="0.2">
      <c r="A1775" s="17"/>
      <c r="B1775" s="17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</row>
    <row r="1776" spans="1:20" x14ac:dyDescent="0.2">
      <c r="A1776" s="17"/>
      <c r="B1776" s="17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</row>
    <row r="1777" spans="1:20" x14ac:dyDescent="0.2">
      <c r="A1777" s="17"/>
      <c r="B1777" s="17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</row>
    <row r="1778" spans="1:20" x14ac:dyDescent="0.2">
      <c r="A1778" s="17"/>
      <c r="B1778" s="17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  <c r="T1778" s="18"/>
    </row>
    <row r="1779" spans="1:20" x14ac:dyDescent="0.2">
      <c r="A1779" s="17"/>
      <c r="B1779" s="17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</row>
    <row r="1780" spans="1:20" x14ac:dyDescent="0.2">
      <c r="A1780" s="17"/>
      <c r="B1780" s="17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</row>
    <row r="1781" spans="1:20" x14ac:dyDescent="0.2">
      <c r="A1781" s="17"/>
      <c r="B1781" s="17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</row>
    <row r="1782" spans="1:20" x14ac:dyDescent="0.2">
      <c r="A1782" s="17"/>
      <c r="B1782" s="17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  <c r="T1782" s="18"/>
    </row>
    <row r="1783" spans="1:20" x14ac:dyDescent="0.2">
      <c r="A1783" s="17"/>
      <c r="B1783" s="17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</row>
    <row r="1784" spans="1:20" x14ac:dyDescent="0.2">
      <c r="A1784" s="17"/>
      <c r="B1784" s="17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  <c r="T1784" s="18"/>
    </row>
    <row r="1785" spans="1:20" x14ac:dyDescent="0.2">
      <c r="A1785" s="17"/>
      <c r="B1785" s="17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</row>
    <row r="1786" spans="1:20" x14ac:dyDescent="0.2">
      <c r="A1786" s="17"/>
      <c r="B1786" s="17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</row>
    <row r="1787" spans="1:20" x14ac:dyDescent="0.2">
      <c r="A1787" s="17"/>
      <c r="B1787" s="17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</row>
    <row r="1788" spans="1:20" x14ac:dyDescent="0.2">
      <c r="A1788" s="17"/>
      <c r="B1788" s="17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</row>
    <row r="1789" spans="1:20" x14ac:dyDescent="0.2">
      <c r="A1789" s="17"/>
      <c r="B1789" s="17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</row>
    <row r="1790" spans="1:20" x14ac:dyDescent="0.2">
      <c r="A1790" s="17"/>
      <c r="B1790" s="17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</row>
    <row r="1791" spans="1:20" x14ac:dyDescent="0.2">
      <c r="A1791" s="17"/>
      <c r="B1791" s="17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</row>
    <row r="1792" spans="1:20" x14ac:dyDescent="0.2">
      <c r="A1792" s="17"/>
      <c r="B1792" s="17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</row>
    <row r="1793" spans="1:20" x14ac:dyDescent="0.2">
      <c r="A1793" s="17"/>
      <c r="B1793" s="17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  <c r="T1793" s="18"/>
    </row>
    <row r="1794" spans="1:20" x14ac:dyDescent="0.2">
      <c r="A1794" s="17"/>
      <c r="B1794" s="17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</row>
    <row r="1795" spans="1:20" x14ac:dyDescent="0.2">
      <c r="A1795" s="17"/>
      <c r="B1795" s="17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</row>
    <row r="1796" spans="1:20" x14ac:dyDescent="0.2">
      <c r="A1796" s="17"/>
      <c r="B1796" s="17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</row>
    <row r="1797" spans="1:20" x14ac:dyDescent="0.2">
      <c r="A1797" s="17"/>
      <c r="B1797" s="17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</row>
    <row r="1798" spans="1:20" x14ac:dyDescent="0.2">
      <c r="A1798" s="17"/>
      <c r="B1798" s="17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</row>
    <row r="1799" spans="1:20" x14ac:dyDescent="0.2">
      <c r="A1799" s="17"/>
      <c r="B1799" s="17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</row>
    <row r="1800" spans="1:20" x14ac:dyDescent="0.2">
      <c r="A1800" s="17"/>
      <c r="B1800" s="17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</row>
    <row r="1801" spans="1:20" x14ac:dyDescent="0.2">
      <c r="A1801" s="17"/>
      <c r="B1801" s="17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</row>
    <row r="1802" spans="1:20" x14ac:dyDescent="0.2">
      <c r="A1802" s="17"/>
      <c r="B1802" s="17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</row>
    <row r="1803" spans="1:20" x14ac:dyDescent="0.2">
      <c r="A1803" s="17"/>
      <c r="B1803" s="17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</row>
    <row r="1804" spans="1:20" x14ac:dyDescent="0.2">
      <c r="A1804" s="17"/>
      <c r="B1804" s="17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</row>
    <row r="1805" spans="1:20" x14ac:dyDescent="0.2">
      <c r="A1805" s="17"/>
      <c r="B1805" s="17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</row>
    <row r="1806" spans="1:20" x14ac:dyDescent="0.2">
      <c r="A1806" s="17"/>
      <c r="B1806" s="17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</row>
    <row r="1807" spans="1:20" x14ac:dyDescent="0.2">
      <c r="A1807" s="17"/>
      <c r="B1807" s="17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</row>
    <row r="1808" spans="1:20" x14ac:dyDescent="0.2">
      <c r="A1808" s="17"/>
      <c r="B1808" s="17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</row>
    <row r="1809" spans="1:20" x14ac:dyDescent="0.2">
      <c r="A1809" s="17"/>
      <c r="B1809" s="17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</row>
    <row r="1810" spans="1:20" x14ac:dyDescent="0.2">
      <c r="A1810" s="17"/>
      <c r="B1810" s="17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</row>
    <row r="1811" spans="1:20" x14ac:dyDescent="0.2">
      <c r="A1811" s="17"/>
      <c r="B1811" s="17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</row>
    <row r="1812" spans="1:20" x14ac:dyDescent="0.2">
      <c r="A1812" s="17"/>
      <c r="B1812" s="17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</row>
    <row r="1813" spans="1:20" x14ac:dyDescent="0.2">
      <c r="A1813" s="17"/>
      <c r="B1813" s="17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</row>
    <row r="1814" spans="1:20" x14ac:dyDescent="0.2">
      <c r="A1814" s="17"/>
      <c r="B1814" s="17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</row>
    <row r="1815" spans="1:20" x14ac:dyDescent="0.2">
      <c r="A1815" s="17"/>
      <c r="B1815" s="17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</row>
    <row r="1816" spans="1:20" x14ac:dyDescent="0.2">
      <c r="A1816" s="17"/>
      <c r="B1816" s="17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  <c r="T1816" s="18"/>
    </row>
    <row r="1817" spans="1:20" x14ac:dyDescent="0.2">
      <c r="A1817" s="17"/>
      <c r="B1817" s="17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</row>
    <row r="1818" spans="1:20" x14ac:dyDescent="0.2">
      <c r="A1818" s="17"/>
      <c r="B1818" s="17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</row>
    <row r="1819" spans="1:20" x14ac:dyDescent="0.2">
      <c r="A1819" s="17"/>
      <c r="B1819" s="17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</row>
    <row r="1820" spans="1:20" x14ac:dyDescent="0.2">
      <c r="A1820" s="17"/>
      <c r="B1820" s="17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  <c r="T1820" s="18"/>
    </row>
    <row r="1821" spans="1:20" x14ac:dyDescent="0.2">
      <c r="A1821" s="17"/>
      <c r="B1821" s="17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</row>
    <row r="1822" spans="1:20" x14ac:dyDescent="0.2">
      <c r="A1822" s="17"/>
      <c r="B1822" s="17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</row>
    <row r="1823" spans="1:20" x14ac:dyDescent="0.2">
      <c r="A1823" s="17"/>
      <c r="B1823" s="17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</row>
    <row r="1824" spans="1:20" x14ac:dyDescent="0.2">
      <c r="A1824" s="17"/>
      <c r="B1824" s="17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</row>
    <row r="1825" spans="1:20" x14ac:dyDescent="0.2">
      <c r="A1825" s="17"/>
      <c r="B1825" s="17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</row>
    <row r="1826" spans="1:20" x14ac:dyDescent="0.2">
      <c r="A1826" s="17"/>
      <c r="B1826" s="17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</row>
    <row r="1827" spans="1:20" x14ac:dyDescent="0.2">
      <c r="A1827" s="17"/>
      <c r="B1827" s="17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</row>
    <row r="1828" spans="1:20" x14ac:dyDescent="0.2">
      <c r="A1828" s="17"/>
      <c r="B1828" s="17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</row>
    <row r="1829" spans="1:20" x14ac:dyDescent="0.2">
      <c r="A1829" s="17"/>
      <c r="B1829" s="17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</row>
    <row r="1830" spans="1:20" x14ac:dyDescent="0.2">
      <c r="A1830" s="17"/>
      <c r="B1830" s="17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</row>
    <row r="1831" spans="1:20" x14ac:dyDescent="0.2">
      <c r="A1831" s="17"/>
      <c r="B1831" s="17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</row>
    <row r="1832" spans="1:20" x14ac:dyDescent="0.2">
      <c r="A1832" s="17"/>
      <c r="B1832" s="17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</row>
    <row r="1833" spans="1:20" x14ac:dyDescent="0.2">
      <c r="A1833" s="17"/>
      <c r="B1833" s="17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</row>
    <row r="1834" spans="1:20" x14ac:dyDescent="0.2">
      <c r="A1834" s="17"/>
      <c r="B1834" s="17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</row>
    <row r="1835" spans="1:20" x14ac:dyDescent="0.2">
      <c r="A1835" s="17"/>
      <c r="B1835" s="17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</row>
    <row r="1836" spans="1:20" x14ac:dyDescent="0.2">
      <c r="A1836" s="17"/>
      <c r="B1836" s="17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</row>
    <row r="1837" spans="1:20" x14ac:dyDescent="0.2">
      <c r="A1837" s="17"/>
      <c r="B1837" s="17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</row>
    <row r="1838" spans="1:20" x14ac:dyDescent="0.2">
      <c r="A1838" s="17"/>
      <c r="B1838" s="17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</row>
    <row r="1839" spans="1:20" x14ac:dyDescent="0.2">
      <c r="A1839" s="17"/>
      <c r="B1839" s="17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</row>
    <row r="1840" spans="1:20" x14ac:dyDescent="0.2">
      <c r="A1840" s="17"/>
      <c r="B1840" s="17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18"/>
    </row>
    <row r="1841" spans="1:20" x14ac:dyDescent="0.2">
      <c r="A1841" s="17"/>
      <c r="B1841" s="17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</row>
    <row r="1842" spans="1:20" x14ac:dyDescent="0.2">
      <c r="A1842" s="17"/>
      <c r="B1842" s="17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</row>
    <row r="1843" spans="1:20" x14ac:dyDescent="0.2">
      <c r="A1843" s="17"/>
      <c r="B1843" s="17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</row>
    <row r="1844" spans="1:20" x14ac:dyDescent="0.2">
      <c r="A1844" s="17"/>
      <c r="B1844" s="17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</row>
    <row r="1845" spans="1:20" x14ac:dyDescent="0.2">
      <c r="A1845" s="17"/>
      <c r="B1845" s="17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</row>
    <row r="1846" spans="1:20" x14ac:dyDescent="0.2">
      <c r="A1846" s="17"/>
      <c r="B1846" s="17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</row>
    <row r="1847" spans="1:20" x14ac:dyDescent="0.2">
      <c r="A1847" s="17"/>
      <c r="B1847" s="17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</row>
    <row r="1848" spans="1:20" x14ac:dyDescent="0.2">
      <c r="A1848" s="17"/>
      <c r="B1848" s="17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  <c r="T1848" s="18"/>
    </row>
    <row r="1849" spans="1:20" x14ac:dyDescent="0.2">
      <c r="A1849" s="17"/>
      <c r="B1849" s="17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</row>
    <row r="1850" spans="1:20" x14ac:dyDescent="0.2">
      <c r="A1850" s="17"/>
      <c r="B1850" s="17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</row>
    <row r="1851" spans="1:20" x14ac:dyDescent="0.2">
      <c r="A1851" s="17"/>
      <c r="B1851" s="17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</row>
    <row r="1852" spans="1:20" x14ac:dyDescent="0.2">
      <c r="A1852" s="17"/>
      <c r="B1852" s="17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</row>
    <row r="1853" spans="1:20" x14ac:dyDescent="0.2">
      <c r="A1853" s="17"/>
      <c r="B1853" s="17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</row>
    <row r="1854" spans="1:20" x14ac:dyDescent="0.2">
      <c r="A1854" s="17"/>
      <c r="B1854" s="17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</row>
    <row r="1855" spans="1:20" x14ac:dyDescent="0.2">
      <c r="A1855" s="17"/>
      <c r="B1855" s="17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</row>
    <row r="1856" spans="1:20" x14ac:dyDescent="0.2">
      <c r="A1856" s="17"/>
      <c r="B1856" s="17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</row>
    <row r="1857" spans="1:20" x14ac:dyDescent="0.2">
      <c r="A1857" s="17"/>
      <c r="B1857" s="17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</row>
    <row r="1858" spans="1:20" x14ac:dyDescent="0.2">
      <c r="A1858" s="17"/>
      <c r="B1858" s="17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  <c r="T1858" s="18"/>
    </row>
    <row r="1859" spans="1:20" x14ac:dyDescent="0.2">
      <c r="A1859" s="17"/>
      <c r="B1859" s="17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  <c r="T1859" s="18"/>
    </row>
    <row r="1860" spans="1:20" x14ac:dyDescent="0.2">
      <c r="A1860" s="17"/>
      <c r="B1860" s="17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</row>
    <row r="1861" spans="1:20" x14ac:dyDescent="0.2">
      <c r="A1861" s="17"/>
      <c r="B1861" s="17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</row>
    <row r="1862" spans="1:20" x14ac:dyDescent="0.2">
      <c r="A1862" s="17"/>
      <c r="B1862" s="17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</row>
    <row r="1863" spans="1:20" x14ac:dyDescent="0.2">
      <c r="A1863" s="17"/>
      <c r="B1863" s="17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</row>
    <row r="1864" spans="1:20" x14ac:dyDescent="0.2">
      <c r="A1864" s="17"/>
      <c r="B1864" s="17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</row>
    <row r="1865" spans="1:20" x14ac:dyDescent="0.2">
      <c r="A1865" s="17"/>
      <c r="B1865" s="17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</row>
    <row r="1866" spans="1:20" x14ac:dyDescent="0.2">
      <c r="A1866" s="17"/>
      <c r="B1866" s="17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  <c r="T1866" s="18"/>
    </row>
    <row r="1867" spans="1:20" x14ac:dyDescent="0.2">
      <c r="A1867" s="17"/>
      <c r="B1867" s="17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</row>
    <row r="1868" spans="1:20" x14ac:dyDescent="0.2">
      <c r="A1868" s="17"/>
      <c r="B1868" s="17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</row>
    <row r="1869" spans="1:20" x14ac:dyDescent="0.2">
      <c r="A1869" s="17"/>
      <c r="B1869" s="17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</row>
    <row r="1870" spans="1:20" x14ac:dyDescent="0.2">
      <c r="A1870" s="17"/>
      <c r="B1870" s="17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18"/>
    </row>
    <row r="1871" spans="1:20" x14ac:dyDescent="0.2">
      <c r="A1871" s="17"/>
      <c r="B1871" s="17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</row>
    <row r="1872" spans="1:20" x14ac:dyDescent="0.2">
      <c r="A1872" s="17"/>
      <c r="B1872" s="17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  <c r="T1872" s="18"/>
    </row>
    <row r="1873" spans="1:20" x14ac:dyDescent="0.2">
      <c r="A1873" s="17"/>
      <c r="B1873" s="17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  <c r="T1873" s="18"/>
    </row>
    <row r="1874" spans="1:20" x14ac:dyDescent="0.2">
      <c r="A1874" s="17"/>
      <c r="B1874" s="17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  <c r="T1874" s="18"/>
    </row>
    <row r="1875" spans="1:20" x14ac:dyDescent="0.2">
      <c r="A1875" s="17"/>
      <c r="B1875" s="17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</row>
    <row r="1876" spans="1:20" x14ac:dyDescent="0.2">
      <c r="A1876" s="17"/>
      <c r="B1876" s="17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  <c r="T1876" s="18"/>
    </row>
    <row r="1877" spans="1:20" x14ac:dyDescent="0.2">
      <c r="A1877" s="17"/>
      <c r="B1877" s="17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</row>
    <row r="1878" spans="1:20" x14ac:dyDescent="0.2">
      <c r="A1878" s="17"/>
      <c r="B1878" s="17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  <c r="T1878" s="18"/>
    </row>
    <row r="1879" spans="1:20" x14ac:dyDescent="0.2">
      <c r="A1879" s="17"/>
      <c r="B1879" s="17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</row>
    <row r="1880" spans="1:20" x14ac:dyDescent="0.2">
      <c r="A1880" s="17"/>
      <c r="B1880" s="17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  <c r="T1880" s="18"/>
    </row>
    <row r="1881" spans="1:20" x14ac:dyDescent="0.2">
      <c r="A1881" s="17"/>
      <c r="B1881" s="17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</row>
    <row r="1882" spans="1:20" x14ac:dyDescent="0.2">
      <c r="A1882" s="17"/>
      <c r="B1882" s="17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  <c r="T1882" s="18"/>
    </row>
    <row r="1883" spans="1:20" x14ac:dyDescent="0.2">
      <c r="A1883" s="17"/>
      <c r="B1883" s="17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  <c r="T1883" s="18"/>
    </row>
    <row r="1884" spans="1:20" x14ac:dyDescent="0.2">
      <c r="A1884" s="17"/>
      <c r="B1884" s="17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  <c r="T1884" s="18"/>
    </row>
    <row r="1885" spans="1:20" x14ac:dyDescent="0.2">
      <c r="A1885" s="17"/>
      <c r="B1885" s="17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</row>
    <row r="1886" spans="1:20" x14ac:dyDescent="0.2">
      <c r="A1886" s="17"/>
      <c r="B1886" s="17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</row>
    <row r="1887" spans="1:20" x14ac:dyDescent="0.2">
      <c r="A1887" s="17"/>
      <c r="B1887" s="17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</row>
    <row r="1888" spans="1:20" x14ac:dyDescent="0.2">
      <c r="A1888" s="17"/>
      <c r="B1888" s="17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</row>
    <row r="1889" spans="1:20" x14ac:dyDescent="0.2">
      <c r="A1889" s="17"/>
      <c r="B1889" s="17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  <c r="T1889" s="18"/>
    </row>
    <row r="1890" spans="1:20" x14ac:dyDescent="0.2">
      <c r="A1890" s="17"/>
      <c r="B1890" s="17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  <c r="T1890" s="18"/>
    </row>
    <row r="1891" spans="1:20" x14ac:dyDescent="0.2">
      <c r="A1891" s="17"/>
      <c r="B1891" s="17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</row>
    <row r="1892" spans="1:20" x14ac:dyDescent="0.2">
      <c r="A1892" s="17"/>
      <c r="B1892" s="17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</row>
    <row r="1893" spans="1:20" x14ac:dyDescent="0.2">
      <c r="A1893" s="17"/>
      <c r="B1893" s="17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</row>
    <row r="1894" spans="1:20" x14ac:dyDescent="0.2">
      <c r="A1894" s="17"/>
      <c r="B1894" s="17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</row>
    <row r="1895" spans="1:20" x14ac:dyDescent="0.2">
      <c r="A1895" s="17"/>
      <c r="B1895" s="17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</row>
    <row r="1896" spans="1:20" x14ac:dyDescent="0.2">
      <c r="A1896" s="17"/>
      <c r="B1896" s="17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</row>
    <row r="1897" spans="1:20" x14ac:dyDescent="0.2">
      <c r="A1897" s="17"/>
      <c r="B1897" s="17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</row>
    <row r="1898" spans="1:20" x14ac:dyDescent="0.2">
      <c r="A1898" s="17"/>
      <c r="B1898" s="17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  <c r="T1898" s="18"/>
    </row>
    <row r="1899" spans="1:20" x14ac:dyDescent="0.2">
      <c r="A1899" s="17"/>
      <c r="B1899" s="17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</row>
    <row r="1900" spans="1:20" x14ac:dyDescent="0.2">
      <c r="A1900" s="17"/>
      <c r="B1900" s="17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  <c r="T1900" s="18"/>
    </row>
    <row r="1901" spans="1:20" x14ac:dyDescent="0.2">
      <c r="A1901" s="17"/>
      <c r="B1901" s="17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</row>
    <row r="1902" spans="1:20" x14ac:dyDescent="0.2">
      <c r="A1902" s="17"/>
      <c r="B1902" s="17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  <c r="T1902" s="18"/>
    </row>
    <row r="1903" spans="1:20" x14ac:dyDescent="0.2">
      <c r="A1903" s="17"/>
      <c r="B1903" s="17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</row>
    <row r="1904" spans="1:20" x14ac:dyDescent="0.2">
      <c r="A1904" s="17"/>
      <c r="B1904" s="17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</row>
    <row r="1905" spans="1:20" x14ac:dyDescent="0.2">
      <c r="A1905" s="17"/>
      <c r="B1905" s="17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</row>
    <row r="1906" spans="1:20" x14ac:dyDescent="0.2">
      <c r="A1906" s="17"/>
      <c r="B1906" s="17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</row>
    <row r="1907" spans="1:20" x14ac:dyDescent="0.2">
      <c r="A1907" s="17"/>
      <c r="B1907" s="17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</row>
    <row r="1908" spans="1:20" x14ac:dyDescent="0.2">
      <c r="A1908" s="17"/>
      <c r="B1908" s="17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  <c r="T1908" s="18"/>
    </row>
    <row r="1909" spans="1:20" x14ac:dyDescent="0.2">
      <c r="A1909" s="17"/>
      <c r="B1909" s="17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</row>
    <row r="1910" spans="1:20" x14ac:dyDescent="0.2">
      <c r="A1910" s="17"/>
      <c r="B1910" s="17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</row>
    <row r="1911" spans="1:20" x14ac:dyDescent="0.2">
      <c r="A1911" s="17"/>
      <c r="B1911" s="17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</row>
    <row r="1912" spans="1:20" x14ac:dyDescent="0.2">
      <c r="A1912" s="17"/>
      <c r="B1912" s="17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18"/>
    </row>
    <row r="1913" spans="1:20" x14ac:dyDescent="0.2">
      <c r="A1913" s="17"/>
      <c r="B1913" s="17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</row>
    <row r="1914" spans="1:20" x14ac:dyDescent="0.2">
      <c r="A1914" s="17"/>
      <c r="B1914" s="17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</row>
    <row r="1915" spans="1:20" x14ac:dyDescent="0.2">
      <c r="A1915" s="17"/>
      <c r="B1915" s="17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</row>
    <row r="1916" spans="1:20" x14ac:dyDescent="0.2">
      <c r="A1916" s="17"/>
      <c r="B1916" s="17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</row>
    <row r="1917" spans="1:20" x14ac:dyDescent="0.2">
      <c r="A1917" s="17"/>
      <c r="B1917" s="17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</row>
    <row r="1918" spans="1:20" x14ac:dyDescent="0.2">
      <c r="A1918" s="17"/>
      <c r="B1918" s="17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</row>
    <row r="1919" spans="1:20" x14ac:dyDescent="0.2">
      <c r="A1919" s="17"/>
      <c r="B1919" s="17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</row>
    <row r="1920" spans="1:20" x14ac:dyDescent="0.2">
      <c r="A1920" s="17"/>
      <c r="B1920" s="17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</row>
    <row r="1921" spans="1:20" x14ac:dyDescent="0.2">
      <c r="A1921" s="17"/>
      <c r="B1921" s="17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</row>
    <row r="1922" spans="1:20" x14ac:dyDescent="0.2">
      <c r="A1922" s="17"/>
      <c r="B1922" s="17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  <c r="T1922" s="18"/>
    </row>
    <row r="1923" spans="1:20" x14ac:dyDescent="0.2">
      <c r="A1923" s="17"/>
      <c r="B1923" s="17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</row>
    <row r="1924" spans="1:20" x14ac:dyDescent="0.2">
      <c r="A1924" s="17"/>
      <c r="B1924" s="17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</row>
    <row r="1925" spans="1:20" x14ac:dyDescent="0.2">
      <c r="A1925" s="17"/>
      <c r="B1925" s="17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</row>
    <row r="1926" spans="1:20" x14ac:dyDescent="0.2">
      <c r="A1926" s="17"/>
      <c r="B1926" s="17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</row>
    <row r="1927" spans="1:20" x14ac:dyDescent="0.2">
      <c r="A1927" s="17"/>
      <c r="B1927" s="17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</row>
    <row r="1928" spans="1:20" x14ac:dyDescent="0.2">
      <c r="A1928" s="17"/>
      <c r="B1928" s="17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</row>
    <row r="1929" spans="1:20" x14ac:dyDescent="0.2">
      <c r="A1929" s="17"/>
      <c r="B1929" s="17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  <c r="T1929" s="18"/>
    </row>
    <row r="1930" spans="1:20" x14ac:dyDescent="0.2">
      <c r="A1930" s="17"/>
      <c r="B1930" s="17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</row>
    <row r="1931" spans="1:20" x14ac:dyDescent="0.2">
      <c r="A1931" s="17"/>
      <c r="B1931" s="17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</row>
    <row r="1932" spans="1:20" x14ac:dyDescent="0.2">
      <c r="A1932" s="17"/>
      <c r="B1932" s="17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  <c r="T1932" s="18"/>
    </row>
    <row r="1933" spans="1:20" x14ac:dyDescent="0.2">
      <c r="A1933" s="17"/>
      <c r="B1933" s="17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</row>
    <row r="1934" spans="1:20" x14ac:dyDescent="0.2">
      <c r="A1934" s="17"/>
      <c r="B1934" s="17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  <c r="T1934" s="18"/>
    </row>
    <row r="1935" spans="1:20" x14ac:dyDescent="0.2">
      <c r="A1935" s="17"/>
      <c r="B1935" s="17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</row>
    <row r="1936" spans="1:20" x14ac:dyDescent="0.2">
      <c r="A1936" s="17"/>
      <c r="B1936" s="17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  <c r="T1936" s="18"/>
    </row>
    <row r="1937" spans="1:20" x14ac:dyDescent="0.2">
      <c r="A1937" s="17"/>
      <c r="B1937" s="17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18"/>
    </row>
    <row r="1938" spans="1:20" x14ac:dyDescent="0.2">
      <c r="A1938" s="17"/>
      <c r="B1938" s="17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  <c r="T1938" s="18"/>
    </row>
    <row r="1939" spans="1:20" x14ac:dyDescent="0.2">
      <c r="A1939" s="17"/>
      <c r="B1939" s="17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</row>
    <row r="1940" spans="1:20" x14ac:dyDescent="0.2">
      <c r="A1940" s="17"/>
      <c r="B1940" s="17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  <c r="T1940" s="18"/>
    </row>
    <row r="1941" spans="1:20" x14ac:dyDescent="0.2">
      <c r="A1941" s="17"/>
      <c r="B1941" s="17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  <c r="T1941" s="18"/>
    </row>
    <row r="1942" spans="1:20" x14ac:dyDescent="0.2">
      <c r="A1942" s="17"/>
      <c r="B1942" s="17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  <c r="T1942" s="18"/>
    </row>
    <row r="1943" spans="1:20" x14ac:dyDescent="0.2">
      <c r="A1943" s="17"/>
      <c r="B1943" s="17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</row>
    <row r="1944" spans="1:20" x14ac:dyDescent="0.2">
      <c r="A1944" s="17"/>
      <c r="B1944" s="17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</row>
    <row r="1945" spans="1:20" x14ac:dyDescent="0.2">
      <c r="A1945" s="17"/>
      <c r="B1945" s="17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</row>
    <row r="1946" spans="1:20" x14ac:dyDescent="0.2">
      <c r="A1946" s="17"/>
      <c r="B1946" s="17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</row>
    <row r="1947" spans="1:20" x14ac:dyDescent="0.2">
      <c r="A1947" s="17"/>
      <c r="B1947" s="17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</row>
    <row r="1948" spans="1:20" x14ac:dyDescent="0.2">
      <c r="A1948" s="17"/>
      <c r="B1948" s="17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</row>
    <row r="1949" spans="1:20" x14ac:dyDescent="0.2">
      <c r="A1949" s="17"/>
      <c r="B1949" s="17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</row>
    <row r="1950" spans="1:20" x14ac:dyDescent="0.2">
      <c r="A1950" s="17"/>
      <c r="B1950" s="17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/>
    </row>
    <row r="1951" spans="1:20" x14ac:dyDescent="0.2">
      <c r="A1951" s="17"/>
      <c r="B1951" s="17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</row>
    <row r="1952" spans="1:20" x14ac:dyDescent="0.2">
      <c r="A1952" s="17"/>
      <c r="B1952" s="17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</row>
    <row r="1953" spans="1:20" x14ac:dyDescent="0.2">
      <c r="A1953" s="17"/>
      <c r="B1953" s="17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</row>
    <row r="1954" spans="1:20" x14ac:dyDescent="0.2">
      <c r="A1954" s="17"/>
      <c r="B1954" s="17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  <c r="T1954" s="18"/>
    </row>
    <row r="1955" spans="1:20" x14ac:dyDescent="0.2">
      <c r="A1955" s="17"/>
      <c r="B1955" s="17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</row>
    <row r="1956" spans="1:20" x14ac:dyDescent="0.2">
      <c r="A1956" s="17"/>
      <c r="B1956" s="17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</row>
    <row r="1957" spans="1:20" x14ac:dyDescent="0.2">
      <c r="A1957" s="17"/>
      <c r="B1957" s="17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</row>
    <row r="1958" spans="1:20" x14ac:dyDescent="0.2">
      <c r="A1958" s="17"/>
      <c r="B1958" s="17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</row>
    <row r="1959" spans="1:20" x14ac:dyDescent="0.2">
      <c r="A1959" s="17"/>
      <c r="B1959" s="17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</row>
    <row r="1960" spans="1:20" x14ac:dyDescent="0.2">
      <c r="A1960" s="17"/>
      <c r="B1960" s="17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</row>
    <row r="1961" spans="1:20" x14ac:dyDescent="0.2">
      <c r="A1961" s="17"/>
      <c r="B1961" s="17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</row>
    <row r="1962" spans="1:20" x14ac:dyDescent="0.2">
      <c r="A1962" s="17"/>
      <c r="B1962" s="17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</row>
    <row r="1963" spans="1:20" x14ac:dyDescent="0.2">
      <c r="A1963" s="17"/>
      <c r="B1963" s="17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</row>
    <row r="1964" spans="1:20" x14ac:dyDescent="0.2">
      <c r="A1964" s="17"/>
      <c r="B1964" s="17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  <c r="T1964" s="18"/>
    </row>
    <row r="1965" spans="1:20" x14ac:dyDescent="0.2">
      <c r="A1965" s="17"/>
      <c r="B1965" s="17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</row>
    <row r="1966" spans="1:20" x14ac:dyDescent="0.2">
      <c r="A1966" s="17"/>
      <c r="B1966" s="17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  <c r="T1966" s="18"/>
    </row>
    <row r="1967" spans="1:20" x14ac:dyDescent="0.2">
      <c r="A1967" s="17"/>
      <c r="B1967" s="17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  <c r="T1967" s="18"/>
    </row>
    <row r="1968" spans="1:20" x14ac:dyDescent="0.2">
      <c r="A1968" s="17"/>
      <c r="B1968" s="17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  <c r="T1968" s="18"/>
    </row>
    <row r="1969" spans="1:20" x14ac:dyDescent="0.2">
      <c r="A1969" s="17"/>
      <c r="B1969" s="17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  <c r="T1969" s="18"/>
    </row>
    <row r="1970" spans="1:20" x14ac:dyDescent="0.2">
      <c r="A1970" s="17"/>
      <c r="B1970" s="17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  <c r="T1970" s="18"/>
    </row>
    <row r="1971" spans="1:20" x14ac:dyDescent="0.2">
      <c r="A1971" s="17"/>
      <c r="B1971" s="17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  <c r="T1971" s="18"/>
    </row>
    <row r="1972" spans="1:20" x14ac:dyDescent="0.2">
      <c r="A1972" s="17"/>
      <c r="B1972" s="17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  <c r="T1972" s="18"/>
    </row>
    <row r="1973" spans="1:20" x14ac:dyDescent="0.2">
      <c r="A1973" s="17"/>
      <c r="B1973" s="17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  <c r="T1973" s="18"/>
    </row>
    <row r="1974" spans="1:20" x14ac:dyDescent="0.2">
      <c r="A1974" s="17"/>
      <c r="B1974" s="17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</row>
    <row r="1975" spans="1:20" x14ac:dyDescent="0.2">
      <c r="A1975" s="17"/>
      <c r="B1975" s="17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  <c r="T1975" s="18"/>
    </row>
    <row r="1976" spans="1:20" x14ac:dyDescent="0.2">
      <c r="A1976" s="17"/>
      <c r="B1976" s="17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  <c r="T1976" s="18"/>
    </row>
    <row r="1977" spans="1:20" x14ac:dyDescent="0.2">
      <c r="A1977" s="17"/>
      <c r="B1977" s="17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  <c r="T1977" s="18"/>
    </row>
    <row r="1978" spans="1:20" x14ac:dyDescent="0.2">
      <c r="A1978" s="17"/>
      <c r="B1978" s="17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  <c r="T1978" s="18"/>
    </row>
    <row r="1979" spans="1:20" x14ac:dyDescent="0.2">
      <c r="A1979" s="17"/>
      <c r="B1979" s="17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  <c r="T1979" s="18"/>
    </row>
    <row r="1980" spans="1:20" x14ac:dyDescent="0.2">
      <c r="A1980" s="17"/>
      <c r="B1980" s="17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  <c r="T1980" s="18"/>
    </row>
    <row r="1981" spans="1:20" x14ac:dyDescent="0.2">
      <c r="A1981" s="17"/>
      <c r="B1981" s="17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18"/>
    </row>
    <row r="1982" spans="1:20" x14ac:dyDescent="0.2">
      <c r="A1982" s="17"/>
      <c r="B1982" s="17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  <c r="T1982" s="18"/>
    </row>
    <row r="1983" spans="1:20" x14ac:dyDescent="0.2">
      <c r="A1983" s="17"/>
      <c r="B1983" s="17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  <c r="T1983" s="18"/>
    </row>
    <row r="1984" spans="1:20" x14ac:dyDescent="0.2">
      <c r="A1984" s="17"/>
      <c r="B1984" s="17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  <c r="T1984" s="18"/>
    </row>
    <row r="1985" spans="1:20" x14ac:dyDescent="0.2">
      <c r="A1985" s="17"/>
      <c r="B1985" s="17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  <c r="T1985" s="18"/>
    </row>
    <row r="1986" spans="1:20" x14ac:dyDescent="0.2">
      <c r="A1986" s="17"/>
      <c r="B1986" s="17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  <c r="T1986" s="18"/>
    </row>
    <row r="1987" spans="1:20" x14ac:dyDescent="0.2">
      <c r="A1987" s="17"/>
      <c r="B1987" s="17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  <c r="T1987" s="18"/>
    </row>
    <row r="1988" spans="1:20" x14ac:dyDescent="0.2">
      <c r="A1988" s="17"/>
      <c r="B1988" s="17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  <c r="T1988" s="18"/>
    </row>
    <row r="1989" spans="1:20" x14ac:dyDescent="0.2">
      <c r="A1989" s="17"/>
      <c r="B1989" s="17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  <c r="T1989" s="18"/>
    </row>
    <row r="1990" spans="1:20" x14ac:dyDescent="0.2">
      <c r="A1990" s="17"/>
      <c r="B1990" s="17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  <c r="T1990" s="18"/>
    </row>
    <row r="1991" spans="1:20" x14ac:dyDescent="0.2">
      <c r="A1991" s="17"/>
      <c r="B1991" s="17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</row>
    <row r="1992" spans="1:20" x14ac:dyDescent="0.2">
      <c r="A1992" s="17"/>
      <c r="B1992" s="17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</row>
    <row r="1993" spans="1:20" x14ac:dyDescent="0.2">
      <c r="A1993" s="17"/>
      <c r="B1993" s="17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</row>
    <row r="1994" spans="1:20" x14ac:dyDescent="0.2">
      <c r="A1994" s="17"/>
      <c r="B1994" s="17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  <c r="T1994" s="18"/>
    </row>
    <row r="1995" spans="1:20" x14ac:dyDescent="0.2">
      <c r="A1995" s="17"/>
      <c r="B1995" s="17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18"/>
    </row>
    <row r="1996" spans="1:20" x14ac:dyDescent="0.2">
      <c r="A1996" s="17"/>
      <c r="B1996" s="17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  <c r="T1996" s="18"/>
    </row>
    <row r="1997" spans="1:20" x14ac:dyDescent="0.2">
      <c r="A1997" s="17"/>
      <c r="B1997" s="17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</row>
    <row r="1998" spans="1:20" x14ac:dyDescent="0.2">
      <c r="A1998" s="17"/>
      <c r="B1998" s="17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</row>
    <row r="1999" spans="1:20" x14ac:dyDescent="0.2">
      <c r="A1999" s="17"/>
      <c r="B1999" s="17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  <c r="T1999" s="18"/>
    </row>
    <row r="2000" spans="1:20" x14ac:dyDescent="0.2">
      <c r="A2000" s="17"/>
      <c r="B2000" s="17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</row>
    <row r="2001" spans="1:20" x14ac:dyDescent="0.2">
      <c r="A2001" s="17"/>
      <c r="B2001" s="17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  <c r="T2001" s="18"/>
    </row>
    <row r="2002" spans="1:20" x14ac:dyDescent="0.2">
      <c r="A2002" s="17"/>
      <c r="B2002" s="17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  <c r="T2002" s="18"/>
    </row>
    <row r="2003" spans="1:20" x14ac:dyDescent="0.2">
      <c r="A2003" s="17"/>
      <c r="B2003" s="17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  <c r="T2003" s="18"/>
    </row>
    <row r="2004" spans="1:20" x14ac:dyDescent="0.2">
      <c r="A2004" s="17"/>
      <c r="B2004" s="17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</row>
    <row r="2005" spans="1:20" x14ac:dyDescent="0.2">
      <c r="A2005" s="17"/>
      <c r="B2005" s="17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  <c r="T2005" s="18"/>
    </row>
    <row r="2006" spans="1:20" x14ac:dyDescent="0.2">
      <c r="A2006" s="17"/>
      <c r="B2006" s="17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  <c r="T2006" s="18"/>
    </row>
    <row r="2007" spans="1:20" x14ac:dyDescent="0.2">
      <c r="A2007" s="17"/>
      <c r="B2007" s="17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  <c r="T2007" s="18"/>
    </row>
    <row r="2008" spans="1:20" x14ac:dyDescent="0.2">
      <c r="A2008" s="17"/>
      <c r="B2008" s="17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  <c r="T2008" s="18"/>
    </row>
    <row r="2009" spans="1:20" x14ac:dyDescent="0.2">
      <c r="A2009" s="17"/>
      <c r="B2009" s="17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</row>
    <row r="2010" spans="1:20" x14ac:dyDescent="0.2">
      <c r="A2010" s="17"/>
      <c r="B2010" s="17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  <c r="T2010" s="18"/>
    </row>
    <row r="2011" spans="1:20" x14ac:dyDescent="0.2">
      <c r="A2011" s="17"/>
      <c r="B2011" s="17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  <c r="T2011" s="18"/>
    </row>
    <row r="2012" spans="1:20" x14ac:dyDescent="0.2">
      <c r="A2012" s="17"/>
      <c r="B2012" s="17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  <c r="T2012" s="18"/>
    </row>
    <row r="2013" spans="1:20" x14ac:dyDescent="0.2">
      <c r="A2013" s="17"/>
      <c r="B2013" s="17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  <c r="T2013" s="18"/>
    </row>
    <row r="2014" spans="1:20" x14ac:dyDescent="0.2">
      <c r="A2014" s="17"/>
      <c r="B2014" s="17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  <c r="T2014" s="18"/>
    </row>
    <row r="2015" spans="1:20" x14ac:dyDescent="0.2">
      <c r="A2015" s="17"/>
      <c r="B2015" s="17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  <c r="T2015" s="18"/>
    </row>
    <row r="2016" spans="1:20" x14ac:dyDescent="0.2">
      <c r="A2016" s="17"/>
      <c r="B2016" s="17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  <c r="T2016" s="18"/>
    </row>
    <row r="2017" spans="1:20" x14ac:dyDescent="0.2">
      <c r="A2017" s="17"/>
      <c r="B2017" s="17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  <c r="T2017" s="18"/>
    </row>
    <row r="2018" spans="1:20" x14ac:dyDescent="0.2">
      <c r="A2018" s="17"/>
      <c r="B2018" s="17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  <c r="T2018" s="18"/>
    </row>
    <row r="2019" spans="1:20" x14ac:dyDescent="0.2">
      <c r="A2019" s="17"/>
      <c r="B2019" s="17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  <c r="T2019" s="18"/>
    </row>
    <row r="2020" spans="1:20" x14ac:dyDescent="0.2">
      <c r="A2020" s="17"/>
      <c r="B2020" s="17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  <c r="T2020" s="18"/>
    </row>
    <row r="2021" spans="1:20" x14ac:dyDescent="0.2">
      <c r="A2021" s="17"/>
      <c r="B2021" s="17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</row>
    <row r="2022" spans="1:20" x14ac:dyDescent="0.2">
      <c r="A2022" s="17"/>
      <c r="B2022" s="17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  <c r="T2022" s="18"/>
    </row>
    <row r="2023" spans="1:20" x14ac:dyDescent="0.2">
      <c r="A2023" s="17"/>
      <c r="B2023" s="17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  <c r="T2023" s="18"/>
    </row>
    <row r="2024" spans="1:20" x14ac:dyDescent="0.2">
      <c r="A2024" s="17"/>
      <c r="B2024" s="17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  <c r="T2024" s="18"/>
    </row>
    <row r="2025" spans="1:20" x14ac:dyDescent="0.2">
      <c r="A2025" s="17"/>
      <c r="B2025" s="17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  <c r="T2025" s="18"/>
    </row>
    <row r="2026" spans="1:20" x14ac:dyDescent="0.2">
      <c r="A2026" s="17"/>
      <c r="B2026" s="17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  <c r="T2026" s="18"/>
    </row>
    <row r="2027" spans="1:20" x14ac:dyDescent="0.2">
      <c r="A2027" s="17"/>
      <c r="B2027" s="17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  <c r="T2027" s="18"/>
    </row>
    <row r="2028" spans="1:20" x14ac:dyDescent="0.2">
      <c r="A2028" s="17"/>
      <c r="B2028" s="17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  <c r="T2028" s="18"/>
    </row>
    <row r="2029" spans="1:20" x14ac:dyDescent="0.2">
      <c r="A2029" s="17"/>
      <c r="B2029" s="17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  <c r="T2029" s="18"/>
    </row>
    <row r="2030" spans="1:20" x14ac:dyDescent="0.2">
      <c r="A2030" s="17"/>
      <c r="B2030" s="17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  <c r="T2030" s="18"/>
    </row>
    <row r="2031" spans="1:20" x14ac:dyDescent="0.2">
      <c r="A2031" s="17"/>
      <c r="B2031" s="17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  <c r="T2031" s="18"/>
    </row>
    <row r="2032" spans="1:20" x14ac:dyDescent="0.2">
      <c r="A2032" s="17"/>
      <c r="B2032" s="17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  <c r="T2032" s="18"/>
    </row>
    <row r="2033" spans="1:20" x14ac:dyDescent="0.2">
      <c r="A2033" s="17"/>
      <c r="B2033" s="17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  <c r="T2033" s="18"/>
    </row>
    <row r="2034" spans="1:20" x14ac:dyDescent="0.2">
      <c r="A2034" s="17"/>
      <c r="B2034" s="17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  <c r="T2034" s="18"/>
    </row>
    <row r="2035" spans="1:20" x14ac:dyDescent="0.2">
      <c r="A2035" s="17"/>
      <c r="B2035" s="17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  <c r="T2035" s="18"/>
    </row>
    <row r="2036" spans="1:20" x14ac:dyDescent="0.2">
      <c r="A2036" s="17"/>
      <c r="B2036" s="17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  <c r="T2036" s="18"/>
    </row>
    <row r="2037" spans="1:20" x14ac:dyDescent="0.2">
      <c r="A2037" s="17"/>
      <c r="B2037" s="17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  <c r="T2037" s="18"/>
    </row>
    <row r="2038" spans="1:20" x14ac:dyDescent="0.2">
      <c r="A2038" s="17"/>
      <c r="B2038" s="17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  <c r="T2038" s="18"/>
    </row>
    <row r="2039" spans="1:20" x14ac:dyDescent="0.2">
      <c r="A2039" s="17"/>
      <c r="B2039" s="17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</row>
    <row r="2040" spans="1:20" x14ac:dyDescent="0.2">
      <c r="A2040" s="17"/>
      <c r="B2040" s="17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  <c r="T2040" s="18"/>
    </row>
    <row r="2041" spans="1:20" x14ac:dyDescent="0.2">
      <c r="A2041" s="17"/>
      <c r="B2041" s="17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  <c r="T2041" s="18"/>
    </row>
    <row r="2042" spans="1:20" x14ac:dyDescent="0.2">
      <c r="A2042" s="17"/>
      <c r="B2042" s="17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</row>
    <row r="2043" spans="1:20" x14ac:dyDescent="0.2">
      <c r="A2043" s="17"/>
      <c r="B2043" s="17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  <c r="T2043" s="18"/>
    </row>
    <row r="2044" spans="1:20" x14ac:dyDescent="0.2">
      <c r="A2044" s="17"/>
      <c r="B2044" s="17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</row>
    <row r="2045" spans="1:20" x14ac:dyDescent="0.2">
      <c r="A2045" s="17"/>
      <c r="B2045" s="17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  <c r="T2045" s="18"/>
    </row>
    <row r="2046" spans="1:20" x14ac:dyDescent="0.2">
      <c r="A2046" s="17"/>
      <c r="B2046" s="17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</row>
    <row r="2047" spans="1:20" x14ac:dyDescent="0.2">
      <c r="A2047" s="17"/>
      <c r="B2047" s="17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  <c r="T2047" s="18"/>
    </row>
    <row r="2048" spans="1:20" x14ac:dyDescent="0.2">
      <c r="A2048" s="17"/>
      <c r="B2048" s="17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</row>
    <row r="2049" spans="1:20" x14ac:dyDescent="0.2">
      <c r="A2049" s="17"/>
      <c r="B2049" s="17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  <c r="T2049" s="18"/>
    </row>
    <row r="2050" spans="1:20" x14ac:dyDescent="0.2">
      <c r="A2050" s="17"/>
      <c r="B2050" s="17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  <c r="T2050" s="18"/>
    </row>
    <row r="2051" spans="1:20" x14ac:dyDescent="0.2">
      <c r="A2051" s="17"/>
      <c r="B2051" s="17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  <c r="T2051" s="18"/>
    </row>
    <row r="2052" spans="1:20" x14ac:dyDescent="0.2">
      <c r="A2052" s="17"/>
      <c r="B2052" s="17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  <c r="T2052" s="18"/>
    </row>
    <row r="2053" spans="1:20" x14ac:dyDescent="0.2">
      <c r="A2053" s="17"/>
      <c r="B2053" s="17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  <c r="T2053" s="18"/>
    </row>
    <row r="2054" spans="1:20" x14ac:dyDescent="0.2">
      <c r="A2054" s="17"/>
      <c r="B2054" s="17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  <c r="T2054" s="18"/>
    </row>
    <row r="2055" spans="1:20" x14ac:dyDescent="0.2">
      <c r="A2055" s="17"/>
      <c r="B2055" s="17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  <c r="T2055" s="18"/>
    </row>
    <row r="2056" spans="1:20" x14ac:dyDescent="0.2">
      <c r="A2056" s="17"/>
      <c r="B2056" s="17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</row>
    <row r="2057" spans="1:20" x14ac:dyDescent="0.2">
      <c r="A2057" s="17"/>
      <c r="B2057" s="17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</row>
    <row r="2058" spans="1:20" x14ac:dyDescent="0.2">
      <c r="A2058" s="17"/>
      <c r="B2058" s="17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  <c r="T2058" s="18"/>
    </row>
    <row r="2059" spans="1:20" x14ac:dyDescent="0.2">
      <c r="A2059" s="17"/>
      <c r="B2059" s="17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</row>
    <row r="2060" spans="1:20" x14ac:dyDescent="0.2">
      <c r="A2060" s="17"/>
      <c r="B2060" s="17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</row>
    <row r="2061" spans="1:20" x14ac:dyDescent="0.2">
      <c r="A2061" s="17"/>
      <c r="B2061" s="17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</row>
    <row r="2062" spans="1:20" x14ac:dyDescent="0.2">
      <c r="A2062" s="17"/>
      <c r="B2062" s="17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</row>
    <row r="2063" spans="1:20" x14ac:dyDescent="0.2">
      <c r="A2063" s="17"/>
      <c r="B2063" s="17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</row>
    <row r="2064" spans="1:20" x14ac:dyDescent="0.2">
      <c r="A2064" s="17"/>
      <c r="B2064" s="17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</row>
    <row r="2065" spans="1:20" x14ac:dyDescent="0.2">
      <c r="A2065" s="17"/>
      <c r="B2065" s="17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  <c r="T2065" s="18"/>
    </row>
    <row r="2066" spans="1:20" x14ac:dyDescent="0.2">
      <c r="A2066" s="17"/>
      <c r="B2066" s="17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  <c r="T2066" s="18"/>
    </row>
    <row r="2067" spans="1:20" x14ac:dyDescent="0.2">
      <c r="A2067" s="17"/>
      <c r="B2067" s="17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  <c r="T2067" s="18"/>
    </row>
    <row r="2068" spans="1:20" x14ac:dyDescent="0.2">
      <c r="A2068" s="17"/>
      <c r="B2068" s="17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  <c r="T2068" s="18"/>
    </row>
    <row r="2069" spans="1:20" x14ac:dyDescent="0.2">
      <c r="A2069" s="17"/>
      <c r="B2069" s="17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  <c r="T2069" s="18"/>
    </row>
    <row r="2070" spans="1:20" x14ac:dyDescent="0.2">
      <c r="A2070" s="17"/>
      <c r="B2070" s="17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  <c r="T2070" s="18"/>
    </row>
    <row r="2071" spans="1:20" x14ac:dyDescent="0.2">
      <c r="A2071" s="17"/>
      <c r="B2071" s="17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  <c r="T2071" s="18"/>
    </row>
    <row r="2072" spans="1:20" x14ac:dyDescent="0.2">
      <c r="A2072" s="17"/>
      <c r="B2072" s="17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  <c r="T2072" s="18"/>
    </row>
    <row r="2073" spans="1:20" x14ac:dyDescent="0.2">
      <c r="A2073" s="17"/>
      <c r="B2073" s="17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  <c r="T2073" s="18"/>
    </row>
    <row r="2074" spans="1:20" x14ac:dyDescent="0.2">
      <c r="A2074" s="17"/>
      <c r="B2074" s="17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  <c r="T2074" s="18"/>
    </row>
    <row r="2075" spans="1:20" x14ac:dyDescent="0.2">
      <c r="A2075" s="17"/>
      <c r="B2075" s="17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  <c r="T2075" s="18"/>
    </row>
    <row r="2076" spans="1:20" x14ac:dyDescent="0.2">
      <c r="A2076" s="17"/>
      <c r="B2076" s="17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  <c r="T2076" s="18"/>
    </row>
    <row r="2077" spans="1:20" x14ac:dyDescent="0.2">
      <c r="A2077" s="17"/>
      <c r="B2077" s="17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  <c r="T2077" s="18"/>
    </row>
    <row r="2078" spans="1:20" x14ac:dyDescent="0.2">
      <c r="A2078" s="17"/>
      <c r="B2078" s="17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  <c r="T2078" s="18"/>
    </row>
    <row r="2079" spans="1:20" x14ac:dyDescent="0.2">
      <c r="A2079" s="17"/>
      <c r="B2079" s="17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  <c r="T2079" s="18"/>
    </row>
    <row r="2080" spans="1:20" x14ac:dyDescent="0.2">
      <c r="A2080" s="17"/>
      <c r="B2080" s="17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  <c r="T2080" s="18"/>
    </row>
    <row r="2081" spans="1:20" x14ac:dyDescent="0.2">
      <c r="A2081" s="17"/>
      <c r="B2081" s="17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  <c r="T2081" s="18"/>
    </row>
    <row r="2082" spans="1:20" x14ac:dyDescent="0.2">
      <c r="A2082" s="17"/>
      <c r="B2082" s="17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  <c r="T2082" s="18"/>
    </row>
    <row r="2083" spans="1:20" x14ac:dyDescent="0.2">
      <c r="A2083" s="17"/>
      <c r="B2083" s="17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  <c r="T2083" s="18"/>
    </row>
    <row r="2084" spans="1:20" x14ac:dyDescent="0.2">
      <c r="A2084" s="17"/>
      <c r="B2084" s="17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  <c r="T2084" s="18"/>
    </row>
    <row r="2085" spans="1:20" x14ac:dyDescent="0.2">
      <c r="A2085" s="17"/>
      <c r="B2085" s="17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  <c r="T2085" s="18"/>
    </row>
    <row r="2086" spans="1:20" x14ac:dyDescent="0.2">
      <c r="A2086" s="17"/>
      <c r="B2086" s="17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  <c r="T2086" s="18"/>
    </row>
    <row r="2087" spans="1:20" x14ac:dyDescent="0.2">
      <c r="A2087" s="17"/>
      <c r="B2087" s="17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  <c r="T2087" s="18"/>
    </row>
    <row r="2088" spans="1:20" x14ac:dyDescent="0.2">
      <c r="A2088" s="17"/>
      <c r="B2088" s="17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  <c r="T2088" s="18"/>
    </row>
    <row r="2089" spans="1:20" x14ac:dyDescent="0.2">
      <c r="A2089" s="17"/>
      <c r="B2089" s="17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</row>
    <row r="2090" spans="1:20" x14ac:dyDescent="0.2">
      <c r="A2090" s="17"/>
      <c r="B2090" s="17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</row>
    <row r="2091" spans="1:20" x14ac:dyDescent="0.2">
      <c r="A2091" s="17"/>
      <c r="B2091" s="17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</row>
    <row r="2092" spans="1:20" x14ac:dyDescent="0.2">
      <c r="A2092" s="17"/>
      <c r="B2092" s="17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</row>
    <row r="2093" spans="1:20" x14ac:dyDescent="0.2">
      <c r="A2093" s="17"/>
      <c r="B2093" s="17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  <c r="T2093" s="18"/>
    </row>
    <row r="2094" spans="1:20" x14ac:dyDescent="0.2">
      <c r="A2094" s="17"/>
      <c r="B2094" s="17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</row>
    <row r="2095" spans="1:20" x14ac:dyDescent="0.2">
      <c r="A2095" s="17"/>
      <c r="B2095" s="17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</row>
    <row r="2096" spans="1:20" x14ac:dyDescent="0.2">
      <c r="A2096" s="17"/>
      <c r="B2096" s="17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</row>
    <row r="2097" spans="1:20" x14ac:dyDescent="0.2">
      <c r="A2097" s="17"/>
      <c r="B2097" s="17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</row>
    <row r="2098" spans="1:20" x14ac:dyDescent="0.2">
      <c r="A2098" s="17"/>
      <c r="B2098" s="17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</row>
    <row r="2099" spans="1:20" x14ac:dyDescent="0.2">
      <c r="A2099" s="17"/>
      <c r="B2099" s="17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</row>
    <row r="2100" spans="1:20" x14ac:dyDescent="0.2">
      <c r="A2100" s="17"/>
      <c r="B2100" s="17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</row>
    <row r="2101" spans="1:20" x14ac:dyDescent="0.2">
      <c r="A2101" s="17"/>
      <c r="B2101" s="17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</row>
    <row r="2102" spans="1:20" x14ac:dyDescent="0.2">
      <c r="A2102" s="17"/>
      <c r="B2102" s="17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</row>
    <row r="2103" spans="1:20" x14ac:dyDescent="0.2">
      <c r="A2103" s="17"/>
      <c r="B2103" s="17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</row>
    <row r="2104" spans="1:20" x14ac:dyDescent="0.2">
      <c r="A2104" s="17"/>
      <c r="B2104" s="17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</row>
    <row r="2105" spans="1:20" x14ac:dyDescent="0.2">
      <c r="A2105" s="17"/>
      <c r="B2105" s="17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</row>
    <row r="2106" spans="1:20" x14ac:dyDescent="0.2">
      <c r="A2106" s="17"/>
      <c r="B2106" s="17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</row>
    <row r="2107" spans="1:20" x14ac:dyDescent="0.2">
      <c r="A2107" s="17"/>
      <c r="B2107" s="17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</row>
    <row r="2108" spans="1:20" x14ac:dyDescent="0.2">
      <c r="A2108" s="17"/>
      <c r="B2108" s="17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</row>
    <row r="2109" spans="1:20" x14ac:dyDescent="0.2">
      <c r="A2109" s="17"/>
      <c r="B2109" s="17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  <c r="T2109" s="18"/>
    </row>
    <row r="2110" spans="1:20" x14ac:dyDescent="0.2">
      <c r="A2110" s="17"/>
      <c r="B2110" s="17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</row>
    <row r="2111" spans="1:20" x14ac:dyDescent="0.2">
      <c r="A2111" s="17"/>
      <c r="B2111" s="17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</row>
    <row r="2112" spans="1:20" x14ac:dyDescent="0.2">
      <c r="A2112" s="17"/>
      <c r="B2112" s="17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</row>
    <row r="2113" spans="1:20" x14ac:dyDescent="0.2">
      <c r="A2113" s="17"/>
      <c r="B2113" s="17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</row>
    <row r="2114" spans="1:20" x14ac:dyDescent="0.2">
      <c r="A2114" s="17"/>
      <c r="B2114" s="17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</row>
    <row r="2115" spans="1:20" x14ac:dyDescent="0.2">
      <c r="A2115" s="17"/>
      <c r="B2115" s="17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</row>
    <row r="2116" spans="1:20" x14ac:dyDescent="0.2">
      <c r="A2116" s="17"/>
      <c r="B2116" s="17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</row>
    <row r="2117" spans="1:20" x14ac:dyDescent="0.2">
      <c r="A2117" s="17"/>
      <c r="B2117" s="17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</row>
    <row r="2118" spans="1:20" x14ac:dyDescent="0.2">
      <c r="A2118" s="17"/>
      <c r="B2118" s="17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</row>
    <row r="2119" spans="1:20" x14ac:dyDescent="0.2">
      <c r="A2119" s="17"/>
      <c r="B2119" s="17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</row>
    <row r="2120" spans="1:20" x14ac:dyDescent="0.2">
      <c r="A2120" s="17"/>
      <c r="B2120" s="17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</row>
    <row r="2121" spans="1:20" x14ac:dyDescent="0.2">
      <c r="A2121" s="17"/>
      <c r="B2121" s="17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</row>
    <row r="2122" spans="1:20" x14ac:dyDescent="0.2">
      <c r="A2122" s="17"/>
      <c r="B2122" s="17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  <c r="T2122" s="18"/>
    </row>
    <row r="2123" spans="1:20" x14ac:dyDescent="0.2">
      <c r="A2123" s="17"/>
      <c r="B2123" s="17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</row>
    <row r="2124" spans="1:20" x14ac:dyDescent="0.2">
      <c r="A2124" s="17"/>
      <c r="B2124" s="17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</row>
    <row r="2125" spans="1:20" x14ac:dyDescent="0.2">
      <c r="A2125" s="17"/>
      <c r="B2125" s="17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</row>
    <row r="2126" spans="1:20" x14ac:dyDescent="0.2">
      <c r="A2126" s="17"/>
      <c r="B2126" s="17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</row>
    <row r="2127" spans="1:20" x14ac:dyDescent="0.2">
      <c r="A2127" s="17"/>
      <c r="B2127" s="17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</row>
    <row r="2128" spans="1:20" x14ac:dyDescent="0.2">
      <c r="A2128" s="17"/>
      <c r="B2128" s="17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</row>
    <row r="2129" spans="1:20" x14ac:dyDescent="0.2">
      <c r="A2129" s="17"/>
      <c r="B2129" s="17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</row>
    <row r="2130" spans="1:20" x14ac:dyDescent="0.2">
      <c r="A2130" s="17"/>
      <c r="B2130" s="17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  <c r="T2130" s="18"/>
    </row>
    <row r="2131" spans="1:20" x14ac:dyDescent="0.2">
      <c r="A2131" s="17"/>
      <c r="B2131" s="17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  <c r="T2131" s="18"/>
    </row>
    <row r="2132" spans="1:20" x14ac:dyDescent="0.2">
      <c r="A2132" s="17"/>
      <c r="B2132" s="17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</row>
    <row r="2133" spans="1:20" x14ac:dyDescent="0.2">
      <c r="A2133" s="17"/>
      <c r="B2133" s="17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  <c r="T2133" s="18"/>
    </row>
    <row r="2134" spans="1:20" x14ac:dyDescent="0.2">
      <c r="A2134" s="17"/>
      <c r="B2134" s="17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  <c r="T2134" s="18"/>
    </row>
    <row r="2135" spans="1:20" x14ac:dyDescent="0.2">
      <c r="A2135" s="17"/>
      <c r="B2135" s="17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</row>
    <row r="2136" spans="1:20" x14ac:dyDescent="0.2">
      <c r="A2136" s="17"/>
      <c r="B2136" s="17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  <c r="T2136" s="18"/>
    </row>
    <row r="2137" spans="1:20" x14ac:dyDescent="0.2">
      <c r="A2137" s="17"/>
      <c r="B2137" s="17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</row>
    <row r="2138" spans="1:20" x14ac:dyDescent="0.2">
      <c r="A2138" s="17"/>
      <c r="B2138" s="17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  <c r="T2138" s="18"/>
    </row>
    <row r="2139" spans="1:20" x14ac:dyDescent="0.2">
      <c r="A2139" s="17"/>
      <c r="B2139" s="17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</row>
    <row r="2140" spans="1:20" x14ac:dyDescent="0.2">
      <c r="A2140" s="17"/>
      <c r="B2140" s="17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  <c r="T2140" s="18"/>
    </row>
    <row r="2141" spans="1:20" x14ac:dyDescent="0.2">
      <c r="A2141" s="17"/>
      <c r="B2141" s="17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  <c r="T2141" s="18"/>
    </row>
    <row r="2142" spans="1:20" x14ac:dyDescent="0.2">
      <c r="A2142" s="17"/>
      <c r="B2142" s="17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  <c r="T2142" s="18"/>
    </row>
    <row r="2143" spans="1:20" x14ac:dyDescent="0.2">
      <c r="A2143" s="17"/>
      <c r="B2143" s="17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  <c r="T2143" s="18"/>
    </row>
    <row r="2144" spans="1:20" x14ac:dyDescent="0.2">
      <c r="A2144" s="17"/>
      <c r="B2144" s="17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  <c r="T2144" s="18"/>
    </row>
    <row r="2145" spans="1:20" x14ac:dyDescent="0.2">
      <c r="A2145" s="17"/>
      <c r="B2145" s="17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</row>
    <row r="2146" spans="1:20" x14ac:dyDescent="0.2">
      <c r="A2146" s="17"/>
      <c r="B2146" s="17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</row>
    <row r="2147" spans="1:20" x14ac:dyDescent="0.2">
      <c r="A2147" s="17"/>
      <c r="B2147" s="17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</row>
    <row r="2148" spans="1:20" x14ac:dyDescent="0.2">
      <c r="A2148" s="17"/>
      <c r="B2148" s="17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  <c r="T2148" s="18"/>
    </row>
    <row r="2149" spans="1:20" x14ac:dyDescent="0.2">
      <c r="A2149" s="17"/>
      <c r="B2149" s="17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  <c r="T2149" s="18"/>
    </row>
    <row r="2150" spans="1:20" x14ac:dyDescent="0.2">
      <c r="A2150" s="17"/>
      <c r="B2150" s="17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  <c r="T2150" s="18"/>
    </row>
    <row r="2151" spans="1:20" x14ac:dyDescent="0.2">
      <c r="A2151" s="17"/>
      <c r="B2151" s="17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  <c r="T2151" s="18"/>
    </row>
    <row r="2152" spans="1:20" x14ac:dyDescent="0.2">
      <c r="A2152" s="17"/>
      <c r="B2152" s="17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  <c r="T2152" s="18"/>
    </row>
    <row r="2153" spans="1:20" x14ac:dyDescent="0.2">
      <c r="A2153" s="17"/>
      <c r="B2153" s="17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</row>
    <row r="2154" spans="1:20" x14ac:dyDescent="0.2">
      <c r="A2154" s="17"/>
      <c r="B2154" s="17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</row>
    <row r="2155" spans="1:20" x14ac:dyDescent="0.2">
      <c r="A2155" s="17"/>
      <c r="B2155" s="17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</row>
    <row r="2156" spans="1:20" x14ac:dyDescent="0.2">
      <c r="A2156" s="17"/>
      <c r="B2156" s="17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</row>
    <row r="2157" spans="1:20" x14ac:dyDescent="0.2">
      <c r="A2157" s="17"/>
      <c r="B2157" s="17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</row>
    <row r="2158" spans="1:20" x14ac:dyDescent="0.2">
      <c r="A2158" s="17"/>
      <c r="B2158" s="17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</row>
    <row r="2159" spans="1:20" x14ac:dyDescent="0.2">
      <c r="A2159" s="17"/>
      <c r="B2159" s="17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</row>
    <row r="2160" spans="1:20" x14ac:dyDescent="0.2">
      <c r="A2160" s="17"/>
      <c r="B2160" s="17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</row>
    <row r="2161" spans="1:20" x14ac:dyDescent="0.2">
      <c r="A2161" s="17"/>
      <c r="B2161" s="17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</row>
    <row r="2162" spans="1:20" x14ac:dyDescent="0.2">
      <c r="A2162" s="17"/>
      <c r="B2162" s="17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</row>
    <row r="2163" spans="1:20" x14ac:dyDescent="0.2">
      <c r="A2163" s="17"/>
      <c r="B2163" s="17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</row>
    <row r="2164" spans="1:20" x14ac:dyDescent="0.2">
      <c r="A2164" s="17"/>
      <c r="B2164" s="17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  <c r="T2164" s="18"/>
    </row>
    <row r="2165" spans="1:20" x14ac:dyDescent="0.2">
      <c r="A2165" s="17"/>
      <c r="B2165" s="17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  <c r="T2165" s="18"/>
    </row>
    <row r="2166" spans="1:20" x14ac:dyDescent="0.2">
      <c r="A2166" s="17"/>
      <c r="B2166" s="17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  <c r="T2166" s="18"/>
    </row>
    <row r="2167" spans="1:20" x14ac:dyDescent="0.2">
      <c r="A2167" s="17"/>
      <c r="B2167" s="17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  <c r="T2167" s="18"/>
    </row>
    <row r="2168" spans="1:20" x14ac:dyDescent="0.2">
      <c r="A2168" s="17"/>
      <c r="B2168" s="17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  <c r="T2168" s="18"/>
    </row>
    <row r="2169" spans="1:20" x14ac:dyDescent="0.2">
      <c r="A2169" s="17"/>
      <c r="B2169" s="17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  <c r="T2169" s="18"/>
    </row>
    <row r="2170" spans="1:20" x14ac:dyDescent="0.2">
      <c r="A2170" s="17"/>
      <c r="B2170" s="17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  <c r="T2170" s="18"/>
    </row>
    <row r="2171" spans="1:20" x14ac:dyDescent="0.2">
      <c r="A2171" s="17"/>
      <c r="B2171" s="17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</row>
    <row r="2172" spans="1:20" x14ac:dyDescent="0.2">
      <c r="A2172" s="17"/>
      <c r="B2172" s="17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</row>
    <row r="2173" spans="1:20" x14ac:dyDescent="0.2">
      <c r="A2173" s="17"/>
      <c r="B2173" s="17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</row>
    <row r="2174" spans="1:20" x14ac:dyDescent="0.2">
      <c r="A2174" s="17"/>
      <c r="B2174" s="17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</row>
    <row r="2175" spans="1:20" x14ac:dyDescent="0.2">
      <c r="A2175" s="17"/>
      <c r="B2175" s="17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</row>
    <row r="2176" spans="1:20" x14ac:dyDescent="0.2">
      <c r="A2176" s="17"/>
      <c r="B2176" s="17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</row>
    <row r="2177" spans="1:20" x14ac:dyDescent="0.2">
      <c r="A2177" s="17"/>
      <c r="B2177" s="17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</row>
    <row r="2178" spans="1:20" x14ac:dyDescent="0.2">
      <c r="A2178" s="17"/>
      <c r="B2178" s="17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  <c r="T2178" s="18"/>
    </row>
    <row r="2179" spans="1:20" x14ac:dyDescent="0.2">
      <c r="A2179" s="17"/>
      <c r="B2179" s="17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  <c r="T2179" s="18"/>
    </row>
    <row r="2180" spans="1:20" x14ac:dyDescent="0.2">
      <c r="A2180" s="17"/>
      <c r="B2180" s="17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  <c r="T2180" s="18"/>
    </row>
    <row r="2181" spans="1:20" x14ac:dyDescent="0.2">
      <c r="A2181" s="17"/>
      <c r="B2181" s="17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  <c r="T2181" s="18"/>
    </row>
    <row r="2182" spans="1:20" x14ac:dyDescent="0.2">
      <c r="A2182" s="17"/>
      <c r="B2182" s="17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  <c r="T2182" s="18"/>
    </row>
    <row r="2183" spans="1:20" x14ac:dyDescent="0.2">
      <c r="A2183" s="17"/>
      <c r="B2183" s="17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  <c r="T2183" s="18"/>
    </row>
    <row r="2184" spans="1:20" x14ac:dyDescent="0.2">
      <c r="A2184" s="17"/>
      <c r="B2184" s="17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  <c r="T2184" s="18"/>
    </row>
    <row r="2185" spans="1:20" x14ac:dyDescent="0.2">
      <c r="A2185" s="17"/>
      <c r="B2185" s="17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  <c r="T2185" s="18"/>
    </row>
    <row r="2186" spans="1:20" x14ac:dyDescent="0.2">
      <c r="A2186" s="17"/>
      <c r="B2186" s="17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  <c r="T2186" s="18"/>
    </row>
    <row r="2187" spans="1:20" x14ac:dyDescent="0.2">
      <c r="A2187" s="17"/>
      <c r="B2187" s="17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  <c r="T2187" s="18"/>
    </row>
    <row r="2188" spans="1:20" x14ac:dyDescent="0.2">
      <c r="A2188" s="17"/>
      <c r="B2188" s="17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</row>
    <row r="2189" spans="1:20" x14ac:dyDescent="0.2">
      <c r="A2189" s="17"/>
      <c r="B2189" s="17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18"/>
    </row>
    <row r="2190" spans="1:20" x14ac:dyDescent="0.2">
      <c r="A2190" s="17"/>
      <c r="B2190" s="17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  <c r="T2190" s="18"/>
    </row>
    <row r="2191" spans="1:20" x14ac:dyDescent="0.2">
      <c r="A2191" s="17"/>
      <c r="B2191" s="17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  <c r="T2191" s="18"/>
    </row>
    <row r="2192" spans="1:20" x14ac:dyDescent="0.2">
      <c r="A2192" s="17"/>
      <c r="B2192" s="17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  <c r="T2192" s="18"/>
    </row>
    <row r="2193" spans="1:20" x14ac:dyDescent="0.2">
      <c r="A2193" s="17"/>
      <c r="B2193" s="17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  <c r="T2193" s="18"/>
    </row>
    <row r="2194" spans="1:20" x14ac:dyDescent="0.2">
      <c r="A2194" s="17"/>
      <c r="B2194" s="17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  <c r="T2194" s="18"/>
    </row>
    <row r="2195" spans="1:20" x14ac:dyDescent="0.2">
      <c r="A2195" s="17"/>
      <c r="B2195" s="17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  <c r="T2195" s="18"/>
    </row>
    <row r="2196" spans="1:20" x14ac:dyDescent="0.2">
      <c r="A2196" s="17"/>
      <c r="B2196" s="17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  <c r="T2196" s="18"/>
    </row>
    <row r="2197" spans="1:20" x14ac:dyDescent="0.2">
      <c r="A2197" s="17"/>
      <c r="B2197" s="17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  <c r="T2197" s="18"/>
    </row>
    <row r="2198" spans="1:20" x14ac:dyDescent="0.2">
      <c r="A2198" s="17"/>
      <c r="B2198" s="17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  <c r="T2198" s="18"/>
    </row>
    <row r="2199" spans="1:20" x14ac:dyDescent="0.2">
      <c r="A2199" s="17"/>
      <c r="B2199" s="17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  <c r="T2199" s="18"/>
    </row>
    <row r="2200" spans="1:20" x14ac:dyDescent="0.2">
      <c r="A2200" s="17"/>
      <c r="B2200" s="17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  <c r="T2200" s="18"/>
    </row>
    <row r="2201" spans="1:20" x14ac:dyDescent="0.2">
      <c r="A2201" s="17"/>
      <c r="B2201" s="17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  <c r="T2201" s="18"/>
    </row>
    <row r="2202" spans="1:20" x14ac:dyDescent="0.2">
      <c r="A2202" s="17"/>
      <c r="B2202" s="17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  <c r="T2202" s="18"/>
    </row>
    <row r="2203" spans="1:20" x14ac:dyDescent="0.2">
      <c r="A2203" s="17"/>
      <c r="B2203" s="17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</row>
    <row r="2204" spans="1:20" x14ac:dyDescent="0.2">
      <c r="A2204" s="17"/>
      <c r="B2204" s="17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</row>
    <row r="2205" spans="1:20" x14ac:dyDescent="0.2">
      <c r="A2205" s="17"/>
      <c r="B2205" s="17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</row>
    <row r="2206" spans="1:20" x14ac:dyDescent="0.2">
      <c r="A2206" s="17"/>
      <c r="B2206" s="17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</row>
    <row r="2207" spans="1:20" x14ac:dyDescent="0.2">
      <c r="A2207" s="17"/>
      <c r="B2207" s="17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</row>
    <row r="2208" spans="1:20" x14ac:dyDescent="0.2">
      <c r="A2208" s="17"/>
      <c r="B2208" s="17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18"/>
    </row>
    <row r="2209" spans="1:20" x14ac:dyDescent="0.2">
      <c r="A2209" s="17"/>
      <c r="B2209" s="17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  <c r="T2209" s="18"/>
    </row>
    <row r="2210" spans="1:20" x14ac:dyDescent="0.2">
      <c r="A2210" s="17"/>
      <c r="B2210" s="17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  <c r="T2210" s="18"/>
    </row>
    <row r="2211" spans="1:20" x14ac:dyDescent="0.2">
      <c r="A2211" s="17"/>
      <c r="B2211" s="17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  <c r="T2211" s="18"/>
    </row>
    <row r="2212" spans="1:20" x14ac:dyDescent="0.2">
      <c r="A2212" s="17"/>
      <c r="B2212" s="17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  <c r="T2212" s="18"/>
    </row>
    <row r="2213" spans="1:20" x14ac:dyDescent="0.2">
      <c r="A2213" s="17"/>
      <c r="B2213" s="17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  <c r="T2213" s="18"/>
    </row>
    <row r="2214" spans="1:20" x14ac:dyDescent="0.2">
      <c r="A2214" s="17"/>
      <c r="B2214" s="17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  <c r="T2214" s="18"/>
    </row>
    <row r="2215" spans="1:20" x14ac:dyDescent="0.2">
      <c r="A2215" s="17"/>
      <c r="B2215" s="17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  <c r="T2215" s="18"/>
    </row>
    <row r="2216" spans="1:20" x14ac:dyDescent="0.2">
      <c r="A2216" s="17"/>
      <c r="B2216" s="17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  <c r="T2216" s="18"/>
    </row>
    <row r="2217" spans="1:20" x14ac:dyDescent="0.2">
      <c r="A2217" s="17"/>
      <c r="B2217" s="17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</row>
    <row r="2218" spans="1:20" x14ac:dyDescent="0.2">
      <c r="A2218" s="17"/>
      <c r="B2218" s="17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</row>
    <row r="2219" spans="1:20" x14ac:dyDescent="0.2">
      <c r="A2219" s="17"/>
      <c r="B2219" s="17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</row>
    <row r="2220" spans="1:20" x14ac:dyDescent="0.2">
      <c r="A2220" s="17"/>
      <c r="B2220" s="17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  <c r="T2220" s="18"/>
    </row>
    <row r="2221" spans="1:20" x14ac:dyDescent="0.2">
      <c r="A2221" s="17"/>
      <c r="B2221" s="17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  <c r="T2221" s="18"/>
    </row>
    <row r="2222" spans="1:20" x14ac:dyDescent="0.2">
      <c r="A2222" s="17"/>
      <c r="B2222" s="17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  <c r="T2222" s="18"/>
    </row>
    <row r="2223" spans="1:20" x14ac:dyDescent="0.2">
      <c r="A2223" s="17"/>
      <c r="B2223" s="17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</row>
    <row r="2224" spans="1:20" x14ac:dyDescent="0.2">
      <c r="A2224" s="17"/>
      <c r="B2224" s="17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18"/>
    </row>
    <row r="2225" spans="1:20" x14ac:dyDescent="0.2">
      <c r="A2225" s="17"/>
      <c r="B2225" s="17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</row>
    <row r="2226" spans="1:20" x14ac:dyDescent="0.2">
      <c r="A2226" s="17"/>
      <c r="B2226" s="17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</row>
    <row r="2227" spans="1:20" x14ac:dyDescent="0.2">
      <c r="A2227" s="17"/>
      <c r="B2227" s="17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18"/>
    </row>
    <row r="2228" spans="1:20" x14ac:dyDescent="0.2">
      <c r="A2228" s="17"/>
      <c r="B2228" s="17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</row>
    <row r="2229" spans="1:20" x14ac:dyDescent="0.2">
      <c r="A2229" s="17"/>
      <c r="B2229" s="17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</row>
    <row r="2230" spans="1:20" x14ac:dyDescent="0.2">
      <c r="A2230" s="17"/>
      <c r="B2230" s="17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</row>
    <row r="2231" spans="1:20" x14ac:dyDescent="0.2">
      <c r="A2231" s="17"/>
      <c r="B2231" s="17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  <c r="T2231" s="18"/>
    </row>
    <row r="2232" spans="1:20" x14ac:dyDescent="0.2">
      <c r="A2232" s="17"/>
      <c r="B2232" s="17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  <c r="T2232" s="18"/>
    </row>
    <row r="2233" spans="1:20" x14ac:dyDescent="0.2">
      <c r="A2233" s="17"/>
      <c r="B2233" s="17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  <c r="T2233" s="18"/>
    </row>
    <row r="2234" spans="1:20" x14ac:dyDescent="0.2">
      <c r="A2234" s="17"/>
      <c r="B2234" s="17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  <c r="T2234" s="18"/>
    </row>
    <row r="2235" spans="1:20" x14ac:dyDescent="0.2">
      <c r="A2235" s="17"/>
      <c r="B2235" s="17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  <c r="T2235" s="18"/>
    </row>
    <row r="2236" spans="1:20" x14ac:dyDescent="0.2">
      <c r="A2236" s="17"/>
      <c r="B2236" s="17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  <c r="T2236" s="18"/>
    </row>
    <row r="2237" spans="1:20" x14ac:dyDescent="0.2">
      <c r="A2237" s="17"/>
      <c r="B2237" s="17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  <c r="T2237" s="18"/>
    </row>
    <row r="2238" spans="1:20" x14ac:dyDescent="0.2">
      <c r="A2238" s="17"/>
      <c r="B2238" s="17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  <c r="T2238" s="18"/>
    </row>
    <row r="2239" spans="1:20" x14ac:dyDescent="0.2">
      <c r="A2239" s="17"/>
      <c r="B2239" s="17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</row>
    <row r="2240" spans="1:20" x14ac:dyDescent="0.2">
      <c r="A2240" s="17"/>
      <c r="B2240" s="17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</row>
    <row r="2241" spans="1:20" x14ac:dyDescent="0.2">
      <c r="A2241" s="17"/>
      <c r="B2241" s="17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</row>
    <row r="2242" spans="1:20" x14ac:dyDescent="0.2">
      <c r="A2242" s="17"/>
      <c r="B2242" s="17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  <c r="T2242" s="18"/>
    </row>
    <row r="2243" spans="1:20" x14ac:dyDescent="0.2">
      <c r="A2243" s="17"/>
      <c r="B2243" s="17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  <c r="T2243" s="18"/>
    </row>
    <row r="2244" spans="1:20" x14ac:dyDescent="0.2">
      <c r="A2244" s="17"/>
      <c r="B2244" s="17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  <c r="T2244" s="18"/>
    </row>
    <row r="2245" spans="1:20" x14ac:dyDescent="0.2">
      <c r="A2245" s="17"/>
      <c r="B2245" s="17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  <c r="T2245" s="18"/>
    </row>
    <row r="2246" spans="1:20" x14ac:dyDescent="0.2">
      <c r="A2246" s="17"/>
      <c r="B2246" s="17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  <c r="T2246" s="18"/>
    </row>
    <row r="2247" spans="1:20" x14ac:dyDescent="0.2">
      <c r="A2247" s="17"/>
      <c r="B2247" s="17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  <c r="T2247" s="18"/>
    </row>
    <row r="2248" spans="1:20" x14ac:dyDescent="0.2">
      <c r="A2248" s="17"/>
      <c r="B2248" s="17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  <c r="T2248" s="18"/>
    </row>
    <row r="2249" spans="1:20" x14ac:dyDescent="0.2">
      <c r="A2249" s="17"/>
      <c r="B2249" s="17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  <c r="T2249" s="18"/>
    </row>
    <row r="2250" spans="1:20" x14ac:dyDescent="0.2">
      <c r="A2250" s="17"/>
      <c r="B2250" s="17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</row>
    <row r="2251" spans="1:20" x14ac:dyDescent="0.2">
      <c r="A2251" s="17"/>
      <c r="B2251" s="17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  <c r="T2251" s="18"/>
    </row>
    <row r="2252" spans="1:20" x14ac:dyDescent="0.2">
      <c r="A2252" s="17"/>
      <c r="B2252" s="17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</row>
    <row r="2253" spans="1:20" x14ac:dyDescent="0.2">
      <c r="A2253" s="17"/>
      <c r="B2253" s="17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</row>
    <row r="2254" spans="1:20" x14ac:dyDescent="0.2">
      <c r="A2254" s="17"/>
      <c r="B2254" s="17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</row>
    <row r="2255" spans="1:20" x14ac:dyDescent="0.2">
      <c r="A2255" s="17"/>
      <c r="B2255" s="17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</row>
    <row r="2256" spans="1:20" x14ac:dyDescent="0.2">
      <c r="A2256" s="17"/>
      <c r="B2256" s="17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  <c r="T2256" s="18"/>
    </row>
    <row r="2257" spans="1:20" x14ac:dyDescent="0.2">
      <c r="A2257" s="17"/>
      <c r="B2257" s="17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18"/>
    </row>
    <row r="2258" spans="1:20" x14ac:dyDescent="0.2">
      <c r="A2258" s="17"/>
      <c r="B2258" s="17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  <c r="T2258" s="18"/>
    </row>
    <row r="2259" spans="1:20" x14ac:dyDescent="0.2">
      <c r="A2259" s="17"/>
      <c r="B2259" s="17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  <c r="T2259" s="18"/>
    </row>
    <row r="2260" spans="1:20" x14ac:dyDescent="0.2">
      <c r="A2260" s="17"/>
      <c r="B2260" s="17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  <c r="T2260" s="18"/>
    </row>
    <row r="2261" spans="1:20" x14ac:dyDescent="0.2">
      <c r="A2261" s="17"/>
      <c r="B2261" s="17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  <c r="T2261" s="18"/>
    </row>
    <row r="2262" spans="1:20" x14ac:dyDescent="0.2">
      <c r="A2262" s="17"/>
      <c r="B2262" s="17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  <c r="T2262" s="18"/>
    </row>
    <row r="2263" spans="1:20" x14ac:dyDescent="0.2">
      <c r="A2263" s="17"/>
      <c r="B2263" s="17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  <c r="T2263" s="18"/>
    </row>
    <row r="2264" spans="1:20" x14ac:dyDescent="0.2">
      <c r="A2264" s="17"/>
      <c r="B2264" s="17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  <c r="T2264" s="18"/>
    </row>
    <row r="2265" spans="1:20" x14ac:dyDescent="0.2">
      <c r="A2265" s="17"/>
      <c r="B2265" s="17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  <c r="T2265" s="18"/>
    </row>
    <row r="2266" spans="1:20" x14ac:dyDescent="0.2">
      <c r="A2266" s="17"/>
      <c r="B2266" s="17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  <c r="T2266" s="18"/>
    </row>
    <row r="2267" spans="1:20" x14ac:dyDescent="0.2">
      <c r="A2267" s="17"/>
      <c r="B2267" s="17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  <c r="T2267" s="18"/>
    </row>
    <row r="2268" spans="1:20" x14ac:dyDescent="0.2">
      <c r="A2268" s="17"/>
      <c r="B2268" s="17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  <c r="T2268" s="18"/>
    </row>
    <row r="2269" spans="1:20" x14ac:dyDescent="0.2">
      <c r="A2269" s="17"/>
      <c r="B2269" s="17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  <c r="T2269" s="18"/>
    </row>
    <row r="2270" spans="1:20" x14ac:dyDescent="0.2">
      <c r="A2270" s="17"/>
      <c r="B2270" s="17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  <c r="T2270" s="18"/>
    </row>
    <row r="2271" spans="1:20" x14ac:dyDescent="0.2">
      <c r="A2271" s="17"/>
      <c r="B2271" s="17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  <c r="T2271" s="18"/>
    </row>
    <row r="2272" spans="1:20" x14ac:dyDescent="0.2">
      <c r="A2272" s="17"/>
      <c r="B2272" s="17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  <c r="T2272" s="18"/>
    </row>
    <row r="2273" spans="1:20" x14ac:dyDescent="0.2">
      <c r="A2273" s="17"/>
      <c r="B2273" s="17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  <c r="T2273" s="18"/>
    </row>
    <row r="2274" spans="1:20" x14ac:dyDescent="0.2">
      <c r="A2274" s="17"/>
      <c r="B2274" s="17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  <c r="T2274" s="18"/>
    </row>
    <row r="2275" spans="1:20" x14ac:dyDescent="0.2">
      <c r="A2275" s="17"/>
      <c r="B2275" s="17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  <c r="T2275" s="18"/>
    </row>
    <row r="2276" spans="1:20" x14ac:dyDescent="0.2">
      <c r="A2276" s="17"/>
      <c r="B2276" s="17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  <c r="T2276" s="18"/>
    </row>
    <row r="2277" spans="1:20" x14ac:dyDescent="0.2">
      <c r="A2277" s="17"/>
      <c r="B2277" s="17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  <c r="T2277" s="18"/>
    </row>
    <row r="2278" spans="1:20" x14ac:dyDescent="0.2">
      <c r="A2278" s="17"/>
      <c r="B2278" s="17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  <c r="T2278" s="18"/>
    </row>
    <row r="2279" spans="1:20" x14ac:dyDescent="0.2">
      <c r="A2279" s="17"/>
      <c r="B2279" s="17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</row>
    <row r="2280" spans="1:20" x14ac:dyDescent="0.2">
      <c r="A2280" s="17"/>
      <c r="B2280" s="17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  <c r="T2280" s="18"/>
    </row>
    <row r="2281" spans="1:20" x14ac:dyDescent="0.2">
      <c r="A2281" s="17"/>
      <c r="B2281" s="17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  <c r="T2281" s="18"/>
    </row>
    <row r="2282" spans="1:20" x14ac:dyDescent="0.2">
      <c r="A2282" s="17"/>
      <c r="B2282" s="17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  <c r="T2282" s="18"/>
    </row>
    <row r="2283" spans="1:20" x14ac:dyDescent="0.2">
      <c r="A2283" s="17"/>
      <c r="B2283" s="17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  <c r="T2283" s="18"/>
    </row>
    <row r="2284" spans="1:20" x14ac:dyDescent="0.2">
      <c r="A2284" s="17"/>
      <c r="B2284" s="17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  <c r="T2284" s="18"/>
    </row>
    <row r="2285" spans="1:20" x14ac:dyDescent="0.2">
      <c r="A2285" s="17"/>
      <c r="B2285" s="17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  <c r="T2285" s="18"/>
    </row>
    <row r="2286" spans="1:20" x14ac:dyDescent="0.2">
      <c r="A2286" s="17"/>
      <c r="B2286" s="17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  <c r="T2286" s="18"/>
    </row>
    <row r="2287" spans="1:20" x14ac:dyDescent="0.2">
      <c r="A2287" s="17"/>
      <c r="B2287" s="17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  <c r="T2287" s="18"/>
    </row>
    <row r="2288" spans="1:20" x14ac:dyDescent="0.2">
      <c r="A2288" s="17"/>
      <c r="B2288" s="17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  <c r="T2288" s="18"/>
    </row>
    <row r="2289" spans="1:20" x14ac:dyDescent="0.2">
      <c r="A2289" s="17"/>
      <c r="B2289" s="17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  <c r="T2289" s="18"/>
    </row>
    <row r="2290" spans="1:20" x14ac:dyDescent="0.2">
      <c r="A2290" s="17"/>
      <c r="B2290" s="17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  <c r="T2290" s="18"/>
    </row>
    <row r="2291" spans="1:20" x14ac:dyDescent="0.2">
      <c r="A2291" s="17"/>
      <c r="B2291" s="17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  <c r="T2291" s="18"/>
    </row>
    <row r="2292" spans="1:20" x14ac:dyDescent="0.2">
      <c r="A2292" s="17"/>
      <c r="B2292" s="17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  <c r="T2292" s="18"/>
    </row>
    <row r="2293" spans="1:20" x14ac:dyDescent="0.2">
      <c r="A2293" s="17"/>
      <c r="B2293" s="17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  <c r="T2293" s="18"/>
    </row>
    <row r="2294" spans="1:20" x14ac:dyDescent="0.2">
      <c r="A2294" s="17"/>
      <c r="B2294" s="17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  <c r="T2294" s="18"/>
    </row>
    <row r="2295" spans="1:20" x14ac:dyDescent="0.2">
      <c r="A2295" s="17"/>
      <c r="B2295" s="17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  <c r="T2295" s="18"/>
    </row>
    <row r="2296" spans="1:20" x14ac:dyDescent="0.2">
      <c r="A2296" s="17"/>
      <c r="B2296" s="17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</row>
    <row r="2297" spans="1:20" x14ac:dyDescent="0.2">
      <c r="A2297" s="17"/>
      <c r="B2297" s="17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  <c r="T2297" s="18"/>
    </row>
    <row r="2298" spans="1:20" x14ac:dyDescent="0.2">
      <c r="A2298" s="17"/>
      <c r="B2298" s="17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  <c r="T2298" s="18"/>
    </row>
    <row r="2299" spans="1:20" x14ac:dyDescent="0.2">
      <c r="A2299" s="17"/>
      <c r="B2299" s="17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  <c r="T2299" s="18"/>
    </row>
    <row r="2300" spans="1:20" x14ac:dyDescent="0.2">
      <c r="A2300" s="17"/>
      <c r="B2300" s="17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  <c r="T2300" s="18"/>
    </row>
    <row r="2301" spans="1:20" x14ac:dyDescent="0.2">
      <c r="A2301" s="17"/>
      <c r="B2301" s="17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  <c r="T2301" s="18"/>
    </row>
    <row r="2302" spans="1:20" x14ac:dyDescent="0.2">
      <c r="A2302" s="17"/>
      <c r="B2302" s="17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  <c r="T2302" s="18"/>
    </row>
    <row r="2303" spans="1:20" x14ac:dyDescent="0.2">
      <c r="A2303" s="17"/>
      <c r="B2303" s="17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  <c r="T2303" s="18"/>
    </row>
    <row r="2304" spans="1:20" x14ac:dyDescent="0.2">
      <c r="A2304" s="17"/>
      <c r="B2304" s="17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  <c r="T2304" s="18"/>
    </row>
    <row r="2305" spans="1:20" x14ac:dyDescent="0.2">
      <c r="A2305" s="17"/>
      <c r="B2305" s="17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  <c r="T2305" s="18"/>
    </row>
    <row r="2306" spans="1:20" x14ac:dyDescent="0.2">
      <c r="A2306" s="17"/>
      <c r="B2306" s="17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  <c r="T2306" s="18"/>
    </row>
    <row r="2307" spans="1:20" x14ac:dyDescent="0.2">
      <c r="A2307" s="17"/>
      <c r="B2307" s="17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  <c r="T2307" s="18"/>
    </row>
    <row r="2308" spans="1:20" x14ac:dyDescent="0.2">
      <c r="A2308" s="17"/>
      <c r="B2308" s="17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  <c r="T2308" s="18"/>
    </row>
    <row r="2309" spans="1:20" x14ac:dyDescent="0.2">
      <c r="A2309" s="17"/>
      <c r="B2309" s="17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  <c r="T2309" s="18"/>
    </row>
    <row r="2310" spans="1:20" x14ac:dyDescent="0.2">
      <c r="A2310" s="17"/>
      <c r="B2310" s="17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  <c r="T2310" s="18"/>
    </row>
    <row r="2311" spans="1:20" x14ac:dyDescent="0.2">
      <c r="A2311" s="17"/>
      <c r="B2311" s="17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  <c r="T2311" s="18"/>
    </row>
    <row r="2312" spans="1:20" x14ac:dyDescent="0.2">
      <c r="A2312" s="17"/>
      <c r="B2312" s="17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  <c r="T2312" s="18"/>
    </row>
    <row r="2313" spans="1:20" x14ac:dyDescent="0.2">
      <c r="A2313" s="17"/>
      <c r="B2313" s="17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  <c r="T2313" s="18"/>
    </row>
    <row r="2314" spans="1:20" x14ac:dyDescent="0.2">
      <c r="A2314" s="17"/>
      <c r="B2314" s="17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</row>
    <row r="2315" spans="1:20" x14ac:dyDescent="0.2">
      <c r="A2315" s="17"/>
      <c r="B2315" s="17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  <c r="T2315" s="18"/>
    </row>
    <row r="2316" spans="1:20" x14ac:dyDescent="0.2">
      <c r="A2316" s="17"/>
      <c r="B2316" s="17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  <c r="T2316" s="18"/>
    </row>
    <row r="2317" spans="1:20" x14ac:dyDescent="0.2">
      <c r="A2317" s="17"/>
      <c r="B2317" s="17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</row>
    <row r="2318" spans="1:20" x14ac:dyDescent="0.2">
      <c r="A2318" s="17"/>
      <c r="B2318" s="17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  <c r="T2318" s="18"/>
    </row>
    <row r="2319" spans="1:20" x14ac:dyDescent="0.2">
      <c r="A2319" s="17"/>
      <c r="B2319" s="17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</row>
    <row r="2320" spans="1:20" x14ac:dyDescent="0.2">
      <c r="A2320" s="17"/>
      <c r="B2320" s="17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  <c r="T2320" s="18"/>
    </row>
    <row r="2321" spans="1:20" x14ac:dyDescent="0.2">
      <c r="A2321" s="17"/>
      <c r="B2321" s="17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</row>
    <row r="2322" spans="1:20" x14ac:dyDescent="0.2">
      <c r="A2322" s="17"/>
      <c r="B2322" s="17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  <c r="T2322" s="18"/>
    </row>
    <row r="2323" spans="1:20" x14ac:dyDescent="0.2">
      <c r="A2323" s="17"/>
      <c r="B2323" s="17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  <c r="T2323" s="18"/>
    </row>
    <row r="2324" spans="1:20" x14ac:dyDescent="0.2">
      <c r="A2324" s="17"/>
      <c r="B2324" s="17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  <c r="T2324" s="18"/>
    </row>
    <row r="2325" spans="1:20" x14ac:dyDescent="0.2">
      <c r="A2325" s="17"/>
      <c r="B2325" s="17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  <c r="T2325" s="18"/>
    </row>
    <row r="2326" spans="1:20" x14ac:dyDescent="0.2">
      <c r="A2326" s="17"/>
      <c r="B2326" s="17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  <c r="T2326" s="18"/>
    </row>
    <row r="2327" spans="1:20" x14ac:dyDescent="0.2">
      <c r="A2327" s="17"/>
      <c r="B2327" s="17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  <c r="T2327" s="18"/>
    </row>
    <row r="2328" spans="1:20" x14ac:dyDescent="0.2">
      <c r="A2328" s="17"/>
      <c r="B2328" s="17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  <c r="T2328" s="18"/>
    </row>
    <row r="2329" spans="1:20" x14ac:dyDescent="0.2">
      <c r="A2329" s="17"/>
      <c r="B2329" s="17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  <c r="T2329" s="18"/>
    </row>
    <row r="2330" spans="1:20" x14ac:dyDescent="0.2">
      <c r="A2330" s="17"/>
      <c r="B2330" s="17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  <c r="T2330" s="18"/>
    </row>
    <row r="2331" spans="1:20" x14ac:dyDescent="0.2">
      <c r="A2331" s="17"/>
      <c r="B2331" s="17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  <c r="T2331" s="18"/>
    </row>
    <row r="2332" spans="1:20" x14ac:dyDescent="0.2">
      <c r="A2332" s="17"/>
      <c r="B2332" s="17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  <c r="T2332" s="18"/>
    </row>
    <row r="2333" spans="1:20" x14ac:dyDescent="0.2">
      <c r="A2333" s="17"/>
      <c r="B2333" s="17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  <c r="T2333" s="18"/>
    </row>
    <row r="2334" spans="1:20" x14ac:dyDescent="0.2">
      <c r="A2334" s="17"/>
      <c r="B2334" s="17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  <c r="T2334" s="18"/>
    </row>
    <row r="2335" spans="1:20" x14ac:dyDescent="0.2">
      <c r="A2335" s="17"/>
      <c r="B2335" s="17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  <c r="T2335" s="18"/>
    </row>
    <row r="2336" spans="1:20" x14ac:dyDescent="0.2">
      <c r="A2336" s="17"/>
      <c r="B2336" s="17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  <c r="T2336" s="18"/>
    </row>
    <row r="2337" spans="1:20" x14ac:dyDescent="0.2">
      <c r="A2337" s="17"/>
      <c r="B2337" s="17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  <c r="T2337" s="18"/>
    </row>
    <row r="2338" spans="1:20" x14ac:dyDescent="0.2">
      <c r="A2338" s="17"/>
      <c r="B2338" s="17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  <c r="T2338" s="18"/>
    </row>
    <row r="2339" spans="1:20" x14ac:dyDescent="0.2">
      <c r="A2339" s="17"/>
      <c r="B2339" s="17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</row>
    <row r="2340" spans="1:20" x14ac:dyDescent="0.2">
      <c r="A2340" s="17"/>
      <c r="B2340" s="17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</row>
    <row r="2341" spans="1:20" x14ac:dyDescent="0.2">
      <c r="A2341" s="17"/>
      <c r="B2341" s="17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</row>
    <row r="2342" spans="1:20" x14ac:dyDescent="0.2">
      <c r="A2342" s="17"/>
      <c r="B2342" s="17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  <c r="T2342" s="18"/>
    </row>
    <row r="2343" spans="1:20" x14ac:dyDescent="0.2">
      <c r="A2343" s="17"/>
      <c r="B2343" s="17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  <c r="T2343" s="18"/>
    </row>
    <row r="2344" spans="1:20" x14ac:dyDescent="0.2">
      <c r="A2344" s="17"/>
      <c r="B2344" s="17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  <c r="T2344" s="18"/>
    </row>
    <row r="2345" spans="1:20" x14ac:dyDescent="0.2">
      <c r="A2345" s="17"/>
      <c r="B2345" s="17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  <c r="T2345" s="18"/>
    </row>
    <row r="2346" spans="1:20" x14ac:dyDescent="0.2">
      <c r="A2346" s="17"/>
      <c r="B2346" s="17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  <c r="T2346" s="18"/>
    </row>
    <row r="2347" spans="1:20" x14ac:dyDescent="0.2">
      <c r="A2347" s="17"/>
      <c r="B2347" s="17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  <c r="T2347" s="18"/>
    </row>
    <row r="2348" spans="1:20" x14ac:dyDescent="0.2">
      <c r="A2348" s="17"/>
      <c r="B2348" s="17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  <c r="T2348" s="18"/>
    </row>
    <row r="2349" spans="1:20" x14ac:dyDescent="0.2">
      <c r="A2349" s="17"/>
      <c r="B2349" s="17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  <c r="T2349" s="18"/>
    </row>
    <row r="2350" spans="1:20" x14ac:dyDescent="0.2">
      <c r="A2350" s="17"/>
      <c r="B2350" s="17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  <c r="T2350" s="18"/>
    </row>
    <row r="2351" spans="1:20" x14ac:dyDescent="0.2">
      <c r="A2351" s="17"/>
      <c r="B2351" s="17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  <c r="T2351" s="18"/>
    </row>
    <row r="2352" spans="1:20" x14ac:dyDescent="0.2">
      <c r="A2352" s="17"/>
      <c r="B2352" s="17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  <c r="T2352" s="18"/>
    </row>
    <row r="2353" spans="1:20" x14ac:dyDescent="0.2">
      <c r="A2353" s="17"/>
      <c r="B2353" s="17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  <c r="T2353" s="18"/>
    </row>
    <row r="2354" spans="1:20" x14ac:dyDescent="0.2">
      <c r="A2354" s="17"/>
      <c r="B2354" s="17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  <c r="T2354" s="18"/>
    </row>
    <row r="2355" spans="1:20" x14ac:dyDescent="0.2">
      <c r="A2355" s="17"/>
      <c r="B2355" s="17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  <c r="T2355" s="18"/>
    </row>
    <row r="2356" spans="1:20" x14ac:dyDescent="0.2">
      <c r="A2356" s="17"/>
      <c r="B2356" s="17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  <c r="T2356" s="18"/>
    </row>
    <row r="2357" spans="1:20" x14ac:dyDescent="0.2">
      <c r="A2357" s="17"/>
      <c r="B2357" s="17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  <c r="T2357" s="18"/>
    </row>
    <row r="2358" spans="1:20" x14ac:dyDescent="0.2">
      <c r="A2358" s="17"/>
      <c r="B2358" s="17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  <c r="T2358" s="18"/>
    </row>
    <row r="2359" spans="1:20" x14ac:dyDescent="0.2">
      <c r="A2359" s="17"/>
      <c r="B2359" s="17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  <c r="T2359" s="18"/>
    </row>
    <row r="2360" spans="1:20" x14ac:dyDescent="0.2">
      <c r="A2360" s="17"/>
      <c r="B2360" s="17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  <c r="T2360" s="18"/>
    </row>
    <row r="2361" spans="1:20" x14ac:dyDescent="0.2">
      <c r="A2361" s="17"/>
      <c r="B2361" s="17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  <c r="T2361" s="18"/>
    </row>
    <row r="2362" spans="1:20" x14ac:dyDescent="0.2">
      <c r="A2362" s="17"/>
      <c r="B2362" s="17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  <c r="T2362" s="18"/>
    </row>
    <row r="2363" spans="1:20" x14ac:dyDescent="0.2">
      <c r="A2363" s="17"/>
      <c r="B2363" s="17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  <c r="T2363" s="18"/>
    </row>
    <row r="2364" spans="1:20" x14ac:dyDescent="0.2">
      <c r="A2364" s="17"/>
      <c r="B2364" s="17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  <c r="T2364" s="18"/>
    </row>
    <row r="2365" spans="1:20" x14ac:dyDescent="0.2">
      <c r="A2365" s="17"/>
      <c r="B2365" s="17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  <c r="T2365" s="18"/>
    </row>
    <row r="2366" spans="1:20" x14ac:dyDescent="0.2">
      <c r="A2366" s="17"/>
      <c r="B2366" s="17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  <c r="T2366" s="18"/>
    </row>
    <row r="2367" spans="1:20" x14ac:dyDescent="0.2">
      <c r="A2367" s="17"/>
      <c r="B2367" s="17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  <c r="T2367" s="18"/>
    </row>
    <row r="2368" spans="1:20" x14ac:dyDescent="0.2">
      <c r="A2368" s="17"/>
      <c r="B2368" s="17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  <c r="T2368" s="18"/>
    </row>
    <row r="2369" spans="1:20" x14ac:dyDescent="0.2">
      <c r="A2369" s="17"/>
      <c r="B2369" s="17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  <c r="T2369" s="18"/>
    </row>
    <row r="2370" spans="1:20" x14ac:dyDescent="0.2">
      <c r="A2370" s="17"/>
      <c r="B2370" s="17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</row>
    <row r="2371" spans="1:20" x14ac:dyDescent="0.2">
      <c r="A2371" s="17"/>
      <c r="B2371" s="17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  <c r="T2371" s="18"/>
    </row>
    <row r="2372" spans="1:20" x14ac:dyDescent="0.2">
      <c r="A2372" s="17"/>
      <c r="B2372" s="17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  <c r="T2372" s="18"/>
    </row>
    <row r="2373" spans="1:20" x14ac:dyDescent="0.2">
      <c r="A2373" s="17"/>
      <c r="B2373" s="17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  <c r="T2373" s="18"/>
    </row>
    <row r="2374" spans="1:20" x14ac:dyDescent="0.2">
      <c r="A2374" s="17"/>
      <c r="B2374" s="17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  <c r="T2374" s="18"/>
    </row>
    <row r="2375" spans="1:20" x14ac:dyDescent="0.2">
      <c r="A2375" s="17"/>
      <c r="B2375" s="17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  <c r="T2375" s="18"/>
    </row>
    <row r="2376" spans="1:20" x14ac:dyDescent="0.2">
      <c r="A2376" s="17"/>
      <c r="B2376" s="17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  <c r="T2376" s="18"/>
    </row>
    <row r="2377" spans="1:20" x14ac:dyDescent="0.2">
      <c r="A2377" s="17"/>
      <c r="B2377" s="17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18"/>
    </row>
    <row r="2378" spans="1:20" x14ac:dyDescent="0.2">
      <c r="A2378" s="17"/>
      <c r="B2378" s="17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  <c r="T2378" s="18"/>
    </row>
    <row r="2379" spans="1:20" x14ac:dyDescent="0.2">
      <c r="A2379" s="17"/>
      <c r="B2379" s="17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  <c r="T2379" s="18"/>
    </row>
    <row r="2380" spans="1:20" x14ac:dyDescent="0.2">
      <c r="A2380" s="17"/>
      <c r="B2380" s="17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  <c r="T2380" s="18"/>
    </row>
    <row r="2381" spans="1:20" x14ac:dyDescent="0.2">
      <c r="A2381" s="17"/>
      <c r="B2381" s="17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  <c r="T2381" s="18"/>
    </row>
    <row r="2382" spans="1:20" x14ac:dyDescent="0.2">
      <c r="A2382" s="17"/>
      <c r="B2382" s="17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  <c r="T2382" s="18"/>
    </row>
    <row r="2383" spans="1:20" x14ac:dyDescent="0.2">
      <c r="A2383" s="17"/>
      <c r="B2383" s="17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  <c r="T2383" s="18"/>
    </row>
    <row r="2384" spans="1:20" x14ac:dyDescent="0.2">
      <c r="A2384" s="17"/>
      <c r="B2384" s="17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  <c r="T2384" s="18"/>
    </row>
    <row r="2385" spans="1:20" x14ac:dyDescent="0.2">
      <c r="A2385" s="17"/>
      <c r="B2385" s="17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  <c r="T2385" s="18"/>
    </row>
    <row r="2386" spans="1:20" x14ac:dyDescent="0.2">
      <c r="A2386" s="17"/>
      <c r="B2386" s="17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  <c r="T2386" s="18"/>
    </row>
    <row r="2387" spans="1:20" x14ac:dyDescent="0.2">
      <c r="A2387" s="17"/>
      <c r="B2387" s="17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</row>
    <row r="2388" spans="1:20" x14ac:dyDescent="0.2">
      <c r="A2388" s="17"/>
      <c r="B2388" s="17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  <c r="T2388" s="18"/>
    </row>
    <row r="2389" spans="1:20" x14ac:dyDescent="0.2">
      <c r="A2389" s="17"/>
      <c r="B2389" s="17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  <c r="T2389" s="18"/>
    </row>
    <row r="2390" spans="1:20" x14ac:dyDescent="0.2">
      <c r="A2390" s="17"/>
      <c r="B2390" s="17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  <c r="T2390" s="18"/>
    </row>
    <row r="2391" spans="1:20" x14ac:dyDescent="0.2">
      <c r="A2391" s="17"/>
      <c r="B2391" s="17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  <c r="T2391" s="18"/>
    </row>
    <row r="2392" spans="1:20" x14ac:dyDescent="0.2">
      <c r="A2392" s="17"/>
      <c r="B2392" s="17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  <c r="T2392" s="18"/>
    </row>
    <row r="2393" spans="1:20" x14ac:dyDescent="0.2">
      <c r="A2393" s="17"/>
      <c r="B2393" s="17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  <c r="T2393" s="18"/>
    </row>
    <row r="2394" spans="1:20" x14ac:dyDescent="0.2">
      <c r="A2394" s="17"/>
      <c r="B2394" s="17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  <c r="T2394" s="18"/>
    </row>
    <row r="2395" spans="1:20" x14ac:dyDescent="0.2">
      <c r="A2395" s="17"/>
      <c r="B2395" s="17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  <c r="T2395" s="18"/>
    </row>
    <row r="2396" spans="1:20" x14ac:dyDescent="0.2">
      <c r="A2396" s="17"/>
      <c r="B2396" s="17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  <c r="T2396" s="18"/>
    </row>
    <row r="2397" spans="1:20" x14ac:dyDescent="0.2">
      <c r="A2397" s="17"/>
      <c r="B2397" s="17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  <c r="T2397" s="18"/>
    </row>
    <row r="2398" spans="1:20" x14ac:dyDescent="0.2">
      <c r="A2398" s="17"/>
      <c r="B2398" s="17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  <c r="T2398" s="18"/>
    </row>
    <row r="2399" spans="1:20" x14ac:dyDescent="0.2">
      <c r="A2399" s="17"/>
      <c r="B2399" s="17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  <c r="T2399" s="18"/>
    </row>
    <row r="2400" spans="1:20" x14ac:dyDescent="0.2">
      <c r="A2400" s="17"/>
      <c r="B2400" s="17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  <c r="T2400" s="18"/>
    </row>
    <row r="2401" spans="1:20" x14ac:dyDescent="0.2">
      <c r="A2401" s="17"/>
      <c r="B2401" s="17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  <c r="T2401" s="18"/>
    </row>
    <row r="2402" spans="1:20" x14ac:dyDescent="0.2">
      <c r="A2402" s="17"/>
      <c r="B2402" s="17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  <c r="T2402" s="18"/>
    </row>
    <row r="2403" spans="1:20" x14ac:dyDescent="0.2">
      <c r="A2403" s="17"/>
      <c r="B2403" s="17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  <c r="T2403" s="18"/>
    </row>
    <row r="2404" spans="1:20" x14ac:dyDescent="0.2">
      <c r="A2404" s="17"/>
      <c r="B2404" s="17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  <c r="T2404" s="18"/>
    </row>
    <row r="2405" spans="1:20" x14ac:dyDescent="0.2">
      <c r="A2405" s="17"/>
      <c r="B2405" s="17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</row>
    <row r="2406" spans="1:20" x14ac:dyDescent="0.2">
      <c r="A2406" s="17"/>
      <c r="B2406" s="17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  <c r="T2406" s="18"/>
    </row>
    <row r="2407" spans="1:20" x14ac:dyDescent="0.2">
      <c r="A2407" s="17"/>
      <c r="B2407" s="17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  <c r="T2407" s="18"/>
    </row>
    <row r="2408" spans="1:20" x14ac:dyDescent="0.2">
      <c r="A2408" s="17"/>
      <c r="B2408" s="17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</row>
    <row r="2409" spans="1:20" x14ac:dyDescent="0.2">
      <c r="A2409" s="17"/>
      <c r="B2409" s="17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  <c r="T2409" s="18"/>
    </row>
    <row r="2410" spans="1:20" x14ac:dyDescent="0.2">
      <c r="A2410" s="17"/>
      <c r="B2410" s="17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</row>
    <row r="2411" spans="1:20" x14ac:dyDescent="0.2">
      <c r="A2411" s="17"/>
      <c r="B2411" s="17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  <c r="T2411" s="18"/>
    </row>
    <row r="2412" spans="1:20" x14ac:dyDescent="0.2">
      <c r="A2412" s="17"/>
      <c r="B2412" s="17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</row>
    <row r="2413" spans="1:20" x14ac:dyDescent="0.2">
      <c r="A2413" s="17"/>
      <c r="B2413" s="17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  <c r="T2413" s="18"/>
    </row>
    <row r="2414" spans="1:20" x14ac:dyDescent="0.2">
      <c r="A2414" s="17"/>
      <c r="B2414" s="17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  <c r="T2414" s="18"/>
    </row>
    <row r="2415" spans="1:20" x14ac:dyDescent="0.2">
      <c r="A2415" s="17"/>
      <c r="B2415" s="17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  <c r="T2415" s="18"/>
    </row>
    <row r="2416" spans="1:20" x14ac:dyDescent="0.2">
      <c r="A2416" s="17"/>
      <c r="B2416" s="17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  <c r="T2416" s="18"/>
    </row>
    <row r="2417" spans="1:20" x14ac:dyDescent="0.2">
      <c r="A2417" s="17"/>
      <c r="B2417" s="17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  <c r="T2417" s="18"/>
    </row>
    <row r="2418" spans="1:20" x14ac:dyDescent="0.2">
      <c r="A2418" s="17"/>
      <c r="B2418" s="17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  <c r="T2418" s="18"/>
    </row>
    <row r="2419" spans="1:20" x14ac:dyDescent="0.2">
      <c r="A2419" s="17"/>
      <c r="B2419" s="17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  <c r="T2419" s="18"/>
    </row>
    <row r="2420" spans="1:20" x14ac:dyDescent="0.2">
      <c r="A2420" s="17"/>
      <c r="B2420" s="17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  <c r="T2420" s="18"/>
    </row>
    <row r="2421" spans="1:20" x14ac:dyDescent="0.2">
      <c r="A2421" s="17"/>
      <c r="B2421" s="17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  <c r="T2421" s="18"/>
    </row>
    <row r="2422" spans="1:20" x14ac:dyDescent="0.2">
      <c r="A2422" s="17"/>
      <c r="B2422" s="17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  <c r="T2422" s="18"/>
    </row>
    <row r="2423" spans="1:20" x14ac:dyDescent="0.2">
      <c r="A2423" s="17"/>
      <c r="B2423" s="17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  <c r="T2423" s="18"/>
    </row>
    <row r="2424" spans="1:20" x14ac:dyDescent="0.2">
      <c r="A2424" s="17"/>
      <c r="B2424" s="17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  <c r="T2424" s="18"/>
    </row>
    <row r="2425" spans="1:20" x14ac:dyDescent="0.2">
      <c r="A2425" s="17"/>
      <c r="B2425" s="17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  <c r="T2425" s="18"/>
    </row>
    <row r="2426" spans="1:20" x14ac:dyDescent="0.2">
      <c r="A2426" s="17"/>
      <c r="B2426" s="17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  <c r="T2426" s="18"/>
    </row>
    <row r="2427" spans="1:20" x14ac:dyDescent="0.2">
      <c r="A2427" s="17"/>
      <c r="B2427" s="17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  <c r="T2427" s="18"/>
    </row>
    <row r="2428" spans="1:20" x14ac:dyDescent="0.2">
      <c r="A2428" s="17"/>
      <c r="B2428" s="17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  <c r="T2428" s="18"/>
    </row>
    <row r="2429" spans="1:20" x14ac:dyDescent="0.2">
      <c r="A2429" s="17"/>
      <c r="B2429" s="17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  <c r="T2429" s="18"/>
    </row>
    <row r="2430" spans="1:20" x14ac:dyDescent="0.2">
      <c r="A2430" s="17"/>
      <c r="B2430" s="17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  <c r="T2430" s="18"/>
    </row>
    <row r="2431" spans="1:20" x14ac:dyDescent="0.2">
      <c r="A2431" s="17"/>
      <c r="B2431" s="17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  <c r="T2431" s="18"/>
    </row>
    <row r="2432" spans="1:20" x14ac:dyDescent="0.2">
      <c r="A2432" s="17"/>
      <c r="B2432" s="17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  <c r="T2432" s="18"/>
    </row>
    <row r="2433" spans="1:20" x14ac:dyDescent="0.2">
      <c r="A2433" s="17"/>
      <c r="B2433" s="17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  <c r="T2433" s="18"/>
    </row>
    <row r="2434" spans="1:20" x14ac:dyDescent="0.2">
      <c r="A2434" s="17"/>
      <c r="B2434" s="17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  <c r="T2434" s="18"/>
    </row>
    <row r="2435" spans="1:20" x14ac:dyDescent="0.2">
      <c r="A2435" s="17"/>
      <c r="B2435" s="17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  <c r="T2435" s="18"/>
    </row>
    <row r="2436" spans="1:20" x14ac:dyDescent="0.2">
      <c r="A2436" s="17"/>
      <c r="B2436" s="17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  <c r="T2436" s="18"/>
    </row>
    <row r="2437" spans="1:20" x14ac:dyDescent="0.2">
      <c r="A2437" s="17"/>
      <c r="B2437" s="17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  <c r="T2437" s="18"/>
    </row>
    <row r="2438" spans="1:20" x14ac:dyDescent="0.2">
      <c r="A2438" s="17"/>
      <c r="B2438" s="17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  <c r="T2438" s="18"/>
    </row>
    <row r="2439" spans="1:20" x14ac:dyDescent="0.2">
      <c r="A2439" s="17"/>
      <c r="B2439" s="17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  <c r="T2439" s="18"/>
    </row>
    <row r="2440" spans="1:20" x14ac:dyDescent="0.2">
      <c r="A2440" s="17"/>
      <c r="B2440" s="17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  <c r="T2440" s="18"/>
    </row>
    <row r="2441" spans="1:20" x14ac:dyDescent="0.2">
      <c r="A2441" s="17"/>
      <c r="B2441" s="17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  <c r="T2441" s="18"/>
    </row>
    <row r="2442" spans="1:20" x14ac:dyDescent="0.2">
      <c r="A2442" s="17"/>
      <c r="B2442" s="17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  <c r="T2442" s="18"/>
    </row>
    <row r="2443" spans="1:20" x14ac:dyDescent="0.2">
      <c r="A2443" s="17"/>
      <c r="B2443" s="17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  <c r="T2443" s="18"/>
    </row>
    <row r="2444" spans="1:20" x14ac:dyDescent="0.2">
      <c r="A2444" s="17"/>
      <c r="B2444" s="17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  <c r="T2444" s="18"/>
    </row>
    <row r="2445" spans="1:20" x14ac:dyDescent="0.2">
      <c r="A2445" s="17"/>
      <c r="B2445" s="17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  <c r="T2445" s="18"/>
    </row>
    <row r="2446" spans="1:20" x14ac:dyDescent="0.2">
      <c r="A2446" s="17"/>
      <c r="B2446" s="17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  <c r="T2446" s="18"/>
    </row>
    <row r="2447" spans="1:20" x14ac:dyDescent="0.2">
      <c r="A2447" s="17"/>
      <c r="B2447" s="17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  <c r="T2447" s="18"/>
    </row>
    <row r="2448" spans="1:20" x14ac:dyDescent="0.2">
      <c r="A2448" s="17"/>
      <c r="B2448" s="17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  <c r="T2448" s="18"/>
    </row>
    <row r="2449" spans="1:20" x14ac:dyDescent="0.2">
      <c r="A2449" s="17"/>
      <c r="B2449" s="17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</row>
    <row r="2450" spans="1:20" x14ac:dyDescent="0.2">
      <c r="A2450" s="17"/>
      <c r="B2450" s="17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  <c r="T2450" s="18"/>
    </row>
    <row r="2451" spans="1:20" x14ac:dyDescent="0.2">
      <c r="A2451" s="17"/>
      <c r="B2451" s="17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</row>
    <row r="2452" spans="1:20" x14ac:dyDescent="0.2">
      <c r="A2452" s="17"/>
      <c r="B2452" s="17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  <c r="T2452" s="18"/>
    </row>
    <row r="2453" spans="1:20" x14ac:dyDescent="0.2">
      <c r="A2453" s="17"/>
      <c r="B2453" s="17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  <c r="T2453" s="18"/>
    </row>
    <row r="2454" spans="1:20" x14ac:dyDescent="0.2">
      <c r="A2454" s="17"/>
      <c r="B2454" s="17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  <c r="T2454" s="18"/>
    </row>
    <row r="2455" spans="1:20" x14ac:dyDescent="0.2">
      <c r="A2455" s="17"/>
      <c r="B2455" s="17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  <c r="T2455" s="18"/>
    </row>
    <row r="2456" spans="1:20" x14ac:dyDescent="0.2">
      <c r="A2456" s="17"/>
      <c r="B2456" s="17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  <c r="T2456" s="18"/>
    </row>
    <row r="2457" spans="1:20" x14ac:dyDescent="0.2">
      <c r="A2457" s="17"/>
      <c r="B2457" s="17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  <c r="T2457" s="18"/>
    </row>
    <row r="2458" spans="1:20" x14ac:dyDescent="0.2">
      <c r="A2458" s="17"/>
      <c r="B2458" s="17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  <c r="T2458" s="18"/>
    </row>
    <row r="2459" spans="1:20" x14ac:dyDescent="0.2">
      <c r="A2459" s="17"/>
      <c r="B2459" s="17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  <c r="T2459" s="18"/>
    </row>
    <row r="2460" spans="1:20" x14ac:dyDescent="0.2">
      <c r="A2460" s="17"/>
      <c r="B2460" s="17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  <c r="T2460" s="18"/>
    </row>
    <row r="2461" spans="1:20" x14ac:dyDescent="0.2">
      <c r="A2461" s="17"/>
      <c r="B2461" s="17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</row>
    <row r="2462" spans="1:20" x14ac:dyDescent="0.2">
      <c r="A2462" s="17"/>
      <c r="B2462" s="17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  <c r="T2462" s="18"/>
    </row>
    <row r="2463" spans="1:20" x14ac:dyDescent="0.2">
      <c r="A2463" s="17"/>
      <c r="B2463" s="17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  <c r="T2463" s="18"/>
    </row>
    <row r="2464" spans="1:20" x14ac:dyDescent="0.2">
      <c r="A2464" s="17"/>
      <c r="B2464" s="17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  <c r="T2464" s="18"/>
    </row>
    <row r="2465" spans="1:20" x14ac:dyDescent="0.2">
      <c r="A2465" s="17"/>
      <c r="B2465" s="17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  <c r="T2465" s="18"/>
    </row>
    <row r="2466" spans="1:20" x14ac:dyDescent="0.2">
      <c r="A2466" s="17"/>
      <c r="B2466" s="17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  <c r="T2466" s="18"/>
    </row>
    <row r="2467" spans="1:20" x14ac:dyDescent="0.2">
      <c r="A2467" s="17"/>
      <c r="B2467" s="17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  <c r="T2467" s="18"/>
    </row>
    <row r="2468" spans="1:20" x14ac:dyDescent="0.2">
      <c r="A2468" s="17"/>
      <c r="B2468" s="17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  <c r="T2468" s="18"/>
    </row>
    <row r="2469" spans="1:20" x14ac:dyDescent="0.2">
      <c r="A2469" s="17"/>
      <c r="B2469" s="17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  <c r="T2469" s="18"/>
    </row>
    <row r="2470" spans="1:20" x14ac:dyDescent="0.2">
      <c r="A2470" s="17"/>
      <c r="B2470" s="17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  <c r="T2470" s="18"/>
    </row>
    <row r="2471" spans="1:20" x14ac:dyDescent="0.2">
      <c r="A2471" s="17"/>
      <c r="B2471" s="17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  <c r="T2471" s="18"/>
    </row>
    <row r="2472" spans="1:20" x14ac:dyDescent="0.2">
      <c r="A2472" s="17"/>
      <c r="B2472" s="17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  <c r="T2472" s="18"/>
    </row>
    <row r="2473" spans="1:20" x14ac:dyDescent="0.2">
      <c r="A2473" s="17"/>
      <c r="B2473" s="17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  <c r="T2473" s="18"/>
    </row>
    <row r="2474" spans="1:20" x14ac:dyDescent="0.2">
      <c r="A2474" s="17"/>
      <c r="B2474" s="17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  <c r="T2474" s="18"/>
    </row>
    <row r="2475" spans="1:20" x14ac:dyDescent="0.2">
      <c r="A2475" s="17"/>
      <c r="B2475" s="17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  <c r="T2475" s="18"/>
    </row>
    <row r="2476" spans="1:20" x14ac:dyDescent="0.2">
      <c r="A2476" s="17"/>
      <c r="B2476" s="17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  <c r="T2476" s="18"/>
    </row>
    <row r="2477" spans="1:20" x14ac:dyDescent="0.2">
      <c r="A2477" s="17"/>
      <c r="B2477" s="17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  <c r="T2477" s="18"/>
    </row>
    <row r="2478" spans="1:20" x14ac:dyDescent="0.2">
      <c r="A2478" s="17"/>
      <c r="B2478" s="17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</row>
    <row r="2479" spans="1:20" x14ac:dyDescent="0.2">
      <c r="A2479" s="17"/>
      <c r="B2479" s="17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  <c r="T2479" s="18"/>
    </row>
    <row r="2480" spans="1:20" x14ac:dyDescent="0.2">
      <c r="A2480" s="17"/>
      <c r="B2480" s="17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  <c r="T2480" s="18"/>
    </row>
    <row r="2481" spans="1:20" x14ac:dyDescent="0.2">
      <c r="A2481" s="17"/>
      <c r="B2481" s="17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  <c r="T2481" s="18"/>
    </row>
    <row r="2482" spans="1:20" x14ac:dyDescent="0.2">
      <c r="A2482" s="17"/>
      <c r="B2482" s="17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  <c r="T2482" s="18"/>
    </row>
    <row r="2483" spans="1:20" x14ac:dyDescent="0.2">
      <c r="A2483" s="17"/>
      <c r="B2483" s="17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  <c r="T2483" s="18"/>
    </row>
    <row r="2484" spans="1:20" x14ac:dyDescent="0.2">
      <c r="A2484" s="17"/>
      <c r="B2484" s="17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</row>
    <row r="2485" spans="1:20" x14ac:dyDescent="0.2">
      <c r="A2485" s="17"/>
      <c r="B2485" s="17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  <c r="T2485" s="18"/>
    </row>
    <row r="2486" spans="1:20" x14ac:dyDescent="0.2">
      <c r="A2486" s="17"/>
      <c r="B2486" s="17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  <c r="T2486" s="18"/>
    </row>
    <row r="2487" spans="1:20" x14ac:dyDescent="0.2">
      <c r="A2487" s="17"/>
      <c r="B2487" s="17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  <c r="T2487" s="18"/>
    </row>
    <row r="2488" spans="1:20" x14ac:dyDescent="0.2">
      <c r="A2488" s="17"/>
      <c r="B2488" s="17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  <c r="T2488" s="18"/>
    </row>
    <row r="2489" spans="1:20" x14ac:dyDescent="0.2">
      <c r="A2489" s="17"/>
      <c r="B2489" s="17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  <c r="T2489" s="18"/>
    </row>
    <row r="2490" spans="1:20" x14ac:dyDescent="0.2">
      <c r="A2490" s="17"/>
      <c r="B2490" s="17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  <c r="T2490" s="18"/>
    </row>
    <row r="2491" spans="1:20" x14ac:dyDescent="0.2">
      <c r="A2491" s="17"/>
      <c r="B2491" s="17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  <c r="T2491" s="18"/>
    </row>
    <row r="2492" spans="1:20" x14ac:dyDescent="0.2">
      <c r="A2492" s="17"/>
      <c r="B2492" s="17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  <c r="T2492" s="18"/>
    </row>
    <row r="2493" spans="1:20" x14ac:dyDescent="0.2">
      <c r="A2493" s="17"/>
      <c r="B2493" s="17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</row>
    <row r="2494" spans="1:20" x14ac:dyDescent="0.2">
      <c r="A2494" s="17"/>
      <c r="B2494" s="17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  <c r="T2494" s="18"/>
    </row>
    <row r="2495" spans="1:20" x14ac:dyDescent="0.2">
      <c r="A2495" s="17"/>
      <c r="B2495" s="17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  <c r="T2495" s="18"/>
    </row>
    <row r="2496" spans="1:20" x14ac:dyDescent="0.2">
      <c r="A2496" s="17"/>
      <c r="B2496" s="17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</row>
    <row r="2497" spans="1:20" x14ac:dyDescent="0.2">
      <c r="A2497" s="17"/>
      <c r="B2497" s="17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  <c r="T2497" s="18"/>
    </row>
    <row r="2498" spans="1:20" x14ac:dyDescent="0.2">
      <c r="A2498" s="17"/>
      <c r="B2498" s="17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  <c r="T2498" s="18"/>
    </row>
    <row r="2499" spans="1:20" x14ac:dyDescent="0.2">
      <c r="A2499" s="17"/>
      <c r="B2499" s="17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</row>
    <row r="2500" spans="1:20" x14ac:dyDescent="0.2">
      <c r="A2500" s="17"/>
      <c r="B2500" s="17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  <c r="T2500" s="18"/>
    </row>
    <row r="2501" spans="1:20" x14ac:dyDescent="0.2">
      <c r="A2501" s="17"/>
      <c r="B2501" s="17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</row>
    <row r="2502" spans="1:20" x14ac:dyDescent="0.2">
      <c r="A2502" s="17"/>
      <c r="B2502" s="17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  <c r="T2502" s="18"/>
    </row>
    <row r="2503" spans="1:20" x14ac:dyDescent="0.2">
      <c r="A2503" s="17"/>
      <c r="B2503" s="17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</row>
    <row r="2504" spans="1:20" x14ac:dyDescent="0.2">
      <c r="A2504" s="17"/>
      <c r="B2504" s="17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  <c r="T2504" s="18"/>
    </row>
    <row r="2505" spans="1:20" x14ac:dyDescent="0.2">
      <c r="A2505" s="17"/>
      <c r="B2505" s="17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  <c r="T2505" s="18"/>
    </row>
    <row r="2506" spans="1:20" x14ac:dyDescent="0.2">
      <c r="A2506" s="17"/>
      <c r="B2506" s="17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  <c r="T2506" s="18"/>
    </row>
    <row r="2507" spans="1:20" x14ac:dyDescent="0.2">
      <c r="A2507" s="17"/>
      <c r="B2507" s="17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  <c r="T2507" s="18"/>
    </row>
    <row r="2508" spans="1:20" x14ac:dyDescent="0.2">
      <c r="A2508" s="17"/>
      <c r="B2508" s="17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  <c r="T2508" s="18"/>
    </row>
    <row r="2509" spans="1:20" x14ac:dyDescent="0.2">
      <c r="A2509" s="17"/>
      <c r="B2509" s="17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  <c r="T2509" s="18"/>
    </row>
    <row r="2510" spans="1:20" x14ac:dyDescent="0.2">
      <c r="A2510" s="17"/>
      <c r="B2510" s="17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  <c r="T2510" s="18"/>
    </row>
    <row r="2511" spans="1:20" x14ac:dyDescent="0.2">
      <c r="A2511" s="17"/>
      <c r="B2511" s="17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  <c r="T2511" s="18"/>
    </row>
    <row r="2512" spans="1:20" x14ac:dyDescent="0.2">
      <c r="A2512" s="17"/>
      <c r="B2512" s="17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  <c r="T2512" s="18"/>
    </row>
    <row r="2513" spans="1:20" x14ac:dyDescent="0.2">
      <c r="A2513" s="17"/>
      <c r="B2513" s="17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  <c r="T2513" s="18"/>
    </row>
    <row r="2514" spans="1:20" x14ac:dyDescent="0.2">
      <c r="A2514" s="17"/>
      <c r="B2514" s="17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  <c r="T2514" s="18"/>
    </row>
    <row r="2515" spans="1:20" x14ac:dyDescent="0.2">
      <c r="A2515" s="17"/>
      <c r="B2515" s="17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  <c r="T2515" s="18"/>
    </row>
    <row r="2516" spans="1:20" x14ac:dyDescent="0.2">
      <c r="A2516" s="17"/>
      <c r="B2516" s="17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  <c r="T2516" s="18"/>
    </row>
    <row r="2517" spans="1:20" x14ac:dyDescent="0.2">
      <c r="A2517" s="17"/>
      <c r="B2517" s="17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  <c r="T2517" s="18"/>
    </row>
    <row r="2518" spans="1:20" x14ac:dyDescent="0.2">
      <c r="A2518" s="17"/>
      <c r="B2518" s="17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  <c r="T2518" s="18"/>
    </row>
    <row r="2519" spans="1:20" x14ac:dyDescent="0.2">
      <c r="A2519" s="17"/>
      <c r="B2519" s="17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  <c r="T2519" s="18"/>
    </row>
    <row r="2520" spans="1:20" x14ac:dyDescent="0.2">
      <c r="A2520" s="17"/>
      <c r="B2520" s="17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  <c r="T2520" s="18"/>
    </row>
    <row r="2521" spans="1:20" x14ac:dyDescent="0.2">
      <c r="A2521" s="17"/>
      <c r="B2521" s="17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  <c r="T2521" s="18"/>
    </row>
    <row r="2522" spans="1:20" x14ac:dyDescent="0.2">
      <c r="A2522" s="17"/>
      <c r="B2522" s="17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  <c r="T2522" s="18"/>
    </row>
    <row r="2523" spans="1:20" x14ac:dyDescent="0.2">
      <c r="A2523" s="17"/>
      <c r="B2523" s="17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  <c r="T2523" s="18"/>
    </row>
    <row r="2524" spans="1:20" x14ac:dyDescent="0.2">
      <c r="A2524" s="17"/>
      <c r="B2524" s="17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  <c r="T2524" s="18"/>
    </row>
    <row r="2525" spans="1:20" x14ac:dyDescent="0.2">
      <c r="A2525" s="17"/>
      <c r="B2525" s="17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  <c r="T2525" s="18"/>
    </row>
    <row r="2526" spans="1:20" x14ac:dyDescent="0.2">
      <c r="A2526" s="17"/>
      <c r="B2526" s="17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</row>
    <row r="2527" spans="1:20" x14ac:dyDescent="0.2">
      <c r="A2527" s="17"/>
      <c r="B2527" s="17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  <c r="T2527" s="18"/>
    </row>
    <row r="2528" spans="1:20" x14ac:dyDescent="0.2">
      <c r="A2528" s="17"/>
      <c r="B2528" s="17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  <c r="T2528" s="18"/>
    </row>
    <row r="2529" spans="1:20" x14ac:dyDescent="0.2">
      <c r="A2529" s="17"/>
      <c r="B2529" s="17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  <c r="T2529" s="18"/>
    </row>
    <row r="2530" spans="1:20" x14ac:dyDescent="0.2">
      <c r="A2530" s="17"/>
      <c r="B2530" s="17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  <c r="T2530" s="18"/>
    </row>
    <row r="2531" spans="1:20" x14ac:dyDescent="0.2">
      <c r="A2531" s="17"/>
      <c r="B2531" s="17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  <c r="T2531" s="18"/>
    </row>
    <row r="2532" spans="1:20" x14ac:dyDescent="0.2">
      <c r="A2532" s="17"/>
      <c r="B2532" s="17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  <c r="T2532" s="18"/>
    </row>
    <row r="2533" spans="1:20" x14ac:dyDescent="0.2">
      <c r="A2533" s="17"/>
      <c r="B2533" s="17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</row>
    <row r="2534" spans="1:20" x14ac:dyDescent="0.2">
      <c r="A2534" s="17"/>
      <c r="B2534" s="17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  <c r="T2534" s="18"/>
    </row>
    <row r="2535" spans="1:20" x14ac:dyDescent="0.2">
      <c r="A2535" s="17"/>
      <c r="B2535" s="17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  <c r="T2535" s="18"/>
    </row>
    <row r="2536" spans="1:20" x14ac:dyDescent="0.2">
      <c r="A2536" s="17"/>
      <c r="B2536" s="17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  <c r="T2536" s="18"/>
    </row>
    <row r="2537" spans="1:20" x14ac:dyDescent="0.2">
      <c r="A2537" s="17"/>
      <c r="B2537" s="17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  <c r="T2537" s="18"/>
    </row>
    <row r="2538" spans="1:20" x14ac:dyDescent="0.2">
      <c r="A2538" s="17"/>
      <c r="B2538" s="17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  <c r="T2538" s="18"/>
    </row>
    <row r="2539" spans="1:20" x14ac:dyDescent="0.2">
      <c r="A2539" s="17"/>
      <c r="B2539" s="17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  <c r="T2539" s="18"/>
    </row>
    <row r="2540" spans="1:20" x14ac:dyDescent="0.2">
      <c r="A2540" s="17"/>
      <c r="B2540" s="17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  <c r="T2540" s="18"/>
    </row>
    <row r="2541" spans="1:20" x14ac:dyDescent="0.2">
      <c r="A2541" s="17"/>
      <c r="B2541" s="17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  <c r="T2541" s="18"/>
    </row>
    <row r="2542" spans="1:20" x14ac:dyDescent="0.2">
      <c r="A2542" s="17"/>
      <c r="B2542" s="17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  <c r="T2542" s="18"/>
    </row>
    <row r="2543" spans="1:20" x14ac:dyDescent="0.2">
      <c r="A2543" s="17"/>
      <c r="B2543" s="17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  <c r="T2543" s="18"/>
    </row>
    <row r="2544" spans="1:20" x14ac:dyDescent="0.2">
      <c r="A2544" s="17"/>
      <c r="B2544" s="17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  <c r="T2544" s="18"/>
    </row>
    <row r="2545" spans="1:20" x14ac:dyDescent="0.2">
      <c r="A2545" s="17"/>
      <c r="B2545" s="17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  <c r="T2545" s="18"/>
    </row>
    <row r="2546" spans="1:20" x14ac:dyDescent="0.2">
      <c r="A2546" s="17"/>
      <c r="B2546" s="17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  <c r="T2546" s="18"/>
    </row>
    <row r="2547" spans="1:20" x14ac:dyDescent="0.2">
      <c r="A2547" s="17"/>
      <c r="B2547" s="17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  <c r="T2547" s="18"/>
    </row>
    <row r="2548" spans="1:20" x14ac:dyDescent="0.2">
      <c r="A2548" s="17"/>
      <c r="B2548" s="17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  <c r="T2548" s="18"/>
    </row>
    <row r="2549" spans="1:20" x14ac:dyDescent="0.2">
      <c r="A2549" s="17"/>
      <c r="B2549" s="17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  <c r="T2549" s="18"/>
    </row>
    <row r="2550" spans="1:20" x14ac:dyDescent="0.2">
      <c r="A2550" s="17"/>
      <c r="B2550" s="17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  <c r="T2550" s="18"/>
    </row>
    <row r="2551" spans="1:20" x14ac:dyDescent="0.2">
      <c r="A2551" s="17"/>
      <c r="B2551" s="17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  <c r="T2551" s="18"/>
    </row>
    <row r="2552" spans="1:20" x14ac:dyDescent="0.2">
      <c r="A2552" s="17"/>
      <c r="B2552" s="17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</row>
    <row r="2553" spans="1:20" x14ac:dyDescent="0.2">
      <c r="A2553" s="17"/>
      <c r="B2553" s="17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  <c r="T2553" s="18"/>
    </row>
    <row r="2554" spans="1:20" x14ac:dyDescent="0.2">
      <c r="A2554" s="17"/>
      <c r="B2554" s="17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  <c r="T2554" s="18"/>
    </row>
    <row r="2555" spans="1:20" x14ac:dyDescent="0.2">
      <c r="A2555" s="17"/>
      <c r="B2555" s="17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  <c r="T2555" s="18"/>
    </row>
    <row r="2556" spans="1:20" x14ac:dyDescent="0.2">
      <c r="A2556" s="17"/>
      <c r="B2556" s="17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  <c r="T2556" s="18"/>
    </row>
    <row r="2557" spans="1:20" x14ac:dyDescent="0.2">
      <c r="A2557" s="17"/>
      <c r="B2557" s="17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  <c r="T2557" s="18"/>
    </row>
    <row r="2558" spans="1:20" x14ac:dyDescent="0.2">
      <c r="A2558" s="17"/>
      <c r="B2558" s="17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  <c r="T2558" s="18"/>
    </row>
    <row r="2559" spans="1:20" x14ac:dyDescent="0.2">
      <c r="A2559" s="17"/>
      <c r="B2559" s="17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  <c r="T2559" s="18"/>
    </row>
    <row r="2560" spans="1:20" x14ac:dyDescent="0.2">
      <c r="A2560" s="17"/>
      <c r="B2560" s="17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  <c r="T2560" s="18"/>
    </row>
    <row r="2561" spans="1:20" x14ac:dyDescent="0.2">
      <c r="A2561" s="17"/>
      <c r="B2561" s="17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  <c r="T2561" s="18"/>
    </row>
    <row r="2562" spans="1:20" x14ac:dyDescent="0.2">
      <c r="A2562" s="17"/>
      <c r="B2562" s="17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  <c r="T2562" s="18"/>
    </row>
    <row r="2563" spans="1:20" x14ac:dyDescent="0.2">
      <c r="A2563" s="17"/>
      <c r="B2563" s="17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  <c r="T2563" s="18"/>
    </row>
    <row r="2564" spans="1:20" x14ac:dyDescent="0.2">
      <c r="A2564" s="17"/>
      <c r="B2564" s="17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  <c r="T2564" s="18"/>
    </row>
    <row r="2565" spans="1:20" x14ac:dyDescent="0.2">
      <c r="A2565" s="17"/>
      <c r="B2565" s="17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  <c r="T2565" s="18"/>
    </row>
    <row r="2566" spans="1:20" x14ac:dyDescent="0.2">
      <c r="A2566" s="17"/>
      <c r="B2566" s="17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  <c r="T2566" s="18"/>
    </row>
    <row r="2567" spans="1:20" x14ac:dyDescent="0.2">
      <c r="A2567" s="17"/>
      <c r="B2567" s="17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  <c r="T2567" s="18"/>
    </row>
    <row r="2568" spans="1:20" x14ac:dyDescent="0.2">
      <c r="A2568" s="17"/>
      <c r="B2568" s="17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  <c r="T2568" s="18"/>
    </row>
    <row r="2569" spans="1:20" x14ac:dyDescent="0.2">
      <c r="A2569" s="17"/>
      <c r="B2569" s="17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</row>
    <row r="2570" spans="1:20" x14ac:dyDescent="0.2">
      <c r="A2570" s="17"/>
      <c r="B2570" s="17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  <c r="T2570" s="18"/>
    </row>
    <row r="2571" spans="1:20" x14ac:dyDescent="0.2">
      <c r="A2571" s="17"/>
      <c r="B2571" s="17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  <c r="T2571" s="18"/>
    </row>
    <row r="2572" spans="1:20" x14ac:dyDescent="0.2">
      <c r="A2572" s="17"/>
      <c r="B2572" s="17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  <c r="T2572" s="18"/>
    </row>
    <row r="2573" spans="1:20" x14ac:dyDescent="0.2">
      <c r="A2573" s="17"/>
      <c r="B2573" s="17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  <c r="T2573" s="18"/>
    </row>
    <row r="2574" spans="1:20" x14ac:dyDescent="0.2">
      <c r="A2574" s="17"/>
      <c r="B2574" s="17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  <c r="T2574" s="18"/>
    </row>
    <row r="2575" spans="1:20" x14ac:dyDescent="0.2">
      <c r="A2575" s="17"/>
      <c r="B2575" s="17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  <c r="T2575" s="18"/>
    </row>
    <row r="2576" spans="1:20" x14ac:dyDescent="0.2">
      <c r="A2576" s="17"/>
      <c r="B2576" s="17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  <c r="T2576" s="18"/>
    </row>
    <row r="2577" spans="1:20" x14ac:dyDescent="0.2">
      <c r="A2577" s="17"/>
      <c r="B2577" s="17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</row>
    <row r="2578" spans="1:20" x14ac:dyDescent="0.2">
      <c r="A2578" s="17"/>
      <c r="B2578" s="17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  <c r="T2578" s="18"/>
    </row>
    <row r="2579" spans="1:20" x14ac:dyDescent="0.2">
      <c r="A2579" s="17"/>
      <c r="B2579" s="17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  <c r="T2579" s="18"/>
    </row>
    <row r="2580" spans="1:20" x14ac:dyDescent="0.2">
      <c r="A2580" s="17"/>
      <c r="B2580" s="17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  <c r="T2580" s="18"/>
    </row>
    <row r="2581" spans="1:20" x14ac:dyDescent="0.2">
      <c r="A2581" s="17"/>
      <c r="B2581" s="17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  <c r="T2581" s="18"/>
    </row>
    <row r="2582" spans="1:20" x14ac:dyDescent="0.2">
      <c r="A2582" s="17"/>
      <c r="B2582" s="17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  <c r="T2582" s="18"/>
    </row>
    <row r="2583" spans="1:20" x14ac:dyDescent="0.2">
      <c r="A2583" s="17"/>
      <c r="B2583" s="17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  <c r="T2583" s="18"/>
    </row>
    <row r="2584" spans="1:20" x14ac:dyDescent="0.2">
      <c r="A2584" s="17"/>
      <c r="B2584" s="17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  <c r="T2584" s="18"/>
    </row>
    <row r="2585" spans="1:20" x14ac:dyDescent="0.2">
      <c r="A2585" s="17"/>
      <c r="B2585" s="17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  <c r="T2585" s="18"/>
    </row>
    <row r="2586" spans="1:20" x14ac:dyDescent="0.2">
      <c r="A2586" s="17"/>
      <c r="B2586" s="17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  <c r="T2586" s="18"/>
    </row>
    <row r="2587" spans="1:20" x14ac:dyDescent="0.2">
      <c r="A2587" s="17"/>
      <c r="B2587" s="17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</row>
    <row r="2588" spans="1:20" x14ac:dyDescent="0.2">
      <c r="A2588" s="17"/>
      <c r="B2588" s="17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  <c r="T2588" s="18"/>
    </row>
    <row r="2589" spans="1:20" x14ac:dyDescent="0.2">
      <c r="A2589" s="17"/>
      <c r="B2589" s="17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  <c r="T2589" s="18"/>
    </row>
    <row r="2590" spans="1:20" x14ac:dyDescent="0.2">
      <c r="A2590" s="17"/>
      <c r="B2590" s="17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</row>
    <row r="2591" spans="1:20" x14ac:dyDescent="0.2">
      <c r="A2591" s="17"/>
      <c r="B2591" s="17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  <c r="T2591" s="18"/>
    </row>
    <row r="2592" spans="1:20" x14ac:dyDescent="0.2">
      <c r="A2592" s="17"/>
      <c r="B2592" s="17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</row>
    <row r="2593" spans="1:20" x14ac:dyDescent="0.2">
      <c r="A2593" s="17"/>
      <c r="B2593" s="17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  <c r="S2593" s="18"/>
      <c r="T2593" s="18"/>
    </row>
    <row r="2594" spans="1:20" x14ac:dyDescent="0.2">
      <c r="A2594" s="17"/>
      <c r="B2594" s="17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  <c r="T2594" s="18"/>
    </row>
    <row r="2595" spans="1:20" x14ac:dyDescent="0.2">
      <c r="A2595" s="17"/>
      <c r="B2595" s="17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  <c r="T2595" s="18"/>
    </row>
    <row r="2596" spans="1:20" x14ac:dyDescent="0.2">
      <c r="A2596" s="17"/>
      <c r="B2596" s="17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  <c r="S2596" s="18"/>
      <c r="T2596" s="18"/>
    </row>
    <row r="2597" spans="1:20" x14ac:dyDescent="0.2">
      <c r="A2597" s="17"/>
      <c r="B2597" s="17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  <c r="T2597" s="18"/>
    </row>
    <row r="2598" spans="1:20" x14ac:dyDescent="0.2">
      <c r="A2598" s="17"/>
      <c r="B2598" s="17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  <c r="S2598" s="18"/>
      <c r="T2598" s="18"/>
    </row>
    <row r="2599" spans="1:20" x14ac:dyDescent="0.2">
      <c r="A2599" s="17"/>
      <c r="B2599" s="17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  <c r="T2599" s="18"/>
    </row>
    <row r="2600" spans="1:20" x14ac:dyDescent="0.2">
      <c r="A2600" s="17"/>
      <c r="B2600" s="17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8"/>
      <c r="T2600" s="18"/>
    </row>
    <row r="2601" spans="1:20" x14ac:dyDescent="0.2">
      <c r="A2601" s="17"/>
      <c r="B2601" s="17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  <c r="T2601" s="18"/>
    </row>
    <row r="2602" spans="1:20" x14ac:dyDescent="0.2">
      <c r="A2602" s="17"/>
      <c r="B2602" s="17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</row>
    <row r="2603" spans="1:20" x14ac:dyDescent="0.2">
      <c r="A2603" s="17"/>
      <c r="B2603" s="17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</row>
    <row r="2604" spans="1:20" x14ac:dyDescent="0.2">
      <c r="A2604" s="17"/>
      <c r="B2604" s="17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</row>
    <row r="2605" spans="1:20" x14ac:dyDescent="0.2">
      <c r="A2605" s="17"/>
      <c r="B2605" s="17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  <c r="T2605" s="18"/>
    </row>
    <row r="2606" spans="1:20" x14ac:dyDescent="0.2">
      <c r="A2606" s="17"/>
      <c r="B2606" s="17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  <c r="T2606" s="18"/>
    </row>
    <row r="2607" spans="1:20" x14ac:dyDescent="0.2">
      <c r="A2607" s="17"/>
      <c r="B2607" s="17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  <c r="T2607" s="18"/>
    </row>
    <row r="2608" spans="1:20" x14ac:dyDescent="0.2">
      <c r="A2608" s="17"/>
      <c r="B2608" s="17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  <c r="T2608" s="18"/>
    </row>
    <row r="2609" spans="1:20" x14ac:dyDescent="0.2">
      <c r="A2609" s="17"/>
      <c r="B2609" s="17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  <c r="T2609" s="18"/>
    </row>
    <row r="2610" spans="1:20" x14ac:dyDescent="0.2">
      <c r="A2610" s="17"/>
      <c r="B2610" s="17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  <c r="S2610" s="18"/>
      <c r="T2610" s="18"/>
    </row>
    <row r="2611" spans="1:20" x14ac:dyDescent="0.2">
      <c r="A2611" s="17"/>
      <c r="B2611" s="17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  <c r="T2611" s="18"/>
    </row>
    <row r="2612" spans="1:20" x14ac:dyDescent="0.2">
      <c r="A2612" s="17"/>
      <c r="B2612" s="17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  <c r="S2612" s="18"/>
      <c r="T2612" s="18"/>
    </row>
    <row r="2613" spans="1:20" x14ac:dyDescent="0.2">
      <c r="A2613" s="17"/>
      <c r="B2613" s="17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  <c r="T2613" s="18"/>
    </row>
    <row r="2614" spans="1:20" x14ac:dyDescent="0.2">
      <c r="A2614" s="17"/>
      <c r="B2614" s="17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  <c r="S2614" s="18"/>
      <c r="T2614" s="18"/>
    </row>
    <row r="2615" spans="1:20" x14ac:dyDescent="0.2">
      <c r="A2615" s="17"/>
      <c r="B2615" s="17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  <c r="T2615" s="18"/>
    </row>
    <row r="2616" spans="1:20" x14ac:dyDescent="0.2">
      <c r="A2616" s="17"/>
      <c r="B2616" s="17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8"/>
      <c r="T2616" s="18"/>
    </row>
    <row r="2617" spans="1:20" x14ac:dyDescent="0.2">
      <c r="A2617" s="17"/>
      <c r="B2617" s="17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  <c r="T2617" s="18"/>
    </row>
    <row r="2618" spans="1:20" x14ac:dyDescent="0.2">
      <c r="A2618" s="17"/>
      <c r="B2618" s="17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  <c r="T2618" s="18"/>
    </row>
    <row r="2619" spans="1:20" x14ac:dyDescent="0.2">
      <c r="A2619" s="17"/>
      <c r="B2619" s="17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  <c r="S2619" s="18"/>
      <c r="T2619" s="18"/>
    </row>
    <row r="2620" spans="1:20" x14ac:dyDescent="0.2">
      <c r="A2620" s="17"/>
      <c r="B2620" s="17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  <c r="S2620" s="18"/>
      <c r="T2620" s="18"/>
    </row>
    <row r="2621" spans="1:20" x14ac:dyDescent="0.2">
      <c r="A2621" s="17"/>
      <c r="B2621" s="17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  <c r="T2621" s="18"/>
    </row>
    <row r="2622" spans="1:20" x14ac:dyDescent="0.2">
      <c r="A2622" s="17"/>
      <c r="B2622" s="17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  <c r="S2622" s="18"/>
      <c r="T2622" s="18"/>
    </row>
    <row r="2623" spans="1:20" x14ac:dyDescent="0.2">
      <c r="A2623" s="17"/>
      <c r="B2623" s="17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  <c r="S2623" s="18"/>
      <c r="T2623" s="18"/>
    </row>
    <row r="2624" spans="1:20" x14ac:dyDescent="0.2">
      <c r="A2624" s="17"/>
      <c r="B2624" s="17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  <c r="S2624" s="18"/>
      <c r="T2624" s="18"/>
    </row>
    <row r="2625" spans="1:20" x14ac:dyDescent="0.2">
      <c r="A2625" s="17"/>
      <c r="B2625" s="17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  <c r="T2625" s="18"/>
    </row>
    <row r="2626" spans="1:20" x14ac:dyDescent="0.2">
      <c r="A2626" s="17"/>
      <c r="B2626" s="17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  <c r="S2626" s="18"/>
      <c r="T2626" s="18"/>
    </row>
    <row r="2627" spans="1:20" x14ac:dyDescent="0.2">
      <c r="A2627" s="17"/>
      <c r="B2627" s="17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  <c r="T2627" s="18"/>
    </row>
    <row r="2628" spans="1:20" x14ac:dyDescent="0.2">
      <c r="A2628" s="17"/>
      <c r="B2628" s="17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  <c r="T2628" s="18"/>
    </row>
    <row r="2629" spans="1:20" x14ac:dyDescent="0.2">
      <c r="A2629" s="17"/>
      <c r="B2629" s="17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  <c r="T2629" s="18"/>
    </row>
    <row r="2630" spans="1:20" x14ac:dyDescent="0.2">
      <c r="A2630" s="17"/>
      <c r="B2630" s="17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  <c r="T2630" s="18"/>
    </row>
    <row r="2631" spans="1:20" x14ac:dyDescent="0.2">
      <c r="A2631" s="17"/>
      <c r="B2631" s="17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  <c r="T2631" s="18"/>
    </row>
    <row r="2632" spans="1:20" x14ac:dyDescent="0.2">
      <c r="A2632" s="17"/>
      <c r="B2632" s="17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  <c r="S2632" s="18"/>
      <c r="T2632" s="18"/>
    </row>
    <row r="2633" spans="1:20" x14ac:dyDescent="0.2">
      <c r="A2633" s="17"/>
      <c r="B2633" s="17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  <c r="T2633" s="18"/>
    </row>
    <row r="2634" spans="1:20" x14ac:dyDescent="0.2">
      <c r="A2634" s="17"/>
      <c r="B2634" s="17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8"/>
      <c r="T2634" s="18"/>
    </row>
    <row r="2635" spans="1:20" x14ac:dyDescent="0.2">
      <c r="A2635" s="17"/>
      <c r="B2635" s="17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  <c r="S2635" s="18"/>
      <c r="T2635" s="18"/>
    </row>
    <row r="2636" spans="1:20" x14ac:dyDescent="0.2">
      <c r="A2636" s="17"/>
      <c r="B2636" s="17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  <c r="S2636" s="18"/>
      <c r="T2636" s="18"/>
    </row>
    <row r="2637" spans="1:20" x14ac:dyDescent="0.2">
      <c r="A2637" s="17"/>
      <c r="B2637" s="17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  <c r="T2637" s="18"/>
    </row>
    <row r="2638" spans="1:20" x14ac:dyDescent="0.2">
      <c r="A2638" s="17"/>
      <c r="B2638" s="17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8"/>
      <c r="T2638" s="18"/>
    </row>
    <row r="2639" spans="1:20" x14ac:dyDescent="0.2">
      <c r="A2639" s="17"/>
      <c r="B2639" s="17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  <c r="T2639" s="18"/>
    </row>
    <row r="2640" spans="1:20" x14ac:dyDescent="0.2">
      <c r="A2640" s="17"/>
      <c r="B2640" s="17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  <c r="S2640" s="18"/>
      <c r="T2640" s="18"/>
    </row>
    <row r="2641" spans="1:20" x14ac:dyDescent="0.2">
      <c r="A2641" s="17"/>
      <c r="B2641" s="17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  <c r="S2641" s="18"/>
      <c r="T2641" s="18"/>
    </row>
    <row r="2642" spans="1:20" x14ac:dyDescent="0.2">
      <c r="A2642" s="17"/>
      <c r="B2642" s="17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  <c r="S2642" s="18"/>
      <c r="T2642" s="18"/>
    </row>
    <row r="2643" spans="1:20" x14ac:dyDescent="0.2">
      <c r="A2643" s="17"/>
      <c r="B2643" s="17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  <c r="T2643" s="18"/>
    </row>
    <row r="2644" spans="1:20" x14ac:dyDescent="0.2">
      <c r="A2644" s="17"/>
      <c r="B2644" s="17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  <c r="S2644" s="18"/>
      <c r="T2644" s="18"/>
    </row>
    <row r="2645" spans="1:20" x14ac:dyDescent="0.2">
      <c r="A2645" s="17"/>
      <c r="B2645" s="17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  <c r="T2645" s="18"/>
    </row>
    <row r="2646" spans="1:20" x14ac:dyDescent="0.2">
      <c r="A2646" s="17"/>
      <c r="B2646" s="17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  <c r="S2646" s="18"/>
      <c r="T2646" s="18"/>
    </row>
    <row r="2647" spans="1:20" x14ac:dyDescent="0.2">
      <c r="A2647" s="17"/>
      <c r="B2647" s="17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  <c r="S2647" s="18"/>
      <c r="T2647" s="18"/>
    </row>
    <row r="2648" spans="1:20" x14ac:dyDescent="0.2">
      <c r="A2648" s="17"/>
      <c r="B2648" s="17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  <c r="S2648" s="18"/>
      <c r="T2648" s="18"/>
    </row>
    <row r="2649" spans="1:20" x14ac:dyDescent="0.2">
      <c r="A2649" s="17"/>
      <c r="B2649" s="17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  <c r="T2649" s="18"/>
    </row>
    <row r="2650" spans="1:20" x14ac:dyDescent="0.2">
      <c r="A2650" s="17"/>
      <c r="B2650" s="17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  <c r="T2650" s="18"/>
    </row>
    <row r="2651" spans="1:20" x14ac:dyDescent="0.2">
      <c r="A2651" s="17"/>
      <c r="B2651" s="17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  <c r="T2651" s="18"/>
    </row>
    <row r="2652" spans="1:20" x14ac:dyDescent="0.2">
      <c r="A2652" s="17"/>
      <c r="B2652" s="17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  <c r="S2652" s="18"/>
      <c r="T2652" s="18"/>
    </row>
    <row r="2653" spans="1:20" x14ac:dyDescent="0.2">
      <c r="A2653" s="17"/>
      <c r="B2653" s="17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  <c r="T2653" s="18"/>
    </row>
    <row r="2654" spans="1:20" x14ac:dyDescent="0.2">
      <c r="A2654" s="17"/>
      <c r="B2654" s="17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8"/>
      <c r="T2654" s="18"/>
    </row>
    <row r="2655" spans="1:20" x14ac:dyDescent="0.2">
      <c r="A2655" s="17"/>
      <c r="B2655" s="17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  <c r="S2655" s="18"/>
      <c r="T2655" s="18"/>
    </row>
    <row r="2656" spans="1:20" x14ac:dyDescent="0.2">
      <c r="A2656" s="17"/>
      <c r="B2656" s="17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  <c r="S2656" s="18"/>
      <c r="T2656" s="18"/>
    </row>
    <row r="2657" spans="1:20" x14ac:dyDescent="0.2">
      <c r="A2657" s="17"/>
      <c r="B2657" s="17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  <c r="S2657" s="18"/>
      <c r="T2657" s="18"/>
    </row>
    <row r="2658" spans="1:20" x14ac:dyDescent="0.2">
      <c r="A2658" s="17"/>
      <c r="B2658" s="17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  <c r="S2658" s="18"/>
      <c r="T2658" s="18"/>
    </row>
    <row r="2659" spans="1:20" x14ac:dyDescent="0.2">
      <c r="A2659" s="17"/>
      <c r="B2659" s="17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  <c r="S2659" s="18"/>
      <c r="T2659" s="18"/>
    </row>
    <row r="2660" spans="1:20" x14ac:dyDescent="0.2">
      <c r="A2660" s="17"/>
      <c r="B2660" s="17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  <c r="T2660" s="18"/>
    </row>
    <row r="2661" spans="1:20" x14ac:dyDescent="0.2">
      <c r="A2661" s="17"/>
      <c r="B2661" s="17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  <c r="T2661" s="18"/>
    </row>
    <row r="2662" spans="1:20" x14ac:dyDescent="0.2">
      <c r="A2662" s="17"/>
      <c r="B2662" s="17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  <c r="T2662" s="18"/>
    </row>
    <row r="2663" spans="1:20" x14ac:dyDescent="0.2">
      <c r="A2663" s="17"/>
      <c r="B2663" s="17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  <c r="T2663" s="18"/>
    </row>
    <row r="2664" spans="1:20" x14ac:dyDescent="0.2">
      <c r="A2664" s="17"/>
      <c r="B2664" s="17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</row>
    <row r="2665" spans="1:20" x14ac:dyDescent="0.2">
      <c r="A2665" s="17"/>
      <c r="B2665" s="17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</row>
    <row r="2666" spans="1:20" x14ac:dyDescent="0.2">
      <c r="A2666" s="17"/>
      <c r="B2666" s="17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  <c r="S2666" s="18"/>
      <c r="T2666" s="18"/>
    </row>
    <row r="2667" spans="1:20" x14ac:dyDescent="0.2">
      <c r="A2667" s="17"/>
      <c r="B2667" s="17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</row>
    <row r="2668" spans="1:20" x14ac:dyDescent="0.2">
      <c r="A2668" s="17"/>
      <c r="B2668" s="17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  <c r="S2668" s="18"/>
      <c r="T2668" s="18"/>
    </row>
    <row r="2669" spans="1:20" x14ac:dyDescent="0.2">
      <c r="A2669" s="17"/>
      <c r="B2669" s="17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</row>
    <row r="2670" spans="1:20" x14ac:dyDescent="0.2">
      <c r="A2670" s="17"/>
      <c r="B2670" s="17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  <c r="S2670" s="18"/>
      <c r="T2670" s="18"/>
    </row>
    <row r="2671" spans="1:20" x14ac:dyDescent="0.2">
      <c r="A2671" s="17"/>
      <c r="B2671" s="17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  <c r="S2671" s="18"/>
      <c r="T2671" s="18"/>
    </row>
    <row r="2672" spans="1:20" x14ac:dyDescent="0.2">
      <c r="A2672" s="17"/>
      <c r="B2672" s="17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  <c r="S2672" s="18"/>
      <c r="T2672" s="18"/>
    </row>
    <row r="2673" spans="1:20" x14ac:dyDescent="0.2">
      <c r="A2673" s="17"/>
      <c r="B2673" s="17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  <c r="T2673" s="18"/>
    </row>
    <row r="2674" spans="1:20" x14ac:dyDescent="0.2">
      <c r="A2674" s="17"/>
      <c r="B2674" s="17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  <c r="S2674" s="18"/>
      <c r="T2674" s="18"/>
    </row>
    <row r="2675" spans="1:20" x14ac:dyDescent="0.2">
      <c r="A2675" s="17"/>
      <c r="B2675" s="17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</row>
    <row r="2676" spans="1:20" x14ac:dyDescent="0.2">
      <c r="A2676" s="17"/>
      <c r="B2676" s="17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  <c r="S2676" s="18"/>
      <c r="T2676" s="18"/>
    </row>
    <row r="2677" spans="1:20" x14ac:dyDescent="0.2">
      <c r="A2677" s="17"/>
      <c r="B2677" s="17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  <c r="S2677" s="18"/>
      <c r="T2677" s="18"/>
    </row>
    <row r="2678" spans="1:20" x14ac:dyDescent="0.2">
      <c r="A2678" s="17"/>
      <c r="B2678" s="17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  <c r="T2678" s="18"/>
    </row>
    <row r="2679" spans="1:20" x14ac:dyDescent="0.2">
      <c r="A2679" s="17"/>
      <c r="B2679" s="17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  <c r="S2679" s="18"/>
      <c r="T2679" s="18"/>
    </row>
    <row r="2680" spans="1:20" x14ac:dyDescent="0.2">
      <c r="A2680" s="17"/>
      <c r="B2680" s="17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  <c r="S2680" s="18"/>
      <c r="T2680" s="18"/>
    </row>
    <row r="2681" spans="1:20" x14ac:dyDescent="0.2">
      <c r="A2681" s="17"/>
      <c r="B2681" s="17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  <c r="T2681" s="18"/>
    </row>
    <row r="2682" spans="1:20" x14ac:dyDescent="0.2">
      <c r="A2682" s="17"/>
      <c r="B2682" s="17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  <c r="S2682" s="18"/>
      <c r="T2682" s="18"/>
    </row>
    <row r="2683" spans="1:20" x14ac:dyDescent="0.2">
      <c r="A2683" s="17"/>
      <c r="B2683" s="17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  <c r="T2683" s="18"/>
    </row>
    <row r="2684" spans="1:20" x14ac:dyDescent="0.2">
      <c r="A2684" s="17"/>
      <c r="B2684" s="17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  <c r="S2684" s="18"/>
      <c r="T2684" s="18"/>
    </row>
    <row r="2685" spans="1:20" x14ac:dyDescent="0.2">
      <c r="A2685" s="17"/>
      <c r="B2685" s="17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  <c r="T2685" s="18"/>
    </row>
    <row r="2686" spans="1:20" x14ac:dyDescent="0.2">
      <c r="A2686" s="17"/>
      <c r="B2686" s="17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  <c r="S2686" s="18"/>
      <c r="T2686" s="18"/>
    </row>
    <row r="2687" spans="1:20" x14ac:dyDescent="0.2">
      <c r="A2687" s="17"/>
      <c r="B2687" s="17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  <c r="S2687" s="18"/>
      <c r="T2687" s="18"/>
    </row>
    <row r="2688" spans="1:20" x14ac:dyDescent="0.2">
      <c r="A2688" s="17"/>
      <c r="B2688" s="17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  <c r="T2688" s="18"/>
    </row>
    <row r="2689" spans="1:20" x14ac:dyDescent="0.2">
      <c r="A2689" s="17"/>
      <c r="B2689" s="17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  <c r="S2689" s="18"/>
      <c r="T2689" s="18"/>
    </row>
    <row r="2690" spans="1:20" x14ac:dyDescent="0.2">
      <c r="A2690" s="17"/>
      <c r="B2690" s="17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  <c r="S2690" s="18"/>
      <c r="T2690" s="18"/>
    </row>
    <row r="2691" spans="1:20" x14ac:dyDescent="0.2">
      <c r="A2691" s="17"/>
      <c r="B2691" s="17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  <c r="T2691" s="18"/>
    </row>
    <row r="2692" spans="1:20" x14ac:dyDescent="0.2">
      <c r="A2692" s="17"/>
      <c r="B2692" s="17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  <c r="S2692" s="18"/>
      <c r="T2692" s="18"/>
    </row>
    <row r="2693" spans="1:20" x14ac:dyDescent="0.2">
      <c r="A2693" s="17"/>
      <c r="B2693" s="17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  <c r="T2693" s="18"/>
    </row>
    <row r="2694" spans="1:20" x14ac:dyDescent="0.2">
      <c r="A2694" s="17"/>
      <c r="B2694" s="17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  <c r="T2694" s="18"/>
    </row>
    <row r="2695" spans="1:20" x14ac:dyDescent="0.2">
      <c r="A2695" s="17"/>
      <c r="B2695" s="17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  <c r="T2695" s="18"/>
    </row>
    <row r="2696" spans="1:20" x14ac:dyDescent="0.2">
      <c r="A2696" s="17"/>
      <c r="B2696" s="17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  <c r="T2696" s="18"/>
    </row>
    <row r="2697" spans="1:20" x14ac:dyDescent="0.2">
      <c r="A2697" s="17"/>
      <c r="B2697" s="17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  <c r="T2697" s="18"/>
    </row>
    <row r="2698" spans="1:20" x14ac:dyDescent="0.2">
      <c r="A2698" s="17"/>
      <c r="B2698" s="17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  <c r="T2698" s="18"/>
    </row>
    <row r="2699" spans="1:20" x14ac:dyDescent="0.2">
      <c r="A2699" s="17"/>
      <c r="B2699" s="17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  <c r="T2699" s="18"/>
    </row>
    <row r="2700" spans="1:20" x14ac:dyDescent="0.2">
      <c r="A2700" s="17"/>
      <c r="B2700" s="17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  <c r="S2700" s="18"/>
      <c r="T2700" s="18"/>
    </row>
    <row r="2701" spans="1:20" x14ac:dyDescent="0.2">
      <c r="A2701" s="17"/>
      <c r="B2701" s="17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  <c r="S2701" s="18"/>
      <c r="T2701" s="18"/>
    </row>
    <row r="2702" spans="1:20" x14ac:dyDescent="0.2">
      <c r="A2702" s="17"/>
      <c r="B2702" s="17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  <c r="S2702" s="18"/>
      <c r="T2702" s="18"/>
    </row>
    <row r="2703" spans="1:20" x14ac:dyDescent="0.2">
      <c r="A2703" s="17"/>
      <c r="B2703" s="17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  <c r="T2703" s="18"/>
    </row>
    <row r="2704" spans="1:20" x14ac:dyDescent="0.2">
      <c r="A2704" s="17"/>
      <c r="B2704" s="17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  <c r="S2704" s="18"/>
      <c r="T2704" s="18"/>
    </row>
    <row r="2705" spans="1:20" x14ac:dyDescent="0.2">
      <c r="A2705" s="17"/>
      <c r="B2705" s="17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  <c r="T2705" s="18"/>
    </row>
    <row r="2706" spans="1:20" x14ac:dyDescent="0.2">
      <c r="A2706" s="17"/>
      <c r="B2706" s="17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  <c r="S2706" s="18"/>
      <c r="T2706" s="18"/>
    </row>
    <row r="2707" spans="1:20" x14ac:dyDescent="0.2">
      <c r="A2707" s="17"/>
      <c r="B2707" s="17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  <c r="S2707" s="18"/>
      <c r="T2707" s="18"/>
    </row>
    <row r="2708" spans="1:20" x14ac:dyDescent="0.2">
      <c r="A2708" s="17"/>
      <c r="B2708" s="17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  <c r="S2708" s="18"/>
      <c r="T2708" s="18"/>
    </row>
    <row r="2709" spans="1:20" x14ac:dyDescent="0.2">
      <c r="A2709" s="17"/>
      <c r="B2709" s="17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  <c r="T2709" s="18"/>
    </row>
    <row r="2710" spans="1:20" x14ac:dyDescent="0.2">
      <c r="A2710" s="17"/>
      <c r="B2710" s="17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  <c r="S2710" s="18"/>
      <c r="T2710" s="18"/>
    </row>
    <row r="2711" spans="1:20" x14ac:dyDescent="0.2">
      <c r="A2711" s="17"/>
      <c r="B2711" s="17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  <c r="S2711" s="18"/>
      <c r="T2711" s="18"/>
    </row>
    <row r="2712" spans="1:20" x14ac:dyDescent="0.2">
      <c r="A2712" s="17"/>
      <c r="B2712" s="17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  <c r="S2712" s="18"/>
      <c r="T2712" s="18"/>
    </row>
    <row r="2713" spans="1:20" x14ac:dyDescent="0.2">
      <c r="A2713" s="17"/>
      <c r="B2713" s="17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  <c r="T2713" s="18"/>
    </row>
    <row r="2714" spans="1:20" x14ac:dyDescent="0.2">
      <c r="A2714" s="17"/>
      <c r="B2714" s="17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  <c r="S2714" s="18"/>
      <c r="T2714" s="18"/>
    </row>
    <row r="2715" spans="1:20" x14ac:dyDescent="0.2">
      <c r="A2715" s="17"/>
      <c r="B2715" s="17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  <c r="S2715" s="18"/>
      <c r="T2715" s="18"/>
    </row>
    <row r="2716" spans="1:20" x14ac:dyDescent="0.2">
      <c r="A2716" s="17"/>
      <c r="B2716" s="17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  <c r="S2716" s="18"/>
      <c r="T2716" s="18"/>
    </row>
    <row r="2717" spans="1:20" x14ac:dyDescent="0.2">
      <c r="A2717" s="17"/>
      <c r="B2717" s="17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  <c r="S2717" s="18"/>
      <c r="T2717" s="18"/>
    </row>
    <row r="2718" spans="1:20" x14ac:dyDescent="0.2">
      <c r="A2718" s="17"/>
      <c r="B2718" s="17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  <c r="S2718" s="18"/>
      <c r="T2718" s="18"/>
    </row>
    <row r="2719" spans="1:20" x14ac:dyDescent="0.2">
      <c r="A2719" s="17"/>
      <c r="B2719" s="17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  <c r="S2719" s="18"/>
      <c r="T2719" s="18"/>
    </row>
    <row r="2720" spans="1:20" x14ac:dyDescent="0.2">
      <c r="A2720" s="17"/>
      <c r="B2720" s="17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  <c r="S2720" s="18"/>
      <c r="T2720" s="18"/>
    </row>
    <row r="2721" spans="1:20" x14ac:dyDescent="0.2">
      <c r="A2721" s="17"/>
      <c r="B2721" s="17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  <c r="T2721" s="18"/>
    </row>
    <row r="2722" spans="1:20" x14ac:dyDescent="0.2">
      <c r="A2722" s="17"/>
      <c r="B2722" s="17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  <c r="T2722" s="18"/>
    </row>
    <row r="2723" spans="1:20" x14ac:dyDescent="0.2">
      <c r="A2723" s="17"/>
      <c r="B2723" s="17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  <c r="T2723" s="18"/>
    </row>
    <row r="2724" spans="1:20" x14ac:dyDescent="0.2">
      <c r="A2724" s="17"/>
      <c r="B2724" s="17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  <c r="S2724" s="18"/>
      <c r="T2724" s="18"/>
    </row>
    <row r="2725" spans="1:20" x14ac:dyDescent="0.2">
      <c r="A2725" s="17"/>
      <c r="B2725" s="17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  <c r="T2725" s="18"/>
    </row>
    <row r="2726" spans="1:20" x14ac:dyDescent="0.2">
      <c r="A2726" s="17"/>
      <c r="B2726" s="17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  <c r="S2726" s="18"/>
      <c r="T2726" s="18"/>
    </row>
    <row r="2727" spans="1:20" x14ac:dyDescent="0.2">
      <c r="A2727" s="17"/>
      <c r="B2727" s="17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  <c r="S2727" s="18"/>
      <c r="T2727" s="18"/>
    </row>
    <row r="2728" spans="1:20" x14ac:dyDescent="0.2">
      <c r="A2728" s="17"/>
      <c r="B2728" s="17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  <c r="S2728" s="18"/>
      <c r="T2728" s="18"/>
    </row>
    <row r="2729" spans="1:20" x14ac:dyDescent="0.2">
      <c r="A2729" s="17"/>
      <c r="B2729" s="17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  <c r="S2729" s="18"/>
      <c r="T2729" s="18"/>
    </row>
    <row r="2730" spans="1:20" x14ac:dyDescent="0.2">
      <c r="A2730" s="17"/>
      <c r="B2730" s="17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  <c r="T2730" s="18"/>
    </row>
    <row r="2731" spans="1:20" x14ac:dyDescent="0.2">
      <c r="A2731" s="17"/>
      <c r="B2731" s="17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  <c r="T2731" s="18"/>
    </row>
    <row r="2732" spans="1:20" x14ac:dyDescent="0.2">
      <c r="A2732" s="17"/>
      <c r="B2732" s="17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  <c r="T2732" s="18"/>
    </row>
    <row r="2733" spans="1:20" x14ac:dyDescent="0.2">
      <c r="A2733" s="17"/>
      <c r="B2733" s="17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  <c r="T2733" s="18"/>
    </row>
    <row r="2734" spans="1:20" x14ac:dyDescent="0.2">
      <c r="A2734" s="17"/>
      <c r="B2734" s="17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  <c r="T2734" s="18"/>
    </row>
    <row r="2735" spans="1:20" x14ac:dyDescent="0.2">
      <c r="A2735" s="17"/>
      <c r="B2735" s="17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  <c r="S2735" s="18"/>
      <c r="T2735" s="18"/>
    </row>
    <row r="2736" spans="1:20" x14ac:dyDescent="0.2">
      <c r="A2736" s="17"/>
      <c r="B2736" s="17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  <c r="S2736" s="18"/>
      <c r="T2736" s="18"/>
    </row>
    <row r="2737" spans="1:20" x14ac:dyDescent="0.2">
      <c r="A2737" s="17"/>
      <c r="B2737" s="17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  <c r="T2737" s="18"/>
    </row>
    <row r="2738" spans="1:20" x14ac:dyDescent="0.2">
      <c r="A2738" s="17"/>
      <c r="B2738" s="17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  <c r="T2738" s="18"/>
    </row>
    <row r="2739" spans="1:20" x14ac:dyDescent="0.2">
      <c r="A2739" s="17"/>
      <c r="B2739" s="17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  <c r="T2739" s="18"/>
    </row>
    <row r="2740" spans="1:20" x14ac:dyDescent="0.2">
      <c r="A2740" s="17"/>
      <c r="B2740" s="17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  <c r="T2740" s="18"/>
    </row>
    <row r="2741" spans="1:20" x14ac:dyDescent="0.2">
      <c r="A2741" s="17"/>
      <c r="B2741" s="17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  <c r="T2741" s="18"/>
    </row>
    <row r="2742" spans="1:20" x14ac:dyDescent="0.2">
      <c r="A2742" s="17"/>
      <c r="B2742" s="17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  <c r="S2742" s="18"/>
      <c r="T2742" s="18"/>
    </row>
    <row r="2743" spans="1:20" x14ac:dyDescent="0.2">
      <c r="A2743" s="17"/>
      <c r="B2743" s="17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  <c r="T2743" s="18"/>
    </row>
    <row r="2744" spans="1:20" x14ac:dyDescent="0.2">
      <c r="A2744" s="17"/>
      <c r="B2744" s="17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  <c r="S2744" s="18"/>
      <c r="T2744" s="18"/>
    </row>
    <row r="2745" spans="1:20" x14ac:dyDescent="0.2">
      <c r="A2745" s="17"/>
      <c r="B2745" s="17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  <c r="S2745" s="18"/>
      <c r="T2745" s="18"/>
    </row>
    <row r="2746" spans="1:20" x14ac:dyDescent="0.2">
      <c r="A2746" s="17"/>
      <c r="B2746" s="17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  <c r="T2746" s="18"/>
    </row>
    <row r="2747" spans="1:20" x14ac:dyDescent="0.2">
      <c r="A2747" s="17"/>
      <c r="B2747" s="17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  <c r="S2747" s="18"/>
      <c r="T2747" s="18"/>
    </row>
    <row r="2748" spans="1:20" x14ac:dyDescent="0.2">
      <c r="A2748" s="17"/>
      <c r="B2748" s="17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  <c r="S2748" s="18"/>
      <c r="T2748" s="18"/>
    </row>
    <row r="2749" spans="1:20" x14ac:dyDescent="0.2">
      <c r="A2749" s="17"/>
      <c r="B2749" s="17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  <c r="T2749" s="18"/>
    </row>
    <row r="2750" spans="1:20" x14ac:dyDescent="0.2">
      <c r="A2750" s="17"/>
      <c r="B2750" s="17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  <c r="S2750" s="18"/>
      <c r="T2750" s="18"/>
    </row>
    <row r="2751" spans="1:20" x14ac:dyDescent="0.2">
      <c r="A2751" s="17"/>
      <c r="B2751" s="17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</row>
    <row r="2752" spans="1:20" x14ac:dyDescent="0.2">
      <c r="A2752" s="17"/>
      <c r="B2752" s="17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  <c r="S2752" s="18"/>
      <c r="T2752" s="18"/>
    </row>
    <row r="2753" spans="1:20" x14ac:dyDescent="0.2">
      <c r="A2753" s="17"/>
      <c r="B2753" s="17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  <c r="T2753" s="18"/>
    </row>
    <row r="2754" spans="1:20" x14ac:dyDescent="0.2">
      <c r="A2754" s="17"/>
      <c r="B2754" s="17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  <c r="S2754" s="18"/>
      <c r="T2754" s="18"/>
    </row>
    <row r="2755" spans="1:20" x14ac:dyDescent="0.2">
      <c r="A2755" s="17"/>
      <c r="B2755" s="17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  <c r="T2755" s="18"/>
    </row>
    <row r="2756" spans="1:20" x14ac:dyDescent="0.2">
      <c r="A2756" s="17"/>
      <c r="B2756" s="17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  <c r="S2756" s="18"/>
      <c r="T2756" s="18"/>
    </row>
    <row r="2757" spans="1:20" x14ac:dyDescent="0.2">
      <c r="A2757" s="17"/>
      <c r="B2757" s="17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  <c r="S2757" s="18"/>
      <c r="T2757" s="18"/>
    </row>
    <row r="2758" spans="1:20" x14ac:dyDescent="0.2">
      <c r="A2758" s="17"/>
      <c r="B2758" s="17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  <c r="S2758" s="18"/>
      <c r="T2758" s="18"/>
    </row>
    <row r="2759" spans="1:20" x14ac:dyDescent="0.2">
      <c r="A2759" s="17"/>
      <c r="B2759" s="17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  <c r="S2759" s="18"/>
      <c r="T2759" s="18"/>
    </row>
    <row r="2760" spans="1:20" x14ac:dyDescent="0.2">
      <c r="A2760" s="17"/>
      <c r="B2760" s="17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  <c r="S2760" s="18"/>
      <c r="T2760" s="18"/>
    </row>
    <row r="2761" spans="1:20" x14ac:dyDescent="0.2">
      <c r="A2761" s="17"/>
      <c r="B2761" s="17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  <c r="S2761" s="18"/>
      <c r="T2761" s="18"/>
    </row>
    <row r="2762" spans="1:20" x14ac:dyDescent="0.2">
      <c r="A2762" s="17"/>
      <c r="B2762" s="17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  <c r="S2762" s="18"/>
      <c r="T2762" s="18"/>
    </row>
    <row r="2763" spans="1:20" x14ac:dyDescent="0.2">
      <c r="A2763" s="17"/>
      <c r="B2763" s="17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  <c r="S2763" s="18"/>
      <c r="T2763" s="18"/>
    </row>
    <row r="2764" spans="1:20" x14ac:dyDescent="0.2">
      <c r="A2764" s="17"/>
      <c r="B2764" s="17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  <c r="S2764" s="18"/>
      <c r="T2764" s="18"/>
    </row>
    <row r="2765" spans="1:20" x14ac:dyDescent="0.2">
      <c r="A2765" s="17"/>
      <c r="B2765" s="17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  <c r="T2765" s="18"/>
    </row>
    <row r="2766" spans="1:20" x14ac:dyDescent="0.2">
      <c r="A2766" s="17"/>
      <c r="B2766" s="17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  <c r="S2766" s="18"/>
      <c r="T2766" s="18"/>
    </row>
    <row r="2767" spans="1:20" x14ac:dyDescent="0.2">
      <c r="A2767" s="17"/>
      <c r="B2767" s="17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  <c r="S2767" s="18"/>
      <c r="T2767" s="18"/>
    </row>
    <row r="2768" spans="1:20" x14ac:dyDescent="0.2">
      <c r="A2768" s="17"/>
      <c r="B2768" s="17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  <c r="T2768" s="18"/>
    </row>
    <row r="2769" spans="1:20" x14ac:dyDescent="0.2">
      <c r="A2769" s="17"/>
      <c r="B2769" s="17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</row>
    <row r="2770" spans="1:20" x14ac:dyDescent="0.2">
      <c r="A2770" s="17"/>
      <c r="B2770" s="17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  <c r="S2770" s="18"/>
      <c r="T2770" s="18"/>
    </row>
    <row r="2771" spans="1:20" x14ac:dyDescent="0.2">
      <c r="A2771" s="17"/>
      <c r="B2771" s="17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  <c r="T2771" s="18"/>
    </row>
    <row r="2772" spans="1:20" x14ac:dyDescent="0.2">
      <c r="A2772" s="17"/>
      <c r="B2772" s="17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  <c r="T2772" s="18"/>
    </row>
    <row r="2773" spans="1:20" x14ac:dyDescent="0.2">
      <c r="A2773" s="17"/>
      <c r="B2773" s="17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  <c r="S2773" s="18"/>
      <c r="T2773" s="18"/>
    </row>
    <row r="2774" spans="1:20" x14ac:dyDescent="0.2">
      <c r="A2774" s="17"/>
      <c r="B2774" s="17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  <c r="T2774" s="18"/>
    </row>
    <row r="2775" spans="1:20" x14ac:dyDescent="0.2">
      <c r="A2775" s="17"/>
      <c r="B2775" s="17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  <c r="S2775" s="18"/>
      <c r="T2775" s="18"/>
    </row>
    <row r="2776" spans="1:20" x14ac:dyDescent="0.2">
      <c r="A2776" s="17"/>
      <c r="B2776" s="17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  <c r="T2776" s="18"/>
    </row>
    <row r="2777" spans="1:20" x14ac:dyDescent="0.2">
      <c r="A2777" s="17"/>
      <c r="B2777" s="17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  <c r="S2777" s="18"/>
      <c r="T2777" s="18"/>
    </row>
    <row r="2778" spans="1:20" x14ac:dyDescent="0.2">
      <c r="A2778" s="17"/>
      <c r="B2778" s="17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  <c r="S2778" s="18"/>
      <c r="T2778" s="18"/>
    </row>
    <row r="2779" spans="1:20" x14ac:dyDescent="0.2">
      <c r="A2779" s="17"/>
      <c r="B2779" s="17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  <c r="S2779" s="18"/>
      <c r="T2779" s="18"/>
    </row>
    <row r="2780" spans="1:20" x14ac:dyDescent="0.2">
      <c r="A2780" s="17"/>
      <c r="B2780" s="17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  <c r="S2780" s="18"/>
      <c r="T2780" s="18"/>
    </row>
    <row r="2781" spans="1:20" x14ac:dyDescent="0.2">
      <c r="A2781" s="17"/>
      <c r="B2781" s="17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  <c r="S2781" s="18"/>
      <c r="T2781" s="18"/>
    </row>
    <row r="2782" spans="1:20" x14ac:dyDescent="0.2">
      <c r="A2782" s="17"/>
      <c r="B2782" s="17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  <c r="S2782" s="18"/>
      <c r="T2782" s="18"/>
    </row>
    <row r="2783" spans="1:20" x14ac:dyDescent="0.2">
      <c r="A2783" s="17"/>
      <c r="B2783" s="17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  <c r="T2783" s="18"/>
    </row>
    <row r="2784" spans="1:20" x14ac:dyDescent="0.2">
      <c r="A2784" s="17"/>
      <c r="B2784" s="17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8"/>
      <c r="T2784" s="18"/>
    </row>
    <row r="2785" spans="1:20" x14ac:dyDescent="0.2">
      <c r="A2785" s="17"/>
      <c r="B2785" s="17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  <c r="S2785" s="18"/>
      <c r="T2785" s="18"/>
    </row>
    <row r="2786" spans="1:20" x14ac:dyDescent="0.2">
      <c r="A2786" s="17"/>
      <c r="B2786" s="17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  <c r="S2786" s="18"/>
      <c r="T2786" s="18"/>
    </row>
    <row r="2787" spans="1:20" x14ac:dyDescent="0.2">
      <c r="A2787" s="17"/>
      <c r="B2787" s="17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  <c r="T2787" s="18"/>
    </row>
    <row r="2788" spans="1:20" x14ac:dyDescent="0.2">
      <c r="A2788" s="17"/>
      <c r="B2788" s="17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  <c r="S2788" s="18"/>
      <c r="T2788" s="18"/>
    </row>
    <row r="2789" spans="1:20" x14ac:dyDescent="0.2">
      <c r="A2789" s="17"/>
      <c r="B2789" s="17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  <c r="S2789" s="18"/>
      <c r="T2789" s="18"/>
    </row>
    <row r="2790" spans="1:20" x14ac:dyDescent="0.2">
      <c r="A2790" s="17"/>
      <c r="B2790" s="17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  <c r="S2790" s="18"/>
      <c r="T2790" s="18"/>
    </row>
    <row r="2791" spans="1:20" x14ac:dyDescent="0.2">
      <c r="A2791" s="17"/>
      <c r="B2791" s="17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  <c r="T2791" s="18"/>
    </row>
    <row r="2792" spans="1:20" x14ac:dyDescent="0.2">
      <c r="A2792" s="17"/>
      <c r="B2792" s="17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  <c r="T2792" s="18"/>
    </row>
    <row r="2793" spans="1:20" x14ac:dyDescent="0.2">
      <c r="A2793" s="17"/>
      <c r="B2793" s="17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  <c r="S2793" s="18"/>
      <c r="T2793" s="18"/>
    </row>
    <row r="2794" spans="1:20" x14ac:dyDescent="0.2">
      <c r="A2794" s="17"/>
      <c r="B2794" s="17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  <c r="T2794" s="18"/>
    </row>
    <row r="2795" spans="1:20" x14ac:dyDescent="0.2">
      <c r="A2795" s="17"/>
      <c r="B2795" s="17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  <c r="T2795" s="18"/>
    </row>
    <row r="2796" spans="1:20" x14ac:dyDescent="0.2">
      <c r="A2796" s="17"/>
      <c r="B2796" s="17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  <c r="S2796" s="18"/>
      <c r="T2796" s="18"/>
    </row>
    <row r="2797" spans="1:20" x14ac:dyDescent="0.2">
      <c r="A2797" s="17"/>
      <c r="B2797" s="17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  <c r="S2797" s="18"/>
      <c r="T2797" s="18"/>
    </row>
    <row r="2798" spans="1:20" x14ac:dyDescent="0.2">
      <c r="A2798" s="17"/>
      <c r="B2798" s="17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  <c r="S2798" s="18"/>
      <c r="T2798" s="18"/>
    </row>
    <row r="2799" spans="1:20" x14ac:dyDescent="0.2">
      <c r="A2799" s="17"/>
      <c r="B2799" s="17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  <c r="S2799" s="18"/>
      <c r="T2799" s="18"/>
    </row>
    <row r="2800" spans="1:20" x14ac:dyDescent="0.2">
      <c r="A2800" s="17"/>
      <c r="B2800" s="17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  <c r="S2800" s="18"/>
      <c r="T2800" s="18"/>
    </row>
    <row r="2801" spans="1:20" x14ac:dyDescent="0.2">
      <c r="A2801" s="17"/>
      <c r="B2801" s="17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  <c r="S2801" s="18"/>
      <c r="T2801" s="18"/>
    </row>
    <row r="2802" spans="1:20" x14ac:dyDescent="0.2">
      <c r="A2802" s="17"/>
      <c r="B2802" s="17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  <c r="S2802" s="18"/>
      <c r="T2802" s="18"/>
    </row>
    <row r="2803" spans="1:20" x14ac:dyDescent="0.2">
      <c r="A2803" s="17"/>
      <c r="B2803" s="17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  <c r="S2803" s="18"/>
      <c r="T2803" s="18"/>
    </row>
    <row r="2804" spans="1:20" x14ac:dyDescent="0.2">
      <c r="A2804" s="17"/>
      <c r="B2804" s="17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  <c r="T2804" s="18"/>
    </row>
    <row r="2805" spans="1:20" x14ac:dyDescent="0.2">
      <c r="A2805" s="17"/>
      <c r="B2805" s="17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  <c r="S2805" s="18"/>
      <c r="T2805" s="18"/>
    </row>
    <row r="2806" spans="1:20" x14ac:dyDescent="0.2">
      <c r="A2806" s="17"/>
      <c r="B2806" s="17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  <c r="S2806" s="18"/>
      <c r="T2806" s="18"/>
    </row>
    <row r="2807" spans="1:20" x14ac:dyDescent="0.2">
      <c r="A2807" s="17"/>
      <c r="B2807" s="17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  <c r="S2807" s="18"/>
      <c r="T2807" s="18"/>
    </row>
    <row r="2808" spans="1:20" x14ac:dyDescent="0.2">
      <c r="A2808" s="17"/>
      <c r="B2808" s="17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  <c r="S2808" s="18"/>
      <c r="T2808" s="18"/>
    </row>
    <row r="2809" spans="1:20" x14ac:dyDescent="0.2">
      <c r="A2809" s="17"/>
      <c r="B2809" s="17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  <c r="T2809" s="18"/>
    </row>
    <row r="2810" spans="1:20" x14ac:dyDescent="0.2">
      <c r="A2810" s="17"/>
      <c r="B2810" s="17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  <c r="S2810" s="18"/>
      <c r="T2810" s="18"/>
    </row>
    <row r="2811" spans="1:20" x14ac:dyDescent="0.2">
      <c r="A2811" s="17"/>
      <c r="B2811" s="17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  <c r="S2811" s="18"/>
      <c r="T2811" s="18"/>
    </row>
    <row r="2812" spans="1:20" x14ac:dyDescent="0.2">
      <c r="A2812" s="17"/>
      <c r="B2812" s="17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  <c r="S2812" s="18"/>
      <c r="T2812" s="18"/>
    </row>
    <row r="2813" spans="1:20" x14ac:dyDescent="0.2">
      <c r="A2813" s="17"/>
      <c r="B2813" s="17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  <c r="S2813" s="18"/>
      <c r="T2813" s="18"/>
    </row>
    <row r="2814" spans="1:20" x14ac:dyDescent="0.2">
      <c r="A2814" s="17"/>
      <c r="B2814" s="17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  <c r="S2814" s="18"/>
      <c r="T2814" s="18"/>
    </row>
    <row r="2815" spans="1:20" x14ac:dyDescent="0.2">
      <c r="A2815" s="17"/>
      <c r="B2815" s="17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  <c r="S2815" s="18"/>
      <c r="T2815" s="18"/>
    </row>
    <row r="2816" spans="1:20" x14ac:dyDescent="0.2">
      <c r="A2816" s="17"/>
      <c r="B2816" s="17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  <c r="S2816" s="18"/>
      <c r="T2816" s="18"/>
    </row>
    <row r="2817" spans="1:20" x14ac:dyDescent="0.2">
      <c r="A2817" s="17"/>
      <c r="B2817" s="17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  <c r="S2817" s="18"/>
      <c r="T2817" s="18"/>
    </row>
    <row r="2818" spans="1:20" x14ac:dyDescent="0.2">
      <c r="A2818" s="17"/>
      <c r="B2818" s="17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  <c r="S2818" s="18"/>
      <c r="T2818" s="18"/>
    </row>
    <row r="2819" spans="1:20" x14ac:dyDescent="0.2">
      <c r="A2819" s="17"/>
      <c r="B2819" s="17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  <c r="S2819" s="18"/>
      <c r="T2819" s="18"/>
    </row>
    <row r="2820" spans="1:20" x14ac:dyDescent="0.2">
      <c r="A2820" s="17"/>
      <c r="B2820" s="17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  <c r="S2820" s="18"/>
      <c r="T2820" s="18"/>
    </row>
    <row r="2821" spans="1:20" x14ac:dyDescent="0.2">
      <c r="A2821" s="17"/>
      <c r="B2821" s="17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  <c r="S2821" s="18"/>
      <c r="T2821" s="18"/>
    </row>
    <row r="2822" spans="1:20" x14ac:dyDescent="0.2">
      <c r="A2822" s="17"/>
      <c r="B2822" s="17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  <c r="S2822" s="18"/>
      <c r="T2822" s="18"/>
    </row>
    <row r="2823" spans="1:20" x14ac:dyDescent="0.2">
      <c r="A2823" s="17"/>
      <c r="B2823" s="17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  <c r="T2823" s="18"/>
    </row>
    <row r="2824" spans="1:20" x14ac:dyDescent="0.2">
      <c r="A2824" s="17"/>
      <c r="B2824" s="17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  <c r="S2824" s="18"/>
      <c r="T2824" s="18"/>
    </row>
    <row r="2825" spans="1:20" x14ac:dyDescent="0.2">
      <c r="A2825" s="17"/>
      <c r="B2825" s="17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</row>
    <row r="2826" spans="1:20" x14ac:dyDescent="0.2">
      <c r="A2826" s="17"/>
      <c r="B2826" s="17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  <c r="S2826" s="18"/>
      <c r="T2826" s="18"/>
    </row>
    <row r="2827" spans="1:20" x14ac:dyDescent="0.2">
      <c r="A2827" s="17"/>
      <c r="B2827" s="17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  <c r="T2827" s="18"/>
    </row>
    <row r="2828" spans="1:20" x14ac:dyDescent="0.2">
      <c r="A2828" s="17"/>
      <c r="B2828" s="17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  <c r="S2828" s="18"/>
      <c r="T2828" s="18"/>
    </row>
    <row r="2829" spans="1:20" x14ac:dyDescent="0.2">
      <c r="A2829" s="17"/>
      <c r="B2829" s="17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  <c r="T2829" s="18"/>
    </row>
    <row r="2830" spans="1:20" x14ac:dyDescent="0.2">
      <c r="A2830" s="17"/>
      <c r="B2830" s="17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  <c r="T2830" s="18"/>
    </row>
    <row r="2831" spans="1:20" x14ac:dyDescent="0.2">
      <c r="A2831" s="17"/>
      <c r="B2831" s="17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  <c r="T2831" s="18"/>
    </row>
    <row r="2832" spans="1:20" x14ac:dyDescent="0.2">
      <c r="A2832" s="17"/>
      <c r="B2832" s="17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  <c r="S2832" s="18"/>
      <c r="T2832" s="18"/>
    </row>
    <row r="2833" spans="1:20" x14ac:dyDescent="0.2">
      <c r="A2833" s="17"/>
      <c r="B2833" s="17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  <c r="T2833" s="18"/>
    </row>
    <row r="2834" spans="1:20" x14ac:dyDescent="0.2">
      <c r="A2834" s="17"/>
      <c r="B2834" s="17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  <c r="S2834" s="18"/>
      <c r="T2834" s="18"/>
    </row>
    <row r="2835" spans="1:20" x14ac:dyDescent="0.2">
      <c r="A2835" s="17"/>
      <c r="B2835" s="17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  <c r="S2835" s="18"/>
      <c r="T2835" s="18"/>
    </row>
    <row r="2836" spans="1:20" x14ac:dyDescent="0.2">
      <c r="A2836" s="17"/>
      <c r="B2836" s="17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  <c r="S2836" s="18"/>
      <c r="T2836" s="18"/>
    </row>
    <row r="2837" spans="1:20" x14ac:dyDescent="0.2">
      <c r="A2837" s="17"/>
      <c r="B2837" s="17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  <c r="S2837" s="18"/>
      <c r="T2837" s="18"/>
    </row>
    <row r="2838" spans="1:20" x14ac:dyDescent="0.2">
      <c r="A2838" s="17"/>
      <c r="B2838" s="17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  <c r="S2838" s="18"/>
      <c r="T2838" s="18"/>
    </row>
    <row r="2839" spans="1:20" x14ac:dyDescent="0.2">
      <c r="A2839" s="17"/>
      <c r="B2839" s="17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  <c r="S2839" s="18"/>
      <c r="T2839" s="18"/>
    </row>
    <row r="2840" spans="1:20" x14ac:dyDescent="0.2">
      <c r="A2840" s="17"/>
      <c r="B2840" s="17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  <c r="S2840" s="18"/>
      <c r="T2840" s="18"/>
    </row>
    <row r="2841" spans="1:20" x14ac:dyDescent="0.2">
      <c r="A2841" s="17"/>
      <c r="B2841" s="17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  <c r="S2841" s="18"/>
      <c r="T2841" s="18"/>
    </row>
    <row r="2842" spans="1:20" x14ac:dyDescent="0.2">
      <c r="A2842" s="17"/>
      <c r="B2842" s="17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  <c r="T2842" s="18"/>
    </row>
    <row r="2843" spans="1:20" x14ac:dyDescent="0.2">
      <c r="A2843" s="17"/>
      <c r="B2843" s="17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  <c r="S2843" s="18"/>
      <c r="T2843" s="18"/>
    </row>
    <row r="2844" spans="1:20" x14ac:dyDescent="0.2">
      <c r="A2844" s="17"/>
      <c r="B2844" s="17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  <c r="S2844" s="18"/>
      <c r="T2844" s="18"/>
    </row>
    <row r="2845" spans="1:20" x14ac:dyDescent="0.2">
      <c r="A2845" s="17"/>
      <c r="B2845" s="17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  <c r="S2845" s="18"/>
      <c r="T2845" s="18"/>
    </row>
    <row r="2846" spans="1:20" x14ac:dyDescent="0.2">
      <c r="A2846" s="17"/>
      <c r="B2846" s="17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  <c r="S2846" s="18"/>
      <c r="T2846" s="18"/>
    </row>
    <row r="2847" spans="1:20" x14ac:dyDescent="0.2">
      <c r="A2847" s="17"/>
      <c r="B2847" s="17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  <c r="S2847" s="18"/>
      <c r="T2847" s="18"/>
    </row>
    <row r="2848" spans="1:20" x14ac:dyDescent="0.2">
      <c r="A2848" s="17"/>
      <c r="B2848" s="17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  <c r="S2848" s="18"/>
      <c r="T2848" s="18"/>
    </row>
    <row r="2849" spans="1:20" x14ac:dyDescent="0.2">
      <c r="A2849" s="17"/>
      <c r="B2849" s="17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  <c r="S2849" s="18"/>
      <c r="T2849" s="18"/>
    </row>
    <row r="2850" spans="1:20" x14ac:dyDescent="0.2">
      <c r="A2850" s="17"/>
      <c r="B2850" s="17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  <c r="S2850" s="18"/>
      <c r="T2850" s="18"/>
    </row>
    <row r="2851" spans="1:20" x14ac:dyDescent="0.2">
      <c r="A2851" s="17"/>
      <c r="B2851" s="17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  <c r="S2851" s="18"/>
      <c r="T2851" s="18"/>
    </row>
    <row r="2852" spans="1:20" x14ac:dyDescent="0.2">
      <c r="A2852" s="17"/>
      <c r="B2852" s="17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  <c r="S2852" s="18"/>
      <c r="T2852" s="18"/>
    </row>
    <row r="2853" spans="1:20" x14ac:dyDescent="0.2">
      <c r="A2853" s="17"/>
      <c r="B2853" s="17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  <c r="S2853" s="18"/>
      <c r="T2853" s="18"/>
    </row>
    <row r="2854" spans="1:20" x14ac:dyDescent="0.2">
      <c r="A2854" s="17"/>
      <c r="B2854" s="17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  <c r="S2854" s="18"/>
      <c r="T2854" s="18"/>
    </row>
    <row r="2855" spans="1:20" x14ac:dyDescent="0.2">
      <c r="A2855" s="17"/>
      <c r="B2855" s="17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  <c r="S2855" s="18"/>
      <c r="T2855" s="18"/>
    </row>
    <row r="2856" spans="1:20" x14ac:dyDescent="0.2">
      <c r="A2856" s="17"/>
      <c r="B2856" s="17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  <c r="S2856" s="18"/>
      <c r="T2856" s="18"/>
    </row>
    <row r="2857" spans="1:20" x14ac:dyDescent="0.2">
      <c r="A2857" s="17"/>
      <c r="B2857" s="17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  <c r="T2857" s="18"/>
    </row>
    <row r="2858" spans="1:20" x14ac:dyDescent="0.2">
      <c r="A2858" s="17"/>
      <c r="B2858" s="17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  <c r="S2858" s="18"/>
      <c r="T2858" s="18"/>
    </row>
    <row r="2859" spans="1:20" x14ac:dyDescent="0.2">
      <c r="A2859" s="17"/>
      <c r="B2859" s="17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  <c r="T2859" s="18"/>
    </row>
    <row r="2860" spans="1:20" x14ac:dyDescent="0.2">
      <c r="A2860" s="17"/>
      <c r="B2860" s="17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  <c r="T2860" s="18"/>
    </row>
    <row r="2861" spans="1:20" x14ac:dyDescent="0.2">
      <c r="A2861" s="17"/>
      <c r="B2861" s="17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  <c r="S2861" s="18"/>
      <c r="T2861" s="18"/>
    </row>
    <row r="2862" spans="1:20" x14ac:dyDescent="0.2">
      <c r="A2862" s="17"/>
      <c r="B2862" s="17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  <c r="S2862" s="18"/>
      <c r="T2862" s="18"/>
    </row>
    <row r="2863" spans="1:20" x14ac:dyDescent="0.2">
      <c r="A2863" s="17"/>
      <c r="B2863" s="17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</row>
    <row r="2864" spans="1:20" x14ac:dyDescent="0.2">
      <c r="A2864" s="17"/>
      <c r="B2864" s="17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  <c r="T2864" s="18"/>
    </row>
    <row r="2865" spans="1:20" x14ac:dyDescent="0.2">
      <c r="A2865" s="17"/>
      <c r="B2865" s="17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  <c r="T2865" s="18"/>
    </row>
    <row r="2866" spans="1:20" x14ac:dyDescent="0.2">
      <c r="A2866" s="17"/>
      <c r="B2866" s="17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  <c r="S2866" s="18"/>
      <c r="T2866" s="18"/>
    </row>
    <row r="2867" spans="1:20" x14ac:dyDescent="0.2">
      <c r="A2867" s="17"/>
      <c r="B2867" s="17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  <c r="T2867" s="18"/>
    </row>
    <row r="2868" spans="1:20" x14ac:dyDescent="0.2">
      <c r="A2868" s="17"/>
      <c r="B2868" s="17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  <c r="S2868" s="18"/>
      <c r="T2868" s="18"/>
    </row>
    <row r="2869" spans="1:20" x14ac:dyDescent="0.2">
      <c r="A2869" s="17"/>
      <c r="B2869" s="17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  <c r="S2869" s="18"/>
      <c r="T2869" s="18"/>
    </row>
    <row r="2870" spans="1:20" x14ac:dyDescent="0.2">
      <c r="A2870" s="17"/>
      <c r="B2870" s="17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  <c r="S2870" s="18"/>
      <c r="T2870" s="18"/>
    </row>
    <row r="2871" spans="1:20" x14ac:dyDescent="0.2">
      <c r="A2871" s="17"/>
      <c r="B2871" s="17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  <c r="S2871" s="18"/>
      <c r="T2871" s="18"/>
    </row>
    <row r="2872" spans="1:20" x14ac:dyDescent="0.2">
      <c r="A2872" s="17"/>
      <c r="B2872" s="17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  <c r="S2872" s="18"/>
      <c r="T2872" s="18"/>
    </row>
    <row r="2873" spans="1:20" x14ac:dyDescent="0.2">
      <c r="A2873" s="17"/>
      <c r="B2873" s="17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  <c r="S2873" s="18"/>
      <c r="T2873" s="18"/>
    </row>
    <row r="2874" spans="1:20" x14ac:dyDescent="0.2">
      <c r="A2874" s="17"/>
      <c r="B2874" s="17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  <c r="S2874" s="18"/>
      <c r="T2874" s="18"/>
    </row>
    <row r="2875" spans="1:20" x14ac:dyDescent="0.2">
      <c r="A2875" s="17"/>
      <c r="B2875" s="17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  <c r="T2875" s="18"/>
    </row>
    <row r="2876" spans="1:20" x14ac:dyDescent="0.2">
      <c r="A2876" s="17"/>
      <c r="B2876" s="17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  <c r="S2876" s="18"/>
      <c r="T2876" s="18"/>
    </row>
    <row r="2877" spans="1:20" x14ac:dyDescent="0.2">
      <c r="A2877" s="17"/>
      <c r="B2877" s="17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  <c r="T2877" s="18"/>
    </row>
    <row r="2878" spans="1:20" x14ac:dyDescent="0.2">
      <c r="A2878" s="17"/>
      <c r="B2878" s="17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  <c r="S2878" s="18"/>
      <c r="T2878" s="18"/>
    </row>
    <row r="2879" spans="1:20" x14ac:dyDescent="0.2">
      <c r="A2879" s="17"/>
      <c r="B2879" s="17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  <c r="T2879" s="18"/>
    </row>
    <row r="2880" spans="1:20" x14ac:dyDescent="0.2">
      <c r="A2880" s="17"/>
      <c r="B2880" s="17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  <c r="T2880" s="18"/>
    </row>
    <row r="2881" spans="1:20" x14ac:dyDescent="0.2">
      <c r="A2881" s="17"/>
      <c r="B2881" s="17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  <c r="T2881" s="18"/>
    </row>
    <row r="2882" spans="1:20" x14ac:dyDescent="0.2">
      <c r="A2882" s="17"/>
      <c r="B2882" s="17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  <c r="T2882" s="18"/>
    </row>
    <row r="2883" spans="1:20" x14ac:dyDescent="0.2">
      <c r="A2883" s="17"/>
      <c r="B2883" s="17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  <c r="T2883" s="18"/>
    </row>
    <row r="2884" spans="1:20" x14ac:dyDescent="0.2">
      <c r="A2884" s="17"/>
      <c r="B2884" s="17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8"/>
      <c r="T2884" s="18"/>
    </row>
    <row r="2885" spans="1:20" x14ac:dyDescent="0.2">
      <c r="A2885" s="17"/>
      <c r="B2885" s="17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  <c r="T2885" s="18"/>
    </row>
    <row r="2886" spans="1:20" x14ac:dyDescent="0.2">
      <c r="A2886" s="17"/>
      <c r="B2886" s="17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  <c r="S2886" s="18"/>
      <c r="T2886" s="18"/>
    </row>
    <row r="2887" spans="1:20" x14ac:dyDescent="0.2">
      <c r="A2887" s="17"/>
      <c r="B2887" s="17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  <c r="S2887" s="18"/>
      <c r="T2887" s="18"/>
    </row>
    <row r="2888" spans="1:20" x14ac:dyDescent="0.2">
      <c r="A2888" s="17"/>
      <c r="B2888" s="17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  <c r="S2888" s="18"/>
      <c r="T2888" s="18"/>
    </row>
    <row r="2889" spans="1:20" x14ac:dyDescent="0.2">
      <c r="A2889" s="17"/>
      <c r="B2889" s="17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  <c r="S2889" s="18"/>
      <c r="T2889" s="18"/>
    </row>
    <row r="2890" spans="1:20" x14ac:dyDescent="0.2">
      <c r="A2890" s="17"/>
      <c r="B2890" s="17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  <c r="S2890" s="18"/>
      <c r="T2890" s="18"/>
    </row>
    <row r="2891" spans="1:20" x14ac:dyDescent="0.2">
      <c r="A2891" s="17"/>
      <c r="B2891" s="17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  <c r="T2891" s="18"/>
    </row>
    <row r="2892" spans="1:20" x14ac:dyDescent="0.2">
      <c r="A2892" s="17"/>
      <c r="B2892" s="17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  <c r="T2892" s="18"/>
    </row>
    <row r="2893" spans="1:20" x14ac:dyDescent="0.2">
      <c r="A2893" s="17"/>
      <c r="B2893" s="17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  <c r="T2893" s="18"/>
    </row>
    <row r="2894" spans="1:20" x14ac:dyDescent="0.2">
      <c r="A2894" s="17"/>
      <c r="B2894" s="17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  <c r="T2894" s="18"/>
    </row>
    <row r="2895" spans="1:20" x14ac:dyDescent="0.2">
      <c r="A2895" s="17"/>
      <c r="B2895" s="17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  <c r="S2895" s="18"/>
      <c r="T2895" s="18"/>
    </row>
    <row r="2896" spans="1:20" x14ac:dyDescent="0.2">
      <c r="A2896" s="17"/>
      <c r="B2896" s="17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  <c r="S2896" s="18"/>
      <c r="T2896" s="18"/>
    </row>
    <row r="2897" spans="1:20" x14ac:dyDescent="0.2">
      <c r="A2897" s="17"/>
      <c r="B2897" s="17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  <c r="T2897" s="18"/>
    </row>
    <row r="2898" spans="1:20" x14ac:dyDescent="0.2">
      <c r="A2898" s="17"/>
      <c r="B2898" s="17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  <c r="S2898" s="18"/>
      <c r="T2898" s="18"/>
    </row>
    <row r="2899" spans="1:20" x14ac:dyDescent="0.2">
      <c r="A2899" s="17"/>
      <c r="B2899" s="17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  <c r="S2899" s="18"/>
      <c r="T2899" s="18"/>
    </row>
    <row r="2900" spans="1:20" x14ac:dyDescent="0.2">
      <c r="A2900" s="17"/>
      <c r="B2900" s="17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  <c r="S2900" s="18"/>
      <c r="T2900" s="18"/>
    </row>
    <row r="2901" spans="1:20" x14ac:dyDescent="0.2">
      <c r="A2901" s="17"/>
      <c r="B2901" s="17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  <c r="S2901" s="18"/>
      <c r="T2901" s="18"/>
    </row>
    <row r="2902" spans="1:20" x14ac:dyDescent="0.2">
      <c r="A2902" s="17"/>
      <c r="B2902" s="17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  <c r="S2902" s="18"/>
      <c r="T2902" s="18"/>
    </row>
    <row r="2903" spans="1:20" x14ac:dyDescent="0.2">
      <c r="A2903" s="17"/>
      <c r="B2903" s="17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  <c r="S2903" s="18"/>
      <c r="T2903" s="18"/>
    </row>
    <row r="2904" spans="1:20" x14ac:dyDescent="0.2">
      <c r="A2904" s="17"/>
      <c r="B2904" s="17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  <c r="S2904" s="18"/>
      <c r="T2904" s="18"/>
    </row>
    <row r="2905" spans="1:20" x14ac:dyDescent="0.2">
      <c r="A2905" s="17"/>
      <c r="B2905" s="17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  <c r="S2905" s="18"/>
      <c r="T2905" s="18"/>
    </row>
    <row r="2906" spans="1:20" x14ac:dyDescent="0.2">
      <c r="A2906" s="17"/>
      <c r="B2906" s="17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  <c r="S2906" s="18"/>
      <c r="T2906" s="18"/>
    </row>
    <row r="2907" spans="1:20" x14ac:dyDescent="0.2">
      <c r="A2907" s="17"/>
      <c r="B2907" s="17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  <c r="T2907" s="18"/>
    </row>
    <row r="2908" spans="1:20" x14ac:dyDescent="0.2">
      <c r="A2908" s="17"/>
      <c r="B2908" s="17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  <c r="S2908" s="18"/>
      <c r="T2908" s="18"/>
    </row>
    <row r="2909" spans="1:20" x14ac:dyDescent="0.2">
      <c r="A2909" s="17"/>
      <c r="B2909" s="17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  <c r="S2909" s="18"/>
      <c r="T2909" s="18"/>
    </row>
    <row r="2910" spans="1:20" x14ac:dyDescent="0.2">
      <c r="A2910" s="17"/>
      <c r="B2910" s="17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  <c r="S2910" s="18"/>
      <c r="T2910" s="18"/>
    </row>
    <row r="2911" spans="1:20" x14ac:dyDescent="0.2">
      <c r="A2911" s="17"/>
      <c r="B2911" s="17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  <c r="S2911" s="18"/>
      <c r="T2911" s="18"/>
    </row>
    <row r="2912" spans="1:20" x14ac:dyDescent="0.2">
      <c r="A2912" s="17"/>
      <c r="B2912" s="17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  <c r="S2912" s="18"/>
      <c r="T2912" s="18"/>
    </row>
    <row r="2913" spans="1:20" x14ac:dyDescent="0.2">
      <c r="A2913" s="17"/>
      <c r="B2913" s="17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  <c r="S2913" s="18"/>
      <c r="T2913" s="18"/>
    </row>
    <row r="2914" spans="1:20" x14ac:dyDescent="0.2">
      <c r="A2914" s="17"/>
      <c r="B2914" s="17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  <c r="S2914" s="18"/>
      <c r="T2914" s="18"/>
    </row>
    <row r="2915" spans="1:20" x14ac:dyDescent="0.2">
      <c r="A2915" s="17"/>
      <c r="B2915" s="17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  <c r="S2915" s="18"/>
      <c r="T2915" s="18"/>
    </row>
    <row r="2916" spans="1:20" x14ac:dyDescent="0.2">
      <c r="A2916" s="17"/>
      <c r="B2916" s="17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  <c r="T2916" s="18"/>
    </row>
    <row r="2917" spans="1:20" x14ac:dyDescent="0.2">
      <c r="A2917" s="17"/>
      <c r="B2917" s="17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  <c r="S2917" s="18"/>
      <c r="T2917" s="18"/>
    </row>
    <row r="2918" spans="1:20" x14ac:dyDescent="0.2">
      <c r="A2918" s="17"/>
      <c r="B2918" s="17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  <c r="S2918" s="18"/>
      <c r="T2918" s="18"/>
    </row>
    <row r="2919" spans="1:20" x14ac:dyDescent="0.2">
      <c r="A2919" s="17"/>
      <c r="B2919" s="17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  <c r="S2919" s="18"/>
      <c r="T2919" s="18"/>
    </row>
    <row r="2920" spans="1:20" x14ac:dyDescent="0.2">
      <c r="A2920" s="17"/>
      <c r="B2920" s="17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  <c r="S2920" s="18"/>
      <c r="T2920" s="18"/>
    </row>
    <row r="2921" spans="1:20" x14ac:dyDescent="0.2">
      <c r="A2921" s="17"/>
      <c r="B2921" s="17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  <c r="S2921" s="18"/>
      <c r="T2921" s="18"/>
    </row>
    <row r="2922" spans="1:20" x14ac:dyDescent="0.2">
      <c r="A2922" s="17"/>
      <c r="B2922" s="17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  <c r="S2922" s="18"/>
      <c r="T2922" s="18"/>
    </row>
    <row r="2923" spans="1:20" x14ac:dyDescent="0.2">
      <c r="A2923" s="17"/>
      <c r="B2923" s="17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  <c r="S2923" s="18"/>
      <c r="T2923" s="18"/>
    </row>
    <row r="2924" spans="1:20" x14ac:dyDescent="0.2">
      <c r="A2924" s="17"/>
      <c r="B2924" s="17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  <c r="S2924" s="18"/>
      <c r="T2924" s="18"/>
    </row>
    <row r="2925" spans="1:20" x14ac:dyDescent="0.2">
      <c r="A2925" s="17"/>
      <c r="B2925" s="17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  <c r="S2925" s="18"/>
      <c r="T2925" s="18"/>
    </row>
    <row r="2926" spans="1:20" x14ac:dyDescent="0.2">
      <c r="A2926" s="17"/>
      <c r="B2926" s="17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  <c r="S2926" s="18"/>
      <c r="T2926" s="18"/>
    </row>
    <row r="2927" spans="1:20" x14ac:dyDescent="0.2">
      <c r="A2927" s="17"/>
      <c r="B2927" s="17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  <c r="S2927" s="18"/>
      <c r="T2927" s="18"/>
    </row>
    <row r="2928" spans="1:20" x14ac:dyDescent="0.2">
      <c r="A2928" s="17"/>
      <c r="B2928" s="17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  <c r="S2928" s="18"/>
      <c r="T2928" s="18"/>
    </row>
    <row r="2929" spans="1:20" x14ac:dyDescent="0.2">
      <c r="A2929" s="17"/>
      <c r="B2929" s="17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  <c r="S2929" s="18"/>
      <c r="T2929" s="18"/>
    </row>
    <row r="2930" spans="1:20" x14ac:dyDescent="0.2">
      <c r="A2930" s="17"/>
      <c r="B2930" s="17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  <c r="S2930" s="18"/>
      <c r="T2930" s="18"/>
    </row>
    <row r="2931" spans="1:20" x14ac:dyDescent="0.2">
      <c r="A2931" s="17"/>
      <c r="B2931" s="17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</row>
    <row r="2932" spans="1:20" x14ac:dyDescent="0.2">
      <c r="A2932" s="17"/>
      <c r="B2932" s="17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  <c r="S2932" s="18"/>
      <c r="T2932" s="18"/>
    </row>
    <row r="2933" spans="1:20" x14ac:dyDescent="0.2">
      <c r="A2933" s="17"/>
      <c r="B2933" s="17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  <c r="T2933" s="18"/>
    </row>
    <row r="2934" spans="1:20" x14ac:dyDescent="0.2">
      <c r="A2934" s="17"/>
      <c r="B2934" s="17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8"/>
      <c r="T2934" s="18"/>
    </row>
    <row r="2935" spans="1:20" x14ac:dyDescent="0.2">
      <c r="A2935" s="17"/>
      <c r="B2935" s="17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  <c r="T2935" s="18"/>
    </row>
    <row r="2936" spans="1:20" x14ac:dyDescent="0.2">
      <c r="A2936" s="17"/>
      <c r="B2936" s="17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  <c r="S2936" s="18"/>
      <c r="T2936" s="18"/>
    </row>
    <row r="2937" spans="1:20" x14ac:dyDescent="0.2">
      <c r="A2937" s="17"/>
      <c r="B2937" s="17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  <c r="T2937" s="18"/>
    </row>
    <row r="2938" spans="1:20" x14ac:dyDescent="0.2">
      <c r="A2938" s="17"/>
      <c r="B2938" s="17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  <c r="S2938" s="18"/>
      <c r="T2938" s="18"/>
    </row>
    <row r="2939" spans="1:20" x14ac:dyDescent="0.2">
      <c r="A2939" s="17"/>
      <c r="B2939" s="17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  <c r="S2939" s="18"/>
      <c r="T2939" s="18"/>
    </row>
    <row r="2940" spans="1:20" x14ac:dyDescent="0.2">
      <c r="A2940" s="17"/>
      <c r="B2940" s="17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  <c r="S2940" s="18"/>
      <c r="T2940" s="18"/>
    </row>
    <row r="2941" spans="1:20" x14ac:dyDescent="0.2">
      <c r="A2941" s="17"/>
      <c r="B2941" s="17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  <c r="T2941" s="18"/>
    </row>
    <row r="2942" spans="1:20" x14ac:dyDescent="0.2">
      <c r="A2942" s="17"/>
      <c r="B2942" s="17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  <c r="S2942" s="18"/>
      <c r="T2942" s="18"/>
    </row>
    <row r="2943" spans="1:20" x14ac:dyDescent="0.2">
      <c r="A2943" s="17"/>
      <c r="B2943" s="17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  <c r="S2943" s="18"/>
      <c r="T2943" s="18"/>
    </row>
    <row r="2944" spans="1:20" x14ac:dyDescent="0.2">
      <c r="A2944" s="17"/>
      <c r="B2944" s="17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  <c r="S2944" s="18"/>
      <c r="T2944" s="18"/>
    </row>
    <row r="2945" spans="1:20" x14ac:dyDescent="0.2">
      <c r="A2945" s="17"/>
      <c r="B2945" s="17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  <c r="S2945" s="18"/>
      <c r="T2945" s="18"/>
    </row>
    <row r="2946" spans="1:20" x14ac:dyDescent="0.2">
      <c r="A2946" s="17"/>
      <c r="B2946" s="17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  <c r="S2946" s="18"/>
      <c r="T2946" s="18"/>
    </row>
    <row r="2947" spans="1:20" x14ac:dyDescent="0.2">
      <c r="A2947" s="17"/>
      <c r="B2947" s="17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  <c r="S2947" s="18"/>
      <c r="T2947" s="18"/>
    </row>
    <row r="2948" spans="1:20" x14ac:dyDescent="0.2">
      <c r="A2948" s="17"/>
      <c r="B2948" s="17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  <c r="S2948" s="18"/>
      <c r="T2948" s="18"/>
    </row>
    <row r="2949" spans="1:20" x14ac:dyDescent="0.2">
      <c r="A2949" s="17"/>
      <c r="B2949" s="17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  <c r="S2949" s="18"/>
      <c r="T2949" s="18"/>
    </row>
    <row r="2950" spans="1:20" x14ac:dyDescent="0.2">
      <c r="A2950" s="17"/>
      <c r="B2950" s="17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  <c r="S2950" s="18"/>
      <c r="T2950" s="18"/>
    </row>
    <row r="2951" spans="1:20" x14ac:dyDescent="0.2">
      <c r="A2951" s="17"/>
      <c r="B2951" s="17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  <c r="T2951" s="18"/>
    </row>
    <row r="2952" spans="1:20" x14ac:dyDescent="0.2">
      <c r="A2952" s="17"/>
      <c r="B2952" s="17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  <c r="S2952" s="18"/>
      <c r="T2952" s="18"/>
    </row>
    <row r="2953" spans="1:20" x14ac:dyDescent="0.2">
      <c r="A2953" s="17"/>
      <c r="B2953" s="17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  <c r="S2953" s="18"/>
      <c r="T2953" s="18"/>
    </row>
    <row r="2954" spans="1:20" x14ac:dyDescent="0.2">
      <c r="A2954" s="17"/>
      <c r="B2954" s="17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  <c r="T2954" s="18"/>
    </row>
    <row r="2955" spans="1:20" x14ac:dyDescent="0.2">
      <c r="A2955" s="17"/>
      <c r="B2955" s="17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  <c r="S2955" s="18"/>
      <c r="T2955" s="18"/>
    </row>
    <row r="2956" spans="1:20" x14ac:dyDescent="0.2">
      <c r="A2956" s="17"/>
      <c r="B2956" s="17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  <c r="T2956" s="18"/>
    </row>
    <row r="2957" spans="1:20" x14ac:dyDescent="0.2">
      <c r="A2957" s="17"/>
      <c r="B2957" s="17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  <c r="S2957" s="18"/>
      <c r="T2957" s="18"/>
    </row>
    <row r="2958" spans="1:20" x14ac:dyDescent="0.2">
      <c r="A2958" s="17"/>
      <c r="B2958" s="17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  <c r="T2958" s="18"/>
    </row>
    <row r="2959" spans="1:20" x14ac:dyDescent="0.2">
      <c r="A2959" s="17"/>
      <c r="B2959" s="17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  <c r="S2959" s="18"/>
      <c r="T2959" s="18"/>
    </row>
    <row r="2960" spans="1:20" x14ac:dyDescent="0.2">
      <c r="A2960" s="17"/>
      <c r="B2960" s="17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  <c r="S2960" s="18"/>
      <c r="T2960" s="18"/>
    </row>
    <row r="2961" spans="1:20" x14ac:dyDescent="0.2">
      <c r="A2961" s="17"/>
      <c r="B2961" s="17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  <c r="S2961" s="18"/>
      <c r="T2961" s="18"/>
    </row>
    <row r="2962" spans="1:20" x14ac:dyDescent="0.2">
      <c r="A2962" s="17"/>
      <c r="B2962" s="17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  <c r="S2962" s="18"/>
      <c r="T2962" s="18"/>
    </row>
    <row r="2963" spans="1:20" x14ac:dyDescent="0.2">
      <c r="A2963" s="17"/>
      <c r="B2963" s="17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  <c r="S2963" s="18"/>
      <c r="T2963" s="18"/>
    </row>
    <row r="2964" spans="1:20" x14ac:dyDescent="0.2">
      <c r="A2964" s="17"/>
      <c r="B2964" s="17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  <c r="S2964" s="18"/>
      <c r="T2964" s="18"/>
    </row>
    <row r="2965" spans="1:20" x14ac:dyDescent="0.2">
      <c r="A2965" s="17"/>
      <c r="B2965" s="17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  <c r="S2965" s="18"/>
      <c r="T2965" s="18"/>
    </row>
    <row r="2966" spans="1:20" x14ac:dyDescent="0.2">
      <c r="A2966" s="17"/>
      <c r="B2966" s="17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  <c r="S2966" s="18"/>
      <c r="T2966" s="18"/>
    </row>
    <row r="2967" spans="1:20" x14ac:dyDescent="0.2">
      <c r="A2967" s="17"/>
      <c r="B2967" s="17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  <c r="T2967" s="18"/>
    </row>
    <row r="2968" spans="1:20" x14ac:dyDescent="0.2">
      <c r="A2968" s="17"/>
      <c r="B2968" s="17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  <c r="S2968" s="18"/>
      <c r="T2968" s="18"/>
    </row>
    <row r="2969" spans="1:20" x14ac:dyDescent="0.2">
      <c r="A2969" s="17"/>
      <c r="B2969" s="17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  <c r="S2969" s="18"/>
      <c r="T2969" s="18"/>
    </row>
    <row r="2970" spans="1:20" x14ac:dyDescent="0.2">
      <c r="A2970" s="17"/>
      <c r="B2970" s="17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  <c r="S2970" s="18"/>
      <c r="T2970" s="18"/>
    </row>
    <row r="2971" spans="1:20" x14ac:dyDescent="0.2">
      <c r="A2971" s="17"/>
      <c r="B2971" s="17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  <c r="S2971" s="18"/>
      <c r="T2971" s="18"/>
    </row>
    <row r="2972" spans="1:20" x14ac:dyDescent="0.2">
      <c r="A2972" s="17"/>
      <c r="B2972" s="17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  <c r="S2972" s="18"/>
      <c r="T2972" s="18"/>
    </row>
    <row r="2973" spans="1:20" x14ac:dyDescent="0.2">
      <c r="A2973" s="17"/>
      <c r="B2973" s="17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  <c r="S2973" s="18"/>
      <c r="T2973" s="18"/>
    </row>
    <row r="2974" spans="1:20" x14ac:dyDescent="0.2">
      <c r="A2974" s="17"/>
      <c r="B2974" s="17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  <c r="S2974" s="18"/>
      <c r="T2974" s="18"/>
    </row>
    <row r="2975" spans="1:20" x14ac:dyDescent="0.2">
      <c r="A2975" s="17"/>
      <c r="B2975" s="17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  <c r="S2975" s="18"/>
      <c r="T2975" s="18"/>
    </row>
    <row r="2976" spans="1:20" x14ac:dyDescent="0.2">
      <c r="A2976" s="17"/>
      <c r="B2976" s="17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  <c r="S2976" s="18"/>
      <c r="T2976" s="18"/>
    </row>
    <row r="2977" spans="1:20" x14ac:dyDescent="0.2">
      <c r="A2977" s="17"/>
      <c r="B2977" s="17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  <c r="S2977" s="18"/>
      <c r="T2977" s="18"/>
    </row>
    <row r="2978" spans="1:20" x14ac:dyDescent="0.2">
      <c r="A2978" s="17"/>
      <c r="B2978" s="17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  <c r="S2978" s="18"/>
      <c r="T2978" s="18"/>
    </row>
    <row r="2979" spans="1:20" x14ac:dyDescent="0.2">
      <c r="A2979" s="17"/>
      <c r="B2979" s="17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  <c r="T2979" s="18"/>
    </row>
    <row r="2980" spans="1:20" x14ac:dyDescent="0.2">
      <c r="A2980" s="17"/>
      <c r="B2980" s="17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  <c r="S2980" s="18"/>
      <c r="T2980" s="18"/>
    </row>
    <row r="2981" spans="1:20" x14ac:dyDescent="0.2">
      <c r="A2981" s="17"/>
      <c r="B2981" s="17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  <c r="S2981" s="18"/>
      <c r="T2981" s="18"/>
    </row>
    <row r="2982" spans="1:20" x14ac:dyDescent="0.2">
      <c r="A2982" s="17"/>
      <c r="B2982" s="17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  <c r="S2982" s="18"/>
      <c r="T2982" s="18"/>
    </row>
    <row r="2983" spans="1:20" x14ac:dyDescent="0.2">
      <c r="A2983" s="17"/>
      <c r="B2983" s="17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  <c r="S2983" s="18"/>
      <c r="T2983" s="18"/>
    </row>
    <row r="2984" spans="1:20" x14ac:dyDescent="0.2">
      <c r="A2984" s="17"/>
      <c r="B2984" s="17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  <c r="S2984" s="18"/>
      <c r="T2984" s="18"/>
    </row>
    <row r="2985" spans="1:20" x14ac:dyDescent="0.2">
      <c r="A2985" s="17"/>
      <c r="B2985" s="17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  <c r="S2985" s="18"/>
      <c r="T2985" s="18"/>
    </row>
    <row r="2986" spans="1:20" x14ac:dyDescent="0.2">
      <c r="A2986" s="17"/>
      <c r="B2986" s="17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  <c r="S2986" s="18"/>
      <c r="T2986" s="18"/>
    </row>
    <row r="2987" spans="1:20" x14ac:dyDescent="0.2">
      <c r="A2987" s="17"/>
      <c r="B2987" s="17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  <c r="S2987" s="18"/>
      <c r="T2987" s="18"/>
    </row>
    <row r="2988" spans="1:20" x14ac:dyDescent="0.2">
      <c r="A2988" s="17"/>
      <c r="B2988" s="17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  <c r="S2988" s="18"/>
      <c r="T2988" s="18"/>
    </row>
    <row r="2989" spans="1:20" x14ac:dyDescent="0.2">
      <c r="A2989" s="17"/>
      <c r="B2989" s="17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  <c r="T2989" s="18"/>
    </row>
    <row r="2990" spans="1:20" x14ac:dyDescent="0.2">
      <c r="A2990" s="17"/>
      <c r="B2990" s="17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  <c r="S2990" s="18"/>
      <c r="T2990" s="18"/>
    </row>
    <row r="2991" spans="1:20" x14ac:dyDescent="0.2">
      <c r="A2991" s="17"/>
      <c r="B2991" s="17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  <c r="T2991" s="18"/>
    </row>
    <row r="2992" spans="1:20" x14ac:dyDescent="0.2">
      <c r="A2992" s="17"/>
      <c r="B2992" s="17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  <c r="S2992" s="18"/>
      <c r="T2992" s="18"/>
    </row>
    <row r="2993" spans="1:20" x14ac:dyDescent="0.2">
      <c r="A2993" s="17"/>
      <c r="B2993" s="17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  <c r="T2993" s="18"/>
    </row>
    <row r="2994" spans="1:20" x14ac:dyDescent="0.2">
      <c r="A2994" s="17"/>
      <c r="B2994" s="17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  <c r="S2994" s="18"/>
      <c r="T2994" s="18"/>
    </row>
    <row r="2995" spans="1:20" x14ac:dyDescent="0.2">
      <c r="A2995" s="17"/>
      <c r="B2995" s="17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  <c r="T2995" s="18"/>
    </row>
    <row r="2996" spans="1:20" x14ac:dyDescent="0.2">
      <c r="A2996" s="17"/>
      <c r="B2996" s="17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  <c r="S2996" s="18"/>
      <c r="T2996" s="18"/>
    </row>
    <row r="2997" spans="1:20" x14ac:dyDescent="0.2">
      <c r="A2997" s="17"/>
      <c r="B2997" s="17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  <c r="T2997" s="18"/>
    </row>
    <row r="2998" spans="1:20" x14ac:dyDescent="0.2">
      <c r="A2998" s="17"/>
      <c r="B2998" s="17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  <c r="S2998" s="18"/>
      <c r="T2998" s="18"/>
    </row>
    <row r="2999" spans="1:20" x14ac:dyDescent="0.2">
      <c r="A2999" s="17"/>
      <c r="B2999" s="17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  <c r="S2999" s="18"/>
      <c r="T2999" s="18"/>
    </row>
    <row r="3000" spans="1:20" x14ac:dyDescent="0.2">
      <c r="A3000" s="17"/>
      <c r="B3000" s="17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  <c r="S3000" s="18"/>
      <c r="T3000" s="18"/>
    </row>
    <row r="3001" spans="1:20" x14ac:dyDescent="0.2">
      <c r="A3001" s="17"/>
      <c r="B3001" s="17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  <c r="S3001" s="18"/>
      <c r="T3001" s="18"/>
    </row>
    <row r="3002" spans="1:20" x14ac:dyDescent="0.2">
      <c r="A3002" s="17"/>
      <c r="B3002" s="17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  <c r="S3002" s="18"/>
      <c r="T3002" s="18"/>
    </row>
    <row r="3003" spans="1:20" x14ac:dyDescent="0.2">
      <c r="A3003" s="17"/>
      <c r="B3003" s="17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  <c r="S3003" s="18"/>
      <c r="T3003" s="18"/>
    </row>
    <row r="3004" spans="1:20" x14ac:dyDescent="0.2">
      <c r="A3004" s="17"/>
      <c r="B3004" s="17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  <c r="S3004" s="18"/>
      <c r="T3004" s="18"/>
    </row>
    <row r="3005" spans="1:20" x14ac:dyDescent="0.2">
      <c r="A3005" s="17"/>
      <c r="B3005" s="17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  <c r="T3005" s="18"/>
    </row>
    <row r="3006" spans="1:20" x14ac:dyDescent="0.2">
      <c r="A3006" s="17"/>
      <c r="B3006" s="17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  <c r="S3006" s="18"/>
      <c r="T3006" s="18"/>
    </row>
    <row r="3007" spans="1:20" x14ac:dyDescent="0.2">
      <c r="A3007" s="17"/>
      <c r="B3007" s="17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  <c r="T3007" s="18"/>
    </row>
    <row r="3008" spans="1:20" x14ac:dyDescent="0.2">
      <c r="A3008" s="17"/>
      <c r="B3008" s="17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  <c r="T3008" s="18"/>
    </row>
    <row r="3009" spans="1:20" x14ac:dyDescent="0.2">
      <c r="A3009" s="17"/>
      <c r="B3009" s="17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  <c r="T3009" s="18"/>
    </row>
    <row r="3010" spans="1:20" x14ac:dyDescent="0.2">
      <c r="A3010" s="17"/>
      <c r="B3010" s="17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  <c r="S3010" s="18"/>
      <c r="T3010" s="18"/>
    </row>
    <row r="3011" spans="1:20" x14ac:dyDescent="0.2">
      <c r="A3011" s="17"/>
      <c r="B3011" s="17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  <c r="S3011" s="18"/>
      <c r="T3011" s="18"/>
    </row>
    <row r="3012" spans="1:20" x14ac:dyDescent="0.2">
      <c r="A3012" s="17"/>
      <c r="B3012" s="17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  <c r="S3012" s="18"/>
      <c r="T3012" s="18"/>
    </row>
    <row r="3013" spans="1:20" x14ac:dyDescent="0.2">
      <c r="A3013" s="17"/>
      <c r="B3013" s="17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  <c r="T3013" s="18"/>
    </row>
    <row r="3014" spans="1:20" x14ac:dyDescent="0.2">
      <c r="A3014" s="17"/>
      <c r="B3014" s="17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  <c r="S3014" s="18"/>
      <c r="T3014" s="18"/>
    </row>
    <row r="3015" spans="1:20" x14ac:dyDescent="0.2">
      <c r="A3015" s="17"/>
      <c r="B3015" s="17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  <c r="S3015" s="18"/>
      <c r="T3015" s="18"/>
    </row>
    <row r="3016" spans="1:20" x14ac:dyDescent="0.2">
      <c r="A3016" s="17"/>
      <c r="B3016" s="17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  <c r="S3016" s="18"/>
      <c r="T3016" s="18"/>
    </row>
    <row r="3017" spans="1:20" x14ac:dyDescent="0.2">
      <c r="A3017" s="17"/>
      <c r="B3017" s="17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  <c r="S3017" s="18"/>
      <c r="T3017" s="18"/>
    </row>
    <row r="3018" spans="1:20" x14ac:dyDescent="0.2">
      <c r="A3018" s="17"/>
      <c r="B3018" s="17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  <c r="S3018" s="18"/>
      <c r="T3018" s="18"/>
    </row>
    <row r="3019" spans="1:20" x14ac:dyDescent="0.2">
      <c r="A3019" s="17"/>
      <c r="B3019" s="17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  <c r="T3019" s="18"/>
    </row>
    <row r="3020" spans="1:20" x14ac:dyDescent="0.2">
      <c r="A3020" s="17"/>
      <c r="B3020" s="17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  <c r="S3020" s="18"/>
      <c r="T3020" s="18"/>
    </row>
    <row r="3021" spans="1:20" x14ac:dyDescent="0.2">
      <c r="A3021" s="17"/>
      <c r="B3021" s="17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  <c r="S3021" s="18"/>
      <c r="T3021" s="18"/>
    </row>
    <row r="3022" spans="1:20" x14ac:dyDescent="0.2">
      <c r="A3022" s="17"/>
      <c r="B3022" s="17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  <c r="S3022" s="18"/>
      <c r="T3022" s="18"/>
    </row>
    <row r="3023" spans="1:20" x14ac:dyDescent="0.2">
      <c r="A3023" s="17"/>
      <c r="B3023" s="17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  <c r="S3023" s="18"/>
      <c r="T3023" s="18"/>
    </row>
    <row r="3024" spans="1:20" x14ac:dyDescent="0.2">
      <c r="A3024" s="17"/>
      <c r="B3024" s="17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  <c r="T3024" s="18"/>
    </row>
    <row r="3025" spans="1:20" x14ac:dyDescent="0.2">
      <c r="A3025" s="17"/>
      <c r="B3025" s="17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  <c r="T3025" s="18"/>
    </row>
    <row r="3026" spans="1:20" x14ac:dyDescent="0.2">
      <c r="A3026" s="17"/>
      <c r="B3026" s="17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  <c r="S3026" s="18"/>
      <c r="T3026" s="18"/>
    </row>
    <row r="3027" spans="1:20" x14ac:dyDescent="0.2">
      <c r="A3027" s="17"/>
      <c r="B3027" s="17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  <c r="S3027" s="18"/>
      <c r="T3027" s="18"/>
    </row>
    <row r="3028" spans="1:20" x14ac:dyDescent="0.2">
      <c r="A3028" s="17"/>
      <c r="B3028" s="17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</row>
    <row r="3029" spans="1:20" x14ac:dyDescent="0.2">
      <c r="A3029" s="17"/>
      <c r="B3029" s="17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</row>
    <row r="3030" spans="1:20" x14ac:dyDescent="0.2">
      <c r="A3030" s="17"/>
      <c r="B3030" s="17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  <c r="S3030" s="18"/>
      <c r="T3030" s="18"/>
    </row>
    <row r="3031" spans="1:20" x14ac:dyDescent="0.2">
      <c r="A3031" s="17"/>
      <c r="B3031" s="17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</row>
    <row r="3032" spans="1:20" x14ac:dyDescent="0.2">
      <c r="A3032" s="17"/>
      <c r="B3032" s="17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  <c r="S3032" s="18"/>
      <c r="T3032" s="18"/>
    </row>
    <row r="3033" spans="1:20" x14ac:dyDescent="0.2">
      <c r="A3033" s="17"/>
      <c r="B3033" s="17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</row>
    <row r="3034" spans="1:20" x14ac:dyDescent="0.2">
      <c r="A3034" s="17"/>
      <c r="B3034" s="17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  <c r="T3034" s="18"/>
    </row>
    <row r="3035" spans="1:20" x14ac:dyDescent="0.2">
      <c r="A3035" s="17"/>
      <c r="B3035" s="17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  <c r="S3035" s="18"/>
      <c r="T3035" s="18"/>
    </row>
    <row r="3036" spans="1:20" x14ac:dyDescent="0.2">
      <c r="A3036" s="17"/>
      <c r="B3036" s="17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  <c r="S3036" s="18"/>
      <c r="T3036" s="18"/>
    </row>
    <row r="3037" spans="1:20" x14ac:dyDescent="0.2">
      <c r="A3037" s="17"/>
      <c r="B3037" s="17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  <c r="S3037" s="18"/>
      <c r="T3037" s="18"/>
    </row>
    <row r="3038" spans="1:20" x14ac:dyDescent="0.2">
      <c r="A3038" s="17"/>
      <c r="B3038" s="17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  <c r="S3038" s="18"/>
      <c r="T3038" s="18"/>
    </row>
    <row r="3039" spans="1:20" x14ac:dyDescent="0.2">
      <c r="A3039" s="17"/>
      <c r="B3039" s="17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</row>
    <row r="3040" spans="1:20" x14ac:dyDescent="0.2">
      <c r="A3040" s="17"/>
      <c r="B3040" s="17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  <c r="S3040" s="18"/>
      <c r="T3040" s="18"/>
    </row>
    <row r="3041" spans="1:20" x14ac:dyDescent="0.2">
      <c r="A3041" s="17"/>
      <c r="B3041" s="17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  <c r="S3041" s="18"/>
      <c r="T3041" s="18"/>
    </row>
    <row r="3042" spans="1:20" x14ac:dyDescent="0.2">
      <c r="A3042" s="17"/>
      <c r="B3042" s="17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  <c r="T3042" s="18"/>
    </row>
    <row r="3043" spans="1:20" x14ac:dyDescent="0.2">
      <c r="A3043" s="17"/>
      <c r="B3043" s="17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  <c r="T3043" s="18"/>
    </row>
    <row r="3044" spans="1:20" x14ac:dyDescent="0.2">
      <c r="A3044" s="17"/>
      <c r="B3044" s="17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  <c r="S3044" s="18"/>
      <c r="T3044" s="18"/>
    </row>
    <row r="3045" spans="1:20" x14ac:dyDescent="0.2">
      <c r="A3045" s="17"/>
      <c r="B3045" s="17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  <c r="T3045" s="18"/>
    </row>
    <row r="3046" spans="1:20" x14ac:dyDescent="0.2">
      <c r="A3046" s="17"/>
      <c r="B3046" s="17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  <c r="S3046" s="18"/>
      <c r="T3046" s="18"/>
    </row>
    <row r="3047" spans="1:20" x14ac:dyDescent="0.2">
      <c r="A3047" s="17"/>
      <c r="B3047" s="17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  <c r="T3047" s="18"/>
    </row>
    <row r="3048" spans="1:20" x14ac:dyDescent="0.2">
      <c r="A3048" s="17"/>
      <c r="B3048" s="17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  <c r="S3048" s="18"/>
      <c r="T3048" s="18"/>
    </row>
    <row r="3049" spans="1:20" x14ac:dyDescent="0.2">
      <c r="A3049" s="17"/>
      <c r="B3049" s="17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18"/>
    </row>
    <row r="3050" spans="1:20" x14ac:dyDescent="0.2">
      <c r="A3050" s="17"/>
      <c r="B3050" s="17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  <c r="S3050" s="18"/>
      <c r="T3050" s="18"/>
    </row>
    <row r="3051" spans="1:20" x14ac:dyDescent="0.2">
      <c r="A3051" s="17"/>
      <c r="B3051" s="17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  <c r="T3051" s="18"/>
    </row>
    <row r="3052" spans="1:20" x14ac:dyDescent="0.2">
      <c r="A3052" s="17"/>
      <c r="B3052" s="17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8"/>
      <c r="T3052" s="18"/>
    </row>
    <row r="3053" spans="1:20" x14ac:dyDescent="0.2">
      <c r="A3053" s="17"/>
      <c r="B3053" s="17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  <c r="T3053" s="18"/>
    </row>
    <row r="3054" spans="1:20" x14ac:dyDescent="0.2">
      <c r="A3054" s="17"/>
      <c r="B3054" s="17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  <c r="S3054" s="18"/>
      <c r="T3054" s="18"/>
    </row>
    <row r="3055" spans="1:20" x14ac:dyDescent="0.2">
      <c r="A3055" s="17"/>
      <c r="B3055" s="17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  <c r="S3055" s="18"/>
      <c r="T3055" s="18"/>
    </row>
    <row r="3056" spans="1:20" x14ac:dyDescent="0.2">
      <c r="A3056" s="17"/>
      <c r="B3056" s="17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  <c r="S3056" s="18"/>
      <c r="T3056" s="18"/>
    </row>
    <row r="3057" spans="1:20" x14ac:dyDescent="0.2">
      <c r="A3057" s="17"/>
      <c r="B3057" s="17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  <c r="S3057" s="18"/>
      <c r="T3057" s="18"/>
    </row>
    <row r="3058" spans="1:20" x14ac:dyDescent="0.2">
      <c r="A3058" s="17"/>
      <c r="B3058" s="17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  <c r="S3058" s="18"/>
      <c r="T3058" s="18"/>
    </row>
    <row r="3059" spans="1:20" x14ac:dyDescent="0.2">
      <c r="A3059" s="17"/>
      <c r="B3059" s="17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  <c r="S3059" s="18"/>
      <c r="T3059" s="18"/>
    </row>
    <row r="3060" spans="1:20" x14ac:dyDescent="0.2">
      <c r="A3060" s="17"/>
      <c r="B3060" s="17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  <c r="S3060" s="18"/>
      <c r="T3060" s="18"/>
    </row>
    <row r="3061" spans="1:20" x14ac:dyDescent="0.2">
      <c r="A3061" s="17"/>
      <c r="B3061" s="17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  <c r="T3061" s="18"/>
    </row>
    <row r="3062" spans="1:20" x14ac:dyDescent="0.2">
      <c r="A3062" s="17"/>
      <c r="B3062" s="17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  <c r="S3062" s="18"/>
      <c r="T3062" s="18"/>
    </row>
    <row r="3063" spans="1:20" x14ac:dyDescent="0.2">
      <c r="A3063" s="17"/>
      <c r="B3063" s="17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  <c r="S3063" s="18"/>
      <c r="T3063" s="18"/>
    </row>
    <row r="3064" spans="1:20" x14ac:dyDescent="0.2">
      <c r="A3064" s="17"/>
      <c r="B3064" s="17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  <c r="S3064" s="18"/>
      <c r="T3064" s="18"/>
    </row>
    <row r="3065" spans="1:20" x14ac:dyDescent="0.2">
      <c r="A3065" s="17"/>
      <c r="B3065" s="17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  <c r="S3065" s="18"/>
      <c r="T3065" s="18"/>
    </row>
    <row r="3066" spans="1:20" x14ac:dyDescent="0.2">
      <c r="A3066" s="17"/>
      <c r="B3066" s="17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  <c r="S3066" s="18"/>
      <c r="T3066" s="18"/>
    </row>
    <row r="3067" spans="1:20" x14ac:dyDescent="0.2">
      <c r="A3067" s="17"/>
      <c r="B3067" s="17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  <c r="S3067" s="18"/>
      <c r="T3067" s="18"/>
    </row>
    <row r="3068" spans="1:20" x14ac:dyDescent="0.2">
      <c r="A3068" s="17"/>
      <c r="B3068" s="17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  <c r="S3068" s="18"/>
      <c r="T3068" s="18"/>
    </row>
    <row r="3069" spans="1:20" x14ac:dyDescent="0.2">
      <c r="A3069" s="17"/>
      <c r="B3069" s="17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  <c r="S3069" s="18"/>
      <c r="T3069" s="18"/>
    </row>
    <row r="3070" spans="1:20" x14ac:dyDescent="0.2">
      <c r="A3070" s="17"/>
      <c r="B3070" s="17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  <c r="S3070" s="18"/>
      <c r="T3070" s="18"/>
    </row>
    <row r="3071" spans="1:20" x14ac:dyDescent="0.2">
      <c r="A3071" s="17"/>
      <c r="B3071" s="17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  <c r="S3071" s="18"/>
      <c r="T3071" s="18"/>
    </row>
    <row r="3072" spans="1:20" x14ac:dyDescent="0.2">
      <c r="A3072" s="17"/>
      <c r="B3072" s="17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  <c r="S3072" s="18"/>
      <c r="T3072" s="18"/>
    </row>
    <row r="3073" spans="1:20" x14ac:dyDescent="0.2">
      <c r="A3073" s="17"/>
      <c r="B3073" s="17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  <c r="S3073" s="18"/>
      <c r="T3073" s="18"/>
    </row>
    <row r="3074" spans="1:20" x14ac:dyDescent="0.2">
      <c r="A3074" s="17"/>
      <c r="B3074" s="17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  <c r="S3074" s="18"/>
      <c r="T3074" s="18"/>
    </row>
    <row r="3075" spans="1:20" x14ac:dyDescent="0.2">
      <c r="A3075" s="17"/>
      <c r="B3075" s="17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  <c r="S3075" s="18"/>
      <c r="T3075" s="18"/>
    </row>
    <row r="3076" spans="1:20" x14ac:dyDescent="0.2">
      <c r="A3076" s="17"/>
      <c r="B3076" s="17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  <c r="S3076" s="18"/>
      <c r="T3076" s="18"/>
    </row>
    <row r="3077" spans="1:20" x14ac:dyDescent="0.2">
      <c r="A3077" s="17"/>
      <c r="B3077" s="17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  <c r="S3077" s="18"/>
      <c r="T3077" s="18"/>
    </row>
    <row r="3078" spans="1:20" x14ac:dyDescent="0.2">
      <c r="A3078" s="17"/>
      <c r="B3078" s="17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  <c r="S3078" s="18"/>
      <c r="T3078" s="18"/>
    </row>
    <row r="3079" spans="1:20" x14ac:dyDescent="0.2">
      <c r="A3079" s="17"/>
      <c r="B3079" s="17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  <c r="S3079" s="18"/>
      <c r="T3079" s="18"/>
    </row>
    <row r="3080" spans="1:20" x14ac:dyDescent="0.2">
      <c r="A3080" s="17"/>
      <c r="B3080" s="17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  <c r="S3080" s="18"/>
      <c r="T3080" s="18"/>
    </row>
    <row r="3081" spans="1:20" x14ac:dyDescent="0.2">
      <c r="A3081" s="17"/>
      <c r="B3081" s="17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  <c r="T3081" s="18"/>
    </row>
    <row r="3082" spans="1:20" x14ac:dyDescent="0.2">
      <c r="A3082" s="17"/>
      <c r="B3082" s="17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  <c r="S3082" s="18"/>
      <c r="T3082" s="18"/>
    </row>
    <row r="3083" spans="1:20" x14ac:dyDescent="0.2">
      <c r="A3083" s="17"/>
      <c r="B3083" s="17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  <c r="T3083" s="18"/>
    </row>
    <row r="3084" spans="1:20" x14ac:dyDescent="0.2">
      <c r="A3084" s="17"/>
      <c r="B3084" s="17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  <c r="S3084" s="18"/>
      <c r="T3084" s="18"/>
    </row>
    <row r="3085" spans="1:20" x14ac:dyDescent="0.2">
      <c r="A3085" s="17"/>
      <c r="B3085" s="17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  <c r="S3085" s="18"/>
      <c r="T3085" s="18"/>
    </row>
    <row r="3086" spans="1:20" x14ac:dyDescent="0.2">
      <c r="A3086" s="17"/>
      <c r="B3086" s="17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  <c r="S3086" s="18"/>
      <c r="T3086" s="18"/>
    </row>
    <row r="3087" spans="1:20" x14ac:dyDescent="0.2">
      <c r="A3087" s="17"/>
      <c r="B3087" s="17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  <c r="S3087" s="18"/>
      <c r="T3087" s="18"/>
    </row>
    <row r="3088" spans="1:20" x14ac:dyDescent="0.2">
      <c r="A3088" s="17"/>
      <c r="B3088" s="17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  <c r="S3088" s="18"/>
      <c r="T3088" s="18"/>
    </row>
    <row r="3089" spans="1:20" x14ac:dyDescent="0.2">
      <c r="A3089" s="17"/>
      <c r="B3089" s="17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  <c r="S3089" s="18"/>
      <c r="T3089" s="18"/>
    </row>
    <row r="3090" spans="1:20" x14ac:dyDescent="0.2">
      <c r="A3090" s="17"/>
      <c r="B3090" s="17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  <c r="S3090" s="18"/>
      <c r="T3090" s="18"/>
    </row>
    <row r="3091" spans="1:20" x14ac:dyDescent="0.2">
      <c r="A3091" s="17"/>
      <c r="B3091" s="17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  <c r="S3091" s="18"/>
      <c r="T3091" s="18"/>
    </row>
    <row r="3092" spans="1:20" x14ac:dyDescent="0.2">
      <c r="A3092" s="17"/>
      <c r="B3092" s="17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  <c r="S3092" s="18"/>
      <c r="T3092" s="18"/>
    </row>
    <row r="3093" spans="1:20" x14ac:dyDescent="0.2">
      <c r="A3093" s="17"/>
      <c r="B3093" s="17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  <c r="T3093" s="18"/>
    </row>
    <row r="3094" spans="1:20" x14ac:dyDescent="0.2">
      <c r="A3094" s="17"/>
      <c r="B3094" s="17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  <c r="S3094" s="18"/>
      <c r="T3094" s="18"/>
    </row>
    <row r="3095" spans="1:20" x14ac:dyDescent="0.2">
      <c r="A3095" s="17"/>
      <c r="B3095" s="17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  <c r="S3095" s="18"/>
      <c r="T3095" s="18"/>
    </row>
    <row r="3096" spans="1:20" x14ac:dyDescent="0.2">
      <c r="A3096" s="17"/>
      <c r="B3096" s="17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  <c r="S3096" s="18"/>
      <c r="T3096" s="18"/>
    </row>
    <row r="3097" spans="1:20" x14ac:dyDescent="0.2">
      <c r="A3097" s="17"/>
      <c r="B3097" s="17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  <c r="T3097" s="18"/>
    </row>
    <row r="3098" spans="1:20" x14ac:dyDescent="0.2">
      <c r="A3098" s="17"/>
      <c r="B3098" s="17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  <c r="T3098" s="18"/>
    </row>
    <row r="3099" spans="1:20" x14ac:dyDescent="0.2">
      <c r="A3099" s="17"/>
      <c r="B3099" s="17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  <c r="S3099" s="18"/>
      <c r="T3099" s="18"/>
    </row>
    <row r="3100" spans="1:20" x14ac:dyDescent="0.2">
      <c r="A3100" s="17"/>
      <c r="B3100" s="17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  <c r="S3100" s="18"/>
      <c r="T3100" s="18"/>
    </row>
    <row r="3101" spans="1:20" x14ac:dyDescent="0.2">
      <c r="A3101" s="17"/>
      <c r="B3101" s="17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  <c r="S3101" s="18"/>
      <c r="T3101" s="18"/>
    </row>
    <row r="3102" spans="1:20" x14ac:dyDescent="0.2">
      <c r="A3102" s="17"/>
      <c r="B3102" s="17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  <c r="S3102" s="18"/>
      <c r="T3102" s="18"/>
    </row>
    <row r="3103" spans="1:20" x14ac:dyDescent="0.2">
      <c r="A3103" s="17"/>
      <c r="B3103" s="17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  <c r="S3103" s="18"/>
      <c r="T3103" s="18"/>
    </row>
    <row r="3104" spans="1:20" x14ac:dyDescent="0.2">
      <c r="A3104" s="17"/>
      <c r="B3104" s="17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  <c r="S3104" s="18"/>
      <c r="T3104" s="18"/>
    </row>
    <row r="3105" spans="1:20" x14ac:dyDescent="0.2">
      <c r="A3105" s="17"/>
      <c r="B3105" s="17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  <c r="S3105" s="18"/>
      <c r="T3105" s="18"/>
    </row>
    <row r="3106" spans="1:20" x14ac:dyDescent="0.2">
      <c r="A3106" s="17"/>
      <c r="B3106" s="17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  <c r="S3106" s="18"/>
      <c r="T3106" s="18"/>
    </row>
    <row r="3107" spans="1:20" x14ac:dyDescent="0.2">
      <c r="A3107" s="17"/>
      <c r="B3107" s="17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  <c r="S3107" s="18"/>
      <c r="T3107" s="18"/>
    </row>
    <row r="3108" spans="1:20" x14ac:dyDescent="0.2">
      <c r="A3108" s="17"/>
      <c r="B3108" s="17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  <c r="S3108" s="18"/>
      <c r="T3108" s="18"/>
    </row>
    <row r="3109" spans="1:20" x14ac:dyDescent="0.2">
      <c r="A3109" s="17"/>
      <c r="B3109" s="17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  <c r="S3109" s="18"/>
      <c r="T3109" s="18"/>
    </row>
    <row r="3110" spans="1:20" x14ac:dyDescent="0.2">
      <c r="A3110" s="17"/>
      <c r="B3110" s="17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  <c r="S3110" s="18"/>
      <c r="T3110" s="18"/>
    </row>
    <row r="3111" spans="1:20" x14ac:dyDescent="0.2">
      <c r="A3111" s="17"/>
      <c r="B3111" s="17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  <c r="S3111" s="18"/>
      <c r="T3111" s="18"/>
    </row>
    <row r="3112" spans="1:20" x14ac:dyDescent="0.2">
      <c r="A3112" s="17"/>
      <c r="B3112" s="17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  <c r="S3112" s="18"/>
      <c r="T3112" s="18"/>
    </row>
    <row r="3113" spans="1:20" x14ac:dyDescent="0.2">
      <c r="A3113" s="17"/>
      <c r="B3113" s="17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  <c r="S3113" s="18"/>
      <c r="T3113" s="18"/>
    </row>
    <row r="3114" spans="1:20" x14ac:dyDescent="0.2">
      <c r="A3114" s="17"/>
      <c r="B3114" s="17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  <c r="S3114" s="18"/>
      <c r="T3114" s="18"/>
    </row>
    <row r="3115" spans="1:20" x14ac:dyDescent="0.2">
      <c r="A3115" s="17"/>
      <c r="B3115" s="17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  <c r="T3115" s="18"/>
    </row>
    <row r="3116" spans="1:20" x14ac:dyDescent="0.2">
      <c r="A3116" s="17"/>
      <c r="B3116" s="17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  <c r="S3116" s="18"/>
      <c r="T3116" s="18"/>
    </row>
    <row r="3117" spans="1:20" x14ac:dyDescent="0.2">
      <c r="A3117" s="17"/>
      <c r="B3117" s="17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  <c r="T3117" s="18"/>
    </row>
    <row r="3118" spans="1:20" x14ac:dyDescent="0.2">
      <c r="A3118" s="17"/>
      <c r="B3118" s="17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  <c r="S3118" s="18"/>
      <c r="T3118" s="18"/>
    </row>
    <row r="3119" spans="1:20" x14ac:dyDescent="0.2">
      <c r="A3119" s="17"/>
      <c r="B3119" s="17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  <c r="S3119" s="18"/>
      <c r="T3119" s="18"/>
    </row>
    <row r="3120" spans="1:20" x14ac:dyDescent="0.2">
      <c r="A3120" s="17"/>
      <c r="B3120" s="17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  <c r="S3120" s="18"/>
      <c r="T3120" s="18"/>
    </row>
    <row r="3121" spans="1:20" x14ac:dyDescent="0.2">
      <c r="A3121" s="17"/>
      <c r="B3121" s="17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  <c r="S3121" s="18"/>
      <c r="T3121" s="18"/>
    </row>
    <row r="3122" spans="1:20" x14ac:dyDescent="0.2">
      <c r="A3122" s="17"/>
      <c r="B3122" s="17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  <c r="S3122" s="18"/>
      <c r="T3122" s="18"/>
    </row>
    <row r="3123" spans="1:20" x14ac:dyDescent="0.2">
      <c r="A3123" s="17"/>
      <c r="B3123" s="17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  <c r="S3123" s="18"/>
      <c r="T3123" s="18"/>
    </row>
    <row r="3124" spans="1:20" x14ac:dyDescent="0.2">
      <c r="A3124" s="17"/>
      <c r="B3124" s="17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  <c r="T3124" s="18"/>
    </row>
    <row r="3125" spans="1:20" x14ac:dyDescent="0.2">
      <c r="A3125" s="17"/>
      <c r="B3125" s="17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  <c r="S3125" s="18"/>
      <c r="T3125" s="18"/>
    </row>
    <row r="3126" spans="1:20" x14ac:dyDescent="0.2">
      <c r="A3126" s="17"/>
      <c r="B3126" s="17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  <c r="S3126" s="18"/>
      <c r="T3126" s="18"/>
    </row>
    <row r="3127" spans="1:20" x14ac:dyDescent="0.2">
      <c r="A3127" s="17"/>
      <c r="B3127" s="17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  <c r="T3127" s="18"/>
    </row>
    <row r="3128" spans="1:20" x14ac:dyDescent="0.2">
      <c r="A3128" s="17"/>
      <c r="B3128" s="17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  <c r="S3128" s="18"/>
      <c r="T3128" s="18"/>
    </row>
    <row r="3129" spans="1:20" x14ac:dyDescent="0.2">
      <c r="A3129" s="17"/>
      <c r="B3129" s="17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  <c r="S3129" s="18"/>
      <c r="T3129" s="18"/>
    </row>
    <row r="3130" spans="1:20" x14ac:dyDescent="0.2">
      <c r="A3130" s="17"/>
      <c r="B3130" s="17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  <c r="S3130" s="18"/>
      <c r="T3130" s="18"/>
    </row>
    <row r="3131" spans="1:20" x14ac:dyDescent="0.2">
      <c r="A3131" s="17"/>
      <c r="B3131" s="17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  <c r="S3131" s="18"/>
      <c r="T3131" s="18"/>
    </row>
    <row r="3132" spans="1:20" x14ac:dyDescent="0.2">
      <c r="A3132" s="17"/>
      <c r="B3132" s="17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</row>
    <row r="3133" spans="1:20" x14ac:dyDescent="0.2">
      <c r="A3133" s="17"/>
      <c r="B3133" s="17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</row>
    <row r="3134" spans="1:20" x14ac:dyDescent="0.2">
      <c r="A3134" s="17"/>
      <c r="B3134" s="17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  <c r="S3134" s="18"/>
      <c r="T3134" s="18"/>
    </row>
    <row r="3135" spans="1:20" x14ac:dyDescent="0.2">
      <c r="A3135" s="17"/>
      <c r="B3135" s="17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  <c r="S3135" s="18"/>
      <c r="T3135" s="18"/>
    </row>
    <row r="3136" spans="1:20" x14ac:dyDescent="0.2">
      <c r="A3136" s="17"/>
      <c r="B3136" s="17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  <c r="T3136" s="18"/>
    </row>
    <row r="3137" spans="1:20" x14ac:dyDescent="0.2">
      <c r="A3137" s="17"/>
      <c r="B3137" s="17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  <c r="T3137" s="18"/>
    </row>
    <row r="3138" spans="1:20" x14ac:dyDescent="0.2">
      <c r="A3138" s="17"/>
      <c r="B3138" s="17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  <c r="T3138" s="18"/>
    </row>
    <row r="3139" spans="1:20" x14ac:dyDescent="0.2">
      <c r="A3139" s="17"/>
      <c r="B3139" s="17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  <c r="S3139" s="18"/>
      <c r="T3139" s="18"/>
    </row>
    <row r="3140" spans="1:20" x14ac:dyDescent="0.2">
      <c r="A3140" s="17"/>
      <c r="B3140" s="17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  <c r="S3140" s="18"/>
      <c r="T3140" s="18"/>
    </row>
    <row r="3141" spans="1:20" x14ac:dyDescent="0.2">
      <c r="A3141" s="17"/>
      <c r="B3141" s="17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  <c r="T3141" s="18"/>
    </row>
    <row r="3142" spans="1:20" x14ac:dyDescent="0.2">
      <c r="A3142" s="17"/>
      <c r="B3142" s="17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  <c r="S3142" s="18"/>
      <c r="T3142" s="18"/>
    </row>
    <row r="3143" spans="1:20" x14ac:dyDescent="0.2">
      <c r="A3143" s="17"/>
      <c r="B3143" s="17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  <c r="S3143" s="18"/>
      <c r="T3143" s="18"/>
    </row>
    <row r="3144" spans="1:20" x14ac:dyDescent="0.2">
      <c r="A3144" s="17"/>
      <c r="B3144" s="17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  <c r="S3144" s="18"/>
      <c r="T3144" s="18"/>
    </row>
    <row r="3145" spans="1:20" x14ac:dyDescent="0.2">
      <c r="A3145" s="17"/>
      <c r="B3145" s="17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  <c r="T3145" s="18"/>
    </row>
    <row r="3146" spans="1:20" x14ac:dyDescent="0.2">
      <c r="A3146" s="17"/>
      <c r="B3146" s="17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  <c r="S3146" s="18"/>
      <c r="T3146" s="18"/>
    </row>
    <row r="3147" spans="1:20" x14ac:dyDescent="0.2">
      <c r="A3147" s="17"/>
      <c r="B3147" s="17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  <c r="S3147" s="18"/>
      <c r="T3147" s="18"/>
    </row>
    <row r="3148" spans="1:20" x14ac:dyDescent="0.2">
      <c r="A3148" s="17"/>
      <c r="B3148" s="17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  <c r="S3148" s="18"/>
      <c r="T3148" s="18"/>
    </row>
    <row r="3149" spans="1:20" x14ac:dyDescent="0.2">
      <c r="A3149" s="17"/>
      <c r="B3149" s="17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  <c r="T3149" s="18"/>
    </row>
    <row r="3150" spans="1:20" x14ac:dyDescent="0.2">
      <c r="A3150" s="17"/>
      <c r="B3150" s="17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  <c r="S3150" s="18"/>
      <c r="T3150" s="18"/>
    </row>
    <row r="3151" spans="1:20" x14ac:dyDescent="0.2">
      <c r="A3151" s="17"/>
      <c r="B3151" s="17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  <c r="T3151" s="18"/>
    </row>
    <row r="3152" spans="1:20" x14ac:dyDescent="0.2">
      <c r="A3152" s="17"/>
      <c r="B3152" s="17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  <c r="S3152" s="18"/>
      <c r="T3152" s="18"/>
    </row>
    <row r="3153" spans="1:20" x14ac:dyDescent="0.2">
      <c r="A3153" s="17"/>
      <c r="B3153" s="17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  <c r="S3153" s="18"/>
      <c r="T3153" s="18"/>
    </row>
    <row r="3154" spans="1:20" x14ac:dyDescent="0.2">
      <c r="A3154" s="17"/>
      <c r="B3154" s="17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  <c r="S3154" s="18"/>
      <c r="T3154" s="18"/>
    </row>
    <row r="3155" spans="1:20" x14ac:dyDescent="0.2">
      <c r="A3155" s="17"/>
      <c r="B3155" s="17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  <c r="S3155" s="18"/>
      <c r="T3155" s="18"/>
    </row>
    <row r="3156" spans="1:20" x14ac:dyDescent="0.2">
      <c r="A3156" s="17"/>
      <c r="B3156" s="17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  <c r="S3156" s="18"/>
      <c r="T3156" s="18"/>
    </row>
    <row r="3157" spans="1:20" x14ac:dyDescent="0.2">
      <c r="A3157" s="17"/>
      <c r="B3157" s="17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  <c r="T3157" s="18"/>
    </row>
    <row r="3158" spans="1:20" x14ac:dyDescent="0.2">
      <c r="A3158" s="17"/>
      <c r="B3158" s="17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  <c r="S3158" s="18"/>
      <c r="T3158" s="18"/>
    </row>
    <row r="3159" spans="1:20" x14ac:dyDescent="0.2">
      <c r="A3159" s="17"/>
      <c r="B3159" s="17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  <c r="T3159" s="18"/>
    </row>
    <row r="3160" spans="1:20" x14ac:dyDescent="0.2">
      <c r="A3160" s="17"/>
      <c r="B3160" s="17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  <c r="S3160" s="18"/>
      <c r="T3160" s="18"/>
    </row>
    <row r="3161" spans="1:20" x14ac:dyDescent="0.2">
      <c r="A3161" s="17"/>
      <c r="B3161" s="17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  <c r="T3161" s="18"/>
    </row>
    <row r="3162" spans="1:20" x14ac:dyDescent="0.2">
      <c r="A3162" s="17"/>
      <c r="B3162" s="17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  <c r="S3162" s="18"/>
      <c r="T3162" s="18"/>
    </row>
    <row r="3163" spans="1:20" x14ac:dyDescent="0.2">
      <c r="A3163" s="17"/>
      <c r="B3163" s="17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  <c r="T3163" s="18"/>
    </row>
    <row r="3164" spans="1:20" x14ac:dyDescent="0.2">
      <c r="A3164" s="17"/>
      <c r="B3164" s="17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  <c r="S3164" s="18"/>
      <c r="T3164" s="18"/>
    </row>
    <row r="3165" spans="1:20" x14ac:dyDescent="0.2">
      <c r="A3165" s="17"/>
      <c r="B3165" s="17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  <c r="T3165" s="18"/>
    </row>
    <row r="3166" spans="1:20" x14ac:dyDescent="0.2">
      <c r="A3166" s="17"/>
      <c r="B3166" s="17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  <c r="S3166" s="18"/>
      <c r="T3166" s="18"/>
    </row>
    <row r="3167" spans="1:20" x14ac:dyDescent="0.2">
      <c r="A3167" s="17"/>
      <c r="B3167" s="17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  <c r="S3167" s="18"/>
      <c r="T3167" s="18"/>
    </row>
    <row r="3168" spans="1:20" x14ac:dyDescent="0.2">
      <c r="A3168" s="17"/>
      <c r="B3168" s="17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  <c r="S3168" s="18"/>
      <c r="T3168" s="18"/>
    </row>
    <row r="3169" spans="1:20" x14ac:dyDescent="0.2">
      <c r="A3169" s="17"/>
      <c r="B3169" s="17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  <c r="T3169" s="18"/>
    </row>
    <row r="3170" spans="1:20" x14ac:dyDescent="0.2">
      <c r="A3170" s="17"/>
      <c r="B3170" s="17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  <c r="T3170" s="18"/>
    </row>
    <row r="3171" spans="1:20" x14ac:dyDescent="0.2">
      <c r="A3171" s="17"/>
      <c r="B3171" s="17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  <c r="S3171" s="18"/>
      <c r="T3171" s="18"/>
    </row>
    <row r="3172" spans="1:20" x14ac:dyDescent="0.2">
      <c r="A3172" s="17"/>
      <c r="B3172" s="17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  <c r="S3172" s="18"/>
      <c r="T3172" s="18"/>
    </row>
    <row r="3173" spans="1:20" x14ac:dyDescent="0.2">
      <c r="A3173" s="17"/>
      <c r="B3173" s="17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  <c r="S3173" s="18"/>
      <c r="T3173" s="18"/>
    </row>
    <row r="3174" spans="1:20" x14ac:dyDescent="0.2">
      <c r="A3174" s="17"/>
      <c r="B3174" s="17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  <c r="S3174" s="18"/>
      <c r="T3174" s="18"/>
    </row>
    <row r="3175" spans="1:20" x14ac:dyDescent="0.2">
      <c r="A3175" s="17"/>
      <c r="B3175" s="17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  <c r="T3175" s="18"/>
    </row>
    <row r="3176" spans="1:20" x14ac:dyDescent="0.2">
      <c r="A3176" s="17"/>
      <c r="B3176" s="17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  <c r="S3176" s="18"/>
      <c r="T3176" s="18"/>
    </row>
    <row r="3177" spans="1:20" x14ac:dyDescent="0.2">
      <c r="A3177" s="17"/>
      <c r="B3177" s="17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  <c r="S3177" s="18"/>
      <c r="T3177" s="18"/>
    </row>
    <row r="3178" spans="1:20" x14ac:dyDescent="0.2">
      <c r="A3178" s="17"/>
      <c r="B3178" s="17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  <c r="S3178" s="18"/>
      <c r="T3178" s="18"/>
    </row>
    <row r="3179" spans="1:20" x14ac:dyDescent="0.2">
      <c r="A3179" s="17"/>
      <c r="B3179" s="17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  <c r="S3179" s="18"/>
      <c r="T3179" s="18"/>
    </row>
    <row r="3180" spans="1:20" x14ac:dyDescent="0.2">
      <c r="A3180" s="17"/>
      <c r="B3180" s="17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  <c r="S3180" s="18"/>
      <c r="T3180" s="18"/>
    </row>
    <row r="3181" spans="1:20" x14ac:dyDescent="0.2">
      <c r="A3181" s="17"/>
      <c r="B3181" s="17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  <c r="S3181" s="18"/>
      <c r="T3181" s="18"/>
    </row>
    <row r="3182" spans="1:20" x14ac:dyDescent="0.2">
      <c r="A3182" s="17"/>
      <c r="B3182" s="17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  <c r="S3182" s="18"/>
      <c r="T3182" s="18"/>
    </row>
    <row r="3183" spans="1:20" x14ac:dyDescent="0.2">
      <c r="A3183" s="17"/>
      <c r="B3183" s="17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  <c r="S3183" s="18"/>
      <c r="T3183" s="18"/>
    </row>
    <row r="3184" spans="1:20" x14ac:dyDescent="0.2">
      <c r="A3184" s="17"/>
      <c r="B3184" s="17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  <c r="S3184" s="18"/>
      <c r="T3184" s="18"/>
    </row>
    <row r="3185" spans="1:20" x14ac:dyDescent="0.2">
      <c r="A3185" s="17"/>
      <c r="B3185" s="17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  <c r="S3185" s="18"/>
      <c r="T3185" s="18"/>
    </row>
    <row r="3186" spans="1:20" x14ac:dyDescent="0.2">
      <c r="A3186" s="17"/>
      <c r="B3186" s="17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  <c r="S3186" s="18"/>
      <c r="T3186" s="18"/>
    </row>
    <row r="3187" spans="1:20" x14ac:dyDescent="0.2">
      <c r="A3187" s="17"/>
      <c r="B3187" s="17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  <c r="S3187" s="18"/>
      <c r="T3187" s="18"/>
    </row>
    <row r="3188" spans="1:20" x14ac:dyDescent="0.2">
      <c r="A3188" s="17"/>
      <c r="B3188" s="17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  <c r="S3188" s="18"/>
      <c r="T3188" s="18"/>
    </row>
    <row r="3189" spans="1:20" x14ac:dyDescent="0.2">
      <c r="A3189" s="17"/>
      <c r="B3189" s="17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  <c r="T3189" s="18"/>
    </row>
    <row r="3190" spans="1:20" x14ac:dyDescent="0.2">
      <c r="A3190" s="17"/>
      <c r="B3190" s="17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  <c r="S3190" s="18"/>
      <c r="T3190" s="18"/>
    </row>
    <row r="3191" spans="1:20" x14ac:dyDescent="0.2">
      <c r="A3191" s="17"/>
      <c r="B3191" s="17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  <c r="S3191" s="18"/>
      <c r="T3191" s="18"/>
    </row>
    <row r="3192" spans="1:20" x14ac:dyDescent="0.2">
      <c r="A3192" s="17"/>
      <c r="B3192" s="17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  <c r="S3192" s="18"/>
      <c r="T3192" s="18"/>
    </row>
    <row r="3193" spans="1:20" x14ac:dyDescent="0.2">
      <c r="A3193" s="17"/>
      <c r="B3193" s="17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  <c r="S3193" s="18"/>
      <c r="T3193" s="18"/>
    </row>
    <row r="3194" spans="1:20" x14ac:dyDescent="0.2">
      <c r="A3194" s="17"/>
      <c r="B3194" s="17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  <c r="S3194" s="18"/>
      <c r="T3194" s="18"/>
    </row>
    <row r="3195" spans="1:20" x14ac:dyDescent="0.2">
      <c r="A3195" s="17"/>
      <c r="B3195" s="17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  <c r="S3195" s="18"/>
      <c r="T3195" s="18"/>
    </row>
    <row r="3196" spans="1:20" x14ac:dyDescent="0.2">
      <c r="A3196" s="17"/>
      <c r="B3196" s="17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  <c r="S3196" s="18"/>
      <c r="T3196" s="18"/>
    </row>
    <row r="3197" spans="1:20" x14ac:dyDescent="0.2">
      <c r="A3197" s="17"/>
      <c r="B3197" s="17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  <c r="S3197" s="18"/>
      <c r="T3197" s="18"/>
    </row>
    <row r="3198" spans="1:20" x14ac:dyDescent="0.2">
      <c r="A3198" s="17"/>
      <c r="B3198" s="17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  <c r="S3198" s="18"/>
      <c r="T3198" s="18"/>
    </row>
    <row r="3199" spans="1:20" x14ac:dyDescent="0.2">
      <c r="A3199" s="17"/>
      <c r="B3199" s="17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  <c r="S3199" s="18"/>
      <c r="T3199" s="18"/>
    </row>
    <row r="3200" spans="1:20" x14ac:dyDescent="0.2">
      <c r="A3200" s="17"/>
      <c r="B3200" s="17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  <c r="S3200" s="18"/>
      <c r="T3200" s="18"/>
    </row>
    <row r="3201" spans="1:20" x14ac:dyDescent="0.2">
      <c r="A3201" s="17"/>
      <c r="B3201" s="17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  <c r="S3201" s="18"/>
      <c r="T3201" s="18"/>
    </row>
    <row r="3202" spans="1:20" x14ac:dyDescent="0.2">
      <c r="A3202" s="17"/>
      <c r="B3202" s="17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  <c r="S3202" s="18"/>
      <c r="T3202" s="18"/>
    </row>
    <row r="3203" spans="1:20" x14ac:dyDescent="0.2">
      <c r="A3203" s="17"/>
      <c r="B3203" s="17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  <c r="S3203" s="18"/>
      <c r="T3203" s="18"/>
    </row>
    <row r="3204" spans="1:20" x14ac:dyDescent="0.2">
      <c r="A3204" s="17"/>
      <c r="B3204" s="17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  <c r="S3204" s="18"/>
      <c r="T3204" s="18"/>
    </row>
    <row r="3205" spans="1:20" x14ac:dyDescent="0.2">
      <c r="A3205" s="17"/>
      <c r="B3205" s="17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  <c r="S3205" s="18"/>
      <c r="T3205" s="18"/>
    </row>
    <row r="3206" spans="1:20" x14ac:dyDescent="0.2">
      <c r="A3206" s="17"/>
      <c r="B3206" s="17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  <c r="T3206" s="18"/>
    </row>
    <row r="3207" spans="1:20" x14ac:dyDescent="0.2">
      <c r="A3207" s="17"/>
      <c r="B3207" s="17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  <c r="S3207" s="18"/>
      <c r="T3207" s="18"/>
    </row>
    <row r="3208" spans="1:20" x14ac:dyDescent="0.2">
      <c r="A3208" s="17"/>
      <c r="B3208" s="17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  <c r="S3208" s="18"/>
      <c r="T3208" s="18"/>
    </row>
    <row r="3209" spans="1:20" x14ac:dyDescent="0.2">
      <c r="A3209" s="17"/>
      <c r="B3209" s="17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  <c r="S3209" s="18"/>
      <c r="T3209" s="18"/>
    </row>
    <row r="3210" spans="1:20" x14ac:dyDescent="0.2">
      <c r="A3210" s="17"/>
      <c r="B3210" s="17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  <c r="S3210" s="18"/>
      <c r="T3210" s="18"/>
    </row>
    <row r="3211" spans="1:20" x14ac:dyDescent="0.2">
      <c r="A3211" s="17"/>
      <c r="B3211" s="17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  <c r="S3211" s="18"/>
      <c r="T3211" s="18"/>
    </row>
    <row r="3212" spans="1:20" x14ac:dyDescent="0.2">
      <c r="A3212" s="17"/>
      <c r="B3212" s="17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  <c r="S3212" s="18"/>
      <c r="T3212" s="18"/>
    </row>
    <row r="3213" spans="1:20" x14ac:dyDescent="0.2">
      <c r="A3213" s="17"/>
      <c r="B3213" s="17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  <c r="S3213" s="18"/>
      <c r="T3213" s="18"/>
    </row>
    <row r="3214" spans="1:20" x14ac:dyDescent="0.2">
      <c r="A3214" s="17"/>
      <c r="B3214" s="17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  <c r="S3214" s="18"/>
      <c r="T3214" s="18"/>
    </row>
    <row r="3215" spans="1:20" x14ac:dyDescent="0.2">
      <c r="A3215" s="17"/>
      <c r="B3215" s="17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  <c r="S3215" s="18"/>
      <c r="T3215" s="18"/>
    </row>
    <row r="3216" spans="1:20" x14ac:dyDescent="0.2">
      <c r="A3216" s="17"/>
      <c r="B3216" s="17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  <c r="T3216" s="18"/>
    </row>
    <row r="3217" spans="1:20" x14ac:dyDescent="0.2">
      <c r="A3217" s="17"/>
      <c r="B3217" s="17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  <c r="S3217" s="18"/>
      <c r="T3217" s="18"/>
    </row>
    <row r="3218" spans="1:20" x14ac:dyDescent="0.2">
      <c r="A3218" s="17"/>
      <c r="B3218" s="17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  <c r="S3218" s="18"/>
      <c r="T3218" s="18"/>
    </row>
    <row r="3219" spans="1:20" x14ac:dyDescent="0.2">
      <c r="A3219" s="17"/>
      <c r="B3219" s="17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  <c r="S3219" s="18"/>
      <c r="T3219" s="18"/>
    </row>
    <row r="3220" spans="1:20" x14ac:dyDescent="0.2">
      <c r="A3220" s="17"/>
      <c r="B3220" s="17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  <c r="S3220" s="18"/>
      <c r="T3220" s="18"/>
    </row>
    <row r="3221" spans="1:20" x14ac:dyDescent="0.2">
      <c r="A3221" s="17"/>
      <c r="B3221" s="17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  <c r="S3221" s="18"/>
      <c r="T3221" s="18"/>
    </row>
    <row r="3222" spans="1:20" x14ac:dyDescent="0.2">
      <c r="A3222" s="17"/>
      <c r="B3222" s="17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  <c r="S3222" s="18"/>
      <c r="T3222" s="18"/>
    </row>
    <row r="3223" spans="1:20" x14ac:dyDescent="0.2">
      <c r="A3223" s="17"/>
      <c r="B3223" s="17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  <c r="S3223" s="18"/>
      <c r="T3223" s="18"/>
    </row>
    <row r="3224" spans="1:20" x14ac:dyDescent="0.2">
      <c r="A3224" s="17"/>
      <c r="B3224" s="17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  <c r="T3224" s="18"/>
    </row>
    <row r="3225" spans="1:20" x14ac:dyDescent="0.2">
      <c r="A3225" s="17"/>
      <c r="B3225" s="17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  <c r="S3225" s="18"/>
      <c r="T3225" s="18"/>
    </row>
    <row r="3226" spans="1:20" x14ac:dyDescent="0.2">
      <c r="A3226" s="17"/>
      <c r="B3226" s="17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  <c r="S3226" s="18"/>
      <c r="T3226" s="18"/>
    </row>
    <row r="3227" spans="1:20" x14ac:dyDescent="0.2">
      <c r="A3227" s="17"/>
      <c r="B3227" s="17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  <c r="T3227" s="18"/>
    </row>
    <row r="3228" spans="1:20" x14ac:dyDescent="0.2">
      <c r="A3228" s="17"/>
      <c r="B3228" s="17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  <c r="S3228" s="18"/>
      <c r="T3228" s="18"/>
    </row>
    <row r="3229" spans="1:20" x14ac:dyDescent="0.2">
      <c r="A3229" s="17"/>
      <c r="B3229" s="17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  <c r="T3229" s="18"/>
    </row>
    <row r="3230" spans="1:20" x14ac:dyDescent="0.2">
      <c r="A3230" s="17"/>
      <c r="B3230" s="17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  <c r="S3230" s="18"/>
      <c r="T3230" s="18"/>
    </row>
    <row r="3231" spans="1:20" x14ac:dyDescent="0.2">
      <c r="A3231" s="17"/>
      <c r="B3231" s="17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  <c r="T3231" s="18"/>
    </row>
    <row r="3232" spans="1:20" x14ac:dyDescent="0.2">
      <c r="A3232" s="17"/>
      <c r="B3232" s="17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  <c r="S3232" s="18"/>
      <c r="T3232" s="18"/>
    </row>
    <row r="3233" spans="1:20" x14ac:dyDescent="0.2">
      <c r="A3233" s="17"/>
      <c r="B3233" s="17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  <c r="S3233" s="18"/>
      <c r="T3233" s="18"/>
    </row>
    <row r="3234" spans="1:20" x14ac:dyDescent="0.2">
      <c r="A3234" s="17"/>
      <c r="B3234" s="17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  <c r="S3234" s="18"/>
      <c r="T3234" s="18"/>
    </row>
    <row r="3235" spans="1:20" x14ac:dyDescent="0.2">
      <c r="A3235" s="17"/>
      <c r="B3235" s="17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  <c r="S3235" s="18"/>
      <c r="T3235" s="18"/>
    </row>
    <row r="3236" spans="1:20" x14ac:dyDescent="0.2">
      <c r="A3236" s="17"/>
      <c r="B3236" s="17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  <c r="S3236" s="18"/>
      <c r="T3236" s="18"/>
    </row>
    <row r="3237" spans="1:20" x14ac:dyDescent="0.2">
      <c r="A3237" s="17"/>
      <c r="B3237" s="17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  <c r="S3237" s="18"/>
      <c r="T3237" s="18"/>
    </row>
    <row r="3238" spans="1:20" x14ac:dyDescent="0.2">
      <c r="A3238" s="17"/>
      <c r="B3238" s="17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  <c r="S3238" s="18"/>
      <c r="T3238" s="18"/>
    </row>
    <row r="3239" spans="1:20" x14ac:dyDescent="0.2">
      <c r="A3239" s="17"/>
      <c r="B3239" s="17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  <c r="S3239" s="18"/>
      <c r="T3239" s="18"/>
    </row>
    <row r="3240" spans="1:20" x14ac:dyDescent="0.2">
      <c r="A3240" s="17"/>
      <c r="B3240" s="17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  <c r="S3240" s="18"/>
      <c r="T3240" s="18"/>
    </row>
    <row r="3241" spans="1:20" x14ac:dyDescent="0.2">
      <c r="A3241" s="17"/>
      <c r="B3241" s="17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  <c r="S3241" s="18"/>
      <c r="T3241" s="18"/>
    </row>
    <row r="3242" spans="1:20" x14ac:dyDescent="0.2">
      <c r="A3242" s="17"/>
      <c r="B3242" s="17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  <c r="S3242" s="18"/>
      <c r="T3242" s="18"/>
    </row>
    <row r="3243" spans="1:20" x14ac:dyDescent="0.2">
      <c r="A3243" s="17"/>
      <c r="B3243" s="17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  <c r="T3243" s="18"/>
    </row>
    <row r="3244" spans="1:20" x14ac:dyDescent="0.2">
      <c r="A3244" s="17"/>
      <c r="B3244" s="17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  <c r="S3244" s="18"/>
      <c r="T3244" s="18"/>
    </row>
    <row r="3245" spans="1:20" x14ac:dyDescent="0.2">
      <c r="A3245" s="17"/>
      <c r="B3245" s="17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  <c r="S3245" s="18"/>
      <c r="T3245" s="18"/>
    </row>
    <row r="3246" spans="1:20" x14ac:dyDescent="0.2">
      <c r="A3246" s="17"/>
      <c r="B3246" s="17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  <c r="S3246" s="18"/>
      <c r="T3246" s="18"/>
    </row>
    <row r="3247" spans="1:20" x14ac:dyDescent="0.2">
      <c r="A3247" s="17"/>
      <c r="B3247" s="17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  <c r="S3247" s="18"/>
      <c r="T3247" s="18"/>
    </row>
    <row r="3248" spans="1:20" x14ac:dyDescent="0.2">
      <c r="A3248" s="17"/>
      <c r="B3248" s="17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  <c r="S3248" s="18"/>
      <c r="T3248" s="18"/>
    </row>
    <row r="3249" spans="1:20" x14ac:dyDescent="0.2">
      <c r="A3249" s="17"/>
      <c r="B3249" s="17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  <c r="S3249" s="18"/>
      <c r="T3249" s="18"/>
    </row>
    <row r="3250" spans="1:20" x14ac:dyDescent="0.2">
      <c r="A3250" s="17"/>
      <c r="B3250" s="17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  <c r="S3250" s="18"/>
      <c r="T3250" s="18"/>
    </row>
    <row r="3251" spans="1:20" x14ac:dyDescent="0.2">
      <c r="A3251" s="17"/>
      <c r="B3251" s="17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  <c r="S3251" s="18"/>
      <c r="T3251" s="18"/>
    </row>
    <row r="3252" spans="1:20" x14ac:dyDescent="0.2">
      <c r="A3252" s="17"/>
      <c r="B3252" s="17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  <c r="S3252" s="18"/>
      <c r="T3252" s="18"/>
    </row>
    <row r="3253" spans="1:20" x14ac:dyDescent="0.2">
      <c r="A3253" s="17"/>
      <c r="B3253" s="17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  <c r="S3253" s="18"/>
      <c r="T3253" s="18"/>
    </row>
    <row r="3254" spans="1:20" x14ac:dyDescent="0.2">
      <c r="A3254" s="17"/>
      <c r="B3254" s="17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  <c r="S3254" s="18"/>
      <c r="T3254" s="18"/>
    </row>
    <row r="3255" spans="1:20" x14ac:dyDescent="0.2">
      <c r="A3255" s="17"/>
      <c r="B3255" s="17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  <c r="S3255" s="18"/>
      <c r="T3255" s="18"/>
    </row>
    <row r="3256" spans="1:20" x14ac:dyDescent="0.2">
      <c r="A3256" s="17"/>
      <c r="B3256" s="17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  <c r="S3256" s="18"/>
      <c r="T3256" s="18"/>
    </row>
    <row r="3257" spans="1:20" x14ac:dyDescent="0.2">
      <c r="A3257" s="17"/>
      <c r="B3257" s="17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  <c r="S3257" s="18"/>
      <c r="T3257" s="18"/>
    </row>
    <row r="3258" spans="1:20" x14ac:dyDescent="0.2">
      <c r="A3258" s="17"/>
      <c r="B3258" s="17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  <c r="S3258" s="18"/>
      <c r="T3258" s="18"/>
    </row>
    <row r="3259" spans="1:20" x14ac:dyDescent="0.2">
      <c r="A3259" s="17"/>
      <c r="B3259" s="17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  <c r="S3259" s="18"/>
      <c r="T3259" s="18"/>
    </row>
    <row r="3260" spans="1:20" x14ac:dyDescent="0.2">
      <c r="A3260" s="17"/>
      <c r="B3260" s="17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  <c r="S3260" s="18"/>
      <c r="T3260" s="18"/>
    </row>
    <row r="3261" spans="1:20" x14ac:dyDescent="0.2">
      <c r="A3261" s="17"/>
      <c r="B3261" s="17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  <c r="S3261" s="18"/>
      <c r="T3261" s="18"/>
    </row>
    <row r="3262" spans="1:20" x14ac:dyDescent="0.2">
      <c r="A3262" s="17"/>
      <c r="B3262" s="17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  <c r="S3262" s="18"/>
      <c r="T3262" s="18"/>
    </row>
    <row r="3263" spans="1:20" x14ac:dyDescent="0.2">
      <c r="A3263" s="17"/>
      <c r="B3263" s="17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  <c r="S3263" s="18"/>
      <c r="T3263" s="18"/>
    </row>
    <row r="3264" spans="1:20" x14ac:dyDescent="0.2">
      <c r="A3264" s="17"/>
      <c r="B3264" s="17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  <c r="S3264" s="18"/>
      <c r="T3264" s="18"/>
    </row>
    <row r="3265" spans="1:20" x14ac:dyDescent="0.2">
      <c r="A3265" s="17"/>
      <c r="B3265" s="17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  <c r="S3265" s="18"/>
      <c r="T3265" s="18"/>
    </row>
    <row r="3266" spans="1:20" x14ac:dyDescent="0.2">
      <c r="A3266" s="17"/>
      <c r="B3266" s="17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  <c r="S3266" s="18"/>
      <c r="T3266" s="18"/>
    </row>
    <row r="3267" spans="1:20" x14ac:dyDescent="0.2">
      <c r="A3267" s="17"/>
      <c r="B3267" s="17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  <c r="S3267" s="18"/>
      <c r="T3267" s="18"/>
    </row>
    <row r="3268" spans="1:20" x14ac:dyDescent="0.2">
      <c r="A3268" s="17"/>
      <c r="B3268" s="17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  <c r="S3268" s="18"/>
      <c r="T3268" s="18"/>
    </row>
    <row r="3269" spans="1:20" x14ac:dyDescent="0.2">
      <c r="A3269" s="17"/>
      <c r="B3269" s="17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  <c r="S3269" s="18"/>
      <c r="T3269" s="18"/>
    </row>
    <row r="3270" spans="1:20" x14ac:dyDescent="0.2">
      <c r="A3270" s="17"/>
      <c r="B3270" s="17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  <c r="S3270" s="18"/>
      <c r="T3270" s="18"/>
    </row>
    <row r="3271" spans="1:20" x14ac:dyDescent="0.2">
      <c r="A3271" s="17"/>
      <c r="B3271" s="17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  <c r="S3271" s="18"/>
      <c r="T3271" s="18"/>
    </row>
    <row r="3272" spans="1:20" x14ac:dyDescent="0.2">
      <c r="A3272" s="17"/>
      <c r="B3272" s="17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  <c r="S3272" s="18"/>
      <c r="T3272" s="18"/>
    </row>
    <row r="3273" spans="1:20" x14ac:dyDescent="0.2">
      <c r="A3273" s="17"/>
      <c r="B3273" s="17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  <c r="S3273" s="18"/>
      <c r="T3273" s="18"/>
    </row>
    <row r="3274" spans="1:20" x14ac:dyDescent="0.2">
      <c r="A3274" s="17"/>
      <c r="B3274" s="17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  <c r="S3274" s="18"/>
      <c r="T3274" s="18"/>
    </row>
    <row r="3275" spans="1:20" x14ac:dyDescent="0.2">
      <c r="A3275" s="17"/>
      <c r="B3275" s="17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  <c r="S3275" s="18"/>
      <c r="T3275" s="18"/>
    </row>
    <row r="3276" spans="1:20" x14ac:dyDescent="0.2">
      <c r="A3276" s="17"/>
      <c r="B3276" s="17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  <c r="S3276" s="18"/>
      <c r="T3276" s="18"/>
    </row>
    <row r="3277" spans="1:20" x14ac:dyDescent="0.2">
      <c r="A3277" s="17"/>
      <c r="B3277" s="17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  <c r="S3277" s="18"/>
      <c r="T3277" s="18"/>
    </row>
    <row r="3278" spans="1:20" x14ac:dyDescent="0.2">
      <c r="A3278" s="17"/>
      <c r="B3278" s="17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  <c r="S3278" s="18"/>
      <c r="T3278" s="18"/>
    </row>
    <row r="3279" spans="1:20" x14ac:dyDescent="0.2">
      <c r="A3279" s="17"/>
      <c r="B3279" s="17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  <c r="S3279" s="18"/>
      <c r="T3279" s="18"/>
    </row>
    <row r="3280" spans="1:20" x14ac:dyDescent="0.2">
      <c r="A3280" s="17"/>
      <c r="B3280" s="17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  <c r="T3280" s="18"/>
    </row>
    <row r="3281" spans="1:20" x14ac:dyDescent="0.2">
      <c r="A3281" s="17"/>
      <c r="B3281" s="17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  <c r="S3281" s="18"/>
      <c r="T3281" s="18"/>
    </row>
    <row r="3282" spans="1:20" x14ac:dyDescent="0.2">
      <c r="A3282" s="17"/>
      <c r="B3282" s="17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  <c r="S3282" s="18"/>
      <c r="T3282" s="18"/>
    </row>
    <row r="3283" spans="1:20" x14ac:dyDescent="0.2">
      <c r="A3283" s="17"/>
      <c r="B3283" s="17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  <c r="S3283" s="18"/>
      <c r="T3283" s="18"/>
    </row>
    <row r="3284" spans="1:20" x14ac:dyDescent="0.2">
      <c r="A3284" s="17"/>
      <c r="B3284" s="17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  <c r="S3284" s="18"/>
      <c r="T3284" s="18"/>
    </row>
    <row r="3285" spans="1:20" x14ac:dyDescent="0.2">
      <c r="A3285" s="17"/>
      <c r="B3285" s="17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  <c r="S3285" s="18"/>
      <c r="T3285" s="18"/>
    </row>
    <row r="3286" spans="1:20" x14ac:dyDescent="0.2">
      <c r="A3286" s="17"/>
      <c r="B3286" s="17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  <c r="T3286" s="18"/>
    </row>
    <row r="3287" spans="1:20" x14ac:dyDescent="0.2">
      <c r="A3287" s="17"/>
      <c r="B3287" s="17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  <c r="S3287" s="18"/>
      <c r="T3287" s="18"/>
    </row>
    <row r="3288" spans="1:20" x14ac:dyDescent="0.2">
      <c r="A3288" s="17"/>
      <c r="B3288" s="17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  <c r="S3288" s="18"/>
      <c r="T3288" s="18"/>
    </row>
    <row r="3289" spans="1:20" x14ac:dyDescent="0.2">
      <c r="A3289" s="17"/>
      <c r="B3289" s="17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  <c r="S3289" s="18"/>
      <c r="T3289" s="18"/>
    </row>
    <row r="3290" spans="1:20" x14ac:dyDescent="0.2">
      <c r="A3290" s="17"/>
      <c r="B3290" s="17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  <c r="S3290" s="18"/>
      <c r="T3290" s="18"/>
    </row>
    <row r="3291" spans="1:20" x14ac:dyDescent="0.2">
      <c r="A3291" s="17"/>
      <c r="B3291" s="17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  <c r="S3291" s="18"/>
      <c r="T3291" s="18"/>
    </row>
    <row r="3292" spans="1:20" x14ac:dyDescent="0.2">
      <c r="A3292" s="17"/>
      <c r="B3292" s="17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  <c r="S3292" s="18"/>
      <c r="T3292" s="18"/>
    </row>
    <row r="3293" spans="1:20" x14ac:dyDescent="0.2">
      <c r="A3293" s="17"/>
      <c r="B3293" s="17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  <c r="S3293" s="18"/>
      <c r="T3293" s="18"/>
    </row>
    <row r="3294" spans="1:20" x14ac:dyDescent="0.2">
      <c r="A3294" s="17"/>
      <c r="B3294" s="17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  <c r="S3294" s="18"/>
      <c r="T3294" s="18"/>
    </row>
    <row r="3295" spans="1:20" x14ac:dyDescent="0.2">
      <c r="A3295" s="17"/>
      <c r="B3295" s="17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  <c r="S3295" s="18"/>
      <c r="T3295" s="18"/>
    </row>
    <row r="3296" spans="1:20" x14ac:dyDescent="0.2">
      <c r="A3296" s="17"/>
      <c r="B3296" s="17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  <c r="S3296" s="18"/>
      <c r="T3296" s="18"/>
    </row>
    <row r="3297" spans="1:20" x14ac:dyDescent="0.2">
      <c r="A3297" s="17"/>
      <c r="B3297" s="17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  <c r="T3297" s="18"/>
    </row>
    <row r="3298" spans="1:20" x14ac:dyDescent="0.2">
      <c r="A3298" s="17"/>
      <c r="B3298" s="17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  <c r="S3298" s="18"/>
      <c r="T3298" s="18"/>
    </row>
    <row r="3299" spans="1:20" x14ac:dyDescent="0.2">
      <c r="A3299" s="17"/>
      <c r="B3299" s="17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  <c r="T3299" s="18"/>
    </row>
    <row r="3300" spans="1:20" x14ac:dyDescent="0.2">
      <c r="A3300" s="17"/>
      <c r="B3300" s="17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  <c r="S3300" s="18"/>
      <c r="T3300" s="18"/>
    </row>
    <row r="3301" spans="1:20" x14ac:dyDescent="0.2">
      <c r="A3301" s="17"/>
      <c r="B3301" s="17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  <c r="S3301" s="18"/>
      <c r="T3301" s="18"/>
    </row>
    <row r="3302" spans="1:20" x14ac:dyDescent="0.2">
      <c r="A3302" s="17"/>
      <c r="B3302" s="17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  <c r="S3302" s="18"/>
      <c r="T3302" s="18"/>
    </row>
    <row r="3303" spans="1:20" x14ac:dyDescent="0.2">
      <c r="A3303" s="17"/>
      <c r="B3303" s="17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  <c r="S3303" s="18"/>
      <c r="T3303" s="18"/>
    </row>
    <row r="3304" spans="1:20" x14ac:dyDescent="0.2">
      <c r="A3304" s="17"/>
      <c r="B3304" s="17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  <c r="S3304" s="18"/>
      <c r="T3304" s="18"/>
    </row>
    <row r="3305" spans="1:20" x14ac:dyDescent="0.2">
      <c r="A3305" s="17"/>
      <c r="B3305" s="17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  <c r="S3305" s="18"/>
      <c r="T3305" s="18"/>
    </row>
    <row r="3306" spans="1:20" x14ac:dyDescent="0.2">
      <c r="A3306" s="17"/>
      <c r="B3306" s="17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  <c r="S3306" s="18"/>
      <c r="T3306" s="18"/>
    </row>
    <row r="3307" spans="1:20" x14ac:dyDescent="0.2">
      <c r="A3307" s="17"/>
      <c r="B3307" s="17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  <c r="S3307" s="18"/>
      <c r="T3307" s="18"/>
    </row>
    <row r="3308" spans="1:20" x14ac:dyDescent="0.2">
      <c r="A3308" s="17"/>
      <c r="B3308" s="17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  <c r="S3308" s="18"/>
      <c r="T3308" s="18"/>
    </row>
    <row r="3309" spans="1:20" x14ac:dyDescent="0.2">
      <c r="A3309" s="17"/>
      <c r="B3309" s="17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  <c r="S3309" s="18"/>
      <c r="T3309" s="18"/>
    </row>
    <row r="3310" spans="1:20" x14ac:dyDescent="0.2">
      <c r="A3310" s="17"/>
      <c r="B3310" s="17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  <c r="S3310" s="18"/>
      <c r="T3310" s="18"/>
    </row>
    <row r="3311" spans="1:20" x14ac:dyDescent="0.2">
      <c r="A3311" s="17"/>
      <c r="B3311" s="17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  <c r="S3311" s="18"/>
      <c r="T3311" s="18"/>
    </row>
    <row r="3312" spans="1:20" x14ac:dyDescent="0.2">
      <c r="A3312" s="17"/>
      <c r="B3312" s="17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  <c r="S3312" s="18"/>
      <c r="T3312" s="18"/>
    </row>
    <row r="3313" spans="1:20" x14ac:dyDescent="0.2">
      <c r="A3313" s="17"/>
      <c r="B3313" s="17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  <c r="S3313" s="18"/>
      <c r="T3313" s="18"/>
    </row>
    <row r="3314" spans="1:20" x14ac:dyDescent="0.2">
      <c r="A3314" s="17"/>
      <c r="B3314" s="17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  <c r="S3314" s="18"/>
      <c r="T3314" s="18"/>
    </row>
    <row r="3315" spans="1:20" x14ac:dyDescent="0.2">
      <c r="A3315" s="17"/>
      <c r="B3315" s="17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  <c r="T3315" s="18"/>
    </row>
    <row r="3316" spans="1:20" x14ac:dyDescent="0.2">
      <c r="A3316" s="17"/>
      <c r="B3316" s="17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  <c r="S3316" s="18"/>
      <c r="T3316" s="18"/>
    </row>
    <row r="3317" spans="1:20" x14ac:dyDescent="0.2">
      <c r="A3317" s="17"/>
      <c r="B3317" s="17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  <c r="T3317" s="18"/>
    </row>
    <row r="3318" spans="1:20" x14ac:dyDescent="0.2">
      <c r="A3318" s="17"/>
      <c r="B3318" s="17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  <c r="T3318" s="18"/>
    </row>
    <row r="3319" spans="1:20" x14ac:dyDescent="0.2">
      <c r="A3319" s="17"/>
      <c r="B3319" s="17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  <c r="S3319" s="18"/>
      <c r="T3319" s="18"/>
    </row>
    <row r="3320" spans="1:20" x14ac:dyDescent="0.2">
      <c r="A3320" s="17"/>
      <c r="B3320" s="17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  <c r="T3320" s="18"/>
    </row>
    <row r="3321" spans="1:20" x14ac:dyDescent="0.2">
      <c r="A3321" s="17"/>
      <c r="B3321" s="17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  <c r="S3321" s="18"/>
      <c r="T3321" s="18"/>
    </row>
    <row r="3322" spans="1:20" x14ac:dyDescent="0.2">
      <c r="A3322" s="17"/>
      <c r="B3322" s="17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  <c r="T3322" s="18"/>
    </row>
    <row r="3323" spans="1:20" x14ac:dyDescent="0.2">
      <c r="A3323" s="17"/>
      <c r="B3323" s="17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  <c r="S3323" s="18"/>
      <c r="T3323" s="18"/>
    </row>
    <row r="3324" spans="1:20" x14ac:dyDescent="0.2">
      <c r="A3324" s="17"/>
      <c r="B3324" s="17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  <c r="T3324" s="18"/>
    </row>
    <row r="3325" spans="1:20" x14ac:dyDescent="0.2">
      <c r="A3325" s="17"/>
      <c r="B3325" s="17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  <c r="S3325" s="18"/>
      <c r="T3325" s="18"/>
    </row>
    <row r="3326" spans="1:20" x14ac:dyDescent="0.2">
      <c r="A3326" s="17"/>
      <c r="B3326" s="17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  <c r="S3326" s="18"/>
      <c r="T3326" s="18"/>
    </row>
    <row r="3327" spans="1:20" x14ac:dyDescent="0.2">
      <c r="A3327" s="17"/>
      <c r="B3327" s="17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  <c r="S3327" s="18"/>
      <c r="T3327" s="18"/>
    </row>
    <row r="3328" spans="1:20" x14ac:dyDescent="0.2">
      <c r="A3328" s="17"/>
      <c r="B3328" s="17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  <c r="S3328" s="18"/>
      <c r="T3328" s="18"/>
    </row>
    <row r="3329" spans="1:20" x14ac:dyDescent="0.2">
      <c r="A3329" s="17"/>
      <c r="B3329" s="17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  <c r="S3329" s="18"/>
      <c r="T3329" s="18"/>
    </row>
    <row r="3330" spans="1:20" x14ac:dyDescent="0.2">
      <c r="A3330" s="17"/>
      <c r="B3330" s="17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  <c r="S3330" s="18"/>
      <c r="T3330" s="18"/>
    </row>
    <row r="3331" spans="1:20" x14ac:dyDescent="0.2">
      <c r="A3331" s="17"/>
      <c r="B3331" s="17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  <c r="S3331" s="18"/>
      <c r="T3331" s="18"/>
    </row>
    <row r="3332" spans="1:20" x14ac:dyDescent="0.2">
      <c r="A3332" s="17"/>
      <c r="B3332" s="17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  <c r="S3332" s="18"/>
      <c r="T3332" s="18"/>
    </row>
    <row r="3333" spans="1:20" x14ac:dyDescent="0.2">
      <c r="A3333" s="17"/>
      <c r="B3333" s="17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  <c r="S3333" s="18"/>
      <c r="T3333" s="18"/>
    </row>
    <row r="3334" spans="1:20" x14ac:dyDescent="0.2">
      <c r="A3334" s="17"/>
      <c r="B3334" s="17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  <c r="S3334" s="18"/>
      <c r="T3334" s="18"/>
    </row>
    <row r="3335" spans="1:20" x14ac:dyDescent="0.2">
      <c r="A3335" s="17"/>
      <c r="B3335" s="17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  <c r="T3335" s="18"/>
    </row>
    <row r="3336" spans="1:20" x14ac:dyDescent="0.2">
      <c r="A3336" s="17"/>
      <c r="B3336" s="17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  <c r="S3336" s="18"/>
      <c r="T3336" s="18"/>
    </row>
    <row r="3337" spans="1:20" x14ac:dyDescent="0.2">
      <c r="A3337" s="17"/>
      <c r="B3337" s="17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  <c r="S3337" s="18"/>
      <c r="T3337" s="18"/>
    </row>
    <row r="3338" spans="1:20" x14ac:dyDescent="0.2">
      <c r="A3338" s="17"/>
      <c r="B3338" s="17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  <c r="T3338" s="18"/>
    </row>
    <row r="3339" spans="1:20" x14ac:dyDescent="0.2">
      <c r="A3339" s="17"/>
      <c r="B3339" s="17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  <c r="T3339" s="18"/>
    </row>
    <row r="3340" spans="1:20" x14ac:dyDescent="0.2">
      <c r="A3340" s="17"/>
      <c r="B3340" s="17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  <c r="S3340" s="18"/>
      <c r="T3340" s="18"/>
    </row>
    <row r="3341" spans="1:20" x14ac:dyDescent="0.2">
      <c r="A3341" s="17"/>
      <c r="B3341" s="17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  <c r="T3341" s="18"/>
    </row>
    <row r="3342" spans="1:20" x14ac:dyDescent="0.2">
      <c r="A3342" s="17"/>
      <c r="B3342" s="17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  <c r="S3342" s="18"/>
      <c r="T3342" s="18"/>
    </row>
    <row r="3343" spans="1:20" x14ac:dyDescent="0.2">
      <c r="A3343" s="17"/>
      <c r="B3343" s="17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  <c r="T3343" s="18"/>
    </row>
    <row r="3344" spans="1:20" x14ac:dyDescent="0.2">
      <c r="A3344" s="17"/>
      <c r="B3344" s="17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  <c r="S3344" s="18"/>
      <c r="T3344" s="18"/>
    </row>
    <row r="3345" spans="1:20" x14ac:dyDescent="0.2">
      <c r="A3345" s="17"/>
      <c r="B3345" s="17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  <c r="T3345" s="18"/>
    </row>
    <row r="3346" spans="1:20" x14ac:dyDescent="0.2">
      <c r="A3346" s="17"/>
      <c r="B3346" s="17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  <c r="S3346" s="18"/>
      <c r="T3346" s="18"/>
    </row>
    <row r="3347" spans="1:20" x14ac:dyDescent="0.2">
      <c r="A3347" s="17"/>
      <c r="B3347" s="17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  <c r="S3347" s="18"/>
      <c r="T3347" s="18"/>
    </row>
    <row r="3348" spans="1:20" x14ac:dyDescent="0.2">
      <c r="A3348" s="17"/>
      <c r="B3348" s="17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  <c r="S3348" s="18"/>
      <c r="T3348" s="18"/>
    </row>
    <row r="3349" spans="1:20" x14ac:dyDescent="0.2">
      <c r="A3349" s="17"/>
      <c r="B3349" s="17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  <c r="S3349" s="18"/>
      <c r="T3349" s="18"/>
    </row>
    <row r="3350" spans="1:20" x14ac:dyDescent="0.2">
      <c r="A3350" s="17"/>
      <c r="B3350" s="17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  <c r="S3350" s="18"/>
      <c r="T3350" s="18"/>
    </row>
    <row r="3351" spans="1:20" x14ac:dyDescent="0.2">
      <c r="A3351" s="17"/>
      <c r="B3351" s="17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  <c r="S3351" s="18"/>
      <c r="T3351" s="18"/>
    </row>
    <row r="3352" spans="1:20" x14ac:dyDescent="0.2">
      <c r="A3352" s="17"/>
      <c r="B3352" s="17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  <c r="S3352" s="18"/>
      <c r="T3352" s="18"/>
    </row>
    <row r="3353" spans="1:20" x14ac:dyDescent="0.2">
      <c r="A3353" s="17"/>
      <c r="B3353" s="17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  <c r="S3353" s="18"/>
      <c r="T3353" s="18"/>
    </row>
    <row r="3354" spans="1:20" x14ac:dyDescent="0.2">
      <c r="A3354" s="17"/>
      <c r="B3354" s="17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  <c r="S3354" s="18"/>
      <c r="T3354" s="18"/>
    </row>
    <row r="3355" spans="1:20" x14ac:dyDescent="0.2">
      <c r="A3355" s="17"/>
      <c r="B3355" s="17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  <c r="S3355" s="18"/>
      <c r="T3355" s="18"/>
    </row>
    <row r="3356" spans="1:20" x14ac:dyDescent="0.2">
      <c r="A3356" s="17"/>
      <c r="B3356" s="17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  <c r="S3356" s="18"/>
      <c r="T3356" s="18"/>
    </row>
    <row r="3357" spans="1:20" x14ac:dyDescent="0.2">
      <c r="A3357" s="17"/>
      <c r="B3357" s="17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  <c r="S3357" s="18"/>
      <c r="T3357" s="18"/>
    </row>
    <row r="3358" spans="1:20" x14ac:dyDescent="0.2">
      <c r="A3358" s="17"/>
      <c r="B3358" s="17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  <c r="S3358" s="18"/>
      <c r="T3358" s="18"/>
    </row>
    <row r="3359" spans="1:20" x14ac:dyDescent="0.2">
      <c r="A3359" s="17"/>
      <c r="B3359" s="17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  <c r="S3359" s="18"/>
      <c r="T3359" s="18"/>
    </row>
    <row r="3360" spans="1:20" x14ac:dyDescent="0.2">
      <c r="A3360" s="17"/>
      <c r="B3360" s="17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  <c r="S3360" s="18"/>
      <c r="T3360" s="18"/>
    </row>
    <row r="3361" spans="1:20" x14ac:dyDescent="0.2">
      <c r="A3361" s="17"/>
      <c r="B3361" s="17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  <c r="S3361" s="18"/>
      <c r="T3361" s="18"/>
    </row>
    <row r="3362" spans="1:20" x14ac:dyDescent="0.2">
      <c r="A3362" s="17"/>
      <c r="B3362" s="17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  <c r="S3362" s="18"/>
      <c r="T3362" s="18"/>
    </row>
    <row r="3363" spans="1:20" x14ac:dyDescent="0.2">
      <c r="A3363" s="17"/>
      <c r="B3363" s="17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  <c r="S3363" s="18"/>
      <c r="T3363" s="18"/>
    </row>
    <row r="3364" spans="1:20" x14ac:dyDescent="0.2">
      <c r="A3364" s="17"/>
      <c r="B3364" s="17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  <c r="S3364" s="18"/>
      <c r="T3364" s="18"/>
    </row>
    <row r="3365" spans="1:20" x14ac:dyDescent="0.2">
      <c r="A3365" s="17"/>
      <c r="B3365" s="17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  <c r="S3365" s="18"/>
      <c r="T3365" s="18"/>
    </row>
    <row r="3366" spans="1:20" x14ac:dyDescent="0.2">
      <c r="A3366" s="17"/>
      <c r="B3366" s="17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  <c r="S3366" s="18"/>
      <c r="T3366" s="18"/>
    </row>
    <row r="3367" spans="1:20" x14ac:dyDescent="0.2">
      <c r="A3367" s="17"/>
      <c r="B3367" s="17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  <c r="S3367" s="18"/>
      <c r="T3367" s="18"/>
    </row>
    <row r="3368" spans="1:20" x14ac:dyDescent="0.2">
      <c r="A3368" s="17"/>
      <c r="B3368" s="17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  <c r="S3368" s="18"/>
      <c r="T3368" s="18"/>
    </row>
    <row r="3369" spans="1:20" x14ac:dyDescent="0.2">
      <c r="A3369" s="17"/>
      <c r="B3369" s="17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  <c r="S3369" s="18"/>
      <c r="T3369" s="18"/>
    </row>
    <row r="3370" spans="1:20" x14ac:dyDescent="0.2">
      <c r="A3370" s="17"/>
      <c r="B3370" s="17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  <c r="S3370" s="18"/>
      <c r="T3370" s="18"/>
    </row>
    <row r="3371" spans="1:20" x14ac:dyDescent="0.2">
      <c r="A3371" s="17"/>
      <c r="B3371" s="17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  <c r="S3371" s="18"/>
      <c r="T3371" s="18"/>
    </row>
    <row r="3372" spans="1:20" x14ac:dyDescent="0.2">
      <c r="A3372" s="17"/>
      <c r="B3372" s="17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  <c r="S3372" s="18"/>
      <c r="T3372" s="18"/>
    </row>
    <row r="3373" spans="1:20" x14ac:dyDescent="0.2">
      <c r="A3373" s="17"/>
      <c r="B3373" s="17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  <c r="S3373" s="18"/>
      <c r="T3373" s="18"/>
    </row>
    <row r="3374" spans="1:20" x14ac:dyDescent="0.2">
      <c r="A3374" s="17"/>
      <c r="B3374" s="17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  <c r="S3374" s="18"/>
      <c r="T3374" s="18"/>
    </row>
    <row r="3375" spans="1:20" x14ac:dyDescent="0.2">
      <c r="A3375" s="17"/>
      <c r="B3375" s="17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  <c r="S3375" s="18"/>
      <c r="T3375" s="18"/>
    </row>
    <row r="3376" spans="1:20" x14ac:dyDescent="0.2">
      <c r="A3376" s="17"/>
      <c r="B3376" s="17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  <c r="S3376" s="18"/>
      <c r="T3376" s="18"/>
    </row>
    <row r="3377" spans="1:20" x14ac:dyDescent="0.2">
      <c r="A3377" s="17"/>
      <c r="B3377" s="17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  <c r="T3377" s="18"/>
    </row>
    <row r="3378" spans="1:20" x14ac:dyDescent="0.2">
      <c r="A3378" s="17"/>
      <c r="B3378" s="17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  <c r="S3378" s="18"/>
      <c r="T3378" s="18"/>
    </row>
    <row r="3379" spans="1:20" x14ac:dyDescent="0.2">
      <c r="A3379" s="17"/>
      <c r="B3379" s="17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  <c r="S3379" s="18"/>
      <c r="T3379" s="18"/>
    </row>
    <row r="3380" spans="1:20" x14ac:dyDescent="0.2">
      <c r="A3380" s="17"/>
      <c r="B3380" s="17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  <c r="S3380" s="18"/>
      <c r="T3380" s="18"/>
    </row>
    <row r="3381" spans="1:20" x14ac:dyDescent="0.2">
      <c r="A3381" s="17"/>
      <c r="B3381" s="17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  <c r="S3381" s="18"/>
      <c r="T3381" s="18"/>
    </row>
    <row r="3382" spans="1:20" x14ac:dyDescent="0.2">
      <c r="A3382" s="17"/>
      <c r="B3382" s="17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  <c r="S3382" s="18"/>
      <c r="T3382" s="18"/>
    </row>
    <row r="3383" spans="1:20" x14ac:dyDescent="0.2">
      <c r="A3383" s="17"/>
      <c r="B3383" s="17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  <c r="S3383" s="18"/>
      <c r="T3383" s="18"/>
    </row>
    <row r="3384" spans="1:20" x14ac:dyDescent="0.2">
      <c r="A3384" s="17"/>
      <c r="B3384" s="17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  <c r="S3384" s="18"/>
      <c r="T3384" s="18"/>
    </row>
    <row r="3385" spans="1:20" x14ac:dyDescent="0.2">
      <c r="A3385" s="17"/>
      <c r="B3385" s="17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  <c r="S3385" s="18"/>
      <c r="T3385" s="18"/>
    </row>
    <row r="3386" spans="1:20" x14ac:dyDescent="0.2">
      <c r="A3386" s="17"/>
      <c r="B3386" s="17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  <c r="S3386" s="18"/>
      <c r="T3386" s="18"/>
    </row>
    <row r="3387" spans="1:20" x14ac:dyDescent="0.2">
      <c r="A3387" s="17"/>
      <c r="B3387" s="17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  <c r="S3387" s="18"/>
      <c r="T3387" s="18"/>
    </row>
    <row r="3388" spans="1:20" x14ac:dyDescent="0.2">
      <c r="A3388" s="17"/>
      <c r="B3388" s="17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  <c r="S3388" s="18"/>
      <c r="T3388" s="18"/>
    </row>
    <row r="3389" spans="1:20" x14ac:dyDescent="0.2">
      <c r="A3389" s="17"/>
      <c r="B3389" s="17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  <c r="S3389" s="18"/>
      <c r="T3389" s="18"/>
    </row>
    <row r="3390" spans="1:20" x14ac:dyDescent="0.2">
      <c r="A3390" s="17"/>
      <c r="B3390" s="17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  <c r="S3390" s="18"/>
      <c r="T3390" s="18"/>
    </row>
    <row r="3391" spans="1:20" x14ac:dyDescent="0.2">
      <c r="A3391" s="17"/>
      <c r="B3391" s="17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  <c r="S3391" s="18"/>
      <c r="T3391" s="18"/>
    </row>
    <row r="3392" spans="1:20" x14ac:dyDescent="0.2">
      <c r="A3392" s="17"/>
      <c r="B3392" s="17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  <c r="S3392" s="18"/>
      <c r="T3392" s="18"/>
    </row>
    <row r="3393" spans="1:20" x14ac:dyDescent="0.2">
      <c r="A3393" s="17"/>
      <c r="B3393" s="17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  <c r="S3393" s="18"/>
      <c r="T3393" s="18"/>
    </row>
    <row r="3394" spans="1:20" x14ac:dyDescent="0.2">
      <c r="A3394" s="17"/>
      <c r="B3394" s="17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  <c r="S3394" s="18"/>
      <c r="T3394" s="18"/>
    </row>
    <row r="3395" spans="1:20" x14ac:dyDescent="0.2">
      <c r="A3395" s="17"/>
      <c r="B3395" s="17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  <c r="T3395" s="18"/>
    </row>
    <row r="3396" spans="1:20" x14ac:dyDescent="0.2">
      <c r="A3396" s="17"/>
      <c r="B3396" s="17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  <c r="S3396" s="18"/>
      <c r="T3396" s="18"/>
    </row>
    <row r="3397" spans="1:20" x14ac:dyDescent="0.2">
      <c r="A3397" s="17"/>
      <c r="B3397" s="17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  <c r="S3397" s="18"/>
      <c r="T3397" s="18"/>
    </row>
    <row r="3398" spans="1:20" x14ac:dyDescent="0.2">
      <c r="A3398" s="17"/>
      <c r="B3398" s="17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  <c r="S3398" s="18"/>
      <c r="T3398" s="18"/>
    </row>
    <row r="3399" spans="1:20" x14ac:dyDescent="0.2">
      <c r="A3399" s="17"/>
      <c r="B3399" s="17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  <c r="S3399" s="18"/>
      <c r="T3399" s="18"/>
    </row>
    <row r="3400" spans="1:20" x14ac:dyDescent="0.2">
      <c r="A3400" s="17"/>
      <c r="B3400" s="17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  <c r="S3400" s="18"/>
      <c r="T3400" s="18"/>
    </row>
    <row r="3401" spans="1:20" x14ac:dyDescent="0.2">
      <c r="A3401" s="17"/>
      <c r="B3401" s="17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  <c r="S3401" s="18"/>
      <c r="T3401" s="18"/>
    </row>
    <row r="3402" spans="1:20" x14ac:dyDescent="0.2">
      <c r="A3402" s="17"/>
      <c r="B3402" s="17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  <c r="S3402" s="18"/>
      <c r="T3402" s="18"/>
    </row>
    <row r="3403" spans="1:20" x14ac:dyDescent="0.2">
      <c r="A3403" s="17"/>
      <c r="B3403" s="17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  <c r="S3403" s="18"/>
      <c r="T3403" s="18"/>
    </row>
    <row r="3404" spans="1:20" x14ac:dyDescent="0.2">
      <c r="A3404" s="17"/>
      <c r="B3404" s="17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  <c r="S3404" s="18"/>
      <c r="T3404" s="18"/>
    </row>
    <row r="3405" spans="1:20" x14ac:dyDescent="0.2">
      <c r="A3405" s="17"/>
      <c r="B3405" s="17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  <c r="S3405" s="18"/>
      <c r="T3405" s="18"/>
    </row>
    <row r="3406" spans="1:20" x14ac:dyDescent="0.2">
      <c r="A3406" s="17"/>
      <c r="B3406" s="17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  <c r="S3406" s="18"/>
      <c r="T3406" s="18"/>
    </row>
    <row r="3407" spans="1:20" x14ac:dyDescent="0.2">
      <c r="A3407" s="17"/>
      <c r="B3407" s="17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  <c r="S3407" s="18"/>
      <c r="T3407" s="18"/>
    </row>
    <row r="3408" spans="1:20" x14ac:dyDescent="0.2">
      <c r="A3408" s="17"/>
      <c r="B3408" s="17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  <c r="S3408" s="18"/>
      <c r="T3408" s="18"/>
    </row>
    <row r="3409" spans="1:20" x14ac:dyDescent="0.2">
      <c r="A3409" s="17"/>
      <c r="B3409" s="17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  <c r="S3409" s="18"/>
      <c r="T3409" s="18"/>
    </row>
    <row r="3410" spans="1:20" x14ac:dyDescent="0.2">
      <c r="A3410" s="17"/>
      <c r="B3410" s="17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  <c r="S3410" s="18"/>
      <c r="T3410" s="18"/>
    </row>
    <row r="3411" spans="1:20" x14ac:dyDescent="0.2">
      <c r="A3411" s="17"/>
      <c r="B3411" s="17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  <c r="S3411" s="18"/>
      <c r="T3411" s="18"/>
    </row>
    <row r="3412" spans="1:20" x14ac:dyDescent="0.2">
      <c r="A3412" s="17"/>
      <c r="B3412" s="17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  <c r="S3412" s="18"/>
      <c r="T3412" s="18"/>
    </row>
    <row r="3413" spans="1:20" x14ac:dyDescent="0.2">
      <c r="A3413" s="17"/>
      <c r="B3413" s="17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  <c r="S3413" s="18"/>
      <c r="T3413" s="18"/>
    </row>
    <row r="3414" spans="1:20" x14ac:dyDescent="0.2">
      <c r="A3414" s="17"/>
      <c r="B3414" s="17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  <c r="S3414" s="18"/>
      <c r="T3414" s="18"/>
    </row>
    <row r="3415" spans="1:20" x14ac:dyDescent="0.2">
      <c r="A3415" s="17"/>
      <c r="B3415" s="17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  <c r="S3415" s="18"/>
      <c r="T3415" s="18"/>
    </row>
    <row r="3416" spans="1:20" x14ac:dyDescent="0.2">
      <c r="A3416" s="17"/>
      <c r="B3416" s="17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  <c r="S3416" s="18"/>
      <c r="T3416" s="18"/>
    </row>
    <row r="3417" spans="1:20" x14ac:dyDescent="0.2">
      <c r="A3417" s="17"/>
      <c r="B3417" s="17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  <c r="S3417" s="18"/>
      <c r="T3417" s="18"/>
    </row>
    <row r="3418" spans="1:20" x14ac:dyDescent="0.2">
      <c r="A3418" s="17"/>
      <c r="B3418" s="17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  <c r="S3418" s="18"/>
      <c r="T3418" s="18"/>
    </row>
    <row r="3419" spans="1:20" x14ac:dyDescent="0.2">
      <c r="A3419" s="17"/>
      <c r="B3419" s="17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  <c r="S3419" s="18"/>
      <c r="T3419" s="18"/>
    </row>
    <row r="3420" spans="1:20" x14ac:dyDescent="0.2">
      <c r="A3420" s="17"/>
      <c r="B3420" s="17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  <c r="S3420" s="18"/>
      <c r="T3420" s="18"/>
    </row>
    <row r="3421" spans="1:20" x14ac:dyDescent="0.2">
      <c r="A3421" s="17"/>
      <c r="B3421" s="17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  <c r="S3421" s="18"/>
      <c r="T3421" s="18"/>
    </row>
    <row r="3422" spans="1:20" x14ac:dyDescent="0.2">
      <c r="A3422" s="17"/>
      <c r="B3422" s="17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  <c r="S3422" s="18"/>
      <c r="T3422" s="18"/>
    </row>
    <row r="3423" spans="1:20" x14ac:dyDescent="0.2">
      <c r="A3423" s="17"/>
      <c r="B3423" s="17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  <c r="S3423" s="18"/>
      <c r="T3423" s="18"/>
    </row>
    <row r="3424" spans="1:20" x14ac:dyDescent="0.2">
      <c r="A3424" s="17"/>
      <c r="B3424" s="17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  <c r="S3424" s="18"/>
      <c r="T3424" s="18"/>
    </row>
    <row r="3425" spans="1:20" x14ac:dyDescent="0.2">
      <c r="A3425" s="17"/>
      <c r="B3425" s="17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  <c r="S3425" s="18"/>
      <c r="T3425" s="18"/>
    </row>
    <row r="3426" spans="1:20" x14ac:dyDescent="0.2">
      <c r="A3426" s="17"/>
      <c r="B3426" s="17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  <c r="S3426" s="18"/>
      <c r="T3426" s="18"/>
    </row>
    <row r="3427" spans="1:20" x14ac:dyDescent="0.2">
      <c r="A3427" s="17"/>
      <c r="B3427" s="17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  <c r="S3427" s="18"/>
      <c r="T3427" s="18"/>
    </row>
    <row r="3428" spans="1:20" x14ac:dyDescent="0.2">
      <c r="A3428" s="17"/>
      <c r="B3428" s="17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  <c r="S3428" s="18"/>
      <c r="T3428" s="18"/>
    </row>
    <row r="3429" spans="1:20" x14ac:dyDescent="0.2">
      <c r="A3429" s="17"/>
      <c r="B3429" s="17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  <c r="S3429" s="18"/>
      <c r="T3429" s="18"/>
    </row>
    <row r="3430" spans="1:20" x14ac:dyDescent="0.2">
      <c r="A3430" s="17"/>
      <c r="B3430" s="17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  <c r="S3430" s="18"/>
      <c r="T3430" s="18"/>
    </row>
    <row r="3431" spans="1:20" x14ac:dyDescent="0.2">
      <c r="A3431" s="17"/>
      <c r="B3431" s="17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  <c r="S3431" s="18"/>
      <c r="T3431" s="18"/>
    </row>
    <row r="3432" spans="1:20" x14ac:dyDescent="0.2">
      <c r="A3432" s="17"/>
      <c r="B3432" s="17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  <c r="S3432" s="18"/>
      <c r="T3432" s="18"/>
    </row>
    <row r="3433" spans="1:20" x14ac:dyDescent="0.2">
      <c r="A3433" s="17"/>
      <c r="B3433" s="17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  <c r="S3433" s="18"/>
      <c r="T3433" s="18"/>
    </row>
    <row r="3434" spans="1:20" x14ac:dyDescent="0.2">
      <c r="A3434" s="17"/>
      <c r="B3434" s="17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  <c r="S3434" s="18"/>
      <c r="T3434" s="18"/>
    </row>
    <row r="3435" spans="1:20" x14ac:dyDescent="0.2">
      <c r="A3435" s="17"/>
      <c r="B3435" s="17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  <c r="S3435" s="18"/>
      <c r="T3435" s="18"/>
    </row>
    <row r="3436" spans="1:20" x14ac:dyDescent="0.2">
      <c r="A3436" s="17"/>
      <c r="B3436" s="17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  <c r="S3436" s="18"/>
      <c r="T3436" s="18"/>
    </row>
    <row r="3437" spans="1:20" x14ac:dyDescent="0.2">
      <c r="A3437" s="17"/>
      <c r="B3437" s="17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  <c r="S3437" s="18"/>
      <c r="T3437" s="18"/>
    </row>
    <row r="3438" spans="1:20" x14ac:dyDescent="0.2">
      <c r="A3438" s="17"/>
      <c r="B3438" s="17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  <c r="S3438" s="18"/>
      <c r="T3438" s="18"/>
    </row>
    <row r="3439" spans="1:20" x14ac:dyDescent="0.2">
      <c r="A3439" s="17"/>
      <c r="B3439" s="17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  <c r="S3439" s="18"/>
      <c r="T3439" s="18"/>
    </row>
    <row r="3440" spans="1:20" x14ac:dyDescent="0.2">
      <c r="A3440" s="17"/>
      <c r="B3440" s="17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  <c r="S3440" s="18"/>
      <c r="T3440" s="18"/>
    </row>
    <row r="3441" spans="1:20" x14ac:dyDescent="0.2">
      <c r="A3441" s="17"/>
      <c r="B3441" s="17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  <c r="S3441" s="18"/>
      <c r="T3441" s="18"/>
    </row>
    <row r="3442" spans="1:20" x14ac:dyDescent="0.2">
      <c r="A3442" s="17"/>
      <c r="B3442" s="17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  <c r="S3442" s="18"/>
      <c r="T3442" s="18"/>
    </row>
    <row r="3443" spans="1:20" x14ac:dyDescent="0.2">
      <c r="A3443" s="17"/>
      <c r="B3443" s="17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  <c r="S3443" s="18"/>
      <c r="T3443" s="18"/>
    </row>
    <row r="3444" spans="1:20" x14ac:dyDescent="0.2">
      <c r="A3444" s="17"/>
      <c r="B3444" s="17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  <c r="S3444" s="18"/>
      <c r="T3444" s="18"/>
    </row>
    <row r="3445" spans="1:20" x14ac:dyDescent="0.2">
      <c r="A3445" s="17"/>
      <c r="B3445" s="17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  <c r="S3445" s="18"/>
      <c r="T3445" s="18"/>
    </row>
    <row r="3446" spans="1:20" x14ac:dyDescent="0.2">
      <c r="A3446" s="17"/>
      <c r="B3446" s="17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  <c r="S3446" s="18"/>
      <c r="T3446" s="18"/>
    </row>
    <row r="3447" spans="1:20" x14ac:dyDescent="0.2">
      <c r="A3447" s="17"/>
      <c r="B3447" s="17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  <c r="S3447" s="18"/>
      <c r="T3447" s="18"/>
    </row>
    <row r="3448" spans="1:20" x14ac:dyDescent="0.2">
      <c r="A3448" s="17"/>
      <c r="B3448" s="17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  <c r="S3448" s="18"/>
      <c r="T3448" s="18"/>
    </row>
    <row r="3449" spans="1:20" x14ac:dyDescent="0.2">
      <c r="A3449" s="17"/>
      <c r="B3449" s="17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  <c r="S3449" s="18"/>
      <c r="T3449" s="18"/>
    </row>
    <row r="3450" spans="1:20" x14ac:dyDescent="0.2">
      <c r="A3450" s="17"/>
      <c r="B3450" s="17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  <c r="S3450" s="18"/>
      <c r="T3450" s="18"/>
    </row>
    <row r="3451" spans="1:20" x14ac:dyDescent="0.2">
      <c r="A3451" s="17"/>
      <c r="B3451" s="17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  <c r="S3451" s="18"/>
      <c r="T3451" s="18"/>
    </row>
    <row r="3452" spans="1:20" x14ac:dyDescent="0.2">
      <c r="A3452" s="17"/>
      <c r="B3452" s="17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  <c r="S3452" s="18"/>
      <c r="T3452" s="18"/>
    </row>
    <row r="3453" spans="1:20" x14ac:dyDescent="0.2">
      <c r="A3453" s="17"/>
      <c r="B3453" s="17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  <c r="S3453" s="18"/>
      <c r="T3453" s="18"/>
    </row>
    <row r="3454" spans="1:20" x14ac:dyDescent="0.2">
      <c r="A3454" s="17"/>
      <c r="B3454" s="17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  <c r="S3454" s="18"/>
      <c r="T3454" s="18"/>
    </row>
    <row r="3455" spans="1:20" x14ac:dyDescent="0.2">
      <c r="A3455" s="17"/>
      <c r="B3455" s="17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  <c r="S3455" s="18"/>
      <c r="T3455" s="18"/>
    </row>
    <row r="3456" spans="1:20" x14ac:dyDescent="0.2">
      <c r="A3456" s="17"/>
      <c r="B3456" s="17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  <c r="S3456" s="18"/>
      <c r="T3456" s="18"/>
    </row>
    <row r="3457" spans="1:20" x14ac:dyDescent="0.2">
      <c r="A3457" s="17"/>
      <c r="B3457" s="17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  <c r="S3457" s="18"/>
      <c r="T3457" s="18"/>
    </row>
    <row r="3458" spans="1:20" x14ac:dyDescent="0.2">
      <c r="A3458" s="17"/>
      <c r="B3458" s="17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  <c r="S3458" s="18"/>
      <c r="T3458" s="18"/>
    </row>
    <row r="3459" spans="1:20" x14ac:dyDescent="0.2">
      <c r="A3459" s="17"/>
      <c r="B3459" s="17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18"/>
      <c r="S3459" s="18"/>
      <c r="T3459" s="18"/>
    </row>
    <row r="3460" spans="1:20" x14ac:dyDescent="0.2">
      <c r="A3460" s="17"/>
      <c r="B3460" s="17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8"/>
      <c r="R3460" s="18"/>
      <c r="S3460" s="18"/>
      <c r="T3460" s="18"/>
    </row>
    <row r="3461" spans="1:20" x14ac:dyDescent="0.2">
      <c r="A3461" s="17"/>
      <c r="B3461" s="17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  <c r="S3461" s="18"/>
      <c r="T3461" s="18"/>
    </row>
    <row r="3462" spans="1:20" x14ac:dyDescent="0.2">
      <c r="A3462" s="17"/>
      <c r="B3462" s="17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18"/>
      <c r="S3462" s="18"/>
      <c r="T3462" s="18"/>
    </row>
    <row r="3463" spans="1:20" x14ac:dyDescent="0.2">
      <c r="A3463" s="17"/>
      <c r="B3463" s="17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  <c r="S3463" s="18"/>
      <c r="T3463" s="18"/>
    </row>
    <row r="3464" spans="1:20" x14ac:dyDescent="0.2">
      <c r="A3464" s="17"/>
      <c r="B3464" s="17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18"/>
      <c r="S3464" s="18"/>
      <c r="T3464" s="18"/>
    </row>
    <row r="3465" spans="1:20" x14ac:dyDescent="0.2">
      <c r="A3465" s="17"/>
      <c r="B3465" s="17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18"/>
      <c r="S3465" s="18"/>
      <c r="T3465" s="18"/>
    </row>
    <row r="3466" spans="1:20" x14ac:dyDescent="0.2">
      <c r="A3466" s="17"/>
      <c r="B3466" s="17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  <c r="S3466" s="18"/>
      <c r="T3466" s="18"/>
    </row>
    <row r="3467" spans="1:20" x14ac:dyDescent="0.2">
      <c r="A3467" s="17"/>
      <c r="B3467" s="17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18"/>
      <c r="S3467" s="18"/>
      <c r="T3467" s="18"/>
    </row>
    <row r="3468" spans="1:20" x14ac:dyDescent="0.2">
      <c r="A3468" s="17"/>
      <c r="B3468" s="17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18"/>
      <c r="S3468" s="18"/>
      <c r="T3468" s="18"/>
    </row>
    <row r="3469" spans="1:20" x14ac:dyDescent="0.2">
      <c r="A3469" s="17"/>
      <c r="B3469" s="17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  <c r="S3469" s="18"/>
      <c r="T3469" s="18"/>
    </row>
    <row r="3470" spans="1:20" x14ac:dyDescent="0.2">
      <c r="A3470" s="17"/>
      <c r="B3470" s="17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18"/>
      <c r="S3470" s="18"/>
      <c r="T3470" s="18"/>
    </row>
    <row r="3471" spans="1:20" x14ac:dyDescent="0.2">
      <c r="A3471" s="17"/>
      <c r="B3471" s="17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  <c r="S3471" s="18"/>
      <c r="T3471" s="18"/>
    </row>
    <row r="3472" spans="1:20" x14ac:dyDescent="0.2">
      <c r="A3472" s="17"/>
      <c r="B3472" s="17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18"/>
      <c r="S3472" s="18"/>
      <c r="T3472" s="18"/>
    </row>
    <row r="3473" spans="1:20" x14ac:dyDescent="0.2">
      <c r="A3473" s="17"/>
      <c r="B3473" s="17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18"/>
      <c r="S3473" s="18"/>
      <c r="T3473" s="18"/>
    </row>
    <row r="3474" spans="1:20" x14ac:dyDescent="0.2">
      <c r="A3474" s="17"/>
      <c r="B3474" s="17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  <c r="S3474" s="18"/>
      <c r="T3474" s="18"/>
    </row>
    <row r="3475" spans="1:20" x14ac:dyDescent="0.2">
      <c r="A3475" s="17"/>
      <c r="B3475" s="17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  <c r="S3475" s="18"/>
      <c r="T3475" s="18"/>
    </row>
    <row r="3476" spans="1:20" x14ac:dyDescent="0.2">
      <c r="A3476" s="17"/>
      <c r="B3476" s="17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18"/>
      <c r="S3476" s="18"/>
      <c r="T3476" s="18"/>
    </row>
    <row r="3477" spans="1:20" x14ac:dyDescent="0.2">
      <c r="A3477" s="17"/>
      <c r="B3477" s="17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  <c r="S3477" s="18"/>
      <c r="T3477" s="18"/>
    </row>
    <row r="3478" spans="1:20" x14ac:dyDescent="0.2">
      <c r="A3478" s="17"/>
      <c r="B3478" s="17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18"/>
      <c r="S3478" s="18"/>
      <c r="T3478" s="18"/>
    </row>
    <row r="3479" spans="1:20" x14ac:dyDescent="0.2">
      <c r="A3479" s="17"/>
      <c r="B3479" s="17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  <c r="S3479" s="18"/>
      <c r="T3479" s="18"/>
    </row>
    <row r="3480" spans="1:20" x14ac:dyDescent="0.2">
      <c r="A3480" s="17"/>
      <c r="B3480" s="17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18"/>
      <c r="S3480" s="18"/>
      <c r="T3480" s="18"/>
    </row>
    <row r="3481" spans="1:20" x14ac:dyDescent="0.2">
      <c r="A3481" s="17"/>
      <c r="B3481" s="17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  <c r="S3481" s="18"/>
      <c r="T3481" s="18"/>
    </row>
    <row r="3482" spans="1:20" x14ac:dyDescent="0.2">
      <c r="A3482" s="17"/>
      <c r="B3482" s="17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  <c r="S3482" s="18"/>
      <c r="T3482" s="18"/>
    </row>
    <row r="3483" spans="1:20" x14ac:dyDescent="0.2">
      <c r="A3483" s="17"/>
      <c r="B3483" s="17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  <c r="S3483" s="18"/>
      <c r="T3483" s="18"/>
    </row>
    <row r="3484" spans="1:20" x14ac:dyDescent="0.2">
      <c r="A3484" s="17"/>
      <c r="B3484" s="17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  <c r="S3484" s="18"/>
      <c r="T3484" s="18"/>
    </row>
    <row r="3485" spans="1:20" x14ac:dyDescent="0.2">
      <c r="A3485" s="17"/>
      <c r="B3485" s="17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  <c r="S3485" s="18"/>
      <c r="T3485" s="18"/>
    </row>
    <row r="3486" spans="1:20" x14ac:dyDescent="0.2">
      <c r="A3486" s="17"/>
      <c r="B3486" s="17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18"/>
      <c r="S3486" s="18"/>
      <c r="T3486" s="18"/>
    </row>
    <row r="3487" spans="1:20" x14ac:dyDescent="0.2">
      <c r="A3487" s="17"/>
      <c r="B3487" s="17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  <c r="S3487" s="18"/>
      <c r="T3487" s="18"/>
    </row>
    <row r="3488" spans="1:20" x14ac:dyDescent="0.2">
      <c r="A3488" s="17"/>
      <c r="B3488" s="17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18"/>
      <c r="S3488" s="18"/>
      <c r="T3488" s="18"/>
    </row>
    <row r="3489" spans="1:20" x14ac:dyDescent="0.2">
      <c r="A3489" s="17"/>
      <c r="B3489" s="17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  <c r="S3489" s="18"/>
      <c r="T3489" s="18"/>
    </row>
    <row r="3490" spans="1:20" x14ac:dyDescent="0.2">
      <c r="A3490" s="17"/>
      <c r="B3490" s="17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  <c r="S3490" s="18"/>
      <c r="T3490" s="18"/>
    </row>
    <row r="3491" spans="1:20" x14ac:dyDescent="0.2">
      <c r="A3491" s="17"/>
      <c r="B3491" s="17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18"/>
      <c r="S3491" s="18"/>
      <c r="T3491" s="18"/>
    </row>
    <row r="3492" spans="1:20" x14ac:dyDescent="0.2">
      <c r="A3492" s="17"/>
      <c r="B3492" s="17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  <c r="S3492" s="18"/>
      <c r="T3492" s="18"/>
    </row>
    <row r="3493" spans="1:20" x14ac:dyDescent="0.2">
      <c r="A3493" s="17"/>
      <c r="B3493" s="17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  <c r="S3493" s="18"/>
      <c r="T3493" s="18"/>
    </row>
    <row r="3494" spans="1:20" x14ac:dyDescent="0.2">
      <c r="A3494" s="17"/>
      <c r="B3494" s="17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18"/>
      <c r="S3494" s="18"/>
      <c r="T3494" s="18"/>
    </row>
    <row r="3495" spans="1:20" x14ac:dyDescent="0.2">
      <c r="A3495" s="17"/>
      <c r="B3495" s="17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  <c r="S3495" s="18"/>
      <c r="T3495" s="18"/>
    </row>
    <row r="3496" spans="1:20" x14ac:dyDescent="0.2">
      <c r="A3496" s="17"/>
      <c r="B3496" s="17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18"/>
      <c r="S3496" s="18"/>
      <c r="T3496" s="18"/>
    </row>
    <row r="3497" spans="1:20" x14ac:dyDescent="0.2">
      <c r="A3497" s="17"/>
      <c r="B3497" s="17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18"/>
      <c r="S3497" s="18"/>
      <c r="T3497" s="18"/>
    </row>
    <row r="3498" spans="1:20" x14ac:dyDescent="0.2">
      <c r="A3498" s="17"/>
      <c r="B3498" s="17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18"/>
      <c r="S3498" s="18"/>
      <c r="T3498" s="18"/>
    </row>
    <row r="3499" spans="1:20" x14ac:dyDescent="0.2">
      <c r="A3499" s="17"/>
      <c r="B3499" s="17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  <c r="S3499" s="18"/>
      <c r="T3499" s="18"/>
    </row>
    <row r="3500" spans="1:20" x14ac:dyDescent="0.2">
      <c r="A3500" s="17"/>
      <c r="B3500" s="17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18"/>
      <c r="S3500" s="18"/>
      <c r="T3500" s="18"/>
    </row>
    <row r="3501" spans="1:20" x14ac:dyDescent="0.2">
      <c r="A3501" s="17"/>
      <c r="B3501" s="17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  <c r="S3501" s="18"/>
      <c r="T3501" s="18"/>
    </row>
    <row r="3502" spans="1:20" x14ac:dyDescent="0.2">
      <c r="A3502" s="17"/>
      <c r="B3502" s="17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  <c r="S3502" s="18"/>
      <c r="T3502" s="18"/>
    </row>
    <row r="3503" spans="1:20" x14ac:dyDescent="0.2">
      <c r="A3503" s="17"/>
      <c r="B3503" s="17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  <c r="S3503" s="18"/>
      <c r="T3503" s="18"/>
    </row>
    <row r="3504" spans="1:20" x14ac:dyDescent="0.2">
      <c r="A3504" s="17"/>
      <c r="B3504" s="17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  <c r="S3504" s="18"/>
      <c r="T3504" s="18"/>
    </row>
    <row r="3505" spans="1:20" x14ac:dyDescent="0.2">
      <c r="A3505" s="17"/>
      <c r="B3505" s="17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  <c r="S3505" s="18"/>
      <c r="T3505" s="18"/>
    </row>
    <row r="3506" spans="1:20" x14ac:dyDescent="0.2">
      <c r="A3506" s="17"/>
      <c r="B3506" s="17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  <c r="S3506" s="18"/>
      <c r="T3506" s="18"/>
    </row>
    <row r="3507" spans="1:20" x14ac:dyDescent="0.2">
      <c r="A3507" s="17"/>
      <c r="B3507" s="17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  <c r="S3507" s="18"/>
      <c r="T3507" s="18"/>
    </row>
    <row r="3508" spans="1:20" x14ac:dyDescent="0.2">
      <c r="A3508" s="17"/>
      <c r="B3508" s="17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  <c r="S3508" s="18"/>
      <c r="T3508" s="18"/>
    </row>
    <row r="3509" spans="1:20" x14ac:dyDescent="0.2">
      <c r="A3509" s="17"/>
      <c r="B3509" s="17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  <c r="S3509" s="18"/>
      <c r="T3509" s="18"/>
    </row>
    <row r="3510" spans="1:20" x14ac:dyDescent="0.2">
      <c r="A3510" s="17"/>
      <c r="B3510" s="17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  <c r="S3510" s="18"/>
      <c r="T3510" s="18"/>
    </row>
    <row r="3511" spans="1:20" x14ac:dyDescent="0.2">
      <c r="A3511" s="17"/>
      <c r="B3511" s="17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  <c r="S3511" s="18"/>
      <c r="T3511" s="18"/>
    </row>
    <row r="3512" spans="1:20" x14ac:dyDescent="0.2">
      <c r="A3512" s="17"/>
      <c r="B3512" s="17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  <c r="S3512" s="18"/>
      <c r="T3512" s="18"/>
    </row>
    <row r="3513" spans="1:20" x14ac:dyDescent="0.2">
      <c r="A3513" s="17"/>
      <c r="B3513" s="17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  <c r="S3513" s="18"/>
      <c r="T3513" s="18"/>
    </row>
    <row r="3514" spans="1:20" x14ac:dyDescent="0.2">
      <c r="A3514" s="17"/>
      <c r="B3514" s="17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18"/>
      <c r="S3514" s="18"/>
      <c r="T3514" s="18"/>
    </row>
    <row r="3515" spans="1:20" x14ac:dyDescent="0.2">
      <c r="A3515" s="17"/>
      <c r="B3515" s="17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  <c r="S3515" s="18"/>
      <c r="T3515" s="18"/>
    </row>
    <row r="3516" spans="1:20" x14ac:dyDescent="0.2">
      <c r="A3516" s="17"/>
      <c r="B3516" s="17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18"/>
      <c r="S3516" s="18"/>
      <c r="T3516" s="18"/>
    </row>
    <row r="3517" spans="1:20" x14ac:dyDescent="0.2">
      <c r="A3517" s="17"/>
      <c r="B3517" s="17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18"/>
      <c r="S3517" s="18"/>
      <c r="T3517" s="18"/>
    </row>
    <row r="3518" spans="1:20" x14ac:dyDescent="0.2">
      <c r="A3518" s="17"/>
      <c r="B3518" s="17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18"/>
      <c r="S3518" s="18"/>
      <c r="T3518" s="18"/>
    </row>
    <row r="3519" spans="1:20" x14ac:dyDescent="0.2">
      <c r="A3519" s="17"/>
      <c r="B3519" s="17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18"/>
      <c r="S3519" s="18"/>
      <c r="T3519" s="18"/>
    </row>
    <row r="3520" spans="1:20" x14ac:dyDescent="0.2">
      <c r="A3520" s="17"/>
      <c r="B3520" s="17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  <c r="S3520" s="18"/>
      <c r="T3520" s="18"/>
    </row>
    <row r="3521" spans="1:20" x14ac:dyDescent="0.2">
      <c r="A3521" s="17"/>
      <c r="B3521" s="17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18"/>
      <c r="S3521" s="18"/>
      <c r="T3521" s="18"/>
    </row>
    <row r="3522" spans="1:20" x14ac:dyDescent="0.2">
      <c r="A3522" s="17"/>
      <c r="B3522" s="17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18"/>
      <c r="S3522" s="18"/>
      <c r="T3522" s="18"/>
    </row>
    <row r="3523" spans="1:20" x14ac:dyDescent="0.2">
      <c r="A3523" s="17"/>
      <c r="B3523" s="17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  <c r="S3523" s="18"/>
      <c r="T3523" s="18"/>
    </row>
    <row r="3524" spans="1:20" x14ac:dyDescent="0.2">
      <c r="A3524" s="17"/>
      <c r="B3524" s="17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18"/>
      <c r="S3524" s="18"/>
      <c r="T3524" s="18"/>
    </row>
    <row r="3525" spans="1:20" x14ac:dyDescent="0.2">
      <c r="A3525" s="17"/>
      <c r="B3525" s="17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  <c r="S3525" s="18"/>
      <c r="T3525" s="18"/>
    </row>
    <row r="3526" spans="1:20" x14ac:dyDescent="0.2">
      <c r="A3526" s="17"/>
      <c r="B3526" s="17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18"/>
      <c r="S3526" s="18"/>
      <c r="T3526" s="18"/>
    </row>
    <row r="3527" spans="1:20" x14ac:dyDescent="0.2">
      <c r="A3527" s="17"/>
      <c r="B3527" s="17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  <c r="S3527" s="18"/>
      <c r="T3527" s="18"/>
    </row>
    <row r="3528" spans="1:20" x14ac:dyDescent="0.2">
      <c r="A3528" s="17"/>
      <c r="B3528" s="17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  <c r="S3528" s="18"/>
      <c r="T3528" s="18"/>
    </row>
    <row r="3529" spans="1:20" x14ac:dyDescent="0.2">
      <c r="A3529" s="17"/>
      <c r="B3529" s="17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  <c r="S3529" s="18"/>
      <c r="T3529" s="18"/>
    </row>
    <row r="3530" spans="1:20" x14ac:dyDescent="0.2">
      <c r="A3530" s="17"/>
      <c r="B3530" s="17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18"/>
      <c r="S3530" s="18"/>
      <c r="T3530" s="18"/>
    </row>
    <row r="3531" spans="1:20" x14ac:dyDescent="0.2">
      <c r="A3531" s="17"/>
      <c r="B3531" s="17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  <c r="S3531" s="18"/>
      <c r="T3531" s="18"/>
    </row>
    <row r="3532" spans="1:20" x14ac:dyDescent="0.2">
      <c r="A3532" s="17"/>
      <c r="B3532" s="17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18"/>
      <c r="S3532" s="18"/>
      <c r="T3532" s="18"/>
    </row>
    <row r="3533" spans="1:20" x14ac:dyDescent="0.2">
      <c r="A3533" s="17"/>
      <c r="B3533" s="17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  <c r="S3533" s="18"/>
      <c r="T3533" s="18"/>
    </row>
    <row r="3534" spans="1:20" x14ac:dyDescent="0.2">
      <c r="A3534" s="17"/>
      <c r="B3534" s="17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  <c r="S3534" s="18"/>
      <c r="T3534" s="18"/>
    </row>
    <row r="3535" spans="1:20" x14ac:dyDescent="0.2">
      <c r="A3535" s="17"/>
      <c r="B3535" s="17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  <c r="S3535" s="18"/>
      <c r="T3535" s="18"/>
    </row>
    <row r="3536" spans="1:20" x14ac:dyDescent="0.2">
      <c r="A3536" s="17"/>
      <c r="B3536" s="17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  <c r="S3536" s="18"/>
      <c r="T3536" s="18"/>
    </row>
    <row r="3537" spans="1:20" x14ac:dyDescent="0.2">
      <c r="A3537" s="17"/>
      <c r="B3537" s="17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18"/>
      <c r="S3537" s="18"/>
      <c r="T3537" s="18"/>
    </row>
    <row r="3538" spans="1:20" x14ac:dyDescent="0.2">
      <c r="A3538" s="17"/>
      <c r="B3538" s="17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  <c r="S3538" s="18"/>
      <c r="T3538" s="18"/>
    </row>
    <row r="3539" spans="1:20" x14ac:dyDescent="0.2">
      <c r="A3539" s="17"/>
      <c r="B3539" s="17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  <c r="S3539" s="18"/>
      <c r="T3539" s="18"/>
    </row>
    <row r="3540" spans="1:20" x14ac:dyDescent="0.2">
      <c r="A3540" s="17"/>
      <c r="B3540" s="17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18"/>
      <c r="S3540" s="18"/>
      <c r="T3540" s="18"/>
    </row>
    <row r="3541" spans="1:20" x14ac:dyDescent="0.2">
      <c r="A3541" s="17"/>
      <c r="B3541" s="17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  <c r="S3541" s="18"/>
      <c r="T3541" s="18"/>
    </row>
    <row r="3542" spans="1:20" x14ac:dyDescent="0.2">
      <c r="A3542" s="17"/>
      <c r="B3542" s="17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18"/>
      <c r="S3542" s="18"/>
      <c r="T3542" s="18"/>
    </row>
    <row r="3543" spans="1:20" x14ac:dyDescent="0.2">
      <c r="A3543" s="17"/>
      <c r="B3543" s="17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18"/>
      <c r="S3543" s="18"/>
      <c r="T3543" s="18"/>
    </row>
    <row r="3544" spans="1:20" x14ac:dyDescent="0.2">
      <c r="A3544" s="17"/>
      <c r="B3544" s="17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18"/>
      <c r="S3544" s="18"/>
      <c r="T3544" s="18"/>
    </row>
    <row r="3545" spans="1:20" x14ac:dyDescent="0.2">
      <c r="A3545" s="17"/>
      <c r="B3545" s="17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  <c r="S3545" s="18"/>
      <c r="T3545" s="18"/>
    </row>
    <row r="3546" spans="1:20" x14ac:dyDescent="0.2">
      <c r="A3546" s="17"/>
      <c r="B3546" s="17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18"/>
      <c r="S3546" s="18"/>
      <c r="T3546" s="18"/>
    </row>
    <row r="3547" spans="1:20" x14ac:dyDescent="0.2">
      <c r="A3547" s="17"/>
      <c r="B3547" s="17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  <c r="S3547" s="18"/>
      <c r="T3547" s="18"/>
    </row>
    <row r="3548" spans="1:20" x14ac:dyDescent="0.2">
      <c r="A3548" s="17"/>
      <c r="B3548" s="17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18"/>
      <c r="S3548" s="18"/>
      <c r="T3548" s="18"/>
    </row>
    <row r="3549" spans="1:20" x14ac:dyDescent="0.2">
      <c r="A3549" s="17"/>
      <c r="B3549" s="17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  <c r="S3549" s="18"/>
      <c r="T3549" s="18"/>
    </row>
    <row r="3550" spans="1:20" x14ac:dyDescent="0.2">
      <c r="A3550" s="17"/>
      <c r="B3550" s="17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  <c r="S3550" s="18"/>
      <c r="T3550" s="18"/>
    </row>
    <row r="3551" spans="1:20" x14ac:dyDescent="0.2">
      <c r="A3551" s="17"/>
      <c r="B3551" s="17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18"/>
      <c r="S3551" s="18"/>
      <c r="T3551" s="18"/>
    </row>
    <row r="3552" spans="1:20" x14ac:dyDescent="0.2">
      <c r="A3552" s="17"/>
      <c r="B3552" s="17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18"/>
      <c r="S3552" s="18"/>
      <c r="T3552" s="18"/>
    </row>
    <row r="3553" spans="1:20" x14ac:dyDescent="0.2">
      <c r="A3553" s="17"/>
      <c r="B3553" s="17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  <c r="S3553" s="18"/>
      <c r="T3553" s="18"/>
    </row>
    <row r="3554" spans="1:20" x14ac:dyDescent="0.2">
      <c r="A3554" s="17"/>
      <c r="B3554" s="17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18"/>
      <c r="S3554" s="18"/>
      <c r="T3554" s="18"/>
    </row>
    <row r="3555" spans="1:20" x14ac:dyDescent="0.2">
      <c r="A3555" s="17"/>
      <c r="B3555" s="17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18"/>
      <c r="S3555" s="18"/>
      <c r="T3555" s="18"/>
    </row>
    <row r="3556" spans="1:20" x14ac:dyDescent="0.2">
      <c r="A3556" s="17"/>
      <c r="B3556" s="17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18"/>
      <c r="S3556" s="18"/>
      <c r="T3556" s="18"/>
    </row>
    <row r="3557" spans="1:20" x14ac:dyDescent="0.2">
      <c r="A3557" s="17"/>
      <c r="B3557" s="17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  <c r="S3557" s="18"/>
      <c r="T3557" s="18"/>
    </row>
    <row r="3558" spans="1:20" x14ac:dyDescent="0.2">
      <c r="A3558" s="17"/>
      <c r="B3558" s="17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  <c r="S3558" s="18"/>
      <c r="T3558" s="18"/>
    </row>
    <row r="3559" spans="1:20" x14ac:dyDescent="0.2">
      <c r="A3559" s="17"/>
      <c r="B3559" s="17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  <c r="S3559" s="18"/>
      <c r="T3559" s="18"/>
    </row>
    <row r="3560" spans="1:20" x14ac:dyDescent="0.2">
      <c r="A3560" s="17"/>
      <c r="B3560" s="17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18"/>
      <c r="S3560" s="18"/>
      <c r="T3560" s="18"/>
    </row>
    <row r="3561" spans="1:20" x14ac:dyDescent="0.2">
      <c r="A3561" s="17"/>
      <c r="B3561" s="17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  <c r="S3561" s="18"/>
      <c r="T3561" s="18"/>
    </row>
    <row r="3562" spans="1:20" x14ac:dyDescent="0.2">
      <c r="A3562" s="17"/>
      <c r="B3562" s="17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18"/>
      <c r="S3562" s="18"/>
      <c r="T3562" s="18"/>
    </row>
    <row r="3563" spans="1:20" x14ac:dyDescent="0.2">
      <c r="A3563" s="17"/>
      <c r="B3563" s="17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  <c r="S3563" s="18"/>
      <c r="T3563" s="18"/>
    </row>
    <row r="3564" spans="1:20" x14ac:dyDescent="0.2">
      <c r="A3564" s="17"/>
      <c r="B3564" s="17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  <c r="S3564" s="18"/>
      <c r="T3564" s="18"/>
    </row>
    <row r="3565" spans="1:20" x14ac:dyDescent="0.2">
      <c r="A3565" s="17"/>
      <c r="B3565" s="17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  <c r="S3565" s="18"/>
      <c r="T3565" s="18"/>
    </row>
    <row r="3566" spans="1:20" x14ac:dyDescent="0.2">
      <c r="A3566" s="17"/>
      <c r="B3566" s="17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  <c r="S3566" s="18"/>
      <c r="T3566" s="18"/>
    </row>
    <row r="3567" spans="1:20" x14ac:dyDescent="0.2">
      <c r="A3567" s="17"/>
      <c r="B3567" s="17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18"/>
      <c r="S3567" s="18"/>
      <c r="T3567" s="18"/>
    </row>
    <row r="3568" spans="1:20" x14ac:dyDescent="0.2">
      <c r="A3568" s="17"/>
      <c r="B3568" s="17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18"/>
      <c r="S3568" s="18"/>
      <c r="T3568" s="18"/>
    </row>
    <row r="3569" spans="1:20" x14ac:dyDescent="0.2">
      <c r="A3569" s="17"/>
      <c r="B3569" s="17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18"/>
      <c r="S3569" s="18"/>
      <c r="T3569" s="18"/>
    </row>
    <row r="3570" spans="1:20" x14ac:dyDescent="0.2">
      <c r="A3570" s="17"/>
      <c r="B3570" s="17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18"/>
      <c r="S3570" s="18"/>
      <c r="T3570" s="18"/>
    </row>
    <row r="3571" spans="1:20" x14ac:dyDescent="0.2">
      <c r="A3571" s="17"/>
      <c r="B3571" s="17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  <c r="S3571" s="18"/>
      <c r="T3571" s="18"/>
    </row>
    <row r="3572" spans="1:20" x14ac:dyDescent="0.2">
      <c r="A3572" s="17"/>
      <c r="B3572" s="17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18"/>
      <c r="S3572" s="18"/>
      <c r="T3572" s="18"/>
    </row>
    <row r="3573" spans="1:20" x14ac:dyDescent="0.2">
      <c r="A3573" s="17"/>
      <c r="B3573" s="17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  <c r="S3573" s="18"/>
      <c r="T3573" s="18"/>
    </row>
    <row r="3574" spans="1:20" x14ac:dyDescent="0.2">
      <c r="A3574" s="17"/>
      <c r="B3574" s="17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  <c r="S3574" s="18"/>
      <c r="T3574" s="18"/>
    </row>
    <row r="3575" spans="1:20" x14ac:dyDescent="0.2">
      <c r="A3575" s="17"/>
      <c r="B3575" s="17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  <c r="S3575" s="18"/>
      <c r="T3575" s="18"/>
    </row>
    <row r="3576" spans="1:20" x14ac:dyDescent="0.2">
      <c r="A3576" s="17"/>
      <c r="B3576" s="17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18"/>
      <c r="S3576" s="18"/>
      <c r="T3576" s="18"/>
    </row>
    <row r="3577" spans="1:20" x14ac:dyDescent="0.2">
      <c r="A3577" s="17"/>
      <c r="B3577" s="17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  <c r="S3577" s="18"/>
      <c r="T3577" s="18"/>
    </row>
    <row r="3578" spans="1:20" x14ac:dyDescent="0.2">
      <c r="A3578" s="17"/>
      <c r="B3578" s="17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18"/>
      <c r="S3578" s="18"/>
      <c r="T3578" s="18"/>
    </row>
    <row r="3579" spans="1:20" x14ac:dyDescent="0.2">
      <c r="A3579" s="17"/>
      <c r="B3579" s="17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18"/>
      <c r="S3579" s="18"/>
      <c r="T3579" s="18"/>
    </row>
    <row r="3580" spans="1:20" x14ac:dyDescent="0.2">
      <c r="A3580" s="17"/>
      <c r="B3580" s="17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18"/>
      <c r="S3580" s="18"/>
      <c r="T3580" s="18"/>
    </row>
    <row r="3581" spans="1:20" x14ac:dyDescent="0.2">
      <c r="A3581" s="17"/>
      <c r="B3581" s="17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  <c r="S3581" s="18"/>
      <c r="T3581" s="18"/>
    </row>
    <row r="3582" spans="1:20" x14ac:dyDescent="0.2">
      <c r="A3582" s="17"/>
      <c r="B3582" s="17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  <c r="S3582" s="18"/>
      <c r="T3582" s="18"/>
    </row>
    <row r="3583" spans="1:20" x14ac:dyDescent="0.2">
      <c r="A3583" s="17"/>
      <c r="B3583" s="17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  <c r="S3583" s="18"/>
      <c r="T3583" s="18"/>
    </row>
    <row r="3584" spans="1:20" x14ac:dyDescent="0.2">
      <c r="A3584" s="17"/>
      <c r="B3584" s="17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  <c r="S3584" s="18"/>
      <c r="T3584" s="18"/>
    </row>
    <row r="3585" spans="1:20" x14ac:dyDescent="0.2">
      <c r="A3585" s="17"/>
      <c r="B3585" s="17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  <c r="S3585" s="18"/>
      <c r="T3585" s="18"/>
    </row>
    <row r="3586" spans="1:20" x14ac:dyDescent="0.2">
      <c r="A3586" s="17"/>
      <c r="B3586" s="17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18"/>
      <c r="S3586" s="18"/>
      <c r="T3586" s="18"/>
    </row>
    <row r="3587" spans="1:20" x14ac:dyDescent="0.2">
      <c r="A3587" s="17"/>
      <c r="B3587" s="17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  <c r="S3587" s="18"/>
      <c r="T3587" s="18"/>
    </row>
    <row r="3588" spans="1:20" x14ac:dyDescent="0.2">
      <c r="A3588" s="17"/>
      <c r="B3588" s="17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18"/>
      <c r="S3588" s="18"/>
      <c r="T3588" s="18"/>
    </row>
    <row r="3589" spans="1:20" x14ac:dyDescent="0.2">
      <c r="A3589" s="17"/>
      <c r="B3589" s="17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  <c r="S3589" s="18"/>
      <c r="T3589" s="18"/>
    </row>
    <row r="3590" spans="1:20" x14ac:dyDescent="0.2">
      <c r="A3590" s="17"/>
      <c r="B3590" s="17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18"/>
      <c r="S3590" s="18"/>
      <c r="T3590" s="18"/>
    </row>
    <row r="3591" spans="1:20" x14ac:dyDescent="0.2">
      <c r="A3591" s="17"/>
      <c r="B3591" s="17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18"/>
      <c r="S3591" s="18"/>
      <c r="T3591" s="18"/>
    </row>
    <row r="3592" spans="1:20" x14ac:dyDescent="0.2">
      <c r="A3592" s="17"/>
      <c r="B3592" s="17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18"/>
      <c r="S3592" s="18"/>
      <c r="T3592" s="18"/>
    </row>
    <row r="3593" spans="1:20" x14ac:dyDescent="0.2">
      <c r="A3593" s="17"/>
      <c r="B3593" s="17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  <c r="S3593" s="18"/>
      <c r="T3593" s="18"/>
    </row>
    <row r="3594" spans="1:20" x14ac:dyDescent="0.2">
      <c r="A3594" s="17"/>
      <c r="B3594" s="17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18"/>
      <c r="S3594" s="18"/>
      <c r="T3594" s="18"/>
    </row>
    <row r="3595" spans="1:20" x14ac:dyDescent="0.2">
      <c r="A3595" s="17"/>
      <c r="B3595" s="17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  <c r="S3595" s="18"/>
      <c r="T3595" s="18"/>
    </row>
    <row r="3596" spans="1:20" x14ac:dyDescent="0.2">
      <c r="A3596" s="17"/>
      <c r="B3596" s="17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  <c r="S3596" s="18"/>
      <c r="T3596" s="18"/>
    </row>
    <row r="3597" spans="1:20" x14ac:dyDescent="0.2">
      <c r="A3597" s="17"/>
      <c r="B3597" s="17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  <c r="S3597" s="18"/>
      <c r="T3597" s="18"/>
    </row>
    <row r="3598" spans="1:20" x14ac:dyDescent="0.2">
      <c r="A3598" s="17"/>
      <c r="B3598" s="17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18"/>
      <c r="S3598" s="18"/>
      <c r="T3598" s="18"/>
    </row>
    <row r="3599" spans="1:20" x14ac:dyDescent="0.2">
      <c r="A3599" s="17"/>
      <c r="B3599" s="17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18"/>
      <c r="S3599" s="18"/>
      <c r="T3599" s="18"/>
    </row>
    <row r="3600" spans="1:20" x14ac:dyDescent="0.2">
      <c r="A3600" s="17"/>
      <c r="B3600" s="17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18"/>
      <c r="S3600" s="18"/>
      <c r="T3600" s="18"/>
    </row>
    <row r="3601" spans="1:20" x14ac:dyDescent="0.2">
      <c r="A3601" s="17"/>
      <c r="B3601" s="17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  <c r="S3601" s="18"/>
      <c r="T3601" s="18"/>
    </row>
    <row r="3602" spans="1:20" x14ac:dyDescent="0.2">
      <c r="A3602" s="17"/>
      <c r="B3602" s="17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18"/>
      <c r="S3602" s="18"/>
      <c r="T3602" s="18"/>
    </row>
    <row r="3603" spans="1:20" x14ac:dyDescent="0.2">
      <c r="A3603" s="17"/>
      <c r="B3603" s="17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  <c r="S3603" s="18"/>
      <c r="T3603" s="18"/>
    </row>
    <row r="3604" spans="1:20" x14ac:dyDescent="0.2">
      <c r="A3604" s="17"/>
      <c r="B3604" s="17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18"/>
      <c r="S3604" s="18"/>
      <c r="T3604" s="18"/>
    </row>
    <row r="3605" spans="1:20" x14ac:dyDescent="0.2">
      <c r="A3605" s="17"/>
      <c r="B3605" s="17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  <c r="S3605" s="18"/>
      <c r="T3605" s="18"/>
    </row>
    <row r="3606" spans="1:20" x14ac:dyDescent="0.2">
      <c r="A3606" s="17"/>
      <c r="B3606" s="17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18"/>
      <c r="S3606" s="18"/>
      <c r="T3606" s="18"/>
    </row>
    <row r="3607" spans="1:20" x14ac:dyDescent="0.2">
      <c r="A3607" s="17"/>
      <c r="B3607" s="17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  <c r="S3607" s="18"/>
      <c r="T3607" s="18"/>
    </row>
    <row r="3608" spans="1:20" x14ac:dyDescent="0.2">
      <c r="A3608" s="17"/>
      <c r="B3608" s="17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18"/>
      <c r="S3608" s="18"/>
      <c r="T3608" s="18"/>
    </row>
    <row r="3609" spans="1:20" x14ac:dyDescent="0.2">
      <c r="A3609" s="17"/>
      <c r="B3609" s="17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  <c r="S3609" s="18"/>
      <c r="T3609" s="18"/>
    </row>
    <row r="3610" spans="1:20" x14ac:dyDescent="0.2">
      <c r="A3610" s="17"/>
      <c r="B3610" s="17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18"/>
      <c r="S3610" s="18"/>
      <c r="T3610" s="18"/>
    </row>
    <row r="3611" spans="1:20" x14ac:dyDescent="0.2">
      <c r="A3611" s="17"/>
      <c r="B3611" s="17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18"/>
      <c r="S3611" s="18"/>
      <c r="T3611" s="18"/>
    </row>
    <row r="3612" spans="1:20" x14ac:dyDescent="0.2">
      <c r="A3612" s="17"/>
      <c r="B3612" s="17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18"/>
      <c r="S3612" s="18"/>
      <c r="T3612" s="18"/>
    </row>
    <row r="3613" spans="1:20" x14ac:dyDescent="0.2">
      <c r="A3613" s="17"/>
      <c r="B3613" s="17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  <c r="S3613" s="18"/>
      <c r="T3613" s="18"/>
    </row>
    <row r="3614" spans="1:20" x14ac:dyDescent="0.2">
      <c r="A3614" s="17"/>
      <c r="B3614" s="17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18"/>
      <c r="S3614" s="18"/>
      <c r="T3614" s="18"/>
    </row>
    <row r="3615" spans="1:20" x14ac:dyDescent="0.2">
      <c r="A3615" s="17"/>
      <c r="B3615" s="17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  <c r="S3615" s="18"/>
      <c r="T3615" s="18"/>
    </row>
    <row r="3616" spans="1:20" x14ac:dyDescent="0.2">
      <c r="A3616" s="17"/>
      <c r="B3616" s="17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18"/>
      <c r="S3616" s="18"/>
      <c r="T3616" s="18"/>
    </row>
    <row r="3617" spans="1:20" x14ac:dyDescent="0.2">
      <c r="A3617" s="17"/>
      <c r="B3617" s="17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  <c r="S3617" s="18"/>
      <c r="T3617" s="18"/>
    </row>
    <row r="3618" spans="1:20" x14ac:dyDescent="0.2">
      <c r="A3618" s="17"/>
      <c r="B3618" s="17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18"/>
      <c r="S3618" s="18"/>
      <c r="T3618" s="18"/>
    </row>
    <row r="3619" spans="1:20" x14ac:dyDescent="0.2">
      <c r="A3619" s="17"/>
      <c r="B3619" s="17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  <c r="S3619" s="18"/>
      <c r="T3619" s="18"/>
    </row>
    <row r="3620" spans="1:20" x14ac:dyDescent="0.2">
      <c r="A3620" s="17"/>
      <c r="B3620" s="17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18"/>
      <c r="S3620" s="18"/>
      <c r="T3620" s="18"/>
    </row>
    <row r="3621" spans="1:20" x14ac:dyDescent="0.2">
      <c r="A3621" s="17"/>
      <c r="B3621" s="17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  <c r="S3621" s="18"/>
      <c r="T3621" s="18"/>
    </row>
    <row r="3622" spans="1:20" x14ac:dyDescent="0.2">
      <c r="A3622" s="17"/>
      <c r="B3622" s="17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18"/>
      <c r="S3622" s="18"/>
      <c r="T3622" s="18"/>
    </row>
    <row r="3623" spans="1:20" x14ac:dyDescent="0.2">
      <c r="A3623" s="17"/>
      <c r="B3623" s="17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  <c r="S3623" s="18"/>
      <c r="T3623" s="18"/>
    </row>
    <row r="3624" spans="1:20" x14ac:dyDescent="0.2">
      <c r="A3624" s="17"/>
      <c r="B3624" s="17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18"/>
      <c r="S3624" s="18"/>
      <c r="T3624" s="18"/>
    </row>
    <row r="3625" spans="1:20" x14ac:dyDescent="0.2">
      <c r="A3625" s="17"/>
      <c r="B3625" s="17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/>
      <c r="S3625" s="18"/>
      <c r="T3625" s="18"/>
    </row>
    <row r="3626" spans="1:20" x14ac:dyDescent="0.2">
      <c r="A3626" s="17"/>
      <c r="B3626" s="17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18"/>
      <c r="S3626" s="18"/>
      <c r="T3626" s="18"/>
    </row>
    <row r="3627" spans="1:20" x14ac:dyDescent="0.2">
      <c r="A3627" s="17"/>
      <c r="B3627" s="17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  <c r="S3627" s="18"/>
      <c r="T3627" s="18"/>
    </row>
    <row r="3628" spans="1:20" x14ac:dyDescent="0.2">
      <c r="A3628" s="17"/>
      <c r="B3628" s="17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18"/>
      <c r="S3628" s="18"/>
      <c r="T3628" s="18"/>
    </row>
    <row r="3629" spans="1:20" x14ac:dyDescent="0.2">
      <c r="A3629" s="17"/>
      <c r="B3629" s="17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  <c r="S3629" s="18"/>
      <c r="T3629" s="18"/>
    </row>
    <row r="3630" spans="1:20" x14ac:dyDescent="0.2">
      <c r="A3630" s="17"/>
      <c r="B3630" s="17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  <c r="S3630" s="18"/>
      <c r="T3630" s="18"/>
    </row>
    <row r="3631" spans="1:20" x14ac:dyDescent="0.2">
      <c r="A3631" s="17"/>
      <c r="B3631" s="17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  <c r="S3631" s="18"/>
      <c r="T3631" s="18"/>
    </row>
    <row r="3632" spans="1:20" x14ac:dyDescent="0.2">
      <c r="A3632" s="17"/>
      <c r="B3632" s="17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18"/>
      <c r="S3632" s="18"/>
      <c r="T3632" s="18"/>
    </row>
    <row r="3633" spans="1:20" x14ac:dyDescent="0.2">
      <c r="A3633" s="17"/>
      <c r="B3633" s="17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  <c r="S3633" s="18"/>
      <c r="T3633" s="18"/>
    </row>
    <row r="3634" spans="1:20" x14ac:dyDescent="0.2">
      <c r="A3634" s="17"/>
      <c r="B3634" s="17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  <c r="S3634" s="18"/>
      <c r="T3634" s="18"/>
    </row>
    <row r="3635" spans="1:20" x14ac:dyDescent="0.2">
      <c r="A3635" s="17"/>
      <c r="B3635" s="17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18"/>
      <c r="S3635" s="18"/>
      <c r="T3635" s="18"/>
    </row>
    <row r="3636" spans="1:20" x14ac:dyDescent="0.2">
      <c r="A3636" s="17"/>
      <c r="B3636" s="17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18"/>
      <c r="S3636" s="18"/>
      <c r="T3636" s="18"/>
    </row>
    <row r="3637" spans="1:20" x14ac:dyDescent="0.2">
      <c r="A3637" s="17"/>
      <c r="B3637" s="17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18"/>
      <c r="S3637" s="18"/>
      <c r="T3637" s="18"/>
    </row>
    <row r="3638" spans="1:20" x14ac:dyDescent="0.2">
      <c r="A3638" s="17"/>
      <c r="B3638" s="17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18"/>
      <c r="S3638" s="18"/>
      <c r="T3638" s="18"/>
    </row>
    <row r="3639" spans="1:20" x14ac:dyDescent="0.2">
      <c r="A3639" s="17"/>
      <c r="B3639" s="17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  <c r="S3639" s="18"/>
      <c r="T3639" s="18"/>
    </row>
    <row r="3640" spans="1:20" x14ac:dyDescent="0.2">
      <c r="A3640" s="17"/>
      <c r="B3640" s="17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18"/>
      <c r="S3640" s="18"/>
      <c r="T3640" s="18"/>
    </row>
    <row r="3641" spans="1:20" x14ac:dyDescent="0.2">
      <c r="A3641" s="17"/>
      <c r="B3641" s="17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  <c r="S3641" s="18"/>
      <c r="T3641" s="18"/>
    </row>
    <row r="3642" spans="1:20" x14ac:dyDescent="0.2">
      <c r="A3642" s="17"/>
      <c r="B3642" s="17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  <c r="S3642" s="18"/>
      <c r="T3642" s="18"/>
    </row>
    <row r="3643" spans="1:20" x14ac:dyDescent="0.2">
      <c r="A3643" s="17"/>
      <c r="B3643" s="17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  <c r="S3643" s="18"/>
      <c r="T3643" s="18"/>
    </row>
    <row r="3644" spans="1:20" x14ac:dyDescent="0.2">
      <c r="A3644" s="17"/>
      <c r="B3644" s="17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18"/>
      <c r="S3644" s="18"/>
      <c r="T3644" s="18"/>
    </row>
    <row r="3645" spans="1:20" x14ac:dyDescent="0.2">
      <c r="A3645" s="17"/>
      <c r="B3645" s="17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  <c r="S3645" s="18"/>
      <c r="T3645" s="18"/>
    </row>
    <row r="3646" spans="1:20" x14ac:dyDescent="0.2">
      <c r="A3646" s="17"/>
      <c r="B3646" s="17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18"/>
      <c r="S3646" s="18"/>
      <c r="T3646" s="18"/>
    </row>
    <row r="3647" spans="1:20" x14ac:dyDescent="0.2">
      <c r="A3647" s="17"/>
      <c r="B3647" s="17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  <c r="S3647" s="18"/>
      <c r="T3647" s="18"/>
    </row>
    <row r="3648" spans="1:20" x14ac:dyDescent="0.2">
      <c r="A3648" s="17"/>
      <c r="B3648" s="17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18"/>
      <c r="S3648" s="18"/>
      <c r="T3648" s="18"/>
    </row>
    <row r="3649" spans="1:20" x14ac:dyDescent="0.2">
      <c r="A3649" s="17"/>
      <c r="B3649" s="17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  <c r="S3649" s="18"/>
      <c r="T3649" s="18"/>
    </row>
    <row r="3650" spans="1:20" x14ac:dyDescent="0.2">
      <c r="A3650" s="17"/>
      <c r="B3650" s="17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  <c r="S3650" s="18"/>
      <c r="T3650" s="18"/>
    </row>
    <row r="3651" spans="1:20" x14ac:dyDescent="0.2">
      <c r="A3651" s="17"/>
      <c r="B3651" s="17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/>
      <c r="S3651" s="18"/>
      <c r="T3651" s="18"/>
    </row>
    <row r="3652" spans="1:20" x14ac:dyDescent="0.2">
      <c r="A3652" s="17"/>
      <c r="B3652" s="17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18"/>
      <c r="S3652" s="18"/>
      <c r="T3652" s="18"/>
    </row>
    <row r="3653" spans="1:20" x14ac:dyDescent="0.2">
      <c r="A3653" s="17"/>
      <c r="B3653" s="17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  <c r="S3653" s="18"/>
      <c r="T3653" s="18"/>
    </row>
    <row r="3654" spans="1:20" x14ac:dyDescent="0.2">
      <c r="A3654" s="17"/>
      <c r="B3654" s="17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18"/>
      <c r="S3654" s="18"/>
      <c r="T3654" s="18"/>
    </row>
    <row r="3655" spans="1:20" x14ac:dyDescent="0.2">
      <c r="A3655" s="17"/>
      <c r="B3655" s="17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  <c r="S3655" s="18"/>
      <c r="T3655" s="18"/>
    </row>
    <row r="3656" spans="1:20" x14ac:dyDescent="0.2">
      <c r="A3656" s="17"/>
      <c r="B3656" s="17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8"/>
      <c r="R3656" s="18"/>
      <c r="S3656" s="18"/>
      <c r="T3656" s="18"/>
    </row>
    <row r="3657" spans="1:20" x14ac:dyDescent="0.2">
      <c r="A3657" s="17"/>
      <c r="B3657" s="17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  <c r="S3657" s="18"/>
      <c r="T3657" s="18"/>
    </row>
    <row r="3658" spans="1:20" x14ac:dyDescent="0.2">
      <c r="A3658" s="17"/>
      <c r="B3658" s="17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  <c r="S3658" s="18"/>
      <c r="T3658" s="18"/>
    </row>
    <row r="3659" spans="1:20" x14ac:dyDescent="0.2">
      <c r="A3659" s="17"/>
      <c r="B3659" s="17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18"/>
      <c r="S3659" s="18"/>
      <c r="T3659" s="18"/>
    </row>
    <row r="3660" spans="1:20" x14ac:dyDescent="0.2">
      <c r="A3660" s="17"/>
      <c r="B3660" s="17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18"/>
      <c r="S3660" s="18"/>
      <c r="T3660" s="18"/>
    </row>
    <row r="3661" spans="1:20" x14ac:dyDescent="0.2">
      <c r="A3661" s="17"/>
      <c r="B3661" s="17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  <c r="S3661" s="18"/>
      <c r="T3661" s="18"/>
    </row>
    <row r="3662" spans="1:20" x14ac:dyDescent="0.2">
      <c r="A3662" s="17"/>
      <c r="B3662" s="17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18"/>
      <c r="S3662" s="18"/>
      <c r="T3662" s="18"/>
    </row>
    <row r="3663" spans="1:20" x14ac:dyDescent="0.2">
      <c r="A3663" s="17"/>
      <c r="B3663" s="17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18"/>
      <c r="S3663" s="18"/>
      <c r="T3663" s="18"/>
    </row>
    <row r="3664" spans="1:20" x14ac:dyDescent="0.2">
      <c r="A3664" s="17"/>
      <c r="B3664" s="17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18"/>
      <c r="S3664" s="18"/>
      <c r="T3664" s="18"/>
    </row>
    <row r="3665" spans="1:20" x14ac:dyDescent="0.2">
      <c r="A3665" s="17"/>
      <c r="B3665" s="17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  <c r="S3665" s="18"/>
      <c r="T3665" s="18"/>
    </row>
    <row r="3666" spans="1:20" x14ac:dyDescent="0.2">
      <c r="A3666" s="17"/>
      <c r="B3666" s="17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  <c r="S3666" s="18"/>
      <c r="T3666" s="18"/>
    </row>
    <row r="3667" spans="1:20" x14ac:dyDescent="0.2">
      <c r="A3667" s="17"/>
      <c r="B3667" s="17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  <c r="S3667" s="18"/>
      <c r="T3667" s="18"/>
    </row>
    <row r="3668" spans="1:20" x14ac:dyDescent="0.2">
      <c r="A3668" s="17"/>
      <c r="B3668" s="17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18"/>
      <c r="S3668" s="18"/>
      <c r="T3668" s="18"/>
    </row>
    <row r="3669" spans="1:20" x14ac:dyDescent="0.2">
      <c r="A3669" s="17"/>
      <c r="B3669" s="17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  <c r="S3669" s="18"/>
      <c r="T3669" s="18"/>
    </row>
    <row r="3670" spans="1:20" x14ac:dyDescent="0.2">
      <c r="A3670" s="17"/>
      <c r="B3670" s="17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18"/>
      <c r="S3670" s="18"/>
      <c r="T3670" s="18"/>
    </row>
    <row r="3671" spans="1:20" x14ac:dyDescent="0.2">
      <c r="A3671" s="17"/>
      <c r="B3671" s="17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  <c r="S3671" s="18"/>
      <c r="T3671" s="18"/>
    </row>
    <row r="3672" spans="1:20" x14ac:dyDescent="0.2">
      <c r="A3672" s="17"/>
      <c r="B3672" s="17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18"/>
      <c r="S3672" s="18"/>
      <c r="T3672" s="18"/>
    </row>
    <row r="3673" spans="1:20" x14ac:dyDescent="0.2">
      <c r="A3673" s="17"/>
      <c r="B3673" s="17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  <c r="S3673" s="18"/>
      <c r="T3673" s="18"/>
    </row>
    <row r="3674" spans="1:20" x14ac:dyDescent="0.2">
      <c r="A3674" s="17"/>
      <c r="B3674" s="17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  <c r="S3674" s="18"/>
      <c r="T3674" s="18"/>
    </row>
    <row r="3675" spans="1:20" x14ac:dyDescent="0.2">
      <c r="A3675" s="17"/>
      <c r="B3675" s="17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  <c r="S3675" s="18"/>
      <c r="T3675" s="18"/>
    </row>
    <row r="3676" spans="1:20" x14ac:dyDescent="0.2">
      <c r="A3676" s="17"/>
      <c r="B3676" s="17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  <c r="S3676" s="18"/>
      <c r="T3676" s="18"/>
    </row>
    <row r="3677" spans="1:20" x14ac:dyDescent="0.2">
      <c r="A3677" s="17"/>
      <c r="B3677" s="17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  <c r="S3677" s="18"/>
      <c r="T3677" s="18"/>
    </row>
    <row r="3678" spans="1:20" x14ac:dyDescent="0.2">
      <c r="A3678" s="17"/>
      <c r="B3678" s="17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18"/>
      <c r="S3678" s="18"/>
      <c r="T3678" s="18"/>
    </row>
    <row r="3679" spans="1:20" x14ac:dyDescent="0.2">
      <c r="A3679" s="17"/>
      <c r="B3679" s="17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  <c r="S3679" s="18"/>
      <c r="T3679" s="18"/>
    </row>
    <row r="3680" spans="1:20" x14ac:dyDescent="0.2">
      <c r="A3680" s="17"/>
      <c r="B3680" s="17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18"/>
      <c r="S3680" s="18"/>
      <c r="T3680" s="18"/>
    </row>
    <row r="3681" spans="1:20" x14ac:dyDescent="0.2">
      <c r="A3681" s="17"/>
      <c r="B3681" s="17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  <c r="S3681" s="18"/>
      <c r="T3681" s="18"/>
    </row>
    <row r="3682" spans="1:20" x14ac:dyDescent="0.2">
      <c r="A3682" s="17"/>
      <c r="B3682" s="17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18"/>
      <c r="S3682" s="18"/>
      <c r="T3682" s="18"/>
    </row>
    <row r="3683" spans="1:20" x14ac:dyDescent="0.2">
      <c r="A3683" s="17"/>
      <c r="B3683" s="17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  <c r="S3683" s="18"/>
      <c r="T3683" s="18"/>
    </row>
    <row r="3684" spans="1:20" x14ac:dyDescent="0.2">
      <c r="A3684" s="17"/>
      <c r="B3684" s="17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  <c r="S3684" s="18"/>
      <c r="T3684" s="18"/>
    </row>
    <row r="3685" spans="1:20" x14ac:dyDescent="0.2">
      <c r="A3685" s="17"/>
      <c r="B3685" s="17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  <c r="S3685" s="18"/>
      <c r="T3685" s="18"/>
    </row>
    <row r="3686" spans="1:20" x14ac:dyDescent="0.2">
      <c r="A3686" s="17"/>
      <c r="B3686" s="17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18"/>
      <c r="S3686" s="18"/>
      <c r="T3686" s="18"/>
    </row>
    <row r="3687" spans="1:20" x14ac:dyDescent="0.2">
      <c r="A3687" s="17"/>
      <c r="B3687" s="17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18"/>
      <c r="S3687" s="18"/>
      <c r="T3687" s="18"/>
    </row>
    <row r="3688" spans="1:20" x14ac:dyDescent="0.2">
      <c r="A3688" s="17"/>
      <c r="B3688" s="17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  <c r="S3688" s="18"/>
      <c r="T3688" s="18"/>
    </row>
    <row r="3689" spans="1:20" x14ac:dyDescent="0.2">
      <c r="A3689" s="17"/>
      <c r="B3689" s="17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  <c r="S3689" s="18"/>
      <c r="T3689" s="18"/>
    </row>
    <row r="3690" spans="1:20" x14ac:dyDescent="0.2">
      <c r="A3690" s="17"/>
      <c r="B3690" s="17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8"/>
      <c r="R3690" s="18"/>
      <c r="S3690" s="18"/>
      <c r="T3690" s="18"/>
    </row>
    <row r="3691" spans="1:20" x14ac:dyDescent="0.2">
      <c r="A3691" s="17"/>
      <c r="B3691" s="17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  <c r="S3691" s="18"/>
      <c r="T3691" s="18"/>
    </row>
    <row r="3692" spans="1:20" x14ac:dyDescent="0.2">
      <c r="A3692" s="17"/>
      <c r="B3692" s="17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8"/>
      <c r="R3692" s="18"/>
      <c r="S3692" s="18"/>
      <c r="T3692" s="18"/>
    </row>
    <row r="3693" spans="1:20" x14ac:dyDescent="0.2">
      <c r="A3693" s="17"/>
      <c r="B3693" s="17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8"/>
      <c r="R3693" s="18"/>
      <c r="S3693" s="18"/>
      <c r="T3693" s="18"/>
    </row>
    <row r="3694" spans="1:20" x14ac:dyDescent="0.2">
      <c r="A3694" s="17"/>
      <c r="B3694" s="17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8"/>
      <c r="R3694" s="18"/>
      <c r="S3694" s="18"/>
      <c r="T3694" s="18"/>
    </row>
    <row r="3695" spans="1:20" x14ac:dyDescent="0.2">
      <c r="A3695" s="17"/>
      <c r="B3695" s="17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  <c r="S3695" s="18"/>
      <c r="T3695" s="18"/>
    </row>
    <row r="3696" spans="1:20" x14ac:dyDescent="0.2">
      <c r="A3696" s="17"/>
      <c r="B3696" s="17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  <c r="S3696" s="18"/>
      <c r="T3696" s="18"/>
    </row>
    <row r="3697" spans="1:20" x14ac:dyDescent="0.2">
      <c r="A3697" s="17"/>
      <c r="B3697" s="17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18"/>
      <c r="S3697" s="18"/>
      <c r="T3697" s="18"/>
    </row>
    <row r="3698" spans="1:20" x14ac:dyDescent="0.2">
      <c r="A3698" s="17"/>
      <c r="B3698" s="17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18"/>
      <c r="S3698" s="18"/>
      <c r="T3698" s="18"/>
    </row>
    <row r="3699" spans="1:20" x14ac:dyDescent="0.2">
      <c r="A3699" s="17"/>
      <c r="B3699" s="17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  <c r="S3699" s="18"/>
      <c r="T3699" s="18"/>
    </row>
    <row r="3700" spans="1:20" x14ac:dyDescent="0.2">
      <c r="A3700" s="17"/>
      <c r="B3700" s="17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18"/>
      <c r="S3700" s="18"/>
      <c r="T3700" s="18"/>
    </row>
    <row r="3701" spans="1:20" x14ac:dyDescent="0.2">
      <c r="A3701" s="17"/>
      <c r="B3701" s="17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  <c r="S3701" s="18"/>
      <c r="T3701" s="18"/>
    </row>
    <row r="3702" spans="1:20" x14ac:dyDescent="0.2">
      <c r="A3702" s="17"/>
      <c r="B3702" s="17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  <c r="S3702" s="18"/>
      <c r="T3702" s="18"/>
    </row>
    <row r="3703" spans="1:20" x14ac:dyDescent="0.2">
      <c r="A3703" s="17"/>
      <c r="B3703" s="17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18"/>
      <c r="S3703" s="18"/>
      <c r="T3703" s="18"/>
    </row>
    <row r="3704" spans="1:20" x14ac:dyDescent="0.2">
      <c r="A3704" s="17"/>
      <c r="B3704" s="17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  <c r="S3704" s="18"/>
      <c r="T3704" s="18"/>
    </row>
    <row r="3705" spans="1:20" x14ac:dyDescent="0.2">
      <c r="A3705" s="17"/>
      <c r="B3705" s="17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  <c r="S3705" s="18"/>
      <c r="T3705" s="18"/>
    </row>
    <row r="3706" spans="1:20" x14ac:dyDescent="0.2">
      <c r="A3706" s="17"/>
      <c r="B3706" s="17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18"/>
      <c r="S3706" s="18"/>
      <c r="T3706" s="18"/>
    </row>
    <row r="3707" spans="1:20" x14ac:dyDescent="0.2">
      <c r="A3707" s="17"/>
      <c r="B3707" s="17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  <c r="S3707" s="18"/>
      <c r="T3707" s="18"/>
    </row>
    <row r="3708" spans="1:20" x14ac:dyDescent="0.2">
      <c r="A3708" s="17"/>
      <c r="B3708" s="17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18"/>
      <c r="S3708" s="18"/>
      <c r="T3708" s="18"/>
    </row>
    <row r="3709" spans="1:20" x14ac:dyDescent="0.2">
      <c r="A3709" s="17"/>
      <c r="B3709" s="17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  <c r="S3709" s="18"/>
      <c r="T3709" s="18"/>
    </row>
    <row r="3710" spans="1:20" x14ac:dyDescent="0.2">
      <c r="A3710" s="17"/>
      <c r="B3710" s="17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18"/>
      <c r="S3710" s="18"/>
      <c r="T3710" s="18"/>
    </row>
    <row r="3711" spans="1:20" x14ac:dyDescent="0.2">
      <c r="A3711" s="17"/>
      <c r="B3711" s="17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  <c r="S3711" s="18"/>
      <c r="T3711" s="18"/>
    </row>
    <row r="3712" spans="1:20" x14ac:dyDescent="0.2">
      <c r="A3712" s="17"/>
      <c r="B3712" s="17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18"/>
      <c r="S3712" s="18"/>
      <c r="T3712" s="18"/>
    </row>
    <row r="3713" spans="1:20" x14ac:dyDescent="0.2">
      <c r="A3713" s="17"/>
      <c r="B3713" s="17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  <c r="S3713" s="18"/>
      <c r="T3713" s="18"/>
    </row>
    <row r="3714" spans="1:20" x14ac:dyDescent="0.2">
      <c r="A3714" s="17"/>
      <c r="B3714" s="17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18"/>
      <c r="S3714" s="18"/>
      <c r="T3714" s="18"/>
    </row>
    <row r="3715" spans="1:20" x14ac:dyDescent="0.2">
      <c r="A3715" s="17"/>
      <c r="B3715" s="17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  <c r="S3715" s="18"/>
      <c r="T3715" s="18"/>
    </row>
    <row r="3716" spans="1:20" x14ac:dyDescent="0.2">
      <c r="A3716" s="17"/>
      <c r="B3716" s="17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18"/>
      <c r="S3716" s="18"/>
      <c r="T3716" s="18"/>
    </row>
    <row r="3717" spans="1:20" x14ac:dyDescent="0.2">
      <c r="A3717" s="17"/>
      <c r="B3717" s="17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  <c r="S3717" s="18"/>
      <c r="T3717" s="18"/>
    </row>
    <row r="3718" spans="1:20" x14ac:dyDescent="0.2">
      <c r="A3718" s="17"/>
      <c r="B3718" s="17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18"/>
      <c r="S3718" s="18"/>
      <c r="T3718" s="18"/>
    </row>
    <row r="3719" spans="1:20" x14ac:dyDescent="0.2">
      <c r="A3719" s="17"/>
      <c r="B3719" s="17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  <c r="S3719" s="18"/>
      <c r="T3719" s="18"/>
    </row>
    <row r="3720" spans="1:20" x14ac:dyDescent="0.2">
      <c r="A3720" s="17"/>
      <c r="B3720" s="17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18"/>
      <c r="S3720" s="18"/>
      <c r="T3720" s="18"/>
    </row>
    <row r="3721" spans="1:20" x14ac:dyDescent="0.2">
      <c r="A3721" s="17"/>
      <c r="B3721" s="17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  <c r="S3721" s="18"/>
      <c r="T3721" s="18"/>
    </row>
    <row r="3722" spans="1:20" x14ac:dyDescent="0.2">
      <c r="A3722" s="17"/>
      <c r="B3722" s="17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  <c r="S3722" s="18"/>
      <c r="T3722" s="18"/>
    </row>
    <row r="3723" spans="1:20" x14ac:dyDescent="0.2">
      <c r="A3723" s="17"/>
      <c r="B3723" s="17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  <c r="S3723" s="18"/>
      <c r="T3723" s="18"/>
    </row>
    <row r="3724" spans="1:20" x14ac:dyDescent="0.2">
      <c r="A3724" s="17"/>
      <c r="B3724" s="17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18"/>
      <c r="S3724" s="18"/>
      <c r="T3724" s="18"/>
    </row>
    <row r="3725" spans="1:20" x14ac:dyDescent="0.2">
      <c r="A3725" s="17"/>
      <c r="B3725" s="17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  <c r="S3725" s="18"/>
      <c r="T3725" s="18"/>
    </row>
    <row r="3726" spans="1:20" x14ac:dyDescent="0.2">
      <c r="A3726" s="17"/>
      <c r="B3726" s="17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18"/>
      <c r="S3726" s="18"/>
      <c r="T3726" s="18"/>
    </row>
    <row r="3727" spans="1:20" x14ac:dyDescent="0.2">
      <c r="A3727" s="17"/>
      <c r="B3727" s="17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18"/>
      <c r="S3727" s="18"/>
      <c r="T3727" s="18"/>
    </row>
    <row r="3728" spans="1:20" x14ac:dyDescent="0.2">
      <c r="A3728" s="17"/>
      <c r="B3728" s="17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8"/>
      <c r="R3728" s="18"/>
      <c r="S3728" s="18"/>
      <c r="T3728" s="18"/>
    </row>
    <row r="3729" spans="1:20" x14ac:dyDescent="0.2">
      <c r="A3729" s="17"/>
      <c r="B3729" s="17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  <c r="S3729" s="18"/>
      <c r="T3729" s="18"/>
    </row>
    <row r="3730" spans="1:20" x14ac:dyDescent="0.2">
      <c r="A3730" s="17"/>
      <c r="B3730" s="17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18"/>
      <c r="S3730" s="18"/>
      <c r="T3730" s="18"/>
    </row>
    <row r="3731" spans="1:20" x14ac:dyDescent="0.2">
      <c r="A3731" s="17"/>
      <c r="B3731" s="17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18"/>
      <c r="S3731" s="18"/>
      <c r="T3731" s="18"/>
    </row>
    <row r="3732" spans="1:20" x14ac:dyDescent="0.2">
      <c r="A3732" s="17"/>
      <c r="B3732" s="17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18"/>
      <c r="S3732" s="18"/>
      <c r="T3732" s="18"/>
    </row>
    <row r="3733" spans="1:20" x14ac:dyDescent="0.2">
      <c r="A3733" s="17"/>
      <c r="B3733" s="17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  <c r="S3733" s="18"/>
      <c r="T3733" s="18"/>
    </row>
    <row r="3734" spans="1:20" x14ac:dyDescent="0.2">
      <c r="A3734" s="17"/>
      <c r="B3734" s="17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  <c r="S3734" s="18"/>
      <c r="T3734" s="18"/>
    </row>
    <row r="3735" spans="1:20" x14ac:dyDescent="0.2">
      <c r="A3735" s="17"/>
      <c r="B3735" s="17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/>
      <c r="S3735" s="18"/>
      <c r="T3735" s="18"/>
    </row>
    <row r="3736" spans="1:20" x14ac:dyDescent="0.2">
      <c r="A3736" s="17"/>
      <c r="B3736" s="17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8"/>
      <c r="R3736" s="18"/>
      <c r="S3736" s="18"/>
      <c r="T3736" s="18"/>
    </row>
    <row r="3737" spans="1:20" x14ac:dyDescent="0.2">
      <c r="A3737" s="17"/>
      <c r="B3737" s="17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  <c r="S3737" s="18"/>
      <c r="T3737" s="18"/>
    </row>
    <row r="3738" spans="1:20" x14ac:dyDescent="0.2">
      <c r="A3738" s="17"/>
      <c r="B3738" s="17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8"/>
      <c r="R3738" s="18"/>
      <c r="S3738" s="18"/>
      <c r="T3738" s="18"/>
    </row>
    <row r="3739" spans="1:20" x14ac:dyDescent="0.2">
      <c r="A3739" s="17"/>
      <c r="B3739" s="17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  <c r="S3739" s="18"/>
      <c r="T3739" s="18"/>
    </row>
    <row r="3740" spans="1:20" x14ac:dyDescent="0.2">
      <c r="A3740" s="17"/>
      <c r="B3740" s="17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18"/>
      <c r="S3740" s="18"/>
      <c r="T3740" s="18"/>
    </row>
    <row r="3741" spans="1:20" x14ac:dyDescent="0.2">
      <c r="A3741" s="17"/>
      <c r="B3741" s="17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  <c r="S3741" s="18"/>
      <c r="T3741" s="18"/>
    </row>
    <row r="3742" spans="1:20" x14ac:dyDescent="0.2">
      <c r="A3742" s="17"/>
      <c r="B3742" s="17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18"/>
      <c r="S3742" s="18"/>
      <c r="T3742" s="18"/>
    </row>
    <row r="3743" spans="1:20" x14ac:dyDescent="0.2">
      <c r="A3743" s="17"/>
      <c r="B3743" s="17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  <c r="S3743" s="18"/>
      <c r="T3743" s="18"/>
    </row>
    <row r="3744" spans="1:20" x14ac:dyDescent="0.2">
      <c r="A3744" s="17"/>
      <c r="B3744" s="17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18"/>
      <c r="S3744" s="18"/>
      <c r="T3744" s="18"/>
    </row>
    <row r="3745" spans="1:20" x14ac:dyDescent="0.2">
      <c r="A3745" s="17"/>
      <c r="B3745" s="17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  <c r="S3745" s="18"/>
      <c r="T3745" s="18"/>
    </row>
    <row r="3746" spans="1:20" x14ac:dyDescent="0.2">
      <c r="A3746" s="17"/>
      <c r="B3746" s="17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18"/>
      <c r="S3746" s="18"/>
      <c r="T3746" s="18"/>
    </row>
    <row r="3747" spans="1:20" x14ac:dyDescent="0.2">
      <c r="A3747" s="17"/>
      <c r="B3747" s="17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  <c r="S3747" s="18"/>
      <c r="T3747" s="18"/>
    </row>
    <row r="3748" spans="1:20" x14ac:dyDescent="0.2">
      <c r="A3748" s="17"/>
      <c r="B3748" s="17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18"/>
      <c r="S3748" s="18"/>
      <c r="T3748" s="18"/>
    </row>
    <row r="3749" spans="1:20" x14ac:dyDescent="0.2">
      <c r="A3749" s="17"/>
      <c r="B3749" s="17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  <c r="S3749" s="18"/>
      <c r="T3749" s="18"/>
    </row>
    <row r="3750" spans="1:20" x14ac:dyDescent="0.2">
      <c r="A3750" s="17"/>
      <c r="B3750" s="17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18"/>
      <c r="S3750" s="18"/>
      <c r="T3750" s="18"/>
    </row>
    <row r="3751" spans="1:20" x14ac:dyDescent="0.2">
      <c r="A3751" s="17"/>
      <c r="B3751" s="17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  <c r="S3751" s="18"/>
      <c r="T3751" s="18"/>
    </row>
    <row r="3752" spans="1:20" x14ac:dyDescent="0.2">
      <c r="A3752" s="17"/>
      <c r="B3752" s="17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18"/>
      <c r="S3752" s="18"/>
      <c r="T3752" s="18"/>
    </row>
    <row r="3753" spans="1:20" x14ac:dyDescent="0.2">
      <c r="A3753" s="17"/>
      <c r="B3753" s="17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  <c r="S3753" s="18"/>
      <c r="T3753" s="18"/>
    </row>
    <row r="3754" spans="1:20" x14ac:dyDescent="0.2">
      <c r="A3754" s="17"/>
      <c r="B3754" s="17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18"/>
      <c r="S3754" s="18"/>
      <c r="T3754" s="18"/>
    </row>
    <row r="3755" spans="1:20" x14ac:dyDescent="0.2">
      <c r="A3755" s="17"/>
      <c r="B3755" s="17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  <c r="S3755" s="18"/>
      <c r="T3755" s="18"/>
    </row>
    <row r="3756" spans="1:20" x14ac:dyDescent="0.2">
      <c r="A3756" s="17"/>
      <c r="B3756" s="17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8"/>
      <c r="R3756" s="18"/>
      <c r="S3756" s="18"/>
      <c r="T3756" s="18"/>
    </row>
    <row r="3757" spans="1:20" x14ac:dyDescent="0.2">
      <c r="A3757" s="17"/>
      <c r="B3757" s="17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  <c r="S3757" s="18"/>
      <c r="T3757" s="18"/>
    </row>
    <row r="3758" spans="1:20" x14ac:dyDescent="0.2">
      <c r="A3758" s="17"/>
      <c r="B3758" s="17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18"/>
      <c r="S3758" s="18"/>
      <c r="T3758" s="18"/>
    </row>
    <row r="3759" spans="1:20" x14ac:dyDescent="0.2">
      <c r="A3759" s="17"/>
      <c r="B3759" s="17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/>
      <c r="R3759" s="18"/>
      <c r="S3759" s="18"/>
      <c r="T3759" s="18"/>
    </row>
    <row r="3760" spans="1:20" x14ac:dyDescent="0.2">
      <c r="A3760" s="17"/>
      <c r="B3760" s="17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18"/>
      <c r="S3760" s="18"/>
      <c r="T3760" s="18"/>
    </row>
    <row r="3761" spans="1:20" x14ac:dyDescent="0.2">
      <c r="A3761" s="17"/>
      <c r="B3761" s="17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  <c r="S3761" s="18"/>
      <c r="T3761" s="18"/>
    </row>
    <row r="3762" spans="1:20" x14ac:dyDescent="0.2">
      <c r="A3762" s="17"/>
      <c r="B3762" s="17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18"/>
      <c r="S3762" s="18"/>
      <c r="T3762" s="18"/>
    </row>
    <row r="3763" spans="1:20" x14ac:dyDescent="0.2">
      <c r="A3763" s="17"/>
      <c r="B3763" s="17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  <c r="S3763" s="18"/>
      <c r="T3763" s="18"/>
    </row>
    <row r="3764" spans="1:20" x14ac:dyDescent="0.2">
      <c r="A3764" s="17"/>
      <c r="B3764" s="17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18"/>
      <c r="S3764" s="18"/>
      <c r="T3764" s="18"/>
    </row>
    <row r="3765" spans="1:20" x14ac:dyDescent="0.2">
      <c r="A3765" s="17"/>
      <c r="B3765" s="17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  <c r="S3765" s="18"/>
      <c r="T3765" s="18"/>
    </row>
    <row r="3766" spans="1:20" x14ac:dyDescent="0.2">
      <c r="A3766" s="17"/>
      <c r="B3766" s="17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18"/>
      <c r="S3766" s="18"/>
      <c r="T3766" s="18"/>
    </row>
    <row r="3767" spans="1:20" x14ac:dyDescent="0.2">
      <c r="A3767" s="17"/>
      <c r="B3767" s="17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  <c r="S3767" s="18"/>
      <c r="T3767" s="18"/>
    </row>
    <row r="3768" spans="1:20" x14ac:dyDescent="0.2">
      <c r="A3768" s="17"/>
      <c r="B3768" s="17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  <c r="S3768" s="18"/>
      <c r="T3768" s="18"/>
    </row>
    <row r="3769" spans="1:20" x14ac:dyDescent="0.2">
      <c r="A3769" s="17"/>
      <c r="B3769" s="17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  <c r="S3769" s="18"/>
      <c r="T3769" s="18"/>
    </row>
    <row r="3770" spans="1:20" x14ac:dyDescent="0.2">
      <c r="A3770" s="17"/>
      <c r="B3770" s="17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18"/>
      <c r="S3770" s="18"/>
      <c r="T3770" s="18"/>
    </row>
    <row r="3771" spans="1:20" x14ac:dyDescent="0.2">
      <c r="A3771" s="17"/>
      <c r="B3771" s="17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18"/>
      <c r="S3771" s="18"/>
      <c r="T3771" s="18"/>
    </row>
    <row r="3772" spans="1:20" x14ac:dyDescent="0.2">
      <c r="A3772" s="17"/>
      <c r="B3772" s="17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18"/>
      <c r="S3772" s="18"/>
      <c r="T3772" s="18"/>
    </row>
    <row r="3773" spans="1:20" x14ac:dyDescent="0.2">
      <c r="A3773" s="17"/>
      <c r="B3773" s="17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  <c r="S3773" s="18"/>
      <c r="T3773" s="18"/>
    </row>
    <row r="3774" spans="1:20" x14ac:dyDescent="0.2">
      <c r="A3774" s="17"/>
      <c r="B3774" s="17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18"/>
      <c r="S3774" s="18"/>
      <c r="T3774" s="18"/>
    </row>
    <row r="3775" spans="1:20" x14ac:dyDescent="0.2">
      <c r="A3775" s="17"/>
      <c r="B3775" s="17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18"/>
      <c r="S3775" s="18"/>
      <c r="T3775" s="18"/>
    </row>
    <row r="3776" spans="1:20" x14ac:dyDescent="0.2">
      <c r="A3776" s="17"/>
      <c r="B3776" s="17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18"/>
      <c r="S3776" s="18"/>
      <c r="T3776" s="18"/>
    </row>
    <row r="3777" spans="1:20" x14ac:dyDescent="0.2">
      <c r="A3777" s="17"/>
      <c r="B3777" s="17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18"/>
      <c r="S3777" s="18"/>
      <c r="T3777" s="18"/>
    </row>
    <row r="3778" spans="1:20" x14ac:dyDescent="0.2">
      <c r="A3778" s="17"/>
      <c r="B3778" s="17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18"/>
      <c r="S3778" s="18"/>
      <c r="T3778" s="18"/>
    </row>
    <row r="3779" spans="1:20" x14ac:dyDescent="0.2">
      <c r="A3779" s="17"/>
      <c r="B3779" s="17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  <c r="S3779" s="18"/>
      <c r="T3779" s="18"/>
    </row>
    <row r="3780" spans="1:20" x14ac:dyDescent="0.2">
      <c r="A3780" s="17"/>
      <c r="B3780" s="17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  <c r="S3780" s="18"/>
      <c r="T3780" s="18"/>
    </row>
    <row r="3781" spans="1:20" x14ac:dyDescent="0.2">
      <c r="A3781" s="17"/>
      <c r="B3781" s="17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  <c r="S3781" s="18"/>
      <c r="T3781" s="18"/>
    </row>
    <row r="3782" spans="1:20" x14ac:dyDescent="0.2">
      <c r="A3782" s="17"/>
      <c r="B3782" s="17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18"/>
      <c r="S3782" s="18"/>
      <c r="T3782" s="18"/>
    </row>
    <row r="3783" spans="1:20" x14ac:dyDescent="0.2">
      <c r="A3783" s="17"/>
      <c r="B3783" s="17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  <c r="S3783" s="18"/>
      <c r="T3783" s="18"/>
    </row>
    <row r="3784" spans="1:20" x14ac:dyDescent="0.2">
      <c r="A3784" s="17"/>
      <c r="B3784" s="17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  <c r="S3784" s="18"/>
      <c r="T3784" s="18"/>
    </row>
    <row r="3785" spans="1:20" x14ac:dyDescent="0.2">
      <c r="A3785" s="17"/>
      <c r="B3785" s="17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  <c r="S3785" s="18"/>
      <c r="T3785" s="18"/>
    </row>
    <row r="3786" spans="1:20" x14ac:dyDescent="0.2">
      <c r="A3786" s="17"/>
      <c r="B3786" s="17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18"/>
      <c r="S3786" s="18"/>
      <c r="T3786" s="18"/>
    </row>
    <row r="3787" spans="1:20" x14ac:dyDescent="0.2">
      <c r="A3787" s="17"/>
      <c r="B3787" s="17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18"/>
      <c r="S3787" s="18"/>
      <c r="T3787" s="18"/>
    </row>
    <row r="3788" spans="1:20" x14ac:dyDescent="0.2">
      <c r="A3788" s="17"/>
      <c r="B3788" s="17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  <c r="S3788" s="18"/>
      <c r="T3788" s="18"/>
    </row>
    <row r="3789" spans="1:20" x14ac:dyDescent="0.2">
      <c r="A3789" s="17"/>
      <c r="B3789" s="17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  <c r="S3789" s="18"/>
      <c r="T3789" s="18"/>
    </row>
    <row r="3790" spans="1:20" x14ac:dyDescent="0.2">
      <c r="A3790" s="17"/>
      <c r="B3790" s="17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18"/>
      <c r="S3790" s="18"/>
      <c r="T3790" s="18"/>
    </row>
    <row r="3791" spans="1:20" x14ac:dyDescent="0.2">
      <c r="A3791" s="17"/>
      <c r="B3791" s="17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  <c r="S3791" s="18"/>
      <c r="T3791" s="18"/>
    </row>
    <row r="3792" spans="1:20" x14ac:dyDescent="0.2">
      <c r="A3792" s="17"/>
      <c r="B3792" s="17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18"/>
      <c r="S3792" s="18"/>
      <c r="T3792" s="18"/>
    </row>
    <row r="3793" spans="1:20" x14ac:dyDescent="0.2">
      <c r="A3793" s="17"/>
      <c r="B3793" s="17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  <c r="S3793" s="18"/>
      <c r="T3793" s="18"/>
    </row>
    <row r="3794" spans="1:20" x14ac:dyDescent="0.2">
      <c r="A3794" s="17"/>
      <c r="B3794" s="17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18"/>
      <c r="S3794" s="18"/>
      <c r="T3794" s="18"/>
    </row>
    <row r="3795" spans="1:20" x14ac:dyDescent="0.2">
      <c r="A3795" s="17"/>
      <c r="B3795" s="17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  <c r="S3795" s="18"/>
      <c r="T3795" s="18"/>
    </row>
    <row r="3796" spans="1:20" x14ac:dyDescent="0.2">
      <c r="A3796" s="17"/>
      <c r="B3796" s="17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  <c r="S3796" s="18"/>
      <c r="T3796" s="18"/>
    </row>
    <row r="3797" spans="1:20" x14ac:dyDescent="0.2">
      <c r="A3797" s="17"/>
      <c r="B3797" s="17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  <c r="S3797" s="18"/>
      <c r="T3797" s="18"/>
    </row>
    <row r="3798" spans="1:20" x14ac:dyDescent="0.2">
      <c r="A3798" s="17"/>
      <c r="B3798" s="17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8"/>
      <c r="R3798" s="18"/>
      <c r="S3798" s="18"/>
      <c r="T3798" s="18"/>
    </row>
    <row r="3799" spans="1:20" x14ac:dyDescent="0.2">
      <c r="A3799" s="17"/>
      <c r="B3799" s="17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  <c r="S3799" s="18"/>
      <c r="T3799" s="18"/>
    </row>
    <row r="3800" spans="1:20" x14ac:dyDescent="0.2">
      <c r="A3800" s="17"/>
      <c r="B3800" s="17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18"/>
      <c r="S3800" s="18"/>
      <c r="T3800" s="18"/>
    </row>
    <row r="3801" spans="1:20" x14ac:dyDescent="0.2">
      <c r="A3801" s="17"/>
      <c r="B3801" s="17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  <c r="S3801" s="18"/>
      <c r="T3801" s="18"/>
    </row>
    <row r="3802" spans="1:20" x14ac:dyDescent="0.2">
      <c r="A3802" s="17"/>
      <c r="B3802" s="17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8"/>
      <c r="R3802" s="18"/>
      <c r="S3802" s="18"/>
      <c r="T3802" s="18"/>
    </row>
    <row r="3803" spans="1:20" x14ac:dyDescent="0.2">
      <c r="A3803" s="17"/>
      <c r="B3803" s="17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  <c r="S3803" s="18"/>
      <c r="T3803" s="18"/>
    </row>
    <row r="3804" spans="1:20" x14ac:dyDescent="0.2">
      <c r="A3804" s="17"/>
      <c r="B3804" s="17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  <c r="S3804" s="18"/>
      <c r="T3804" s="18"/>
    </row>
    <row r="3805" spans="1:20" x14ac:dyDescent="0.2">
      <c r="A3805" s="17"/>
      <c r="B3805" s="17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  <c r="S3805" s="18"/>
      <c r="T3805" s="18"/>
    </row>
    <row r="3806" spans="1:20" x14ac:dyDescent="0.2">
      <c r="A3806" s="17"/>
      <c r="B3806" s="17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18"/>
      <c r="S3806" s="18"/>
      <c r="T3806" s="18"/>
    </row>
    <row r="3807" spans="1:20" x14ac:dyDescent="0.2">
      <c r="A3807" s="17"/>
      <c r="B3807" s="17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  <c r="S3807" s="18"/>
      <c r="T3807" s="18"/>
    </row>
    <row r="3808" spans="1:20" x14ac:dyDescent="0.2">
      <c r="A3808" s="17"/>
      <c r="B3808" s="17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18"/>
      <c r="S3808" s="18"/>
      <c r="T3808" s="18"/>
    </row>
    <row r="3809" spans="1:20" x14ac:dyDescent="0.2">
      <c r="A3809" s="17"/>
      <c r="B3809" s="17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  <c r="S3809" s="18"/>
      <c r="T3809" s="18"/>
    </row>
    <row r="3810" spans="1:20" x14ac:dyDescent="0.2">
      <c r="A3810" s="17"/>
      <c r="B3810" s="17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18"/>
      <c r="S3810" s="18"/>
      <c r="T3810" s="18"/>
    </row>
    <row r="3811" spans="1:20" x14ac:dyDescent="0.2">
      <c r="A3811" s="17"/>
      <c r="B3811" s="17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  <c r="S3811" s="18"/>
      <c r="T3811" s="18"/>
    </row>
    <row r="3812" spans="1:20" x14ac:dyDescent="0.2">
      <c r="A3812" s="17"/>
      <c r="B3812" s="17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18"/>
      <c r="S3812" s="18"/>
      <c r="T3812" s="18"/>
    </row>
    <row r="3813" spans="1:20" x14ac:dyDescent="0.2">
      <c r="A3813" s="17"/>
      <c r="B3813" s="17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  <c r="S3813" s="18"/>
      <c r="T3813" s="18"/>
    </row>
    <row r="3814" spans="1:20" x14ac:dyDescent="0.2">
      <c r="A3814" s="17"/>
      <c r="B3814" s="17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  <c r="S3814" s="18"/>
      <c r="T3814" s="18"/>
    </row>
    <row r="3815" spans="1:20" x14ac:dyDescent="0.2">
      <c r="A3815" s="17"/>
      <c r="B3815" s="17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  <c r="S3815" s="18"/>
      <c r="T3815" s="18"/>
    </row>
    <row r="3816" spans="1:20" x14ac:dyDescent="0.2">
      <c r="A3816" s="17"/>
      <c r="B3816" s="17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18"/>
      <c r="S3816" s="18"/>
      <c r="T3816" s="18"/>
    </row>
    <row r="3817" spans="1:20" x14ac:dyDescent="0.2">
      <c r="A3817" s="17"/>
      <c r="B3817" s="17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  <c r="S3817" s="18"/>
      <c r="T3817" s="18"/>
    </row>
    <row r="3818" spans="1:20" x14ac:dyDescent="0.2">
      <c r="A3818" s="17"/>
      <c r="B3818" s="17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8"/>
      <c r="R3818" s="18"/>
      <c r="S3818" s="18"/>
      <c r="T3818" s="18"/>
    </row>
    <row r="3819" spans="1:20" x14ac:dyDescent="0.2">
      <c r="A3819" s="17"/>
      <c r="B3819" s="17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  <c r="S3819" s="18"/>
      <c r="T3819" s="18"/>
    </row>
    <row r="3820" spans="1:20" x14ac:dyDescent="0.2">
      <c r="A3820" s="17"/>
      <c r="B3820" s="17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18"/>
      <c r="S3820" s="18"/>
      <c r="T3820" s="18"/>
    </row>
    <row r="3821" spans="1:20" x14ac:dyDescent="0.2">
      <c r="A3821" s="17"/>
      <c r="B3821" s="17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  <c r="S3821" s="18"/>
      <c r="T3821" s="18"/>
    </row>
    <row r="3822" spans="1:20" x14ac:dyDescent="0.2">
      <c r="A3822" s="17"/>
      <c r="B3822" s="17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18"/>
      <c r="S3822" s="18"/>
      <c r="T3822" s="18"/>
    </row>
    <row r="3823" spans="1:20" x14ac:dyDescent="0.2">
      <c r="A3823" s="17"/>
      <c r="B3823" s="17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  <c r="S3823" s="18"/>
      <c r="T3823" s="18"/>
    </row>
    <row r="3824" spans="1:20" x14ac:dyDescent="0.2">
      <c r="A3824" s="17"/>
      <c r="B3824" s="17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8"/>
      <c r="R3824" s="18"/>
      <c r="S3824" s="18"/>
      <c r="T3824" s="18"/>
    </row>
    <row r="3825" spans="1:20" x14ac:dyDescent="0.2">
      <c r="A3825" s="17"/>
      <c r="B3825" s="17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  <c r="S3825" s="18"/>
      <c r="T3825" s="18"/>
    </row>
    <row r="3826" spans="1:20" x14ac:dyDescent="0.2">
      <c r="A3826" s="17"/>
      <c r="B3826" s="17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  <c r="S3826" s="18"/>
      <c r="T3826" s="18"/>
    </row>
    <row r="3827" spans="1:20" x14ac:dyDescent="0.2">
      <c r="A3827" s="17"/>
      <c r="B3827" s="17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  <c r="S3827" s="18"/>
      <c r="T3827" s="18"/>
    </row>
    <row r="3828" spans="1:20" x14ac:dyDescent="0.2">
      <c r="A3828" s="17"/>
      <c r="B3828" s="17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8"/>
      <c r="R3828" s="18"/>
      <c r="S3828" s="18"/>
      <c r="T3828" s="18"/>
    </row>
    <row r="3829" spans="1:20" x14ac:dyDescent="0.2">
      <c r="A3829" s="17"/>
      <c r="B3829" s="17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  <c r="S3829" s="18"/>
      <c r="T3829" s="18"/>
    </row>
    <row r="3830" spans="1:20" x14ac:dyDescent="0.2">
      <c r="A3830" s="17"/>
      <c r="B3830" s="17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8"/>
      <c r="R3830" s="18"/>
      <c r="S3830" s="18"/>
      <c r="T3830" s="18"/>
    </row>
    <row r="3831" spans="1:20" x14ac:dyDescent="0.2">
      <c r="A3831" s="17"/>
      <c r="B3831" s="17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/>
      <c r="S3831" s="18"/>
      <c r="T3831" s="18"/>
    </row>
    <row r="3832" spans="1:20" x14ac:dyDescent="0.2">
      <c r="A3832" s="17"/>
      <c r="B3832" s="17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18"/>
      <c r="S3832" s="18"/>
      <c r="T3832" s="18"/>
    </row>
    <row r="3833" spans="1:20" x14ac:dyDescent="0.2">
      <c r="A3833" s="17"/>
      <c r="B3833" s="17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  <c r="S3833" s="18"/>
      <c r="T3833" s="18"/>
    </row>
    <row r="3834" spans="1:20" x14ac:dyDescent="0.2">
      <c r="A3834" s="17"/>
      <c r="B3834" s="17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  <c r="S3834" s="18"/>
      <c r="T3834" s="18"/>
    </row>
    <row r="3835" spans="1:20" x14ac:dyDescent="0.2">
      <c r="A3835" s="17"/>
      <c r="B3835" s="17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  <c r="S3835" s="18"/>
      <c r="T3835" s="18"/>
    </row>
    <row r="3836" spans="1:20" x14ac:dyDescent="0.2">
      <c r="A3836" s="17"/>
      <c r="B3836" s="17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18"/>
      <c r="S3836" s="18"/>
      <c r="T3836" s="18"/>
    </row>
    <row r="3837" spans="1:20" x14ac:dyDescent="0.2">
      <c r="A3837" s="17"/>
      <c r="B3837" s="17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  <c r="S3837" s="18"/>
      <c r="T3837" s="18"/>
    </row>
    <row r="3838" spans="1:20" x14ac:dyDescent="0.2">
      <c r="A3838" s="17"/>
      <c r="B3838" s="17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18"/>
      <c r="S3838" s="18"/>
      <c r="T3838" s="18"/>
    </row>
    <row r="3839" spans="1:20" x14ac:dyDescent="0.2">
      <c r="A3839" s="17"/>
      <c r="B3839" s="17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/>
      <c r="S3839" s="18"/>
      <c r="T3839" s="18"/>
    </row>
    <row r="3840" spans="1:20" x14ac:dyDescent="0.2">
      <c r="A3840" s="17"/>
      <c r="B3840" s="17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18"/>
      <c r="S3840" s="18"/>
      <c r="T3840" s="18"/>
    </row>
    <row r="3841" spans="1:20" x14ac:dyDescent="0.2">
      <c r="A3841" s="17"/>
      <c r="B3841" s="17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  <c r="S3841" s="18"/>
      <c r="T3841" s="18"/>
    </row>
    <row r="3842" spans="1:20" x14ac:dyDescent="0.2">
      <c r="A3842" s="17"/>
      <c r="B3842" s="17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  <c r="S3842" s="18"/>
      <c r="T3842" s="18"/>
    </row>
    <row r="3843" spans="1:20" x14ac:dyDescent="0.2">
      <c r="A3843" s="17"/>
      <c r="B3843" s="17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  <c r="S3843" s="18"/>
      <c r="T3843" s="18"/>
    </row>
    <row r="3844" spans="1:20" x14ac:dyDescent="0.2">
      <c r="A3844" s="17"/>
      <c r="B3844" s="17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18"/>
      <c r="S3844" s="18"/>
      <c r="T3844" s="18"/>
    </row>
    <row r="3845" spans="1:20" x14ac:dyDescent="0.2">
      <c r="A3845" s="17"/>
      <c r="B3845" s="17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8"/>
      <c r="R3845" s="18"/>
      <c r="S3845" s="18"/>
      <c r="T3845" s="18"/>
    </row>
    <row r="3846" spans="1:20" x14ac:dyDescent="0.2">
      <c r="A3846" s="17"/>
      <c r="B3846" s="17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18"/>
      <c r="S3846" s="18"/>
      <c r="T3846" s="18"/>
    </row>
    <row r="3847" spans="1:20" x14ac:dyDescent="0.2">
      <c r="A3847" s="17"/>
      <c r="B3847" s="17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  <c r="S3847" s="18"/>
      <c r="T3847" s="18"/>
    </row>
    <row r="3848" spans="1:20" x14ac:dyDescent="0.2">
      <c r="A3848" s="17"/>
      <c r="B3848" s="17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18"/>
      <c r="S3848" s="18"/>
      <c r="T3848" s="18"/>
    </row>
    <row r="3849" spans="1:20" x14ac:dyDescent="0.2">
      <c r="A3849" s="17"/>
      <c r="B3849" s="17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  <c r="S3849" s="18"/>
      <c r="T3849" s="18"/>
    </row>
    <row r="3850" spans="1:20" x14ac:dyDescent="0.2">
      <c r="A3850" s="17"/>
      <c r="B3850" s="17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  <c r="S3850" s="18"/>
      <c r="T3850" s="18"/>
    </row>
    <row r="3851" spans="1:20" x14ac:dyDescent="0.2">
      <c r="A3851" s="17"/>
      <c r="B3851" s="17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  <c r="S3851" s="18"/>
      <c r="T3851" s="18"/>
    </row>
    <row r="3852" spans="1:20" x14ac:dyDescent="0.2">
      <c r="A3852" s="17"/>
      <c r="B3852" s="17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18"/>
      <c r="S3852" s="18"/>
      <c r="T3852" s="18"/>
    </row>
    <row r="3853" spans="1:20" x14ac:dyDescent="0.2">
      <c r="A3853" s="17"/>
      <c r="B3853" s="17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  <c r="S3853" s="18"/>
      <c r="T3853" s="18"/>
    </row>
    <row r="3854" spans="1:20" x14ac:dyDescent="0.2">
      <c r="A3854" s="17"/>
      <c r="B3854" s="17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18"/>
      <c r="S3854" s="18"/>
      <c r="T3854" s="18"/>
    </row>
    <row r="3855" spans="1:20" x14ac:dyDescent="0.2">
      <c r="A3855" s="17"/>
      <c r="B3855" s="17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  <c r="S3855" s="18"/>
      <c r="T3855" s="18"/>
    </row>
    <row r="3856" spans="1:20" x14ac:dyDescent="0.2">
      <c r="A3856" s="17"/>
      <c r="B3856" s="17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18"/>
      <c r="S3856" s="18"/>
      <c r="T3856" s="18"/>
    </row>
    <row r="3857" spans="1:20" x14ac:dyDescent="0.2">
      <c r="A3857" s="17"/>
      <c r="B3857" s="17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18"/>
      <c r="S3857" s="18"/>
      <c r="T3857" s="18"/>
    </row>
    <row r="3858" spans="1:20" x14ac:dyDescent="0.2">
      <c r="A3858" s="17"/>
      <c r="B3858" s="17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8"/>
      <c r="R3858" s="18"/>
      <c r="S3858" s="18"/>
      <c r="T3858" s="18"/>
    </row>
    <row r="3859" spans="1:20" x14ac:dyDescent="0.2">
      <c r="A3859" s="17"/>
      <c r="B3859" s="17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  <c r="S3859" s="18"/>
      <c r="T3859" s="18"/>
    </row>
    <row r="3860" spans="1:20" x14ac:dyDescent="0.2">
      <c r="A3860" s="17"/>
      <c r="B3860" s="17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  <c r="S3860" s="18"/>
      <c r="T3860" s="18"/>
    </row>
    <row r="3861" spans="1:20" x14ac:dyDescent="0.2">
      <c r="A3861" s="17"/>
      <c r="B3861" s="17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  <c r="S3861" s="18"/>
      <c r="T3861" s="18"/>
    </row>
    <row r="3862" spans="1:20" x14ac:dyDescent="0.2">
      <c r="A3862" s="17"/>
      <c r="B3862" s="17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8"/>
      <c r="R3862" s="18"/>
      <c r="S3862" s="18"/>
      <c r="T3862" s="18"/>
    </row>
    <row r="3863" spans="1:20" x14ac:dyDescent="0.2">
      <c r="A3863" s="17"/>
      <c r="B3863" s="17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  <c r="S3863" s="18"/>
      <c r="T3863" s="18"/>
    </row>
    <row r="3864" spans="1:20" x14ac:dyDescent="0.2">
      <c r="A3864" s="17"/>
      <c r="B3864" s="17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8"/>
      <c r="R3864" s="18"/>
      <c r="S3864" s="18"/>
      <c r="T3864" s="18"/>
    </row>
    <row r="3865" spans="1:20" x14ac:dyDescent="0.2">
      <c r="A3865" s="17"/>
      <c r="B3865" s="17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  <c r="S3865" s="18"/>
      <c r="T3865" s="18"/>
    </row>
    <row r="3866" spans="1:20" x14ac:dyDescent="0.2">
      <c r="A3866" s="17"/>
      <c r="B3866" s="17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18"/>
      <c r="S3866" s="18"/>
      <c r="T3866" s="18"/>
    </row>
    <row r="3867" spans="1:20" x14ac:dyDescent="0.2">
      <c r="A3867" s="17"/>
      <c r="B3867" s="17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  <c r="S3867" s="18"/>
      <c r="T3867" s="18"/>
    </row>
    <row r="3868" spans="1:20" x14ac:dyDescent="0.2">
      <c r="A3868" s="17"/>
      <c r="B3868" s="17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18"/>
      <c r="S3868" s="18"/>
      <c r="T3868" s="18"/>
    </row>
    <row r="3869" spans="1:20" x14ac:dyDescent="0.2">
      <c r="A3869" s="17"/>
      <c r="B3869" s="17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  <c r="S3869" s="18"/>
      <c r="T3869" s="18"/>
    </row>
    <row r="3870" spans="1:20" x14ac:dyDescent="0.2">
      <c r="A3870" s="17"/>
      <c r="B3870" s="17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18"/>
      <c r="S3870" s="18"/>
      <c r="T3870" s="18"/>
    </row>
    <row r="3871" spans="1:20" x14ac:dyDescent="0.2">
      <c r="A3871" s="17"/>
      <c r="B3871" s="17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  <c r="S3871" s="18"/>
      <c r="T3871" s="18"/>
    </row>
    <row r="3872" spans="1:20" x14ac:dyDescent="0.2">
      <c r="A3872" s="17"/>
      <c r="B3872" s="17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18"/>
      <c r="S3872" s="18"/>
      <c r="T3872" s="18"/>
    </row>
    <row r="3873" spans="1:20" x14ac:dyDescent="0.2">
      <c r="A3873" s="17"/>
      <c r="B3873" s="17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  <c r="S3873" s="18"/>
      <c r="T3873" s="18"/>
    </row>
    <row r="3874" spans="1:20" x14ac:dyDescent="0.2">
      <c r="A3874" s="17"/>
      <c r="B3874" s="17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18"/>
      <c r="S3874" s="18"/>
      <c r="T3874" s="18"/>
    </row>
    <row r="3875" spans="1:20" x14ac:dyDescent="0.2">
      <c r="A3875" s="17"/>
      <c r="B3875" s="17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  <c r="S3875" s="18"/>
      <c r="T3875" s="18"/>
    </row>
    <row r="3876" spans="1:20" x14ac:dyDescent="0.2">
      <c r="A3876" s="17"/>
      <c r="B3876" s="17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18"/>
      <c r="S3876" s="18"/>
      <c r="T3876" s="18"/>
    </row>
    <row r="3877" spans="1:20" x14ac:dyDescent="0.2">
      <c r="A3877" s="17"/>
      <c r="B3877" s="17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  <c r="S3877" s="18"/>
      <c r="T3877" s="18"/>
    </row>
    <row r="3878" spans="1:20" x14ac:dyDescent="0.2">
      <c r="A3878" s="17"/>
      <c r="B3878" s="17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18"/>
      <c r="S3878" s="18"/>
      <c r="T3878" s="18"/>
    </row>
    <row r="3879" spans="1:20" x14ac:dyDescent="0.2">
      <c r="A3879" s="17"/>
      <c r="B3879" s="17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  <c r="S3879" s="18"/>
      <c r="T3879" s="18"/>
    </row>
    <row r="3880" spans="1:20" x14ac:dyDescent="0.2">
      <c r="A3880" s="17"/>
      <c r="B3880" s="17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18"/>
      <c r="S3880" s="18"/>
      <c r="T3880" s="18"/>
    </row>
    <row r="3881" spans="1:20" x14ac:dyDescent="0.2">
      <c r="A3881" s="17"/>
      <c r="B3881" s="17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  <c r="S3881" s="18"/>
      <c r="T3881" s="18"/>
    </row>
    <row r="3882" spans="1:20" x14ac:dyDescent="0.2">
      <c r="A3882" s="17"/>
      <c r="B3882" s="17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18"/>
      <c r="S3882" s="18"/>
      <c r="T3882" s="18"/>
    </row>
    <row r="3883" spans="1:20" x14ac:dyDescent="0.2">
      <c r="A3883" s="17"/>
      <c r="B3883" s="17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  <c r="S3883" s="18"/>
      <c r="T3883" s="18"/>
    </row>
    <row r="3884" spans="1:20" x14ac:dyDescent="0.2">
      <c r="A3884" s="17"/>
      <c r="B3884" s="17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  <c r="S3884" s="18"/>
      <c r="T3884" s="18"/>
    </row>
    <row r="3885" spans="1:20" x14ac:dyDescent="0.2">
      <c r="A3885" s="17"/>
      <c r="B3885" s="17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  <c r="S3885" s="18"/>
      <c r="T3885" s="18"/>
    </row>
    <row r="3886" spans="1:20" x14ac:dyDescent="0.2">
      <c r="A3886" s="17"/>
      <c r="B3886" s="17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18"/>
      <c r="S3886" s="18"/>
      <c r="T3886" s="18"/>
    </row>
    <row r="3887" spans="1:20" x14ac:dyDescent="0.2">
      <c r="A3887" s="17"/>
      <c r="B3887" s="17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  <c r="S3887" s="18"/>
      <c r="T3887" s="18"/>
    </row>
    <row r="3888" spans="1:20" x14ac:dyDescent="0.2">
      <c r="A3888" s="17"/>
      <c r="B3888" s="17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18"/>
      <c r="S3888" s="18"/>
      <c r="T3888" s="18"/>
    </row>
    <row r="3889" spans="1:20" x14ac:dyDescent="0.2">
      <c r="A3889" s="17"/>
      <c r="B3889" s="17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  <c r="S3889" s="18"/>
      <c r="T3889" s="18"/>
    </row>
    <row r="3890" spans="1:20" x14ac:dyDescent="0.2">
      <c r="A3890" s="17"/>
      <c r="B3890" s="17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18"/>
      <c r="S3890" s="18"/>
      <c r="T3890" s="18"/>
    </row>
    <row r="3891" spans="1:20" x14ac:dyDescent="0.2">
      <c r="A3891" s="17"/>
      <c r="B3891" s="17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  <c r="S3891" s="18"/>
      <c r="T3891" s="18"/>
    </row>
    <row r="3892" spans="1:20" x14ac:dyDescent="0.2">
      <c r="A3892" s="17"/>
      <c r="B3892" s="17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18"/>
      <c r="S3892" s="18"/>
      <c r="T3892" s="18"/>
    </row>
    <row r="3893" spans="1:20" x14ac:dyDescent="0.2">
      <c r="A3893" s="17"/>
      <c r="B3893" s="17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  <c r="S3893" s="18"/>
      <c r="T3893" s="18"/>
    </row>
    <row r="3894" spans="1:20" x14ac:dyDescent="0.2">
      <c r="A3894" s="17"/>
      <c r="B3894" s="17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18"/>
      <c r="S3894" s="18"/>
      <c r="T3894" s="18"/>
    </row>
    <row r="3895" spans="1:20" x14ac:dyDescent="0.2">
      <c r="A3895" s="17"/>
      <c r="B3895" s="17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8"/>
      <c r="R3895" s="18"/>
      <c r="S3895" s="18"/>
      <c r="T3895" s="18"/>
    </row>
    <row r="3896" spans="1:20" x14ac:dyDescent="0.2">
      <c r="A3896" s="17"/>
      <c r="B3896" s="17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8"/>
      <c r="R3896" s="18"/>
      <c r="S3896" s="18"/>
      <c r="T3896" s="18"/>
    </row>
    <row r="3897" spans="1:20" x14ac:dyDescent="0.2">
      <c r="A3897" s="17"/>
      <c r="B3897" s="17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  <c r="S3897" s="18"/>
      <c r="T3897" s="18"/>
    </row>
    <row r="3898" spans="1:20" x14ac:dyDescent="0.2">
      <c r="A3898" s="17"/>
      <c r="B3898" s="17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8"/>
      <c r="R3898" s="18"/>
      <c r="S3898" s="18"/>
      <c r="T3898" s="18"/>
    </row>
    <row r="3899" spans="1:20" x14ac:dyDescent="0.2">
      <c r="A3899" s="17"/>
      <c r="B3899" s="17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  <c r="S3899" s="18"/>
      <c r="T3899" s="18"/>
    </row>
    <row r="3900" spans="1:20" x14ac:dyDescent="0.2">
      <c r="A3900" s="17"/>
      <c r="B3900" s="17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18"/>
      <c r="S3900" s="18"/>
      <c r="T3900" s="18"/>
    </row>
    <row r="3901" spans="1:20" x14ac:dyDescent="0.2">
      <c r="A3901" s="17"/>
      <c r="B3901" s="17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  <c r="S3901" s="18"/>
      <c r="T3901" s="18"/>
    </row>
    <row r="3902" spans="1:20" x14ac:dyDescent="0.2">
      <c r="A3902" s="17"/>
      <c r="B3902" s="17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8"/>
      <c r="R3902" s="18"/>
      <c r="S3902" s="18"/>
      <c r="T3902" s="18"/>
    </row>
    <row r="3903" spans="1:20" x14ac:dyDescent="0.2">
      <c r="A3903" s="17"/>
      <c r="B3903" s="17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  <c r="S3903" s="18"/>
      <c r="T3903" s="18"/>
    </row>
    <row r="3904" spans="1:20" x14ac:dyDescent="0.2">
      <c r="A3904" s="17"/>
      <c r="B3904" s="17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8"/>
      <c r="R3904" s="18"/>
      <c r="S3904" s="18"/>
      <c r="T3904" s="18"/>
    </row>
    <row r="3905" spans="1:20" x14ac:dyDescent="0.2">
      <c r="A3905" s="17"/>
      <c r="B3905" s="17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  <c r="S3905" s="18"/>
      <c r="T3905" s="18"/>
    </row>
    <row r="3906" spans="1:20" x14ac:dyDescent="0.2">
      <c r="A3906" s="17"/>
      <c r="B3906" s="17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  <c r="S3906" s="18"/>
      <c r="T3906" s="18"/>
    </row>
    <row r="3907" spans="1:20" x14ac:dyDescent="0.2">
      <c r="A3907" s="17"/>
      <c r="B3907" s="17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  <c r="S3907" s="18"/>
      <c r="T3907" s="18"/>
    </row>
    <row r="3908" spans="1:20" x14ac:dyDescent="0.2">
      <c r="A3908" s="17"/>
      <c r="B3908" s="17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18"/>
      <c r="S3908" s="18"/>
      <c r="T3908" s="18"/>
    </row>
    <row r="3909" spans="1:20" x14ac:dyDescent="0.2">
      <c r="A3909" s="17"/>
      <c r="B3909" s="17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  <c r="S3909" s="18"/>
      <c r="T3909" s="18"/>
    </row>
    <row r="3910" spans="1:20" x14ac:dyDescent="0.2">
      <c r="A3910" s="17"/>
      <c r="B3910" s="17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18"/>
      <c r="S3910" s="18"/>
      <c r="T3910" s="18"/>
    </row>
    <row r="3911" spans="1:20" x14ac:dyDescent="0.2">
      <c r="A3911" s="17"/>
      <c r="B3911" s="17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  <c r="S3911" s="18"/>
      <c r="T3911" s="18"/>
    </row>
    <row r="3912" spans="1:20" x14ac:dyDescent="0.2">
      <c r="A3912" s="17"/>
      <c r="B3912" s="17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8"/>
      <c r="R3912" s="18"/>
      <c r="S3912" s="18"/>
      <c r="T3912" s="18"/>
    </row>
    <row r="3913" spans="1:20" x14ac:dyDescent="0.2">
      <c r="A3913" s="17"/>
      <c r="B3913" s="17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  <c r="S3913" s="18"/>
      <c r="T3913" s="18"/>
    </row>
    <row r="3914" spans="1:20" x14ac:dyDescent="0.2">
      <c r="A3914" s="17"/>
      <c r="B3914" s="17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8"/>
      <c r="R3914" s="18"/>
      <c r="S3914" s="18"/>
      <c r="T3914" s="18"/>
    </row>
    <row r="3915" spans="1:20" x14ac:dyDescent="0.2">
      <c r="A3915" s="17"/>
      <c r="B3915" s="17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  <c r="S3915" s="18"/>
      <c r="T3915" s="18"/>
    </row>
    <row r="3916" spans="1:20" x14ac:dyDescent="0.2">
      <c r="A3916" s="17"/>
      <c r="B3916" s="17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8"/>
      <c r="R3916" s="18"/>
      <c r="S3916" s="18"/>
      <c r="T3916" s="18"/>
    </row>
    <row r="3917" spans="1:20" x14ac:dyDescent="0.2">
      <c r="A3917" s="17"/>
      <c r="B3917" s="17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  <c r="S3917" s="18"/>
      <c r="T3917" s="18"/>
    </row>
    <row r="3918" spans="1:20" x14ac:dyDescent="0.2">
      <c r="A3918" s="17"/>
      <c r="B3918" s="17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8"/>
      <c r="R3918" s="18"/>
      <c r="S3918" s="18"/>
      <c r="T3918" s="18"/>
    </row>
    <row r="3919" spans="1:20" x14ac:dyDescent="0.2">
      <c r="A3919" s="17"/>
      <c r="B3919" s="17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  <c r="S3919" s="18"/>
      <c r="T3919" s="18"/>
    </row>
    <row r="3920" spans="1:20" x14ac:dyDescent="0.2">
      <c r="A3920" s="17"/>
      <c r="B3920" s="17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18"/>
      <c r="S3920" s="18"/>
      <c r="T3920" s="18"/>
    </row>
    <row r="3921" spans="1:20" x14ac:dyDescent="0.2">
      <c r="A3921" s="17"/>
      <c r="B3921" s="17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  <c r="S3921" s="18"/>
      <c r="T3921" s="18"/>
    </row>
    <row r="3922" spans="1:20" x14ac:dyDescent="0.2">
      <c r="A3922" s="17"/>
      <c r="B3922" s="17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8"/>
      <c r="R3922" s="18"/>
      <c r="S3922" s="18"/>
      <c r="T3922" s="18"/>
    </row>
    <row r="3923" spans="1:20" x14ac:dyDescent="0.2">
      <c r="A3923" s="17"/>
      <c r="B3923" s="17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  <c r="S3923" s="18"/>
      <c r="T3923" s="18"/>
    </row>
    <row r="3924" spans="1:20" x14ac:dyDescent="0.2">
      <c r="A3924" s="17"/>
      <c r="B3924" s="17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18"/>
      <c r="S3924" s="18"/>
      <c r="T3924" s="18"/>
    </row>
    <row r="3925" spans="1:20" x14ac:dyDescent="0.2">
      <c r="A3925" s="17"/>
      <c r="B3925" s="17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  <c r="S3925" s="18"/>
      <c r="T3925" s="18"/>
    </row>
    <row r="3926" spans="1:20" x14ac:dyDescent="0.2">
      <c r="A3926" s="17"/>
      <c r="B3926" s="17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8"/>
      <c r="R3926" s="18"/>
      <c r="S3926" s="18"/>
      <c r="T3926" s="18"/>
    </row>
    <row r="3927" spans="1:20" x14ac:dyDescent="0.2">
      <c r="A3927" s="17"/>
      <c r="B3927" s="17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  <c r="S3927" s="18"/>
      <c r="T3927" s="18"/>
    </row>
    <row r="3928" spans="1:20" x14ac:dyDescent="0.2">
      <c r="A3928" s="17"/>
      <c r="B3928" s="17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18"/>
      <c r="S3928" s="18"/>
      <c r="T3928" s="18"/>
    </row>
    <row r="3929" spans="1:20" x14ac:dyDescent="0.2">
      <c r="A3929" s="17"/>
      <c r="B3929" s="17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  <c r="S3929" s="18"/>
      <c r="T3929" s="18"/>
    </row>
    <row r="3930" spans="1:20" x14ac:dyDescent="0.2">
      <c r="A3930" s="17"/>
      <c r="B3930" s="17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18"/>
      <c r="S3930" s="18"/>
      <c r="T3930" s="18"/>
    </row>
    <row r="3931" spans="1:20" x14ac:dyDescent="0.2">
      <c r="A3931" s="17"/>
      <c r="B3931" s="17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  <c r="S3931" s="18"/>
      <c r="T3931" s="18"/>
    </row>
    <row r="3932" spans="1:20" x14ac:dyDescent="0.2">
      <c r="A3932" s="17"/>
      <c r="B3932" s="17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8"/>
      <c r="R3932" s="18"/>
      <c r="S3932" s="18"/>
      <c r="T3932" s="18"/>
    </row>
    <row r="3933" spans="1:20" x14ac:dyDescent="0.2">
      <c r="A3933" s="17"/>
      <c r="B3933" s="17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  <c r="S3933" s="18"/>
      <c r="T3933" s="18"/>
    </row>
    <row r="3934" spans="1:20" x14ac:dyDescent="0.2">
      <c r="A3934" s="17"/>
      <c r="B3934" s="17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  <c r="S3934" s="18"/>
      <c r="T3934" s="18"/>
    </row>
    <row r="3935" spans="1:20" x14ac:dyDescent="0.2">
      <c r="A3935" s="17"/>
      <c r="B3935" s="17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/>
      <c r="S3935" s="18"/>
      <c r="T3935" s="18"/>
    </row>
    <row r="3936" spans="1:20" x14ac:dyDescent="0.2">
      <c r="A3936" s="17"/>
      <c r="B3936" s="17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8"/>
      <c r="R3936" s="18"/>
      <c r="S3936" s="18"/>
      <c r="T3936" s="18"/>
    </row>
    <row r="3937" spans="1:20" x14ac:dyDescent="0.2">
      <c r="A3937" s="17"/>
      <c r="B3937" s="17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  <c r="S3937" s="18"/>
      <c r="T3937" s="18"/>
    </row>
    <row r="3938" spans="1:20" x14ac:dyDescent="0.2">
      <c r="A3938" s="17"/>
      <c r="B3938" s="17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8"/>
      <c r="R3938" s="18"/>
      <c r="S3938" s="18"/>
      <c r="T3938" s="18"/>
    </row>
    <row r="3939" spans="1:20" x14ac:dyDescent="0.2">
      <c r="A3939" s="17"/>
      <c r="B3939" s="17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  <c r="S3939" s="18"/>
      <c r="T3939" s="18"/>
    </row>
    <row r="3940" spans="1:20" x14ac:dyDescent="0.2">
      <c r="A3940" s="17"/>
      <c r="B3940" s="17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8"/>
      <c r="R3940" s="18"/>
      <c r="S3940" s="18"/>
      <c r="T3940" s="18"/>
    </row>
    <row r="3941" spans="1:20" x14ac:dyDescent="0.2">
      <c r="A3941" s="17"/>
      <c r="B3941" s="17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  <c r="S3941" s="18"/>
      <c r="T3941" s="18"/>
    </row>
    <row r="3942" spans="1:20" x14ac:dyDescent="0.2">
      <c r="A3942" s="17"/>
      <c r="B3942" s="17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8"/>
      <c r="R3942" s="18"/>
      <c r="S3942" s="18"/>
      <c r="T3942" s="18"/>
    </row>
    <row r="3943" spans="1:20" x14ac:dyDescent="0.2">
      <c r="A3943" s="17"/>
      <c r="B3943" s="17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  <c r="S3943" s="18"/>
      <c r="T3943" s="18"/>
    </row>
    <row r="3944" spans="1:20" x14ac:dyDescent="0.2">
      <c r="A3944" s="17"/>
      <c r="B3944" s="17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18"/>
      <c r="S3944" s="18"/>
      <c r="T3944" s="18"/>
    </row>
    <row r="3945" spans="1:20" x14ac:dyDescent="0.2">
      <c r="A3945" s="17"/>
      <c r="B3945" s="17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  <c r="S3945" s="18"/>
      <c r="T3945" s="18"/>
    </row>
    <row r="3946" spans="1:20" x14ac:dyDescent="0.2">
      <c r="A3946" s="17"/>
      <c r="B3946" s="17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8"/>
      <c r="R3946" s="18"/>
      <c r="S3946" s="18"/>
      <c r="T3946" s="18"/>
    </row>
    <row r="3947" spans="1:20" x14ac:dyDescent="0.2">
      <c r="A3947" s="17"/>
      <c r="B3947" s="17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8"/>
      <c r="R3947" s="18"/>
      <c r="S3947" s="18"/>
      <c r="T3947" s="18"/>
    </row>
    <row r="3948" spans="1:20" x14ac:dyDescent="0.2">
      <c r="A3948" s="17"/>
      <c r="B3948" s="17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18"/>
      <c r="S3948" s="18"/>
      <c r="T3948" s="18"/>
    </row>
    <row r="3949" spans="1:20" x14ac:dyDescent="0.2">
      <c r="A3949" s="17"/>
      <c r="B3949" s="17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  <c r="S3949" s="18"/>
      <c r="T3949" s="18"/>
    </row>
    <row r="3950" spans="1:20" x14ac:dyDescent="0.2">
      <c r="A3950" s="17"/>
      <c r="B3950" s="17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8"/>
      <c r="R3950" s="18"/>
      <c r="S3950" s="18"/>
      <c r="T3950" s="18"/>
    </row>
    <row r="3951" spans="1:20" x14ac:dyDescent="0.2">
      <c r="A3951" s="17"/>
      <c r="B3951" s="17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8"/>
      <c r="R3951" s="18"/>
      <c r="S3951" s="18"/>
      <c r="T3951" s="18"/>
    </row>
    <row r="3952" spans="1:20" x14ac:dyDescent="0.2">
      <c r="A3952" s="17"/>
      <c r="B3952" s="17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  <c r="S3952" s="18"/>
      <c r="T3952" s="18"/>
    </row>
    <row r="3953" spans="1:20" x14ac:dyDescent="0.2">
      <c r="A3953" s="17"/>
      <c r="B3953" s="17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  <c r="S3953" s="18"/>
      <c r="T3953" s="18"/>
    </row>
    <row r="3954" spans="1:20" x14ac:dyDescent="0.2">
      <c r="A3954" s="17"/>
      <c r="B3954" s="17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8"/>
      <c r="R3954" s="18"/>
      <c r="S3954" s="18"/>
      <c r="T3954" s="18"/>
    </row>
    <row r="3955" spans="1:20" x14ac:dyDescent="0.2">
      <c r="A3955" s="17"/>
      <c r="B3955" s="17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  <c r="S3955" s="18"/>
      <c r="T3955" s="18"/>
    </row>
    <row r="3956" spans="1:20" x14ac:dyDescent="0.2">
      <c r="A3956" s="17"/>
      <c r="B3956" s="17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8"/>
      <c r="R3956" s="18"/>
      <c r="S3956" s="18"/>
      <c r="T3956" s="18"/>
    </row>
    <row r="3957" spans="1:20" x14ac:dyDescent="0.2">
      <c r="A3957" s="17"/>
      <c r="B3957" s="17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8"/>
      <c r="R3957" s="18"/>
      <c r="S3957" s="18"/>
      <c r="T3957" s="18"/>
    </row>
    <row r="3958" spans="1:20" x14ac:dyDescent="0.2">
      <c r="A3958" s="17"/>
      <c r="B3958" s="17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8"/>
      <c r="R3958" s="18"/>
      <c r="S3958" s="18"/>
      <c r="T3958" s="18"/>
    </row>
    <row r="3959" spans="1:20" x14ac:dyDescent="0.2">
      <c r="A3959" s="17"/>
      <c r="B3959" s="17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8"/>
      <c r="R3959" s="18"/>
      <c r="S3959" s="18"/>
      <c r="T3959" s="18"/>
    </row>
    <row r="3960" spans="1:20" x14ac:dyDescent="0.2">
      <c r="A3960" s="17"/>
      <c r="B3960" s="17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8"/>
      <c r="R3960" s="18"/>
      <c r="S3960" s="18"/>
      <c r="T3960" s="18"/>
    </row>
    <row r="3961" spans="1:20" x14ac:dyDescent="0.2">
      <c r="A3961" s="17"/>
      <c r="B3961" s="17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  <c r="S3961" s="18"/>
      <c r="T3961" s="18"/>
    </row>
    <row r="3962" spans="1:20" x14ac:dyDescent="0.2">
      <c r="A3962" s="17"/>
      <c r="B3962" s="17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8"/>
      <c r="R3962" s="18"/>
      <c r="S3962" s="18"/>
      <c r="T3962" s="18"/>
    </row>
    <row r="3963" spans="1:20" x14ac:dyDescent="0.2">
      <c r="A3963" s="17"/>
      <c r="B3963" s="17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  <c r="S3963" s="18"/>
      <c r="T3963" s="18"/>
    </row>
    <row r="3964" spans="1:20" x14ac:dyDescent="0.2">
      <c r="A3964" s="17"/>
      <c r="B3964" s="17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  <c r="S3964" s="18"/>
      <c r="T3964" s="18"/>
    </row>
    <row r="3965" spans="1:20" x14ac:dyDescent="0.2">
      <c r="A3965" s="17"/>
      <c r="B3965" s="17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  <c r="S3965" s="18"/>
      <c r="T3965" s="18"/>
    </row>
    <row r="3966" spans="1:20" x14ac:dyDescent="0.2">
      <c r="A3966" s="17"/>
      <c r="B3966" s="17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8"/>
      <c r="R3966" s="18"/>
      <c r="S3966" s="18"/>
      <c r="T3966" s="18"/>
    </row>
    <row r="3967" spans="1:20" x14ac:dyDescent="0.2">
      <c r="A3967" s="17"/>
      <c r="B3967" s="17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18"/>
      <c r="S3967" s="18"/>
      <c r="T3967" s="18"/>
    </row>
    <row r="3968" spans="1:20" x14ac:dyDescent="0.2">
      <c r="A3968" s="17"/>
      <c r="B3968" s="17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8"/>
      <c r="R3968" s="18"/>
      <c r="S3968" s="18"/>
      <c r="T3968" s="18"/>
    </row>
    <row r="3969" spans="1:20" x14ac:dyDescent="0.2">
      <c r="A3969" s="17"/>
      <c r="B3969" s="17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  <c r="S3969" s="18"/>
      <c r="T3969" s="18"/>
    </row>
    <row r="3970" spans="1:20" x14ac:dyDescent="0.2">
      <c r="A3970" s="17"/>
      <c r="B3970" s="17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18"/>
      <c r="S3970" s="18"/>
      <c r="T3970" s="18"/>
    </row>
    <row r="3971" spans="1:20" x14ac:dyDescent="0.2">
      <c r="A3971" s="17"/>
      <c r="B3971" s="17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8"/>
      <c r="R3971" s="18"/>
      <c r="S3971" s="18"/>
      <c r="T3971" s="18"/>
    </row>
    <row r="3972" spans="1:20" x14ac:dyDescent="0.2">
      <c r="A3972" s="17"/>
      <c r="B3972" s="17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8"/>
      <c r="R3972" s="18"/>
      <c r="S3972" s="18"/>
      <c r="T3972" s="18"/>
    </row>
    <row r="3973" spans="1:20" x14ac:dyDescent="0.2">
      <c r="A3973" s="17"/>
      <c r="B3973" s="17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  <c r="S3973" s="18"/>
      <c r="T3973" s="18"/>
    </row>
    <row r="3974" spans="1:20" x14ac:dyDescent="0.2">
      <c r="A3974" s="17"/>
      <c r="B3974" s="17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18"/>
      <c r="S3974" s="18"/>
      <c r="T3974" s="18"/>
    </row>
    <row r="3975" spans="1:20" x14ac:dyDescent="0.2">
      <c r="A3975" s="17"/>
      <c r="B3975" s="17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  <c r="S3975" s="18"/>
      <c r="T3975" s="18"/>
    </row>
    <row r="3976" spans="1:20" x14ac:dyDescent="0.2">
      <c r="A3976" s="17"/>
      <c r="B3976" s="17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18"/>
      <c r="S3976" s="18"/>
      <c r="T3976" s="18"/>
    </row>
    <row r="3977" spans="1:20" x14ac:dyDescent="0.2">
      <c r="A3977" s="17"/>
      <c r="B3977" s="17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  <c r="S3977" s="18"/>
      <c r="T3977" s="18"/>
    </row>
    <row r="3978" spans="1:20" x14ac:dyDescent="0.2">
      <c r="A3978" s="17"/>
      <c r="B3978" s="17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18"/>
      <c r="S3978" s="18"/>
      <c r="T3978" s="18"/>
    </row>
    <row r="3979" spans="1:20" x14ac:dyDescent="0.2">
      <c r="A3979" s="17"/>
      <c r="B3979" s="17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  <c r="S3979" s="18"/>
      <c r="T3979" s="18"/>
    </row>
    <row r="3980" spans="1:20" x14ac:dyDescent="0.2">
      <c r="A3980" s="17"/>
      <c r="B3980" s="17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  <c r="S3980" s="18"/>
      <c r="T3980" s="18"/>
    </row>
    <row r="3981" spans="1:20" x14ac:dyDescent="0.2">
      <c r="A3981" s="17"/>
      <c r="B3981" s="17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  <c r="S3981" s="18"/>
      <c r="T3981" s="18"/>
    </row>
    <row r="3982" spans="1:20" x14ac:dyDescent="0.2">
      <c r="A3982" s="17"/>
      <c r="B3982" s="17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18"/>
      <c r="S3982" s="18"/>
      <c r="T3982" s="18"/>
    </row>
    <row r="3983" spans="1:20" x14ac:dyDescent="0.2">
      <c r="A3983" s="17"/>
      <c r="B3983" s="17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  <c r="S3983" s="18"/>
      <c r="T3983" s="18"/>
    </row>
    <row r="3984" spans="1:20" x14ac:dyDescent="0.2">
      <c r="A3984" s="17"/>
      <c r="B3984" s="17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  <c r="S3984" s="18"/>
      <c r="T3984" s="18"/>
    </row>
    <row r="3985" spans="1:20" x14ac:dyDescent="0.2">
      <c r="A3985" s="17"/>
      <c r="B3985" s="17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  <c r="S3985" s="18"/>
      <c r="T3985" s="18"/>
    </row>
    <row r="3986" spans="1:20" x14ac:dyDescent="0.2">
      <c r="A3986" s="17"/>
      <c r="B3986" s="17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18"/>
      <c r="S3986" s="18"/>
      <c r="T3986" s="18"/>
    </row>
    <row r="3987" spans="1:20" x14ac:dyDescent="0.2">
      <c r="A3987" s="17"/>
      <c r="B3987" s="17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  <c r="S3987" s="18"/>
      <c r="T3987" s="18"/>
    </row>
    <row r="3988" spans="1:20" x14ac:dyDescent="0.2">
      <c r="A3988" s="17"/>
      <c r="B3988" s="17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  <c r="S3988" s="18"/>
      <c r="T3988" s="18"/>
    </row>
    <row r="3989" spans="1:20" x14ac:dyDescent="0.2">
      <c r="A3989" s="17"/>
      <c r="B3989" s="17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  <c r="S3989" s="18"/>
      <c r="T3989" s="18"/>
    </row>
    <row r="3990" spans="1:20" x14ac:dyDescent="0.2">
      <c r="A3990" s="17"/>
      <c r="B3990" s="17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18"/>
      <c r="S3990" s="18"/>
      <c r="T3990" s="18"/>
    </row>
    <row r="3991" spans="1:20" x14ac:dyDescent="0.2">
      <c r="A3991" s="17"/>
      <c r="B3991" s="17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  <c r="S3991" s="18"/>
      <c r="T3991" s="18"/>
    </row>
    <row r="3992" spans="1:20" x14ac:dyDescent="0.2">
      <c r="A3992" s="17"/>
      <c r="B3992" s="17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18"/>
      <c r="S3992" s="18"/>
      <c r="T3992" s="18"/>
    </row>
    <row r="3993" spans="1:20" x14ac:dyDescent="0.2">
      <c r="A3993" s="17"/>
      <c r="B3993" s="17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  <c r="S3993" s="18"/>
      <c r="T3993" s="18"/>
    </row>
    <row r="3994" spans="1:20" x14ac:dyDescent="0.2">
      <c r="A3994" s="17"/>
      <c r="B3994" s="17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18"/>
      <c r="S3994" s="18"/>
      <c r="T3994" s="18"/>
    </row>
    <row r="3995" spans="1:20" x14ac:dyDescent="0.2">
      <c r="A3995" s="17"/>
      <c r="B3995" s="17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  <c r="S3995" s="18"/>
      <c r="T3995" s="18"/>
    </row>
    <row r="3996" spans="1:20" x14ac:dyDescent="0.2">
      <c r="A3996" s="17"/>
      <c r="B3996" s="17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  <c r="S3996" s="18"/>
      <c r="T3996" s="18"/>
    </row>
    <row r="3997" spans="1:20" x14ac:dyDescent="0.2">
      <c r="A3997" s="17"/>
      <c r="B3997" s="17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  <c r="S3997" s="18"/>
      <c r="T3997" s="18"/>
    </row>
    <row r="3998" spans="1:20" x14ac:dyDescent="0.2">
      <c r="A3998" s="17"/>
      <c r="B3998" s="17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  <c r="S3998" s="18"/>
      <c r="T3998" s="18"/>
    </row>
    <row r="3999" spans="1:20" x14ac:dyDescent="0.2">
      <c r="A3999" s="17"/>
      <c r="B3999" s="17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  <c r="S3999" s="18"/>
      <c r="T3999" s="18"/>
    </row>
    <row r="4000" spans="1:20" x14ac:dyDescent="0.2">
      <c r="A4000" s="17"/>
      <c r="B4000" s="17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18"/>
      <c r="S4000" s="18"/>
      <c r="T4000" s="18"/>
    </row>
    <row r="4001" spans="1:20" x14ac:dyDescent="0.2">
      <c r="A4001" s="17"/>
      <c r="B4001" s="17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  <c r="S4001" s="18"/>
      <c r="T4001" s="18"/>
    </row>
    <row r="4002" spans="1:20" x14ac:dyDescent="0.2">
      <c r="A4002" s="17"/>
      <c r="B4002" s="17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8"/>
      <c r="R4002" s="18"/>
      <c r="S4002" s="18"/>
      <c r="T4002" s="18"/>
    </row>
    <row r="4003" spans="1:20" x14ac:dyDescent="0.2">
      <c r="A4003" s="17"/>
      <c r="B4003" s="17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  <c r="S4003" s="18"/>
      <c r="T4003" s="18"/>
    </row>
    <row r="4004" spans="1:20" x14ac:dyDescent="0.2">
      <c r="A4004" s="17"/>
      <c r="B4004" s="17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18"/>
      <c r="S4004" s="18"/>
      <c r="T4004" s="18"/>
    </row>
    <row r="4005" spans="1:20" x14ac:dyDescent="0.2">
      <c r="A4005" s="17"/>
      <c r="B4005" s="17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  <c r="S4005" s="18"/>
      <c r="T4005" s="18"/>
    </row>
    <row r="4006" spans="1:20" x14ac:dyDescent="0.2">
      <c r="A4006" s="17"/>
      <c r="B4006" s="17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8"/>
      <c r="R4006" s="18"/>
      <c r="S4006" s="18"/>
      <c r="T4006" s="18"/>
    </row>
    <row r="4007" spans="1:20" x14ac:dyDescent="0.2">
      <c r="A4007" s="17"/>
      <c r="B4007" s="17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  <c r="S4007" s="18"/>
      <c r="T4007" s="18"/>
    </row>
    <row r="4008" spans="1:20" x14ac:dyDescent="0.2">
      <c r="A4008" s="17"/>
      <c r="B4008" s="17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8"/>
      <c r="R4008" s="18"/>
      <c r="S4008" s="18"/>
      <c r="T4008" s="18"/>
    </row>
    <row r="4009" spans="1:20" x14ac:dyDescent="0.2">
      <c r="A4009" s="17"/>
      <c r="B4009" s="17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  <c r="S4009" s="18"/>
      <c r="T4009" s="18"/>
    </row>
    <row r="4010" spans="1:20" x14ac:dyDescent="0.2">
      <c r="A4010" s="17"/>
      <c r="B4010" s="17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  <c r="S4010" s="18"/>
      <c r="T4010" s="18"/>
    </row>
    <row r="4011" spans="1:20" x14ac:dyDescent="0.2">
      <c r="A4011" s="17"/>
      <c r="B4011" s="17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8"/>
      <c r="R4011" s="18"/>
      <c r="S4011" s="18"/>
      <c r="T4011" s="18"/>
    </row>
    <row r="4012" spans="1:20" x14ac:dyDescent="0.2">
      <c r="A4012" s="17"/>
      <c r="B4012" s="17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18"/>
      <c r="S4012" s="18"/>
      <c r="T4012" s="18"/>
    </row>
    <row r="4013" spans="1:20" x14ac:dyDescent="0.2">
      <c r="A4013" s="17"/>
      <c r="B4013" s="17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  <c r="S4013" s="18"/>
      <c r="T4013" s="18"/>
    </row>
    <row r="4014" spans="1:20" x14ac:dyDescent="0.2">
      <c r="A4014" s="17"/>
      <c r="B4014" s="17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8"/>
      <c r="R4014" s="18"/>
      <c r="S4014" s="18"/>
      <c r="T4014" s="18"/>
    </row>
    <row r="4015" spans="1:20" x14ac:dyDescent="0.2">
      <c r="A4015" s="17"/>
      <c r="B4015" s="17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  <c r="S4015" s="18"/>
      <c r="T4015" s="18"/>
    </row>
    <row r="4016" spans="1:20" x14ac:dyDescent="0.2">
      <c r="A4016" s="17"/>
      <c r="B4016" s="17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18"/>
      <c r="S4016" s="18"/>
      <c r="T4016" s="18"/>
    </row>
    <row r="4017" spans="1:20" x14ac:dyDescent="0.2">
      <c r="A4017" s="17"/>
      <c r="B4017" s="17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  <c r="S4017" s="18"/>
      <c r="T4017" s="18"/>
    </row>
    <row r="4018" spans="1:20" x14ac:dyDescent="0.2">
      <c r="A4018" s="17"/>
      <c r="B4018" s="17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  <c r="S4018" s="18"/>
      <c r="T4018" s="18"/>
    </row>
    <row r="4019" spans="1:20" x14ac:dyDescent="0.2">
      <c r="A4019" s="17"/>
      <c r="B4019" s="17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  <c r="S4019" s="18"/>
      <c r="T4019" s="18"/>
    </row>
    <row r="4020" spans="1:20" x14ac:dyDescent="0.2">
      <c r="A4020" s="17"/>
      <c r="B4020" s="17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18"/>
      <c r="S4020" s="18"/>
      <c r="T4020" s="18"/>
    </row>
    <row r="4021" spans="1:20" x14ac:dyDescent="0.2">
      <c r="A4021" s="17"/>
      <c r="B4021" s="17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  <c r="S4021" s="18"/>
      <c r="T4021" s="18"/>
    </row>
    <row r="4022" spans="1:20" x14ac:dyDescent="0.2">
      <c r="A4022" s="17"/>
      <c r="B4022" s="17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18"/>
      <c r="S4022" s="18"/>
      <c r="T4022" s="18"/>
    </row>
    <row r="4023" spans="1:20" x14ac:dyDescent="0.2">
      <c r="A4023" s="17"/>
      <c r="B4023" s="17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  <c r="S4023" s="18"/>
      <c r="T4023" s="18"/>
    </row>
    <row r="4024" spans="1:20" x14ac:dyDescent="0.2">
      <c r="A4024" s="17"/>
      <c r="B4024" s="17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18"/>
      <c r="S4024" s="18"/>
      <c r="T4024" s="18"/>
    </row>
    <row r="4025" spans="1:20" x14ac:dyDescent="0.2">
      <c r="A4025" s="17"/>
      <c r="B4025" s="17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  <c r="S4025" s="18"/>
      <c r="T4025" s="18"/>
    </row>
    <row r="4026" spans="1:20" x14ac:dyDescent="0.2">
      <c r="A4026" s="17"/>
      <c r="B4026" s="17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  <c r="S4026" s="18"/>
      <c r="T4026" s="18"/>
    </row>
    <row r="4027" spans="1:20" x14ac:dyDescent="0.2">
      <c r="A4027" s="17"/>
      <c r="B4027" s="17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  <c r="S4027" s="18"/>
      <c r="T4027" s="18"/>
    </row>
    <row r="4028" spans="1:20" x14ac:dyDescent="0.2">
      <c r="A4028" s="17"/>
      <c r="B4028" s="17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8"/>
      <c r="R4028" s="18"/>
      <c r="S4028" s="18"/>
      <c r="T4028" s="18"/>
    </row>
    <row r="4029" spans="1:20" x14ac:dyDescent="0.2">
      <c r="A4029" s="17"/>
      <c r="B4029" s="17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  <c r="S4029" s="18"/>
      <c r="T4029" s="18"/>
    </row>
    <row r="4030" spans="1:20" x14ac:dyDescent="0.2">
      <c r="A4030" s="17"/>
      <c r="B4030" s="17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8"/>
      <c r="R4030" s="18"/>
      <c r="S4030" s="18"/>
      <c r="T4030" s="18"/>
    </row>
    <row r="4031" spans="1:20" x14ac:dyDescent="0.2">
      <c r="A4031" s="17"/>
      <c r="B4031" s="17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  <c r="S4031" s="18"/>
      <c r="T4031" s="18"/>
    </row>
    <row r="4032" spans="1:20" x14ac:dyDescent="0.2">
      <c r="A4032" s="17"/>
      <c r="B4032" s="17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18"/>
      <c r="S4032" s="18"/>
      <c r="T4032" s="18"/>
    </row>
    <row r="4033" spans="1:20" x14ac:dyDescent="0.2">
      <c r="A4033" s="17"/>
      <c r="B4033" s="17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  <c r="S4033" s="18"/>
      <c r="T4033" s="18"/>
    </row>
    <row r="4034" spans="1:20" x14ac:dyDescent="0.2">
      <c r="A4034" s="17"/>
      <c r="B4034" s="17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  <c r="S4034" s="18"/>
      <c r="T4034" s="18"/>
    </row>
    <row r="4035" spans="1:20" x14ac:dyDescent="0.2">
      <c r="A4035" s="17"/>
      <c r="B4035" s="17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18"/>
      <c r="S4035" s="18"/>
      <c r="T4035" s="18"/>
    </row>
    <row r="4036" spans="1:20" x14ac:dyDescent="0.2">
      <c r="A4036" s="17"/>
      <c r="B4036" s="17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8"/>
      <c r="R4036" s="18"/>
      <c r="S4036" s="18"/>
      <c r="T4036" s="18"/>
    </row>
    <row r="4037" spans="1:20" x14ac:dyDescent="0.2">
      <c r="A4037" s="17"/>
      <c r="B4037" s="17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  <c r="S4037" s="18"/>
      <c r="T4037" s="18"/>
    </row>
    <row r="4038" spans="1:20" x14ac:dyDescent="0.2">
      <c r="A4038" s="17"/>
      <c r="B4038" s="17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8"/>
      <c r="R4038" s="18"/>
      <c r="S4038" s="18"/>
      <c r="T4038" s="18"/>
    </row>
    <row r="4039" spans="1:20" x14ac:dyDescent="0.2">
      <c r="A4039" s="17"/>
      <c r="B4039" s="17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  <c r="S4039" s="18"/>
      <c r="T4039" s="18"/>
    </row>
    <row r="4040" spans="1:20" x14ac:dyDescent="0.2">
      <c r="A4040" s="17"/>
      <c r="B4040" s="17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8"/>
      <c r="R4040" s="18"/>
      <c r="S4040" s="18"/>
      <c r="T4040" s="18"/>
    </row>
    <row r="4041" spans="1:20" x14ac:dyDescent="0.2">
      <c r="A4041" s="17"/>
      <c r="B4041" s="17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  <c r="S4041" s="18"/>
      <c r="T4041" s="18"/>
    </row>
    <row r="4042" spans="1:20" x14ac:dyDescent="0.2">
      <c r="A4042" s="17"/>
      <c r="B4042" s="17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  <c r="S4042" s="18"/>
      <c r="T4042" s="18"/>
    </row>
    <row r="4043" spans="1:20" x14ac:dyDescent="0.2">
      <c r="A4043" s="17"/>
      <c r="B4043" s="17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  <c r="S4043" s="18"/>
      <c r="T4043" s="18"/>
    </row>
    <row r="4044" spans="1:20" x14ac:dyDescent="0.2">
      <c r="A4044" s="17"/>
      <c r="B4044" s="17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  <c r="S4044" s="18"/>
      <c r="T4044" s="18"/>
    </row>
    <row r="4045" spans="1:20" x14ac:dyDescent="0.2">
      <c r="A4045" s="17"/>
      <c r="B4045" s="17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  <c r="S4045" s="18"/>
      <c r="T4045" s="18"/>
    </row>
    <row r="4046" spans="1:20" x14ac:dyDescent="0.2">
      <c r="A4046" s="17"/>
      <c r="B4046" s="17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18"/>
      <c r="S4046" s="18"/>
      <c r="T4046" s="18"/>
    </row>
    <row r="4047" spans="1:20" x14ac:dyDescent="0.2">
      <c r="A4047" s="17"/>
      <c r="B4047" s="17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  <c r="S4047" s="18"/>
      <c r="T4047" s="18"/>
    </row>
    <row r="4048" spans="1:20" x14ac:dyDescent="0.2">
      <c r="A4048" s="17"/>
      <c r="B4048" s="17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18"/>
      <c r="S4048" s="18"/>
      <c r="T4048" s="18"/>
    </row>
    <row r="4049" spans="1:20" x14ac:dyDescent="0.2">
      <c r="A4049" s="17"/>
      <c r="B4049" s="17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  <c r="S4049" s="18"/>
      <c r="T4049" s="18"/>
    </row>
    <row r="4050" spans="1:20" x14ac:dyDescent="0.2">
      <c r="A4050" s="17"/>
      <c r="B4050" s="17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8"/>
      <c r="R4050" s="18"/>
      <c r="S4050" s="18"/>
      <c r="T4050" s="18"/>
    </row>
    <row r="4051" spans="1:20" x14ac:dyDescent="0.2">
      <c r="A4051" s="17"/>
      <c r="B4051" s="17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  <c r="S4051" s="18"/>
      <c r="T4051" s="18"/>
    </row>
    <row r="4052" spans="1:20" x14ac:dyDescent="0.2">
      <c r="A4052" s="17"/>
      <c r="B4052" s="17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8"/>
      <c r="R4052" s="18"/>
      <c r="S4052" s="18"/>
      <c r="T4052" s="18"/>
    </row>
    <row r="4053" spans="1:20" x14ac:dyDescent="0.2">
      <c r="A4053" s="17"/>
      <c r="B4053" s="17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  <c r="S4053" s="18"/>
      <c r="T4053" s="18"/>
    </row>
    <row r="4054" spans="1:20" x14ac:dyDescent="0.2">
      <c r="A4054" s="17"/>
      <c r="B4054" s="17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8"/>
      <c r="R4054" s="18"/>
      <c r="S4054" s="18"/>
      <c r="T4054" s="18"/>
    </row>
    <row r="4055" spans="1:20" x14ac:dyDescent="0.2">
      <c r="A4055" s="17"/>
      <c r="B4055" s="17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  <c r="S4055" s="18"/>
      <c r="T4055" s="18"/>
    </row>
    <row r="4056" spans="1:20" x14ac:dyDescent="0.2">
      <c r="A4056" s="17"/>
      <c r="B4056" s="17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18"/>
      <c r="S4056" s="18"/>
      <c r="T4056" s="18"/>
    </row>
    <row r="4057" spans="1:20" x14ac:dyDescent="0.2">
      <c r="A4057" s="17"/>
      <c r="B4057" s="17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  <c r="S4057" s="18"/>
      <c r="T4057" s="18"/>
    </row>
    <row r="4058" spans="1:20" x14ac:dyDescent="0.2">
      <c r="A4058" s="17"/>
      <c r="B4058" s="17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8"/>
      <c r="R4058" s="18"/>
      <c r="S4058" s="18"/>
      <c r="T4058" s="18"/>
    </row>
    <row r="4059" spans="1:20" x14ac:dyDescent="0.2">
      <c r="A4059" s="17"/>
      <c r="B4059" s="17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  <c r="S4059" s="18"/>
      <c r="T4059" s="18"/>
    </row>
    <row r="4060" spans="1:20" x14ac:dyDescent="0.2">
      <c r="A4060" s="17"/>
      <c r="B4060" s="17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8"/>
      <c r="R4060" s="18"/>
      <c r="S4060" s="18"/>
      <c r="T4060" s="18"/>
    </row>
    <row r="4061" spans="1:20" x14ac:dyDescent="0.2">
      <c r="A4061" s="17"/>
      <c r="B4061" s="17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  <c r="S4061" s="18"/>
      <c r="T4061" s="18"/>
    </row>
    <row r="4062" spans="1:20" x14ac:dyDescent="0.2">
      <c r="A4062" s="17"/>
      <c r="B4062" s="17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8"/>
      <c r="R4062" s="18"/>
      <c r="S4062" s="18"/>
      <c r="T4062" s="18"/>
    </row>
    <row r="4063" spans="1:20" x14ac:dyDescent="0.2">
      <c r="A4063" s="17"/>
      <c r="B4063" s="17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  <c r="S4063" s="18"/>
      <c r="T4063" s="18"/>
    </row>
    <row r="4064" spans="1:20" x14ac:dyDescent="0.2">
      <c r="A4064" s="17"/>
      <c r="B4064" s="17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8"/>
      <c r="S4064" s="18"/>
      <c r="T4064" s="18"/>
    </row>
    <row r="4065" spans="1:20" x14ac:dyDescent="0.2">
      <c r="A4065" s="17"/>
      <c r="B4065" s="17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  <c r="S4065" s="18"/>
      <c r="T4065" s="18"/>
    </row>
    <row r="4066" spans="1:20" x14ac:dyDescent="0.2">
      <c r="A4066" s="17"/>
      <c r="B4066" s="17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8"/>
      <c r="R4066" s="18"/>
      <c r="S4066" s="18"/>
      <c r="T4066" s="18"/>
    </row>
    <row r="4067" spans="1:20" x14ac:dyDescent="0.2">
      <c r="A4067" s="17"/>
      <c r="B4067" s="17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  <c r="S4067" s="18"/>
      <c r="T4067" s="18"/>
    </row>
    <row r="4068" spans="1:20" x14ac:dyDescent="0.2">
      <c r="A4068" s="17"/>
      <c r="B4068" s="17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8"/>
      <c r="R4068" s="18"/>
      <c r="S4068" s="18"/>
      <c r="T4068" s="18"/>
    </row>
    <row r="4069" spans="1:20" x14ac:dyDescent="0.2">
      <c r="A4069" s="17"/>
      <c r="B4069" s="17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  <c r="S4069" s="18"/>
      <c r="T4069" s="18"/>
    </row>
    <row r="4070" spans="1:20" x14ac:dyDescent="0.2">
      <c r="A4070" s="17"/>
      <c r="B4070" s="17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8"/>
      <c r="R4070" s="18"/>
      <c r="S4070" s="18"/>
      <c r="T4070" s="18"/>
    </row>
    <row r="4071" spans="1:20" x14ac:dyDescent="0.2">
      <c r="A4071" s="17"/>
      <c r="B4071" s="17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  <c r="S4071" s="18"/>
      <c r="T4071" s="18"/>
    </row>
    <row r="4072" spans="1:20" x14ac:dyDescent="0.2">
      <c r="A4072" s="17"/>
      <c r="B4072" s="17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8"/>
      <c r="S4072" s="18"/>
      <c r="T4072" s="18"/>
    </row>
    <row r="4073" spans="1:20" x14ac:dyDescent="0.2">
      <c r="A4073" s="17"/>
      <c r="B4073" s="17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  <c r="S4073" s="18"/>
      <c r="T4073" s="18"/>
    </row>
    <row r="4074" spans="1:20" x14ac:dyDescent="0.2">
      <c r="A4074" s="17"/>
      <c r="B4074" s="17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8"/>
      <c r="R4074" s="18"/>
      <c r="S4074" s="18"/>
      <c r="T4074" s="18"/>
    </row>
    <row r="4075" spans="1:20" x14ac:dyDescent="0.2">
      <c r="A4075" s="17"/>
      <c r="B4075" s="17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  <c r="S4075" s="18"/>
      <c r="T4075" s="18"/>
    </row>
    <row r="4076" spans="1:20" x14ac:dyDescent="0.2">
      <c r="A4076" s="17"/>
      <c r="B4076" s="17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8"/>
      <c r="R4076" s="18"/>
      <c r="S4076" s="18"/>
      <c r="T4076" s="18"/>
    </row>
    <row r="4077" spans="1:20" x14ac:dyDescent="0.2">
      <c r="A4077" s="17"/>
      <c r="B4077" s="17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  <c r="S4077" s="18"/>
      <c r="T4077" s="18"/>
    </row>
    <row r="4078" spans="1:20" x14ac:dyDescent="0.2">
      <c r="A4078" s="17"/>
      <c r="B4078" s="17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8"/>
      <c r="R4078" s="18"/>
      <c r="S4078" s="18"/>
      <c r="T4078" s="18"/>
    </row>
    <row r="4079" spans="1:20" x14ac:dyDescent="0.2">
      <c r="A4079" s="17"/>
      <c r="B4079" s="17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8"/>
      <c r="R4079" s="18"/>
      <c r="S4079" s="18"/>
      <c r="T4079" s="18"/>
    </row>
    <row r="4080" spans="1:20" x14ac:dyDescent="0.2">
      <c r="A4080" s="17"/>
      <c r="B4080" s="17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8"/>
      <c r="R4080" s="18"/>
      <c r="S4080" s="18"/>
      <c r="T4080" s="18"/>
    </row>
    <row r="4081" spans="1:20" x14ac:dyDescent="0.2">
      <c r="A4081" s="17"/>
      <c r="B4081" s="17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  <c r="S4081" s="18"/>
      <c r="T4081" s="18"/>
    </row>
    <row r="4082" spans="1:20" x14ac:dyDescent="0.2">
      <c r="A4082" s="17"/>
      <c r="B4082" s="17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8"/>
      <c r="R4082" s="18"/>
      <c r="S4082" s="18"/>
      <c r="T4082" s="18"/>
    </row>
    <row r="4083" spans="1:20" x14ac:dyDescent="0.2">
      <c r="A4083" s="17"/>
      <c r="B4083" s="17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  <c r="S4083" s="18"/>
      <c r="T4083" s="18"/>
    </row>
    <row r="4084" spans="1:20" x14ac:dyDescent="0.2">
      <c r="A4084" s="17"/>
      <c r="B4084" s="17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  <c r="S4084" s="18"/>
      <c r="T4084" s="18"/>
    </row>
    <row r="4085" spans="1:20" x14ac:dyDescent="0.2">
      <c r="A4085" s="17"/>
      <c r="B4085" s="17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8"/>
      <c r="R4085" s="18"/>
      <c r="S4085" s="18"/>
      <c r="T4085" s="18"/>
    </row>
    <row r="4086" spans="1:20" x14ac:dyDescent="0.2">
      <c r="A4086" s="17"/>
      <c r="B4086" s="17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8"/>
      <c r="R4086" s="18"/>
      <c r="S4086" s="18"/>
      <c r="T4086" s="18"/>
    </row>
    <row r="4087" spans="1:20" x14ac:dyDescent="0.2">
      <c r="A4087" s="17"/>
      <c r="B4087" s="17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  <c r="S4087" s="18"/>
      <c r="T4087" s="18"/>
    </row>
    <row r="4088" spans="1:20" x14ac:dyDescent="0.2">
      <c r="A4088" s="17"/>
      <c r="B4088" s="17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8"/>
      <c r="R4088" s="18"/>
      <c r="S4088" s="18"/>
      <c r="T4088" s="18"/>
    </row>
    <row r="4089" spans="1:20" x14ac:dyDescent="0.2">
      <c r="A4089" s="17"/>
      <c r="B4089" s="17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8"/>
      <c r="R4089" s="18"/>
      <c r="S4089" s="18"/>
      <c r="T4089" s="18"/>
    </row>
    <row r="4090" spans="1:20" x14ac:dyDescent="0.2">
      <c r="A4090" s="17"/>
      <c r="B4090" s="17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  <c r="S4090" s="18"/>
      <c r="T4090" s="18"/>
    </row>
    <row r="4091" spans="1:20" x14ac:dyDescent="0.2">
      <c r="A4091" s="17"/>
      <c r="B4091" s="17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  <c r="S4091" s="18"/>
      <c r="T4091" s="18"/>
    </row>
    <row r="4092" spans="1:20" x14ac:dyDescent="0.2">
      <c r="A4092" s="17"/>
      <c r="B4092" s="17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8"/>
      <c r="R4092" s="18"/>
      <c r="S4092" s="18"/>
      <c r="T4092" s="18"/>
    </row>
    <row r="4093" spans="1:20" x14ac:dyDescent="0.2">
      <c r="A4093" s="17"/>
      <c r="B4093" s="17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  <c r="S4093" s="18"/>
      <c r="T4093" s="18"/>
    </row>
    <row r="4094" spans="1:20" x14ac:dyDescent="0.2">
      <c r="A4094" s="17"/>
      <c r="B4094" s="17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8"/>
      <c r="R4094" s="18"/>
      <c r="S4094" s="18"/>
      <c r="T4094" s="18"/>
    </row>
    <row r="4095" spans="1:20" x14ac:dyDescent="0.2">
      <c r="A4095" s="17"/>
      <c r="B4095" s="17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  <c r="S4095" s="18"/>
      <c r="T4095" s="18"/>
    </row>
    <row r="4096" spans="1:20" x14ac:dyDescent="0.2">
      <c r="A4096" s="17"/>
      <c r="B4096" s="17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18"/>
      <c r="S4096" s="18"/>
      <c r="T4096" s="18"/>
    </row>
    <row r="4097" spans="1:20" x14ac:dyDescent="0.2">
      <c r="A4097" s="17"/>
      <c r="B4097" s="17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  <c r="S4097" s="18"/>
      <c r="T4097" s="18"/>
    </row>
    <row r="4098" spans="1:20" x14ac:dyDescent="0.2">
      <c r="A4098" s="17"/>
      <c r="B4098" s="17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18"/>
      <c r="R4098" s="18"/>
      <c r="S4098" s="18"/>
      <c r="T4098" s="18"/>
    </row>
    <row r="4099" spans="1:20" x14ac:dyDescent="0.2">
      <c r="A4099" s="17"/>
      <c r="B4099" s="17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  <c r="S4099" s="18"/>
      <c r="T4099" s="18"/>
    </row>
    <row r="4100" spans="1:20" x14ac:dyDescent="0.2">
      <c r="A4100" s="17"/>
      <c r="B4100" s="17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  <c r="S4100" s="18"/>
      <c r="T4100" s="18"/>
    </row>
    <row r="4101" spans="1:20" x14ac:dyDescent="0.2">
      <c r="A4101" s="17"/>
      <c r="B4101" s="17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18"/>
      <c r="S4101" s="18"/>
      <c r="T4101" s="18"/>
    </row>
    <row r="4102" spans="1:20" x14ac:dyDescent="0.2">
      <c r="A4102" s="17"/>
      <c r="B4102" s="17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8"/>
      <c r="S4102" s="18"/>
      <c r="T4102" s="18"/>
    </row>
    <row r="4103" spans="1:20" x14ac:dyDescent="0.2">
      <c r="A4103" s="17"/>
      <c r="B4103" s="17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  <c r="S4103" s="18"/>
      <c r="T4103" s="18"/>
    </row>
    <row r="4104" spans="1:20" x14ac:dyDescent="0.2">
      <c r="A4104" s="17"/>
      <c r="B4104" s="17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18"/>
      <c r="S4104" s="18"/>
      <c r="T4104" s="18"/>
    </row>
    <row r="4105" spans="1:20" x14ac:dyDescent="0.2">
      <c r="A4105" s="17"/>
      <c r="B4105" s="17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  <c r="S4105" s="18"/>
      <c r="T4105" s="18"/>
    </row>
    <row r="4106" spans="1:20" x14ac:dyDescent="0.2">
      <c r="A4106" s="17"/>
      <c r="B4106" s="17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18"/>
      <c r="R4106" s="18"/>
      <c r="S4106" s="18"/>
      <c r="T4106" s="18"/>
    </row>
    <row r="4107" spans="1:20" x14ac:dyDescent="0.2">
      <c r="A4107" s="17"/>
      <c r="B4107" s="17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  <c r="S4107" s="18"/>
      <c r="T4107" s="18"/>
    </row>
    <row r="4108" spans="1:20" x14ac:dyDescent="0.2">
      <c r="A4108" s="17"/>
      <c r="B4108" s="17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18"/>
      <c r="R4108" s="18"/>
      <c r="S4108" s="18"/>
      <c r="T4108" s="18"/>
    </row>
    <row r="4109" spans="1:20" x14ac:dyDescent="0.2">
      <c r="A4109" s="17"/>
      <c r="B4109" s="17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18"/>
      <c r="S4109" s="18"/>
      <c r="T4109" s="18"/>
    </row>
    <row r="4110" spans="1:20" x14ac:dyDescent="0.2">
      <c r="A4110" s="17"/>
      <c r="B4110" s="17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8"/>
      <c r="S4110" s="18"/>
      <c r="T4110" s="18"/>
    </row>
    <row r="4111" spans="1:20" x14ac:dyDescent="0.2">
      <c r="A4111" s="17"/>
      <c r="B4111" s="17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  <c r="S4111" s="18"/>
      <c r="T4111" s="18"/>
    </row>
    <row r="4112" spans="1:20" x14ac:dyDescent="0.2">
      <c r="A4112" s="17"/>
      <c r="B4112" s="17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18"/>
      <c r="S4112" s="18"/>
      <c r="T4112" s="18"/>
    </row>
    <row r="4113" spans="1:20" x14ac:dyDescent="0.2">
      <c r="A4113" s="17"/>
      <c r="B4113" s="17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  <c r="S4113" s="18"/>
      <c r="T4113" s="18"/>
    </row>
    <row r="4114" spans="1:20" x14ac:dyDescent="0.2">
      <c r="A4114" s="17"/>
      <c r="B4114" s="17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18"/>
      <c r="S4114" s="18"/>
      <c r="T4114" s="18"/>
    </row>
    <row r="4115" spans="1:20" x14ac:dyDescent="0.2">
      <c r="A4115" s="17"/>
      <c r="B4115" s="17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  <c r="S4115" s="18"/>
      <c r="T4115" s="18"/>
    </row>
    <row r="4116" spans="1:20" x14ac:dyDescent="0.2">
      <c r="A4116" s="17"/>
      <c r="B4116" s="17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18"/>
      <c r="S4116" s="18"/>
      <c r="T4116" s="18"/>
    </row>
    <row r="4117" spans="1:20" x14ac:dyDescent="0.2">
      <c r="A4117" s="17"/>
      <c r="B4117" s="17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  <c r="S4117" s="18"/>
      <c r="T4117" s="18"/>
    </row>
    <row r="4118" spans="1:20" x14ac:dyDescent="0.2">
      <c r="A4118" s="17"/>
      <c r="B4118" s="17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  <c r="S4118" s="18"/>
      <c r="T4118" s="18"/>
    </row>
    <row r="4119" spans="1:20" x14ac:dyDescent="0.2">
      <c r="A4119" s="17"/>
      <c r="B4119" s="17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  <c r="S4119" s="18"/>
      <c r="T4119" s="18"/>
    </row>
    <row r="4120" spans="1:20" x14ac:dyDescent="0.2">
      <c r="A4120" s="17"/>
      <c r="B4120" s="17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18"/>
      <c r="S4120" s="18"/>
      <c r="T4120" s="18"/>
    </row>
    <row r="4121" spans="1:20" x14ac:dyDescent="0.2">
      <c r="A4121" s="17"/>
      <c r="B4121" s="17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  <c r="S4121" s="18"/>
      <c r="T4121" s="18"/>
    </row>
    <row r="4122" spans="1:20" x14ac:dyDescent="0.2">
      <c r="A4122" s="17"/>
      <c r="B4122" s="17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18"/>
      <c r="S4122" s="18"/>
      <c r="T4122" s="18"/>
    </row>
    <row r="4123" spans="1:20" x14ac:dyDescent="0.2">
      <c r="A4123" s="17"/>
      <c r="B4123" s="17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  <c r="S4123" s="18"/>
      <c r="T4123" s="18"/>
    </row>
    <row r="4124" spans="1:20" x14ac:dyDescent="0.2">
      <c r="A4124" s="17"/>
      <c r="B4124" s="17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18"/>
      <c r="S4124" s="18"/>
      <c r="T4124" s="18"/>
    </row>
    <row r="4125" spans="1:20" x14ac:dyDescent="0.2">
      <c r="A4125" s="17"/>
      <c r="B4125" s="17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  <c r="S4125" s="18"/>
      <c r="T4125" s="18"/>
    </row>
    <row r="4126" spans="1:20" x14ac:dyDescent="0.2">
      <c r="A4126" s="17"/>
      <c r="B4126" s="17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8"/>
      <c r="S4126" s="18"/>
      <c r="T4126" s="18"/>
    </row>
    <row r="4127" spans="1:20" x14ac:dyDescent="0.2">
      <c r="A4127" s="17"/>
      <c r="B4127" s="17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18"/>
      <c r="S4127" s="18"/>
      <c r="T4127" s="18"/>
    </row>
    <row r="4128" spans="1:20" x14ac:dyDescent="0.2">
      <c r="A4128" s="17"/>
      <c r="B4128" s="17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18"/>
      <c r="S4128" s="18"/>
      <c r="T4128" s="18"/>
    </row>
    <row r="4129" spans="1:20" x14ac:dyDescent="0.2">
      <c r="A4129" s="17"/>
      <c r="B4129" s="17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  <c r="S4129" s="18"/>
      <c r="T4129" s="18"/>
    </row>
    <row r="4130" spans="1:20" x14ac:dyDescent="0.2">
      <c r="A4130" s="17"/>
      <c r="B4130" s="17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18"/>
      <c r="S4130" s="18"/>
      <c r="T4130" s="18"/>
    </row>
    <row r="4131" spans="1:20" x14ac:dyDescent="0.2">
      <c r="A4131" s="17"/>
      <c r="B4131" s="17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  <c r="S4131" s="18"/>
      <c r="T4131" s="18"/>
    </row>
    <row r="4132" spans="1:20" x14ac:dyDescent="0.2">
      <c r="A4132" s="17"/>
      <c r="B4132" s="17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18"/>
      <c r="S4132" s="18"/>
      <c r="T4132" s="18"/>
    </row>
    <row r="4133" spans="1:20" x14ac:dyDescent="0.2">
      <c r="A4133" s="17"/>
      <c r="B4133" s="17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18"/>
      <c r="S4133" s="18"/>
      <c r="T4133" s="18"/>
    </row>
    <row r="4134" spans="1:20" x14ac:dyDescent="0.2">
      <c r="A4134" s="17"/>
      <c r="B4134" s="17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  <c r="S4134" s="18"/>
      <c r="T4134" s="18"/>
    </row>
    <row r="4135" spans="1:20" x14ac:dyDescent="0.2">
      <c r="A4135" s="17"/>
      <c r="B4135" s="17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  <c r="S4135" s="18"/>
      <c r="T4135" s="18"/>
    </row>
    <row r="4136" spans="1:20" x14ac:dyDescent="0.2">
      <c r="A4136" s="17"/>
      <c r="B4136" s="17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  <c r="S4136" s="18"/>
      <c r="T4136" s="18"/>
    </row>
    <row r="4137" spans="1:20" x14ac:dyDescent="0.2">
      <c r="A4137" s="17"/>
      <c r="B4137" s="17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  <c r="S4137" s="18"/>
      <c r="T4137" s="18"/>
    </row>
    <row r="4138" spans="1:20" x14ac:dyDescent="0.2">
      <c r="A4138" s="17"/>
      <c r="B4138" s="17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18"/>
      <c r="S4138" s="18"/>
      <c r="T4138" s="18"/>
    </row>
    <row r="4139" spans="1:20" x14ac:dyDescent="0.2">
      <c r="A4139" s="17"/>
      <c r="B4139" s="17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  <c r="S4139" s="18"/>
      <c r="T4139" s="18"/>
    </row>
    <row r="4140" spans="1:20" x14ac:dyDescent="0.2">
      <c r="A4140" s="17"/>
      <c r="B4140" s="17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18"/>
      <c r="S4140" s="18"/>
      <c r="T4140" s="18"/>
    </row>
    <row r="4141" spans="1:20" x14ac:dyDescent="0.2">
      <c r="A4141" s="17"/>
      <c r="B4141" s="17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  <c r="S4141" s="18"/>
      <c r="T4141" s="18"/>
    </row>
    <row r="4142" spans="1:20" x14ac:dyDescent="0.2">
      <c r="A4142" s="17"/>
      <c r="B4142" s="17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18"/>
      <c r="S4142" s="18"/>
      <c r="T4142" s="18"/>
    </row>
    <row r="4143" spans="1:20" x14ac:dyDescent="0.2">
      <c r="A4143" s="17"/>
      <c r="B4143" s="17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  <c r="S4143" s="18"/>
      <c r="T4143" s="18"/>
    </row>
    <row r="4144" spans="1:20" x14ac:dyDescent="0.2">
      <c r="A4144" s="17"/>
      <c r="B4144" s="17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18"/>
      <c r="S4144" s="18"/>
      <c r="T4144" s="18"/>
    </row>
    <row r="4145" spans="1:20" x14ac:dyDescent="0.2">
      <c r="A4145" s="17"/>
      <c r="B4145" s="17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  <c r="S4145" s="18"/>
      <c r="T4145" s="18"/>
    </row>
    <row r="4146" spans="1:20" x14ac:dyDescent="0.2">
      <c r="A4146" s="17"/>
      <c r="B4146" s="17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18"/>
      <c r="S4146" s="18"/>
      <c r="T4146" s="18"/>
    </row>
    <row r="4147" spans="1:20" x14ac:dyDescent="0.2">
      <c r="A4147" s="17"/>
      <c r="B4147" s="17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  <c r="S4147" s="18"/>
      <c r="T4147" s="18"/>
    </row>
    <row r="4148" spans="1:20" x14ac:dyDescent="0.2">
      <c r="A4148" s="17"/>
      <c r="B4148" s="17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  <c r="S4148" s="18"/>
      <c r="T4148" s="18"/>
    </row>
    <row r="4149" spans="1:20" x14ac:dyDescent="0.2">
      <c r="A4149" s="17"/>
      <c r="B4149" s="17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  <c r="S4149" s="18"/>
      <c r="T4149" s="18"/>
    </row>
    <row r="4150" spans="1:20" x14ac:dyDescent="0.2">
      <c r="A4150" s="17"/>
      <c r="B4150" s="17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18"/>
      <c r="S4150" s="18"/>
      <c r="T4150" s="18"/>
    </row>
    <row r="4151" spans="1:20" x14ac:dyDescent="0.2">
      <c r="A4151" s="17"/>
      <c r="B4151" s="17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  <c r="S4151" s="18"/>
      <c r="T4151" s="18"/>
    </row>
    <row r="4152" spans="1:20" x14ac:dyDescent="0.2">
      <c r="A4152" s="17"/>
      <c r="B4152" s="17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18"/>
      <c r="S4152" s="18"/>
      <c r="T4152" s="18"/>
    </row>
    <row r="4153" spans="1:20" x14ac:dyDescent="0.2">
      <c r="A4153" s="17"/>
      <c r="B4153" s="17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  <c r="S4153" s="18"/>
      <c r="T4153" s="18"/>
    </row>
    <row r="4154" spans="1:20" x14ac:dyDescent="0.2">
      <c r="A4154" s="17"/>
      <c r="B4154" s="17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18"/>
      <c r="S4154" s="18"/>
      <c r="T4154" s="18"/>
    </row>
    <row r="4155" spans="1:20" x14ac:dyDescent="0.2">
      <c r="A4155" s="17"/>
      <c r="B4155" s="17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18"/>
      <c r="S4155" s="18"/>
      <c r="T4155" s="18"/>
    </row>
    <row r="4156" spans="1:20" x14ac:dyDescent="0.2">
      <c r="A4156" s="17"/>
      <c r="B4156" s="17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  <c r="S4156" s="18"/>
      <c r="T4156" s="18"/>
    </row>
    <row r="4157" spans="1:20" x14ac:dyDescent="0.2">
      <c r="A4157" s="17"/>
      <c r="B4157" s="17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  <c r="S4157" s="18"/>
      <c r="T4157" s="18"/>
    </row>
    <row r="4158" spans="1:20" x14ac:dyDescent="0.2">
      <c r="A4158" s="17"/>
      <c r="B4158" s="17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18"/>
      <c r="S4158" s="18"/>
      <c r="T4158" s="18"/>
    </row>
    <row r="4159" spans="1:20" x14ac:dyDescent="0.2">
      <c r="A4159" s="17"/>
      <c r="B4159" s="17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  <c r="S4159" s="18"/>
      <c r="T4159" s="18"/>
    </row>
    <row r="4160" spans="1:20" x14ac:dyDescent="0.2">
      <c r="A4160" s="17"/>
      <c r="B4160" s="17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18"/>
      <c r="S4160" s="18"/>
      <c r="T4160" s="18"/>
    </row>
    <row r="4161" spans="1:20" x14ac:dyDescent="0.2">
      <c r="A4161" s="17"/>
      <c r="B4161" s="17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  <c r="S4161" s="18"/>
      <c r="T4161" s="18"/>
    </row>
    <row r="4162" spans="1:20" x14ac:dyDescent="0.2">
      <c r="A4162" s="17"/>
      <c r="B4162" s="17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18"/>
      <c r="S4162" s="18"/>
      <c r="T4162" s="18"/>
    </row>
    <row r="4163" spans="1:20" x14ac:dyDescent="0.2">
      <c r="A4163" s="17"/>
      <c r="B4163" s="17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  <c r="S4163" s="18"/>
      <c r="T4163" s="18"/>
    </row>
    <row r="4164" spans="1:20" x14ac:dyDescent="0.2">
      <c r="A4164" s="17"/>
      <c r="B4164" s="17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18"/>
      <c r="S4164" s="18"/>
      <c r="T4164" s="18"/>
    </row>
    <row r="4165" spans="1:20" x14ac:dyDescent="0.2">
      <c r="A4165" s="17"/>
      <c r="B4165" s="17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  <c r="S4165" s="18"/>
      <c r="T4165" s="18"/>
    </row>
    <row r="4166" spans="1:20" x14ac:dyDescent="0.2">
      <c r="A4166" s="17"/>
      <c r="B4166" s="17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18"/>
      <c r="S4166" s="18"/>
      <c r="T4166" s="18"/>
    </row>
    <row r="4167" spans="1:20" x14ac:dyDescent="0.2">
      <c r="A4167" s="17"/>
      <c r="B4167" s="17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  <c r="S4167" s="18"/>
      <c r="T4167" s="18"/>
    </row>
    <row r="4168" spans="1:20" x14ac:dyDescent="0.2">
      <c r="A4168" s="17"/>
      <c r="B4168" s="17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18"/>
      <c r="S4168" s="18"/>
      <c r="T4168" s="18"/>
    </row>
    <row r="4169" spans="1:20" x14ac:dyDescent="0.2">
      <c r="A4169" s="17"/>
      <c r="B4169" s="17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  <c r="S4169" s="18"/>
      <c r="T4169" s="18"/>
    </row>
    <row r="4170" spans="1:20" x14ac:dyDescent="0.2">
      <c r="A4170" s="17"/>
      <c r="B4170" s="17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18"/>
      <c r="S4170" s="18"/>
      <c r="T4170" s="18"/>
    </row>
    <row r="4171" spans="1:20" x14ac:dyDescent="0.2">
      <c r="A4171" s="17"/>
      <c r="B4171" s="17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  <c r="S4171" s="18"/>
      <c r="T4171" s="18"/>
    </row>
    <row r="4172" spans="1:20" x14ac:dyDescent="0.2">
      <c r="A4172" s="17"/>
      <c r="B4172" s="17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  <c r="S4172" s="18"/>
      <c r="T4172" s="18"/>
    </row>
    <row r="4173" spans="1:20" x14ac:dyDescent="0.2">
      <c r="A4173" s="17"/>
      <c r="B4173" s="17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  <c r="S4173" s="18"/>
      <c r="T4173" s="18"/>
    </row>
    <row r="4174" spans="1:20" x14ac:dyDescent="0.2">
      <c r="A4174" s="17"/>
      <c r="B4174" s="17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18"/>
      <c r="S4174" s="18"/>
      <c r="T4174" s="18"/>
    </row>
    <row r="4175" spans="1:20" x14ac:dyDescent="0.2">
      <c r="A4175" s="17"/>
      <c r="B4175" s="17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  <c r="S4175" s="18"/>
      <c r="T4175" s="18"/>
    </row>
    <row r="4176" spans="1:20" x14ac:dyDescent="0.2">
      <c r="A4176" s="17"/>
      <c r="B4176" s="17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18"/>
      <c r="S4176" s="18"/>
      <c r="T4176" s="18"/>
    </row>
    <row r="4177" spans="1:20" x14ac:dyDescent="0.2">
      <c r="A4177" s="17"/>
      <c r="B4177" s="17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18"/>
      <c r="S4177" s="18"/>
      <c r="T4177" s="18"/>
    </row>
    <row r="4178" spans="1:20" x14ac:dyDescent="0.2">
      <c r="A4178" s="17"/>
      <c r="B4178" s="17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18"/>
      <c r="S4178" s="18"/>
      <c r="T4178" s="18"/>
    </row>
    <row r="4179" spans="1:20" x14ac:dyDescent="0.2">
      <c r="A4179" s="17"/>
      <c r="B4179" s="17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  <c r="S4179" s="18"/>
      <c r="T4179" s="18"/>
    </row>
    <row r="4180" spans="1:20" x14ac:dyDescent="0.2">
      <c r="A4180" s="17"/>
      <c r="B4180" s="17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18"/>
      <c r="S4180" s="18"/>
      <c r="T4180" s="18"/>
    </row>
    <row r="4181" spans="1:20" x14ac:dyDescent="0.2">
      <c r="A4181" s="17"/>
      <c r="B4181" s="17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  <c r="S4181" s="18"/>
      <c r="T4181" s="18"/>
    </row>
    <row r="4182" spans="1:20" x14ac:dyDescent="0.2">
      <c r="A4182" s="17"/>
      <c r="B4182" s="17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  <c r="S4182" s="18"/>
      <c r="T4182" s="18"/>
    </row>
    <row r="4183" spans="1:20" x14ac:dyDescent="0.2">
      <c r="A4183" s="17"/>
      <c r="B4183" s="17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  <c r="S4183" s="18"/>
      <c r="T4183" s="18"/>
    </row>
    <row r="4184" spans="1:20" x14ac:dyDescent="0.2">
      <c r="A4184" s="17"/>
      <c r="B4184" s="17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  <c r="S4184" s="18"/>
      <c r="T4184" s="18"/>
    </row>
    <row r="4185" spans="1:20" x14ac:dyDescent="0.2">
      <c r="A4185" s="17"/>
      <c r="B4185" s="17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  <c r="S4185" s="18"/>
      <c r="T4185" s="18"/>
    </row>
    <row r="4186" spans="1:20" x14ac:dyDescent="0.2">
      <c r="A4186" s="17"/>
      <c r="B4186" s="17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18"/>
      <c r="S4186" s="18"/>
      <c r="T4186" s="18"/>
    </row>
    <row r="4187" spans="1:20" x14ac:dyDescent="0.2">
      <c r="A4187" s="17"/>
      <c r="B4187" s="17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  <c r="S4187" s="18"/>
      <c r="T4187" s="18"/>
    </row>
    <row r="4188" spans="1:20" x14ac:dyDescent="0.2">
      <c r="A4188" s="17"/>
      <c r="B4188" s="17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18"/>
      <c r="S4188" s="18"/>
      <c r="T4188" s="18"/>
    </row>
    <row r="4189" spans="1:20" x14ac:dyDescent="0.2">
      <c r="A4189" s="17"/>
      <c r="B4189" s="17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18"/>
      <c r="S4189" s="18"/>
      <c r="T4189" s="18"/>
    </row>
    <row r="4190" spans="1:20" x14ac:dyDescent="0.2">
      <c r="A4190" s="17"/>
      <c r="B4190" s="17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18"/>
      <c r="S4190" s="18"/>
      <c r="T4190" s="18"/>
    </row>
    <row r="4191" spans="1:20" x14ac:dyDescent="0.2">
      <c r="A4191" s="17"/>
      <c r="B4191" s="17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18"/>
      <c r="S4191" s="18"/>
      <c r="T4191" s="18"/>
    </row>
    <row r="4192" spans="1:20" x14ac:dyDescent="0.2">
      <c r="A4192" s="17"/>
      <c r="B4192" s="17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18"/>
      <c r="S4192" s="18"/>
      <c r="T4192" s="18"/>
    </row>
    <row r="4193" spans="1:20" x14ac:dyDescent="0.2">
      <c r="A4193" s="17"/>
      <c r="B4193" s="17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18"/>
      <c r="S4193" s="18"/>
      <c r="T4193" s="18"/>
    </row>
    <row r="4194" spans="1:20" x14ac:dyDescent="0.2">
      <c r="A4194" s="17"/>
      <c r="B4194" s="17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18"/>
      <c r="S4194" s="18"/>
      <c r="T4194" s="18"/>
    </row>
    <row r="4195" spans="1:20" x14ac:dyDescent="0.2">
      <c r="A4195" s="17"/>
      <c r="B4195" s="17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18"/>
      <c r="S4195" s="18"/>
      <c r="T4195" s="18"/>
    </row>
    <row r="4196" spans="1:20" x14ac:dyDescent="0.2">
      <c r="A4196" s="17"/>
      <c r="B4196" s="17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18"/>
      <c r="S4196" s="18"/>
      <c r="T4196" s="18"/>
    </row>
    <row r="4197" spans="1:20" x14ac:dyDescent="0.2">
      <c r="A4197" s="17"/>
      <c r="B4197" s="17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  <c r="S4197" s="18"/>
      <c r="T4197" s="18"/>
    </row>
    <row r="4198" spans="1:20" x14ac:dyDescent="0.2">
      <c r="A4198" s="17"/>
      <c r="B4198" s="17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18"/>
      <c r="S4198" s="18"/>
      <c r="T4198" s="18"/>
    </row>
    <row r="4199" spans="1:20" x14ac:dyDescent="0.2">
      <c r="A4199" s="17"/>
      <c r="B4199" s="17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  <c r="S4199" s="18"/>
      <c r="T4199" s="18"/>
    </row>
    <row r="4200" spans="1:20" x14ac:dyDescent="0.2">
      <c r="A4200" s="17"/>
      <c r="B4200" s="17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18"/>
      <c r="S4200" s="18"/>
      <c r="T4200" s="18"/>
    </row>
    <row r="4201" spans="1:20" x14ac:dyDescent="0.2">
      <c r="A4201" s="17"/>
      <c r="B4201" s="17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  <c r="S4201" s="18"/>
      <c r="T4201" s="18"/>
    </row>
    <row r="4202" spans="1:20" x14ac:dyDescent="0.2">
      <c r="A4202" s="17"/>
      <c r="B4202" s="17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18"/>
      <c r="S4202" s="18"/>
      <c r="T4202" s="18"/>
    </row>
    <row r="4203" spans="1:20" x14ac:dyDescent="0.2">
      <c r="A4203" s="17"/>
      <c r="B4203" s="17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  <c r="S4203" s="18"/>
      <c r="T4203" s="18"/>
    </row>
    <row r="4204" spans="1:20" x14ac:dyDescent="0.2">
      <c r="A4204" s="17"/>
      <c r="B4204" s="17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18"/>
      <c r="S4204" s="18"/>
      <c r="T4204" s="18"/>
    </row>
    <row r="4205" spans="1:20" x14ac:dyDescent="0.2">
      <c r="A4205" s="17"/>
      <c r="B4205" s="17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  <c r="S4205" s="18"/>
      <c r="T4205" s="18"/>
    </row>
    <row r="4206" spans="1:20" x14ac:dyDescent="0.2">
      <c r="A4206" s="17"/>
      <c r="B4206" s="17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18"/>
      <c r="S4206" s="18"/>
      <c r="T4206" s="18"/>
    </row>
    <row r="4207" spans="1:20" x14ac:dyDescent="0.2">
      <c r="A4207" s="17"/>
      <c r="B4207" s="17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  <c r="S4207" s="18"/>
      <c r="T4207" s="18"/>
    </row>
    <row r="4208" spans="1:20" x14ac:dyDescent="0.2">
      <c r="A4208" s="17"/>
      <c r="B4208" s="17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18"/>
      <c r="S4208" s="18"/>
      <c r="T4208" s="18"/>
    </row>
    <row r="4209" spans="1:20" x14ac:dyDescent="0.2">
      <c r="A4209" s="17"/>
      <c r="B4209" s="17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  <c r="S4209" s="18"/>
      <c r="T4209" s="18"/>
    </row>
    <row r="4210" spans="1:20" x14ac:dyDescent="0.2">
      <c r="A4210" s="17"/>
      <c r="B4210" s="17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18"/>
      <c r="S4210" s="18"/>
      <c r="T4210" s="18"/>
    </row>
    <row r="4211" spans="1:20" x14ac:dyDescent="0.2">
      <c r="A4211" s="17"/>
      <c r="B4211" s="17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  <c r="S4211" s="18"/>
      <c r="T4211" s="18"/>
    </row>
    <row r="4212" spans="1:20" x14ac:dyDescent="0.2">
      <c r="A4212" s="17"/>
      <c r="B4212" s="17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18"/>
      <c r="S4212" s="18"/>
      <c r="T4212" s="18"/>
    </row>
    <row r="4213" spans="1:20" x14ac:dyDescent="0.2">
      <c r="A4213" s="17"/>
      <c r="B4213" s="17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  <c r="S4213" s="18"/>
      <c r="T4213" s="18"/>
    </row>
    <row r="4214" spans="1:20" x14ac:dyDescent="0.2">
      <c r="A4214" s="17"/>
      <c r="B4214" s="17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18"/>
      <c r="S4214" s="18"/>
      <c r="T4214" s="18"/>
    </row>
    <row r="4215" spans="1:20" x14ac:dyDescent="0.2">
      <c r="A4215" s="17"/>
      <c r="B4215" s="17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  <c r="S4215" s="18"/>
      <c r="T4215" s="18"/>
    </row>
    <row r="4216" spans="1:20" x14ac:dyDescent="0.2">
      <c r="A4216" s="17"/>
      <c r="B4216" s="17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18"/>
      <c r="S4216" s="18"/>
      <c r="T4216" s="18"/>
    </row>
    <row r="4217" spans="1:20" x14ac:dyDescent="0.2">
      <c r="A4217" s="17"/>
      <c r="B4217" s="17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18"/>
      <c r="S4217" s="18"/>
      <c r="T4217" s="18"/>
    </row>
    <row r="4218" spans="1:20" x14ac:dyDescent="0.2">
      <c r="A4218" s="17"/>
      <c r="B4218" s="17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  <c r="S4218" s="18"/>
      <c r="T4218" s="18"/>
    </row>
    <row r="4219" spans="1:20" x14ac:dyDescent="0.2">
      <c r="A4219" s="17"/>
      <c r="B4219" s="17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  <c r="S4219" s="18"/>
      <c r="T4219" s="18"/>
    </row>
    <row r="4220" spans="1:20" x14ac:dyDescent="0.2">
      <c r="A4220" s="17"/>
      <c r="B4220" s="17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18"/>
      <c r="S4220" s="18"/>
      <c r="T4220" s="18"/>
    </row>
    <row r="4221" spans="1:20" x14ac:dyDescent="0.2">
      <c r="A4221" s="17"/>
      <c r="B4221" s="17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18"/>
      <c r="S4221" s="18"/>
      <c r="T4221" s="18"/>
    </row>
    <row r="4222" spans="1:20" x14ac:dyDescent="0.2">
      <c r="A4222" s="17"/>
      <c r="B4222" s="17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18"/>
      <c r="S4222" s="18"/>
      <c r="T4222" s="18"/>
    </row>
    <row r="4223" spans="1:20" x14ac:dyDescent="0.2">
      <c r="A4223" s="17"/>
      <c r="B4223" s="17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  <c r="S4223" s="18"/>
      <c r="T4223" s="18"/>
    </row>
    <row r="4224" spans="1:20" x14ac:dyDescent="0.2">
      <c r="A4224" s="17"/>
      <c r="B4224" s="17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18"/>
      <c r="S4224" s="18"/>
      <c r="T4224" s="18"/>
    </row>
    <row r="4225" spans="1:20" x14ac:dyDescent="0.2">
      <c r="A4225" s="17"/>
      <c r="B4225" s="17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  <c r="S4225" s="18"/>
      <c r="T4225" s="18"/>
    </row>
    <row r="4226" spans="1:20" x14ac:dyDescent="0.2">
      <c r="A4226" s="17"/>
      <c r="B4226" s="17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18"/>
      <c r="S4226" s="18"/>
      <c r="T4226" s="18"/>
    </row>
    <row r="4227" spans="1:20" x14ac:dyDescent="0.2">
      <c r="A4227" s="17"/>
      <c r="B4227" s="17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  <c r="S4227" s="18"/>
      <c r="T4227" s="18"/>
    </row>
    <row r="4228" spans="1:20" x14ac:dyDescent="0.2">
      <c r="A4228" s="17"/>
      <c r="B4228" s="17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  <c r="S4228" s="18"/>
      <c r="T4228" s="18"/>
    </row>
    <row r="4229" spans="1:20" x14ac:dyDescent="0.2">
      <c r="A4229" s="17"/>
      <c r="B4229" s="17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  <c r="S4229" s="18"/>
      <c r="T4229" s="18"/>
    </row>
    <row r="4230" spans="1:20" x14ac:dyDescent="0.2">
      <c r="A4230" s="17"/>
      <c r="B4230" s="17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18"/>
      <c r="S4230" s="18"/>
      <c r="T4230" s="18"/>
    </row>
    <row r="4231" spans="1:20" x14ac:dyDescent="0.2">
      <c r="A4231" s="17"/>
      <c r="B4231" s="17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  <c r="S4231" s="18"/>
      <c r="T4231" s="18"/>
    </row>
    <row r="4232" spans="1:20" x14ac:dyDescent="0.2">
      <c r="A4232" s="17"/>
      <c r="B4232" s="17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18"/>
      <c r="S4232" s="18"/>
      <c r="T4232" s="18"/>
    </row>
    <row r="4233" spans="1:20" x14ac:dyDescent="0.2">
      <c r="A4233" s="17"/>
      <c r="B4233" s="17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  <c r="S4233" s="18"/>
      <c r="T4233" s="18"/>
    </row>
    <row r="4234" spans="1:20" x14ac:dyDescent="0.2">
      <c r="A4234" s="17"/>
      <c r="B4234" s="17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  <c r="S4234" s="18"/>
      <c r="T4234" s="18"/>
    </row>
    <row r="4235" spans="1:20" x14ac:dyDescent="0.2">
      <c r="A4235" s="17"/>
      <c r="B4235" s="17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  <c r="S4235" s="18"/>
      <c r="T4235" s="18"/>
    </row>
    <row r="4236" spans="1:20" x14ac:dyDescent="0.2">
      <c r="A4236" s="17"/>
      <c r="B4236" s="17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18"/>
      <c r="S4236" s="18"/>
      <c r="T4236" s="18"/>
    </row>
    <row r="4237" spans="1:20" x14ac:dyDescent="0.2">
      <c r="A4237" s="17"/>
      <c r="B4237" s="17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  <c r="S4237" s="18"/>
      <c r="T4237" s="18"/>
    </row>
    <row r="4238" spans="1:20" x14ac:dyDescent="0.2">
      <c r="A4238" s="17"/>
      <c r="B4238" s="17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18"/>
      <c r="S4238" s="18"/>
      <c r="T4238" s="18"/>
    </row>
    <row r="4239" spans="1:20" x14ac:dyDescent="0.2">
      <c r="A4239" s="17"/>
      <c r="B4239" s="17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  <c r="S4239" s="18"/>
      <c r="T4239" s="18"/>
    </row>
    <row r="4240" spans="1:20" x14ac:dyDescent="0.2">
      <c r="A4240" s="17"/>
      <c r="B4240" s="17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18"/>
      <c r="S4240" s="18"/>
      <c r="T4240" s="18"/>
    </row>
    <row r="4241" spans="1:20" x14ac:dyDescent="0.2">
      <c r="A4241" s="17"/>
      <c r="B4241" s="17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  <c r="P4241" s="18"/>
      <c r="Q4241" s="18"/>
      <c r="R4241" s="18"/>
      <c r="S4241" s="18"/>
      <c r="T4241" s="18"/>
    </row>
    <row r="4242" spans="1:20" x14ac:dyDescent="0.2">
      <c r="A4242" s="17"/>
      <c r="B4242" s="17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  <c r="O4242" s="18"/>
      <c r="P4242" s="18"/>
      <c r="Q4242" s="18"/>
      <c r="R4242" s="18"/>
      <c r="S4242" s="18"/>
      <c r="T4242" s="18"/>
    </row>
    <row r="4243" spans="1:20" x14ac:dyDescent="0.2">
      <c r="A4243" s="17"/>
      <c r="B4243" s="17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  <c r="P4243" s="18"/>
      <c r="Q4243" s="18"/>
      <c r="R4243" s="18"/>
      <c r="S4243" s="18"/>
      <c r="T4243" s="18"/>
    </row>
    <row r="4244" spans="1:20" x14ac:dyDescent="0.2">
      <c r="A4244" s="17"/>
      <c r="B4244" s="17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  <c r="O4244" s="18"/>
      <c r="P4244" s="18"/>
      <c r="Q4244" s="18"/>
      <c r="R4244" s="18"/>
      <c r="S4244" s="18"/>
      <c r="T4244" s="18"/>
    </row>
    <row r="4245" spans="1:20" x14ac:dyDescent="0.2">
      <c r="A4245" s="17"/>
      <c r="B4245" s="17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  <c r="P4245" s="18"/>
      <c r="Q4245" s="18"/>
      <c r="R4245" s="18"/>
      <c r="S4245" s="18"/>
      <c r="T4245" s="18"/>
    </row>
    <row r="4246" spans="1:20" x14ac:dyDescent="0.2">
      <c r="A4246" s="17"/>
      <c r="B4246" s="17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  <c r="O4246" s="18"/>
      <c r="P4246" s="18"/>
      <c r="Q4246" s="18"/>
      <c r="R4246" s="18"/>
      <c r="S4246" s="18"/>
      <c r="T4246" s="18"/>
    </row>
    <row r="4247" spans="1:20" x14ac:dyDescent="0.2">
      <c r="A4247" s="17"/>
      <c r="B4247" s="17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  <c r="P4247" s="18"/>
      <c r="Q4247" s="18"/>
      <c r="R4247" s="18"/>
      <c r="S4247" s="18"/>
      <c r="T4247" s="18"/>
    </row>
    <row r="4248" spans="1:20" x14ac:dyDescent="0.2">
      <c r="A4248" s="17"/>
      <c r="B4248" s="17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  <c r="O4248" s="18"/>
      <c r="P4248" s="18"/>
      <c r="Q4248" s="18"/>
      <c r="R4248" s="18"/>
      <c r="S4248" s="18"/>
      <c r="T4248" s="18"/>
    </row>
    <row r="4249" spans="1:20" x14ac:dyDescent="0.2">
      <c r="A4249" s="17"/>
      <c r="B4249" s="17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  <c r="P4249" s="18"/>
      <c r="Q4249" s="18"/>
      <c r="R4249" s="18"/>
      <c r="S4249" s="18"/>
      <c r="T4249" s="18"/>
    </row>
    <row r="4250" spans="1:20" x14ac:dyDescent="0.2">
      <c r="A4250" s="17"/>
      <c r="B4250" s="17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  <c r="O4250" s="18"/>
      <c r="P4250" s="18"/>
      <c r="Q4250" s="18"/>
      <c r="R4250" s="18"/>
      <c r="S4250" s="18"/>
      <c r="T4250" s="18"/>
    </row>
    <row r="4251" spans="1:20" x14ac:dyDescent="0.2">
      <c r="A4251" s="17"/>
      <c r="B4251" s="17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  <c r="P4251" s="18"/>
      <c r="Q4251" s="18"/>
      <c r="R4251" s="18"/>
      <c r="S4251" s="18"/>
      <c r="T4251" s="18"/>
    </row>
    <row r="4252" spans="1:20" x14ac:dyDescent="0.2">
      <c r="A4252" s="17"/>
      <c r="B4252" s="17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  <c r="O4252" s="18"/>
      <c r="P4252" s="18"/>
      <c r="Q4252" s="18"/>
      <c r="R4252" s="18"/>
      <c r="S4252" s="18"/>
      <c r="T4252" s="18"/>
    </row>
    <row r="4253" spans="1:20" x14ac:dyDescent="0.2">
      <c r="A4253" s="17"/>
      <c r="B4253" s="17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  <c r="P4253" s="18"/>
      <c r="Q4253" s="18"/>
      <c r="R4253" s="18"/>
      <c r="S4253" s="18"/>
      <c r="T4253" s="18"/>
    </row>
    <row r="4254" spans="1:20" x14ac:dyDescent="0.2">
      <c r="A4254" s="17"/>
      <c r="B4254" s="17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18"/>
      <c r="N4254" s="18"/>
      <c r="O4254" s="18"/>
      <c r="P4254" s="18"/>
      <c r="Q4254" s="18"/>
      <c r="R4254" s="18"/>
      <c r="S4254" s="18"/>
      <c r="T4254" s="18"/>
    </row>
    <row r="4255" spans="1:20" x14ac:dyDescent="0.2">
      <c r="A4255" s="17"/>
      <c r="B4255" s="17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  <c r="O4255" s="18"/>
      <c r="P4255" s="18"/>
      <c r="Q4255" s="18"/>
      <c r="R4255" s="18"/>
      <c r="S4255" s="18"/>
      <c r="T4255" s="18"/>
    </row>
    <row r="4256" spans="1:20" x14ac:dyDescent="0.2">
      <c r="A4256" s="17"/>
      <c r="B4256" s="17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18"/>
      <c r="N4256" s="18"/>
      <c r="O4256" s="18"/>
      <c r="P4256" s="18"/>
      <c r="Q4256" s="18"/>
      <c r="R4256" s="18"/>
      <c r="S4256" s="18"/>
      <c r="T4256" s="18"/>
    </row>
    <row r="4257" spans="1:20" x14ac:dyDescent="0.2">
      <c r="A4257" s="17"/>
      <c r="B4257" s="17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  <c r="O4257" s="18"/>
      <c r="P4257" s="18"/>
      <c r="Q4257" s="18"/>
      <c r="R4257" s="18"/>
      <c r="S4257" s="18"/>
      <c r="T4257" s="18"/>
    </row>
    <row r="4258" spans="1:20" x14ac:dyDescent="0.2">
      <c r="A4258" s="17"/>
      <c r="B4258" s="17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18"/>
      <c r="N4258" s="18"/>
      <c r="O4258" s="18"/>
      <c r="P4258" s="18"/>
      <c r="Q4258" s="18"/>
      <c r="R4258" s="18"/>
      <c r="S4258" s="18"/>
      <c r="T4258" s="18"/>
    </row>
    <row r="4259" spans="1:20" x14ac:dyDescent="0.2">
      <c r="A4259" s="17"/>
      <c r="B4259" s="17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18"/>
      <c r="N4259" s="18"/>
      <c r="O4259" s="18"/>
      <c r="P4259" s="18"/>
      <c r="Q4259" s="18"/>
      <c r="R4259" s="18"/>
      <c r="S4259" s="18"/>
      <c r="T4259" s="18"/>
    </row>
  </sheetData>
  <phoneticPr fontId="6" type="noConversion"/>
  <pageMargins left="0" right="0" top="0.7" bottom="0" header="0.25" footer="0"/>
  <pageSetup scale="38" orientation="landscape" horizontalDpi="300" r:id="rId1"/>
  <headerFooter alignWithMargins="0"/>
  <rowBreaks count="1" manualBreakCount="1">
    <brk id="193" max="16383" man="1"/>
  </rowBreaks>
  <customProperties>
    <customPr name="_pios_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S192"/>
  <sheetViews>
    <sheetView view="pageBreakPreview" zoomScale="60" zoomScaleNormal="100" workbookViewId="0">
      <pane xSplit="4" ySplit="4" topLeftCell="E5" activePane="bottomRight" state="frozen"/>
      <selection activeCell="E28" sqref="E28"/>
      <selection pane="topRight" activeCell="E28" sqref="E28"/>
      <selection pane="bottomLeft" activeCell="E28" sqref="E28"/>
      <selection pane="bottomRight" activeCell="E28" sqref="E28"/>
    </sheetView>
  </sheetViews>
  <sheetFormatPr defaultColWidth="9.140625" defaultRowHeight="12.75" x14ac:dyDescent="0.2"/>
  <cols>
    <col min="1" max="1" width="11.5703125" style="478" bestFit="1" customWidth="1"/>
    <col min="2" max="2" width="11" style="478" bestFit="1" customWidth="1"/>
    <col min="3" max="3" width="24.7109375" style="478" bestFit="1" customWidth="1"/>
    <col min="4" max="4" width="14.85546875" style="478" bestFit="1" customWidth="1"/>
    <col min="5" max="16" width="10.7109375" style="478" customWidth="1"/>
    <col min="17" max="17" width="10.42578125" style="478" bestFit="1" customWidth="1"/>
    <col min="18" max="18" width="9.140625" style="478"/>
    <col min="19" max="19" width="11.42578125" style="478" bestFit="1" customWidth="1"/>
    <col min="20" max="16384" width="9.140625" style="478"/>
  </cols>
  <sheetData>
    <row r="2" spans="1:19" x14ac:dyDescent="0.2">
      <c r="E2"/>
      <c r="F2"/>
      <c r="G2"/>
    </row>
    <row r="4" spans="1:19" ht="13.5" thickBot="1" x14ac:dyDescent="0.25">
      <c r="A4" s="475" t="s">
        <v>105</v>
      </c>
      <c r="B4" s="476" t="s">
        <v>398</v>
      </c>
      <c r="C4" s="475" t="s">
        <v>125</v>
      </c>
      <c r="D4" s="477" t="s">
        <v>126</v>
      </c>
      <c r="E4" s="704">
        <f>'Bill Frequency'!C9</f>
        <v>42582</v>
      </c>
      <c r="F4" s="704">
        <f>'Bill Frequency'!D9</f>
        <v>42613</v>
      </c>
      <c r="G4" s="704">
        <f>'Bill Frequency'!E9</f>
        <v>42643</v>
      </c>
      <c r="H4" s="704">
        <f>'Bill Frequency'!F9</f>
        <v>42674</v>
      </c>
      <c r="I4" s="704">
        <f>'Bill Frequency'!G9</f>
        <v>42704</v>
      </c>
      <c r="J4" s="704">
        <f>'Bill Frequency'!H9</f>
        <v>42735</v>
      </c>
      <c r="K4" s="704">
        <f>'Bill Frequency'!I9</f>
        <v>42766</v>
      </c>
      <c r="L4" s="704">
        <f>'Bill Frequency'!J9</f>
        <v>42794</v>
      </c>
      <c r="M4" s="704">
        <f>'Bill Frequency'!K9</f>
        <v>42825</v>
      </c>
      <c r="N4" s="704">
        <f>'Bill Frequency'!L9</f>
        <v>42855</v>
      </c>
      <c r="O4" s="704">
        <f>'Bill Frequency'!M9</f>
        <v>42886</v>
      </c>
      <c r="P4" s="704">
        <f>'Bill Frequency'!N9</f>
        <v>42916</v>
      </c>
    </row>
    <row r="5" spans="1:19" ht="13.5" thickTop="1" x14ac:dyDescent="0.2">
      <c r="A5" s="479"/>
      <c r="B5" s="480"/>
      <c r="C5" s="480"/>
      <c r="D5" s="481"/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  <c r="P5" s="482"/>
    </row>
    <row r="6" spans="1:19" s="487" customFormat="1" ht="15" x14ac:dyDescent="0.25">
      <c r="A6" s="735" t="s">
        <v>687</v>
      </c>
      <c r="B6" s="483">
        <v>89521</v>
      </c>
      <c r="C6" s="484" t="s">
        <v>652</v>
      </c>
      <c r="D6" s="484" t="s">
        <v>618</v>
      </c>
      <c r="E6" s="485"/>
      <c r="F6" s="485"/>
      <c r="G6" s="485"/>
      <c r="H6" s="485"/>
      <c r="I6" s="485"/>
      <c r="J6" s="486"/>
      <c r="K6" s="486"/>
      <c r="L6" s="486"/>
      <c r="M6" s="486"/>
      <c r="N6" s="486"/>
      <c r="O6" s="486"/>
      <c r="P6" s="486"/>
    </row>
    <row r="7" spans="1:19" x14ac:dyDescent="0.2">
      <c r="A7" s="535"/>
      <c r="B7" s="536"/>
      <c r="C7" s="496" t="s">
        <v>136</v>
      </c>
      <c r="D7" s="496"/>
      <c r="E7" s="733"/>
      <c r="F7" s="733"/>
      <c r="G7" s="733"/>
      <c r="H7" s="733"/>
      <c r="I7" s="734"/>
      <c r="J7" s="734"/>
      <c r="K7" s="733"/>
      <c r="L7" s="733"/>
      <c r="M7" s="733"/>
      <c r="N7" s="733"/>
      <c r="O7" s="733"/>
      <c r="P7" s="733"/>
    </row>
    <row r="8" spans="1:19" ht="15" x14ac:dyDescent="0.25">
      <c r="A8" s="510"/>
      <c r="B8" s="536"/>
      <c r="C8" s="496" t="s">
        <v>131</v>
      </c>
      <c r="D8" s="537"/>
      <c r="E8" s="737">
        <v>672.97894046906617</v>
      </c>
      <c r="F8" s="737">
        <v>5.0515516799179272</v>
      </c>
      <c r="G8" s="737">
        <v>1142.8855034054316</v>
      </c>
      <c r="H8" s="737"/>
      <c r="I8" s="737"/>
      <c r="J8" s="737"/>
      <c r="K8" s="737"/>
      <c r="L8" s="737"/>
      <c r="M8" s="737"/>
      <c r="N8" s="737"/>
      <c r="O8" s="737"/>
      <c r="P8" s="737">
        <v>1625.2525604855946</v>
      </c>
    </row>
    <row r="9" spans="1:19" ht="15" x14ac:dyDescent="0.25">
      <c r="A9" s="510"/>
      <c r="B9" s="510"/>
      <c r="C9" s="510" t="s">
        <v>132</v>
      </c>
      <c r="D9" s="510"/>
      <c r="E9" s="737"/>
      <c r="F9" s="737"/>
      <c r="G9" s="737"/>
      <c r="H9" s="737">
        <v>1825.4062637143427</v>
      </c>
      <c r="I9" s="737">
        <v>2036.8978940469067</v>
      </c>
      <c r="J9" s="737">
        <v>2091.3423954860218</v>
      </c>
      <c r="K9" s="737">
        <v>2353.4617993217635</v>
      </c>
      <c r="L9" s="737">
        <v>2139.2760080932435</v>
      </c>
      <c r="M9" s="737">
        <v>2073.7180929583083</v>
      </c>
      <c r="N9" s="737">
        <v>1842.9183095380583</v>
      </c>
      <c r="O9" s="737">
        <v>1886.8106808013451</v>
      </c>
      <c r="P9" s="737"/>
    </row>
    <row r="10" spans="1:19" x14ac:dyDescent="0.2">
      <c r="A10" s="510"/>
      <c r="B10" s="510"/>
      <c r="C10" s="510"/>
      <c r="D10" s="510"/>
      <c r="E10" s="534"/>
      <c r="F10" s="534"/>
      <c r="G10" s="534"/>
      <c r="H10" s="534"/>
      <c r="I10" s="736"/>
      <c r="J10" s="736"/>
      <c r="K10" s="534"/>
      <c r="L10" s="534"/>
      <c r="M10" s="534"/>
      <c r="N10" s="534"/>
      <c r="O10" s="534"/>
      <c r="P10" s="534"/>
    </row>
    <row r="11" spans="1:19" x14ac:dyDescent="0.2">
      <c r="A11" s="510"/>
      <c r="B11" s="510"/>
      <c r="C11" s="510"/>
      <c r="D11" s="510"/>
      <c r="E11" s="538"/>
      <c r="F11" s="538"/>
      <c r="G11" s="538"/>
      <c r="H11" s="538"/>
      <c r="I11" s="539"/>
      <c r="J11" s="539"/>
      <c r="K11" s="538"/>
      <c r="L11" s="538"/>
      <c r="M11" s="538"/>
      <c r="N11" s="538"/>
      <c r="O11" s="538"/>
      <c r="P11" s="538"/>
    </row>
    <row r="12" spans="1:19" ht="15" x14ac:dyDescent="0.25">
      <c r="A12" s="735" t="s">
        <v>663</v>
      </c>
      <c r="B12" s="483">
        <v>89527</v>
      </c>
      <c r="C12" s="484" t="s">
        <v>652</v>
      </c>
      <c r="D12" s="484" t="s">
        <v>620</v>
      </c>
      <c r="E12" s="485"/>
      <c r="F12" s="486"/>
      <c r="G12" s="486"/>
      <c r="H12" s="486"/>
      <c r="I12" s="486"/>
      <c r="J12" s="486"/>
      <c r="K12" s="485"/>
      <c r="L12" s="486"/>
      <c r="M12" s="486"/>
      <c r="N12" s="486"/>
      <c r="O12" s="486"/>
      <c r="P12" s="486"/>
    </row>
    <row r="13" spans="1:19" x14ac:dyDescent="0.2">
      <c r="A13" s="535"/>
      <c r="B13" s="536"/>
      <c r="C13" s="496" t="s">
        <v>127</v>
      </c>
      <c r="D13" s="496"/>
      <c r="E13" s="733"/>
      <c r="F13" s="733"/>
      <c r="G13" s="733"/>
      <c r="H13" s="733"/>
      <c r="I13" s="734"/>
      <c r="J13" s="734"/>
      <c r="K13" s="733"/>
      <c r="L13" s="733"/>
      <c r="M13" s="733"/>
      <c r="N13" s="733"/>
      <c r="O13" s="733"/>
      <c r="P13" s="733"/>
    </row>
    <row r="14" spans="1:19" ht="15" x14ac:dyDescent="0.25">
      <c r="A14" s="510"/>
      <c r="B14" s="536"/>
      <c r="C14" s="496" t="s">
        <v>128</v>
      </c>
      <c r="D14" s="537"/>
      <c r="E14" s="737"/>
      <c r="F14" s="737"/>
      <c r="G14" s="737"/>
      <c r="H14" s="737"/>
      <c r="I14" s="737"/>
      <c r="J14" s="737"/>
      <c r="K14" s="737"/>
      <c r="L14" s="737"/>
      <c r="M14" s="737"/>
      <c r="N14" s="737"/>
      <c r="O14" s="737"/>
      <c r="P14" s="737"/>
    </row>
    <row r="15" spans="1:19" ht="15" x14ac:dyDescent="0.25">
      <c r="A15" s="510"/>
      <c r="B15" s="510"/>
      <c r="C15" s="510" t="s">
        <v>129</v>
      </c>
      <c r="D15" s="510"/>
      <c r="E15" s="737">
        <v>229.96368602876197</v>
      </c>
      <c r="F15" s="737">
        <v>249.90475616614444</v>
      </c>
      <c r="G15" s="737">
        <v>249.78814172089662</v>
      </c>
      <c r="H15" s="737">
        <v>244.42387723949545</v>
      </c>
      <c r="I15" s="737">
        <v>241.62513055354702</v>
      </c>
      <c r="J15" s="737">
        <v>249.08845504940948</v>
      </c>
      <c r="K15" s="737">
        <v>316.49160440266729</v>
      </c>
      <c r="L15" s="737">
        <v>279.40821081385076</v>
      </c>
      <c r="M15" s="737">
        <v>241.27528721780351</v>
      </c>
      <c r="N15" s="737">
        <v>204.65835140997831</v>
      </c>
      <c r="O15" s="737">
        <v>206.7574114244396</v>
      </c>
      <c r="P15" s="737">
        <v>189.61508797300556</v>
      </c>
    </row>
    <row r="16" spans="1:19" x14ac:dyDescent="0.2">
      <c r="A16" s="510"/>
      <c r="B16" s="510"/>
      <c r="C16" s="510" t="s">
        <v>130</v>
      </c>
      <c r="D16" s="510"/>
      <c r="E16" s="534"/>
      <c r="F16" s="534"/>
      <c r="G16" s="534"/>
      <c r="H16" s="534"/>
      <c r="I16" s="736"/>
      <c r="J16" s="736"/>
      <c r="K16" s="534"/>
      <c r="L16" s="534"/>
      <c r="M16" s="534"/>
      <c r="N16" s="534"/>
      <c r="O16" s="534"/>
      <c r="P16" s="534"/>
      <c r="Q16" s="488"/>
      <c r="R16" s="489"/>
      <c r="S16" s="488"/>
    </row>
    <row r="17" spans="1:19" x14ac:dyDescent="0.2">
      <c r="A17" s="510"/>
      <c r="B17" s="510"/>
      <c r="C17" s="510"/>
      <c r="D17" s="510"/>
      <c r="E17" s="540"/>
      <c r="F17" s="540"/>
      <c r="G17" s="540"/>
      <c r="H17" s="540"/>
      <c r="I17" s="540"/>
      <c r="J17" s="540"/>
      <c r="K17" s="540"/>
      <c r="L17" s="540"/>
      <c r="M17" s="540"/>
      <c r="N17" s="540"/>
      <c r="O17" s="540"/>
      <c r="P17" s="540"/>
      <c r="Q17" s="488"/>
      <c r="S17" s="488"/>
    </row>
    <row r="18" spans="1:19" ht="15" x14ac:dyDescent="0.25">
      <c r="A18" s="735" t="s">
        <v>664</v>
      </c>
      <c r="B18" s="483">
        <v>92841</v>
      </c>
      <c r="C18" s="484" t="s">
        <v>652</v>
      </c>
      <c r="D18" s="484" t="s">
        <v>620</v>
      </c>
      <c r="E18" s="485"/>
      <c r="F18" s="486"/>
      <c r="G18" s="486"/>
      <c r="H18" s="486"/>
      <c r="I18" s="486"/>
      <c r="J18" s="486"/>
      <c r="K18" s="485"/>
      <c r="L18" s="486"/>
      <c r="M18" s="486"/>
      <c r="N18" s="486"/>
      <c r="O18" s="486"/>
      <c r="P18" s="486"/>
      <c r="Q18" s="488"/>
      <c r="S18" s="488"/>
    </row>
    <row r="19" spans="1:19" x14ac:dyDescent="0.2">
      <c r="A19" s="535"/>
      <c r="B19" s="536"/>
      <c r="C19" s="496" t="s">
        <v>127</v>
      </c>
      <c r="D19" s="496"/>
      <c r="E19" s="733"/>
      <c r="F19" s="733"/>
      <c r="G19" s="733"/>
      <c r="H19" s="733"/>
      <c r="I19" s="734"/>
      <c r="J19" s="734"/>
      <c r="K19" s="733"/>
      <c r="L19" s="733"/>
      <c r="M19" s="733"/>
      <c r="N19" s="733"/>
      <c r="O19" s="733"/>
      <c r="P19" s="733"/>
      <c r="Q19" s="488"/>
      <c r="S19" s="488"/>
    </row>
    <row r="20" spans="1:19" ht="15" x14ac:dyDescent="0.25">
      <c r="A20" s="510"/>
      <c r="B20" s="536"/>
      <c r="C20" s="496" t="s">
        <v>128</v>
      </c>
      <c r="D20" s="537"/>
      <c r="E20" s="737"/>
      <c r="F20" s="737"/>
      <c r="G20" s="737"/>
      <c r="H20" s="737"/>
      <c r="I20" s="737"/>
      <c r="J20" s="737"/>
      <c r="K20" s="737"/>
      <c r="L20" s="737"/>
      <c r="M20" s="737"/>
      <c r="N20" s="737"/>
      <c r="O20" s="737"/>
      <c r="P20" s="737"/>
      <c r="Q20" s="488"/>
      <c r="S20" s="488"/>
    </row>
    <row r="21" spans="1:19" ht="15" x14ac:dyDescent="0.25">
      <c r="A21" s="510"/>
      <c r="B21" s="510"/>
      <c r="C21" s="510" t="s">
        <v>129</v>
      </c>
      <c r="D21" s="510"/>
      <c r="E21" s="737">
        <v>4814.5394445550701</v>
      </c>
      <c r="F21" s="737">
        <v>5003</v>
      </c>
      <c r="G21" s="737">
        <v>5082.7063357267516</v>
      </c>
      <c r="H21" s="737">
        <v>4674.2237007016265</v>
      </c>
      <c r="I21" s="737">
        <v>4862.9733053775781</v>
      </c>
      <c r="J21" s="737">
        <v>4793.171564780434</v>
      </c>
      <c r="K21" s="737">
        <v>4928</v>
      </c>
      <c r="L21" s="737">
        <v>5680.0000000000009</v>
      </c>
      <c r="M21" s="737">
        <v>4715.0000000000009</v>
      </c>
      <c r="N21" s="737">
        <v>5204.5032504421779</v>
      </c>
      <c r="O21" s="737">
        <v>4788.5418574959294</v>
      </c>
      <c r="P21" s="737">
        <v>3272.1346561559276</v>
      </c>
      <c r="Q21" s="488"/>
      <c r="S21" s="488"/>
    </row>
    <row r="22" spans="1:19" x14ac:dyDescent="0.2">
      <c r="A22" s="510"/>
      <c r="B22" s="510"/>
      <c r="C22" s="510" t="s">
        <v>130</v>
      </c>
      <c r="D22" s="510"/>
      <c r="E22" s="534">
        <v>0</v>
      </c>
      <c r="F22" s="534">
        <v>366.39205603645132</v>
      </c>
      <c r="G22" s="534">
        <v>0</v>
      </c>
      <c r="H22" s="534">
        <v>0</v>
      </c>
      <c r="I22" s="736">
        <v>0</v>
      </c>
      <c r="J22" s="736">
        <v>0</v>
      </c>
      <c r="K22" s="534">
        <v>1319.9680461035696</v>
      </c>
      <c r="L22" s="534">
        <v>265.61254729246866</v>
      </c>
      <c r="M22" s="534">
        <v>1037.2332353320126</v>
      </c>
      <c r="N22" s="534">
        <v>0</v>
      </c>
      <c r="O22" s="534">
        <v>0</v>
      </c>
      <c r="P22" s="534">
        <v>0</v>
      </c>
      <c r="Q22" s="488"/>
      <c r="S22" s="488"/>
    </row>
    <row r="23" spans="1:19" x14ac:dyDescent="0.2">
      <c r="A23" s="510"/>
      <c r="B23" s="510"/>
      <c r="C23" s="510"/>
      <c r="D23" s="510"/>
      <c r="E23" s="540"/>
      <c r="F23" s="540"/>
      <c r="G23" s="540"/>
      <c r="H23" s="540"/>
      <c r="I23" s="540"/>
      <c r="J23" s="540"/>
      <c r="K23" s="540"/>
      <c r="L23" s="540"/>
      <c r="M23" s="540"/>
      <c r="N23" s="540"/>
      <c r="O23" s="540"/>
      <c r="P23" s="540"/>
      <c r="Q23" s="488"/>
      <c r="S23" s="488"/>
    </row>
    <row r="24" spans="1:19" ht="15" x14ac:dyDescent="0.25">
      <c r="A24" s="742" t="s">
        <v>665</v>
      </c>
      <c r="B24" s="483">
        <v>104739</v>
      </c>
      <c r="C24" s="484" t="s">
        <v>652</v>
      </c>
      <c r="D24" s="484" t="s">
        <v>620</v>
      </c>
      <c r="E24" s="485"/>
      <c r="F24" s="486"/>
      <c r="G24" s="486"/>
      <c r="H24" s="486"/>
      <c r="I24" s="486"/>
      <c r="J24" s="486"/>
      <c r="K24" s="485"/>
      <c r="L24" s="486"/>
      <c r="M24" s="486"/>
      <c r="N24" s="486"/>
      <c r="O24" s="486"/>
      <c r="P24" s="486"/>
      <c r="Q24" s="488"/>
      <c r="S24" s="488"/>
    </row>
    <row r="25" spans="1:19" x14ac:dyDescent="0.2">
      <c r="A25" s="535"/>
      <c r="B25" s="536"/>
      <c r="C25" s="496" t="s">
        <v>127</v>
      </c>
      <c r="D25" s="496"/>
      <c r="E25" s="733"/>
      <c r="F25" s="733"/>
      <c r="G25" s="733"/>
      <c r="H25" s="733"/>
      <c r="I25" s="734"/>
      <c r="J25" s="734"/>
      <c r="K25" s="733"/>
      <c r="L25" s="733"/>
      <c r="M25" s="733"/>
      <c r="N25" s="733"/>
      <c r="O25" s="733"/>
      <c r="P25" s="733"/>
    </row>
    <row r="26" spans="1:19" ht="15" x14ac:dyDescent="0.25">
      <c r="A26" s="510"/>
      <c r="B26" s="536"/>
      <c r="C26" s="496" t="s">
        <v>128</v>
      </c>
      <c r="D26" s="537"/>
      <c r="E26" s="737"/>
      <c r="F26" s="737"/>
      <c r="G26" s="737"/>
      <c r="H26" s="737"/>
      <c r="I26" s="737"/>
      <c r="J26" s="737"/>
      <c r="K26" s="737"/>
      <c r="L26" s="737"/>
      <c r="M26" s="737"/>
      <c r="N26" s="737"/>
      <c r="O26" s="737"/>
      <c r="P26" s="737"/>
      <c r="S26" s="490"/>
    </row>
    <row r="27" spans="1:19" ht="15" x14ac:dyDescent="0.25">
      <c r="A27" s="510"/>
      <c r="B27" s="510"/>
      <c r="C27" s="510" t="s">
        <v>129</v>
      </c>
      <c r="D27" s="510"/>
      <c r="E27" s="737">
        <v>1387.5023698877585</v>
      </c>
      <c r="F27" s="737">
        <v>1290.8357135137637</v>
      </c>
      <c r="G27" s="737">
        <v>1089.3251609516606</v>
      </c>
      <c r="H27" s="737">
        <v>1600.9867378919578</v>
      </c>
      <c r="I27" s="737">
        <v>1982.3965663645768</v>
      </c>
      <c r="J27" s="737">
        <v>2228.8819379043093</v>
      </c>
      <c r="K27" s="737">
        <v>2698.7811829368084</v>
      </c>
      <c r="L27" s="737">
        <v>1980.0602121319725</v>
      </c>
      <c r="M27" s="737">
        <v>1568.2777786355005</v>
      </c>
      <c r="N27" s="737">
        <v>1237.3916104429452</v>
      </c>
      <c r="O27" s="737">
        <v>1034.4208364854642</v>
      </c>
      <c r="P27" s="737">
        <v>817.13989285328307</v>
      </c>
    </row>
    <row r="28" spans="1:19" x14ac:dyDescent="0.2">
      <c r="A28" s="510"/>
      <c r="B28" s="510"/>
      <c r="C28" s="510" t="s">
        <v>130</v>
      </c>
      <c r="D28" s="510"/>
      <c r="E28" s="534"/>
      <c r="F28" s="534"/>
      <c r="G28" s="534"/>
      <c r="H28" s="534"/>
      <c r="I28" s="736"/>
      <c r="J28" s="736"/>
      <c r="K28" s="534"/>
      <c r="L28" s="534"/>
      <c r="M28" s="534"/>
      <c r="N28" s="534"/>
      <c r="O28" s="534"/>
      <c r="P28" s="534"/>
    </row>
    <row r="29" spans="1:19" ht="15" x14ac:dyDescent="0.25">
      <c r="A29" s="735"/>
      <c r="B29" s="510"/>
      <c r="C29" s="510"/>
      <c r="D29" s="510"/>
      <c r="E29" s="540"/>
      <c r="F29" s="540"/>
      <c r="G29" s="540"/>
      <c r="H29" s="540"/>
      <c r="I29" s="540"/>
      <c r="J29" s="540"/>
      <c r="K29" s="540"/>
      <c r="L29" s="540"/>
      <c r="M29" s="540"/>
      <c r="N29" s="540"/>
      <c r="O29" s="540"/>
      <c r="P29" s="540"/>
    </row>
    <row r="30" spans="1:19" ht="15" x14ac:dyDescent="0.25">
      <c r="A30" s="742" t="s">
        <v>666</v>
      </c>
      <c r="B30" s="483">
        <v>104745</v>
      </c>
      <c r="C30" s="484" t="s">
        <v>652</v>
      </c>
      <c r="D30" s="484" t="s">
        <v>620</v>
      </c>
      <c r="E30" s="485"/>
      <c r="F30" s="486"/>
      <c r="G30" s="486"/>
      <c r="H30" s="486"/>
      <c r="I30" s="486"/>
      <c r="J30" s="486"/>
      <c r="K30" s="485"/>
      <c r="L30" s="486"/>
      <c r="M30" s="486"/>
      <c r="N30" s="486"/>
      <c r="O30" s="486"/>
      <c r="P30" s="486"/>
      <c r="Q30" s="488"/>
      <c r="S30" s="488"/>
    </row>
    <row r="31" spans="1:19" x14ac:dyDescent="0.2">
      <c r="A31" s="535"/>
      <c r="B31" s="536"/>
      <c r="C31" s="496" t="s">
        <v>127</v>
      </c>
      <c r="D31" s="496"/>
      <c r="E31" s="733"/>
      <c r="F31" s="733"/>
      <c r="G31" s="733"/>
      <c r="H31" s="733"/>
      <c r="I31" s="734"/>
      <c r="J31" s="734"/>
      <c r="K31" s="733"/>
      <c r="L31" s="733"/>
      <c r="M31" s="733"/>
      <c r="N31" s="733"/>
      <c r="O31" s="733"/>
      <c r="P31" s="733"/>
    </row>
    <row r="32" spans="1:19" ht="15" x14ac:dyDescent="0.25">
      <c r="A32" s="510"/>
      <c r="B32" s="536"/>
      <c r="C32" s="496" t="s">
        <v>128</v>
      </c>
      <c r="D32" s="537"/>
      <c r="E32" s="737"/>
      <c r="F32" s="737"/>
      <c r="G32" s="737"/>
      <c r="H32" s="737"/>
      <c r="I32" s="737"/>
      <c r="J32" s="737"/>
      <c r="K32" s="737"/>
      <c r="L32" s="737"/>
      <c r="M32" s="737"/>
      <c r="N32" s="737"/>
      <c r="O32" s="737"/>
      <c r="P32" s="737"/>
      <c r="S32" s="490"/>
    </row>
    <row r="33" spans="1:16" ht="15" x14ac:dyDescent="0.25">
      <c r="A33" s="510"/>
      <c r="B33" s="510"/>
      <c r="C33" s="510" t="s">
        <v>129</v>
      </c>
      <c r="D33" s="510"/>
      <c r="E33" s="737">
        <v>110.33440816874916</v>
      </c>
      <c r="F33" s="737">
        <v>108.78449549912669</v>
      </c>
      <c r="G33" s="737">
        <v>101.8098884858256</v>
      </c>
      <c r="H33" s="737">
        <v>103.7472793228537</v>
      </c>
      <c r="I33" s="737">
        <v>116.34031976353621</v>
      </c>
      <c r="J33" s="737">
        <v>144.81996506784898</v>
      </c>
      <c r="K33" s="737">
        <v>210.40064490124951</v>
      </c>
      <c r="L33" s="737">
        <v>161.96587397554748</v>
      </c>
      <c r="M33" s="737">
        <v>106.16901786913878</v>
      </c>
      <c r="N33" s="737">
        <v>88.635630794034668</v>
      </c>
      <c r="O33" s="737">
        <v>91.057369340319767</v>
      </c>
      <c r="P33" s="737">
        <v>97.935106811769444</v>
      </c>
    </row>
    <row r="34" spans="1:16" x14ac:dyDescent="0.2">
      <c r="A34" s="510"/>
      <c r="B34" s="510"/>
      <c r="C34" s="510" t="s">
        <v>130</v>
      </c>
      <c r="D34" s="510"/>
      <c r="E34" s="534"/>
      <c r="F34" s="534"/>
      <c r="G34" s="534"/>
      <c r="H34" s="534"/>
      <c r="I34" s="736"/>
      <c r="J34" s="736"/>
      <c r="K34" s="534"/>
      <c r="L34" s="534"/>
      <c r="M34" s="534"/>
      <c r="N34" s="534"/>
      <c r="O34" s="534"/>
      <c r="P34" s="534"/>
    </row>
    <row r="35" spans="1:16" x14ac:dyDescent="0.2">
      <c r="A35" s="510"/>
      <c r="B35" s="510"/>
      <c r="C35" s="510"/>
      <c r="D35" s="510"/>
      <c r="E35" s="540"/>
      <c r="F35" s="540"/>
      <c r="G35" s="540"/>
      <c r="H35" s="540"/>
      <c r="I35" s="540"/>
      <c r="J35" s="540"/>
      <c r="K35" s="540"/>
      <c r="L35" s="540"/>
      <c r="M35" s="540"/>
      <c r="N35" s="540"/>
      <c r="O35" s="540"/>
      <c r="P35" s="540"/>
    </row>
    <row r="36" spans="1:16" ht="15" x14ac:dyDescent="0.25">
      <c r="A36" s="735" t="s">
        <v>667</v>
      </c>
      <c r="B36" s="483">
        <v>109359</v>
      </c>
      <c r="C36" s="484" t="s">
        <v>652</v>
      </c>
      <c r="D36" s="484" t="s">
        <v>620</v>
      </c>
      <c r="E36" s="485"/>
      <c r="F36" s="486"/>
      <c r="G36" s="486"/>
      <c r="H36" s="486"/>
      <c r="I36" s="486"/>
      <c r="J36" s="486"/>
      <c r="K36" s="485"/>
      <c r="L36" s="486"/>
      <c r="M36" s="486"/>
      <c r="N36" s="486"/>
      <c r="O36" s="486"/>
      <c r="P36" s="486"/>
    </row>
    <row r="37" spans="1:16" x14ac:dyDescent="0.2">
      <c r="A37" s="510"/>
      <c r="B37" s="536"/>
      <c r="C37" s="496" t="s">
        <v>127</v>
      </c>
      <c r="D37" s="496"/>
      <c r="E37" s="733"/>
      <c r="F37" s="733"/>
      <c r="G37" s="733"/>
      <c r="H37" s="733"/>
      <c r="I37" s="734"/>
      <c r="J37" s="734"/>
      <c r="K37" s="733"/>
      <c r="L37" s="733"/>
      <c r="M37" s="733"/>
      <c r="N37" s="733"/>
      <c r="O37" s="733"/>
      <c r="P37" s="733"/>
    </row>
    <row r="38" spans="1:16" ht="15" x14ac:dyDescent="0.25">
      <c r="A38" s="510"/>
      <c r="B38" s="536"/>
      <c r="C38" s="496" t="s">
        <v>128</v>
      </c>
      <c r="D38" s="537"/>
      <c r="E38" s="737"/>
      <c r="F38" s="737"/>
      <c r="G38" s="737"/>
      <c r="H38" s="737"/>
      <c r="I38" s="737"/>
      <c r="J38" s="737"/>
      <c r="K38" s="737"/>
      <c r="L38" s="737"/>
      <c r="M38" s="737"/>
      <c r="N38" s="737"/>
      <c r="O38" s="737"/>
      <c r="P38" s="737"/>
    </row>
    <row r="39" spans="1:16" ht="15" x14ac:dyDescent="0.25">
      <c r="A39" s="510"/>
      <c r="B39" s="510"/>
      <c r="C39" s="510" t="s">
        <v>129</v>
      </c>
      <c r="D39" s="510"/>
      <c r="E39" s="737">
        <v>101.31146666666667</v>
      </c>
      <c r="F39" s="737">
        <v>195.20698181818182</v>
      </c>
      <c r="G39" s="737">
        <v>190.54210909090907</v>
      </c>
      <c r="H39" s="737">
        <v>202.38370909090906</v>
      </c>
      <c r="I39" s="737">
        <v>236.11432727272728</v>
      </c>
      <c r="J39" s="737">
        <v>162.07442424242424</v>
      </c>
      <c r="K39" s="737">
        <v>298.19301818181816</v>
      </c>
      <c r="L39" s="737">
        <v>277.85895757575759</v>
      </c>
      <c r="M39" s="737">
        <v>217.81367272727272</v>
      </c>
      <c r="N39" s="737">
        <v>182.76732121212123</v>
      </c>
      <c r="O39" s="737">
        <v>204.77595151515152</v>
      </c>
      <c r="P39" s="737">
        <v>197.9580606060606</v>
      </c>
    </row>
    <row r="40" spans="1:16" x14ac:dyDescent="0.2">
      <c r="A40" s="510"/>
      <c r="B40" s="510"/>
      <c r="C40" s="510" t="s">
        <v>130</v>
      </c>
      <c r="D40" s="510"/>
      <c r="E40" s="534"/>
      <c r="F40" s="534"/>
      <c r="G40" s="534"/>
      <c r="H40" s="534"/>
      <c r="I40" s="736"/>
      <c r="J40" s="736"/>
      <c r="K40" s="534"/>
      <c r="L40" s="534"/>
      <c r="M40" s="534"/>
      <c r="N40" s="534"/>
      <c r="O40" s="534"/>
      <c r="P40" s="534"/>
    </row>
    <row r="41" spans="1:16" x14ac:dyDescent="0.2">
      <c r="A41" s="510"/>
      <c r="B41" s="510"/>
      <c r="C41" s="510"/>
      <c r="D41" s="510"/>
      <c r="E41" s="540"/>
      <c r="F41" s="540"/>
      <c r="G41" s="540"/>
      <c r="H41" s="540"/>
      <c r="I41" s="540"/>
      <c r="J41" s="540"/>
      <c r="K41" s="540"/>
      <c r="L41" s="540"/>
      <c r="M41" s="540"/>
      <c r="N41" s="540"/>
      <c r="O41" s="540"/>
      <c r="P41" s="540"/>
    </row>
    <row r="42" spans="1:16" ht="15" x14ac:dyDescent="0.25">
      <c r="A42" s="735" t="s">
        <v>668</v>
      </c>
      <c r="B42" s="483">
        <v>125929</v>
      </c>
      <c r="C42" s="484" t="s">
        <v>652</v>
      </c>
      <c r="D42" s="484" t="s">
        <v>620</v>
      </c>
      <c r="E42" s="485"/>
      <c r="F42" s="486"/>
      <c r="G42" s="486"/>
      <c r="H42" s="486"/>
      <c r="I42" s="486"/>
      <c r="J42" s="486"/>
      <c r="K42" s="485"/>
      <c r="L42" s="486"/>
      <c r="M42" s="486"/>
      <c r="N42" s="486"/>
      <c r="O42" s="486"/>
      <c r="P42" s="486"/>
    </row>
    <row r="43" spans="1:16" x14ac:dyDescent="0.2">
      <c r="A43" s="510"/>
      <c r="B43" s="536"/>
      <c r="C43" s="496" t="s">
        <v>127</v>
      </c>
      <c r="D43" s="496"/>
      <c r="E43" s="733"/>
      <c r="F43" s="733"/>
      <c r="G43" s="733"/>
      <c r="H43" s="733"/>
      <c r="I43" s="734"/>
      <c r="J43" s="734"/>
      <c r="K43" s="733"/>
      <c r="L43" s="733"/>
      <c r="M43" s="733"/>
      <c r="N43" s="733"/>
      <c r="O43" s="733"/>
      <c r="P43" s="733"/>
    </row>
    <row r="44" spans="1:16" ht="15" x14ac:dyDescent="0.25">
      <c r="A44" s="510"/>
      <c r="B44" s="536"/>
      <c r="C44" s="496" t="s">
        <v>128</v>
      </c>
      <c r="D44" s="537"/>
      <c r="E44" s="737"/>
      <c r="F44" s="737"/>
      <c r="G44" s="737"/>
      <c r="H44" s="737"/>
      <c r="I44" s="737"/>
      <c r="J44" s="737"/>
      <c r="K44" s="737"/>
      <c r="L44" s="737"/>
      <c r="M44" s="737"/>
      <c r="N44" s="737"/>
      <c r="O44" s="737"/>
      <c r="P44" s="737"/>
    </row>
    <row r="45" spans="1:16" ht="15" x14ac:dyDescent="0.25">
      <c r="A45" s="510"/>
      <c r="B45" s="510"/>
      <c r="C45" s="510" t="s">
        <v>129</v>
      </c>
      <c r="D45" s="510"/>
      <c r="E45" s="737">
        <v>256.99999999999818</v>
      </c>
      <c r="F45" s="737">
        <v>52.999999999999545</v>
      </c>
      <c r="G45" s="737"/>
      <c r="H45" s="737"/>
      <c r="I45" s="737"/>
      <c r="J45" s="737"/>
      <c r="K45" s="737"/>
      <c r="L45" s="737"/>
      <c r="M45" s="737"/>
      <c r="N45" s="737">
        <v>2311.8293022547773</v>
      </c>
      <c r="O45" s="737">
        <v>1139</v>
      </c>
      <c r="P45" s="737">
        <v>1922.0000000000005</v>
      </c>
    </row>
    <row r="46" spans="1:16" x14ac:dyDescent="0.2">
      <c r="A46" s="510"/>
      <c r="B46" s="510"/>
      <c r="C46" s="510" t="s">
        <v>130</v>
      </c>
      <c r="D46" s="510"/>
      <c r="E46" s="534">
        <v>2106.2610410659618</v>
      </c>
      <c r="F46" s="534">
        <v>2374.2771415011557</v>
      </c>
      <c r="G46" s="534">
        <v>2360.3885237387403</v>
      </c>
      <c r="H46" s="534">
        <v>2477.3410149184238</v>
      </c>
      <c r="I46" s="736">
        <v>2386.9251123806789</v>
      </c>
      <c r="J46" s="736">
        <v>2488.9678707666972</v>
      </c>
      <c r="K46" s="534">
        <v>3509.5322411662528</v>
      </c>
      <c r="L46" s="534">
        <v>2912.3222101832107</v>
      </c>
      <c r="M46" s="534">
        <v>2550.7953865716263</v>
      </c>
      <c r="N46" s="534"/>
      <c r="O46" s="534">
        <v>1332.732766803374</v>
      </c>
      <c r="P46" s="534">
        <v>368.62738864910352</v>
      </c>
    </row>
    <row r="47" spans="1:16" x14ac:dyDescent="0.2">
      <c r="A47" s="510"/>
      <c r="B47" s="510"/>
      <c r="C47" s="510"/>
      <c r="D47" s="510"/>
      <c r="E47" s="540"/>
      <c r="F47" s="540"/>
      <c r="G47" s="540"/>
      <c r="H47" s="540"/>
      <c r="I47" s="540"/>
      <c r="J47" s="540"/>
      <c r="K47" s="540"/>
      <c r="L47" s="540"/>
      <c r="M47" s="540"/>
      <c r="N47" s="540"/>
      <c r="O47" s="540"/>
      <c r="P47" s="540"/>
    </row>
    <row r="48" spans="1:16" ht="15" x14ac:dyDescent="0.25">
      <c r="A48" s="735" t="s">
        <v>669</v>
      </c>
      <c r="B48" s="483">
        <v>142267</v>
      </c>
      <c r="C48" s="484" t="s">
        <v>619</v>
      </c>
      <c r="D48" s="484" t="s">
        <v>620</v>
      </c>
      <c r="E48" s="485"/>
      <c r="F48" s="486"/>
      <c r="G48" s="486"/>
      <c r="H48" s="486"/>
      <c r="I48" s="486"/>
      <c r="J48" s="486"/>
      <c r="K48" s="485"/>
      <c r="L48" s="486"/>
      <c r="M48" s="486"/>
      <c r="N48" s="486"/>
      <c r="O48" s="486"/>
      <c r="P48" s="486"/>
    </row>
    <row r="49" spans="1:16" x14ac:dyDescent="0.2">
      <c r="A49" s="535"/>
      <c r="B49" s="536"/>
      <c r="C49" s="496" t="s">
        <v>127</v>
      </c>
      <c r="D49" s="496"/>
      <c r="E49" s="733"/>
      <c r="F49" s="733"/>
      <c r="G49" s="733"/>
      <c r="H49" s="733"/>
      <c r="I49" s="734"/>
      <c r="J49" s="734"/>
      <c r="K49" s="733"/>
      <c r="L49" s="733"/>
      <c r="M49" s="733"/>
      <c r="N49" s="733"/>
      <c r="O49" s="733"/>
      <c r="P49" s="733"/>
    </row>
    <row r="50" spans="1:16" ht="15" x14ac:dyDescent="0.25">
      <c r="A50" s="510"/>
      <c r="B50" s="536"/>
      <c r="C50" s="496" t="s">
        <v>128</v>
      </c>
      <c r="D50" s="537"/>
      <c r="E50" s="737"/>
      <c r="F50" s="737"/>
      <c r="G50" s="737"/>
      <c r="H50" s="737"/>
      <c r="I50" s="737"/>
      <c r="J50" s="737"/>
      <c r="K50" s="737"/>
      <c r="L50" s="737"/>
      <c r="M50" s="737"/>
      <c r="N50" s="737"/>
      <c r="O50" s="737"/>
      <c r="P50" s="737"/>
    </row>
    <row r="51" spans="1:16" ht="15" x14ac:dyDescent="0.25">
      <c r="A51" s="510"/>
      <c r="B51" s="510"/>
      <c r="C51" s="510" t="s">
        <v>129</v>
      </c>
      <c r="D51" s="510"/>
      <c r="E51" s="737">
        <v>-3407.3394541357147</v>
      </c>
      <c r="F51" s="737">
        <v>-3311.8339412402975</v>
      </c>
      <c r="G51" s="737">
        <v>-3020.832426341708</v>
      </c>
      <c r="H51" s="737">
        <v>-2481.1502462231865</v>
      </c>
      <c r="I51" s="737"/>
      <c r="J51" s="737"/>
      <c r="K51" s="737"/>
      <c r="L51" s="737"/>
      <c r="M51" s="737"/>
      <c r="N51" s="737"/>
      <c r="O51" s="737"/>
      <c r="P51" s="737"/>
    </row>
    <row r="52" spans="1:16" x14ac:dyDescent="0.2">
      <c r="A52" s="510"/>
      <c r="B52" s="510"/>
      <c r="C52" s="510" t="s">
        <v>130</v>
      </c>
      <c r="D52" s="510"/>
      <c r="E52" s="534"/>
      <c r="F52" s="534">
        <v>-176</v>
      </c>
      <c r="G52" s="534">
        <v>-560</v>
      </c>
      <c r="H52" s="534">
        <v>-2224</v>
      </c>
      <c r="I52" s="736">
        <v>-4688.9992488106172</v>
      </c>
      <c r="J52" s="736">
        <v>-5367.8621400550874</v>
      </c>
      <c r="K52" s="534">
        <v>-9523.8784742508979</v>
      </c>
      <c r="L52" s="534">
        <v>-9493.3999791336282</v>
      </c>
      <c r="M52" s="534">
        <v>-6117.0600200317167</v>
      </c>
      <c r="N52" s="534">
        <v>-4750.2167390034219</v>
      </c>
      <c r="O52" s="534">
        <v>-4286.5268132877054</v>
      </c>
      <c r="P52" s="534">
        <v>-3011.9005174860195</v>
      </c>
    </row>
    <row r="53" spans="1:16" x14ac:dyDescent="0.2">
      <c r="A53" s="510"/>
      <c r="B53" s="510"/>
      <c r="C53" s="510"/>
      <c r="D53" s="510"/>
      <c r="E53" s="540"/>
      <c r="F53" s="540"/>
      <c r="G53" s="540"/>
      <c r="H53" s="540"/>
      <c r="I53" s="540"/>
      <c r="J53" s="540"/>
      <c r="K53" s="540"/>
      <c r="L53" s="540"/>
      <c r="M53" s="540"/>
      <c r="N53" s="540"/>
      <c r="O53" s="540"/>
      <c r="P53" s="540"/>
    </row>
    <row r="54" spans="1:16" ht="15" x14ac:dyDescent="0.25">
      <c r="A54" s="735" t="s">
        <v>670</v>
      </c>
      <c r="B54" s="483">
        <v>163794</v>
      </c>
      <c r="C54" s="484" t="s">
        <v>615</v>
      </c>
      <c r="D54" s="484" t="s">
        <v>618</v>
      </c>
      <c r="E54" s="485"/>
      <c r="F54" s="486"/>
      <c r="G54" s="486"/>
      <c r="H54" s="486"/>
      <c r="I54" s="486"/>
      <c r="J54" s="486"/>
      <c r="K54" s="485"/>
      <c r="L54" s="486"/>
      <c r="M54" s="486"/>
      <c r="N54" s="486"/>
      <c r="O54" s="486"/>
      <c r="P54" s="486"/>
    </row>
    <row r="55" spans="1:16" x14ac:dyDescent="0.2">
      <c r="A55" s="535"/>
      <c r="B55" s="536"/>
      <c r="C55" s="496" t="s">
        <v>136</v>
      </c>
      <c r="D55" s="496"/>
      <c r="E55" s="733"/>
      <c r="F55" s="733"/>
      <c r="G55" s="733"/>
      <c r="H55" s="733"/>
      <c r="I55" s="734"/>
      <c r="J55" s="734"/>
      <c r="K55" s="733"/>
      <c r="L55" s="733"/>
      <c r="M55" s="733"/>
      <c r="N55" s="733"/>
      <c r="O55" s="733"/>
      <c r="P55" s="733"/>
    </row>
    <row r="56" spans="1:16" ht="15" x14ac:dyDescent="0.25">
      <c r="A56" s="510"/>
      <c r="B56" s="536"/>
      <c r="C56" s="496" t="s">
        <v>131</v>
      </c>
      <c r="D56" s="537"/>
      <c r="E56" s="737">
        <v>728.27015218815995</v>
      </c>
      <c r="F56" s="737">
        <v>735.71132309036625</v>
      </c>
      <c r="G56" s="737">
        <v>728.68355057161591</v>
      </c>
      <c r="H56" s="737">
        <v>785.59472802737935</v>
      </c>
      <c r="I56" s="737">
        <v>824.31637661108277</v>
      </c>
      <c r="J56" s="737">
        <v>788.07511832811474</v>
      </c>
      <c r="K56" s="737">
        <v>809.15843588436621</v>
      </c>
      <c r="L56" s="737">
        <v>927.52817301390803</v>
      </c>
      <c r="M56" s="737">
        <v>880.12515837763056</v>
      </c>
      <c r="N56" s="737">
        <v>810.94982887934168</v>
      </c>
      <c r="O56" s="737">
        <v>724.13616835360085</v>
      </c>
      <c r="P56" s="737">
        <v>719.45098667443381</v>
      </c>
    </row>
    <row r="57" spans="1:16" ht="15" x14ac:dyDescent="0.25">
      <c r="A57" s="510"/>
      <c r="B57" s="510"/>
      <c r="C57" s="510" t="s">
        <v>132</v>
      </c>
      <c r="D57" s="510"/>
      <c r="E57" s="737"/>
      <c r="F57" s="737"/>
      <c r="G57" s="737"/>
      <c r="H57" s="737"/>
      <c r="I57" s="737"/>
      <c r="J57" s="737"/>
      <c r="K57" s="737"/>
      <c r="L57" s="737"/>
      <c r="M57" s="737"/>
      <c r="N57" s="737"/>
      <c r="O57" s="737"/>
      <c r="P57" s="737"/>
    </row>
    <row r="58" spans="1:16" x14ac:dyDescent="0.2">
      <c r="A58" s="510"/>
      <c r="B58" s="510"/>
      <c r="C58" s="510"/>
      <c r="D58" s="510"/>
      <c r="E58" s="534"/>
      <c r="F58" s="534"/>
      <c r="G58" s="534"/>
      <c r="H58" s="534"/>
      <c r="I58" s="736"/>
      <c r="J58" s="736"/>
      <c r="K58" s="534"/>
      <c r="L58" s="534"/>
      <c r="M58" s="534"/>
      <c r="N58" s="534"/>
      <c r="O58" s="534"/>
      <c r="P58" s="534"/>
    </row>
    <row r="59" spans="1:16" x14ac:dyDescent="0.2">
      <c r="A59" s="510"/>
      <c r="B59" s="510"/>
      <c r="C59" s="510"/>
      <c r="D59" s="510"/>
      <c r="E59" s="510"/>
      <c r="F59" s="510"/>
      <c r="G59" s="510"/>
      <c r="H59" s="510"/>
      <c r="I59" s="510"/>
      <c r="J59" s="510"/>
      <c r="K59" s="510"/>
      <c r="L59" s="510"/>
      <c r="M59" s="510"/>
      <c r="N59" s="510"/>
      <c r="O59" s="510"/>
      <c r="P59" s="510"/>
    </row>
    <row r="60" spans="1:16" ht="15" x14ac:dyDescent="0.25">
      <c r="A60" s="735" t="s">
        <v>671</v>
      </c>
      <c r="B60" s="483">
        <v>170399</v>
      </c>
      <c r="C60" s="484" t="s">
        <v>652</v>
      </c>
      <c r="D60" s="484" t="s">
        <v>620</v>
      </c>
      <c r="E60" s="485"/>
      <c r="F60" s="486"/>
      <c r="G60" s="486"/>
      <c r="H60" s="486"/>
      <c r="I60" s="486"/>
      <c r="J60" s="486"/>
      <c r="K60" s="485"/>
      <c r="L60" s="486"/>
      <c r="M60" s="486"/>
      <c r="N60" s="486"/>
      <c r="O60" s="486"/>
      <c r="P60" s="486"/>
    </row>
    <row r="61" spans="1:16" x14ac:dyDescent="0.2">
      <c r="A61" s="535"/>
      <c r="B61" s="536"/>
      <c r="C61" s="496" t="s">
        <v>127</v>
      </c>
      <c r="D61" s="496"/>
      <c r="E61" s="733"/>
      <c r="F61" s="733"/>
      <c r="G61" s="733"/>
      <c r="H61" s="733"/>
      <c r="I61" s="734"/>
      <c r="J61" s="734"/>
      <c r="K61" s="733"/>
      <c r="L61" s="733"/>
      <c r="M61" s="733"/>
      <c r="N61" s="733"/>
      <c r="O61" s="733"/>
      <c r="P61" s="733"/>
    </row>
    <row r="62" spans="1:16" ht="15" x14ac:dyDescent="0.25">
      <c r="A62" s="510"/>
      <c r="B62" s="536"/>
      <c r="C62" s="496" t="s">
        <v>128</v>
      </c>
      <c r="D62" s="537"/>
      <c r="E62" s="737"/>
      <c r="F62" s="737"/>
      <c r="G62" s="737"/>
      <c r="H62" s="737">
        <v>31</v>
      </c>
      <c r="I62" s="737">
        <v>114</v>
      </c>
      <c r="J62" s="737"/>
      <c r="K62" s="737"/>
      <c r="L62" s="737">
        <v>18</v>
      </c>
      <c r="M62" s="737"/>
      <c r="N62" s="737">
        <v>50</v>
      </c>
      <c r="O62" s="737">
        <v>107</v>
      </c>
      <c r="P62" s="737">
        <v>68</v>
      </c>
    </row>
    <row r="63" spans="1:16" ht="15" x14ac:dyDescent="0.25">
      <c r="A63" s="510"/>
      <c r="B63" s="510"/>
      <c r="C63" s="510" t="s">
        <v>129</v>
      </c>
      <c r="D63" s="510"/>
      <c r="E63" s="737">
        <v>520.55149419609791</v>
      </c>
      <c r="F63" s="737">
        <v>381.61850662715074</v>
      </c>
      <c r="G63" s="737">
        <v>501.47056886474024</v>
      </c>
      <c r="H63" s="737">
        <f>528.899399028567-H62</f>
        <v>497.89939902856702</v>
      </c>
      <c r="I63" s="737">
        <f>513.396147196839-I62</f>
        <v>399.39614719683902</v>
      </c>
      <c r="J63" s="737">
        <v>721.49748909195682</v>
      </c>
      <c r="K63" s="737">
        <v>815.11327899892979</v>
      </c>
      <c r="L63" s="737">
        <f>908.132789989298-L62</f>
        <v>890.13278998929798</v>
      </c>
      <c r="M63" s="737">
        <v>779.93282291923936</v>
      </c>
      <c r="N63" s="737">
        <f>491.930106199061-N62</f>
        <v>441.93010619906102</v>
      </c>
      <c r="O63" s="737">
        <f>626.092862435169-O62</f>
        <v>519.09286243516897</v>
      </c>
      <c r="P63" s="737">
        <f>454.364534452951-P62</f>
        <v>386.36453445295098</v>
      </c>
    </row>
    <row r="64" spans="1:16" x14ac:dyDescent="0.2">
      <c r="A64" s="510"/>
      <c r="B64" s="510"/>
      <c r="C64" s="510" t="s">
        <v>130</v>
      </c>
      <c r="D64" s="510"/>
      <c r="E64" s="534"/>
      <c r="F64" s="534"/>
      <c r="G64" s="534"/>
      <c r="H64" s="534"/>
      <c r="I64" s="736"/>
      <c r="J64" s="736"/>
      <c r="K64" s="534"/>
      <c r="L64" s="534"/>
      <c r="M64" s="534"/>
      <c r="N64" s="534"/>
      <c r="O64" s="534"/>
      <c r="P64" s="534"/>
    </row>
    <row r="65" spans="1:16" x14ac:dyDescent="0.2">
      <c r="A65" s="510"/>
      <c r="B65" s="510"/>
      <c r="C65" s="510"/>
      <c r="D65" s="510"/>
      <c r="E65" s="540"/>
      <c r="F65" s="540"/>
      <c r="G65" s="540"/>
      <c r="H65" s="540"/>
      <c r="I65" s="540"/>
      <c r="J65" s="540"/>
      <c r="K65" s="540"/>
      <c r="L65" s="540"/>
      <c r="M65" s="540"/>
      <c r="N65" s="540"/>
      <c r="O65" s="540"/>
      <c r="P65" s="540"/>
    </row>
    <row r="66" spans="1:16" ht="15" x14ac:dyDescent="0.25">
      <c r="A66" s="735" t="s">
        <v>672</v>
      </c>
      <c r="B66" s="483">
        <v>170404</v>
      </c>
      <c r="C66" s="484" t="s">
        <v>652</v>
      </c>
      <c r="D66" s="484" t="s">
        <v>620</v>
      </c>
      <c r="E66" s="485"/>
      <c r="F66" s="486"/>
      <c r="G66" s="486"/>
      <c r="H66" s="486"/>
      <c r="I66" s="486"/>
      <c r="J66" s="486"/>
      <c r="K66" s="485"/>
      <c r="L66" s="486"/>
      <c r="M66" s="486"/>
      <c r="N66" s="486"/>
      <c r="O66" s="486"/>
      <c r="P66" s="486"/>
    </row>
    <row r="67" spans="1:16" x14ac:dyDescent="0.2">
      <c r="A67" s="535"/>
      <c r="B67" s="536"/>
      <c r="C67" s="496" t="s">
        <v>127</v>
      </c>
      <c r="D67" s="496"/>
      <c r="E67" s="733"/>
      <c r="F67" s="733"/>
      <c r="G67" s="733"/>
      <c r="H67" s="733"/>
      <c r="I67" s="734"/>
      <c r="J67" s="734"/>
      <c r="K67" s="733"/>
      <c r="L67" s="733"/>
      <c r="M67" s="733"/>
      <c r="N67" s="733"/>
      <c r="O67" s="733"/>
      <c r="P67" s="733"/>
    </row>
    <row r="68" spans="1:16" ht="15" x14ac:dyDescent="0.25">
      <c r="A68" s="510"/>
      <c r="B68" s="536"/>
      <c r="C68" s="496" t="s">
        <v>128</v>
      </c>
      <c r="D68" s="537"/>
      <c r="E68" s="737"/>
      <c r="F68" s="737"/>
      <c r="G68" s="737"/>
      <c r="H68" s="737"/>
      <c r="I68" s="737"/>
      <c r="J68" s="737"/>
      <c r="K68" s="737"/>
      <c r="L68" s="737"/>
      <c r="M68" s="737"/>
      <c r="N68" s="737"/>
      <c r="O68" s="737"/>
      <c r="P68" s="737"/>
    </row>
    <row r="69" spans="1:16" ht="15" x14ac:dyDescent="0.25">
      <c r="A69" s="510"/>
      <c r="B69" s="510"/>
      <c r="C69" s="510" t="s">
        <v>129</v>
      </c>
      <c r="D69" s="510"/>
      <c r="E69" s="737">
        <v>1150.3923964303854</v>
      </c>
      <c r="F69" s="737">
        <v>965.35021403177825</v>
      </c>
      <c r="G69" s="737">
        <v>1092.3911049844012</v>
      </c>
      <c r="H69" s="737">
        <v>1218.0271203656678</v>
      </c>
      <c r="I69" s="737">
        <v>1332.022738155699</v>
      </c>
      <c r="J69" s="737">
        <v>965.14951752158458</v>
      </c>
      <c r="K69" s="737">
        <v>1446.0183559457303</v>
      </c>
      <c r="L69" s="737">
        <v>1514.8572589421751</v>
      </c>
      <c r="M69" s="737">
        <v>1140.9596604512806</v>
      </c>
      <c r="N69" s="737">
        <v>647.64763839512443</v>
      </c>
      <c r="O69" s="737">
        <v>1243.7162736704636</v>
      </c>
      <c r="P69" s="737">
        <v>1114.4677211057101</v>
      </c>
    </row>
    <row r="70" spans="1:16" x14ac:dyDescent="0.2">
      <c r="A70" s="510"/>
      <c r="B70" s="510"/>
      <c r="C70" s="510" t="s">
        <v>130</v>
      </c>
      <c r="D70" s="510"/>
      <c r="E70" s="534"/>
      <c r="F70" s="534"/>
      <c r="G70" s="534"/>
      <c r="H70" s="534"/>
      <c r="I70" s="736"/>
      <c r="J70" s="736"/>
      <c r="K70" s="534"/>
      <c r="L70" s="534"/>
      <c r="M70" s="534"/>
      <c r="N70" s="534"/>
      <c r="O70" s="534"/>
      <c r="P70" s="534"/>
    </row>
    <row r="71" spans="1:16" x14ac:dyDescent="0.2">
      <c r="A71" s="510"/>
      <c r="B71" s="510"/>
      <c r="C71" s="510"/>
      <c r="D71" s="510"/>
      <c r="E71" s="510"/>
      <c r="F71" s="510"/>
      <c r="G71" s="510"/>
      <c r="H71" s="510"/>
      <c r="I71" s="510"/>
      <c r="J71" s="510"/>
      <c r="K71" s="510"/>
      <c r="L71" s="510"/>
      <c r="M71" s="510"/>
      <c r="N71" s="510"/>
      <c r="O71" s="510"/>
      <c r="P71" s="510"/>
    </row>
    <row r="72" spans="1:16" ht="15" x14ac:dyDescent="0.25">
      <c r="A72" s="735" t="s">
        <v>673</v>
      </c>
      <c r="B72" s="483">
        <v>224258</v>
      </c>
      <c r="C72" s="484" t="s">
        <v>615</v>
      </c>
      <c r="D72" s="484" t="s">
        <v>618</v>
      </c>
      <c r="E72" s="485"/>
      <c r="F72" s="486"/>
      <c r="G72" s="486"/>
      <c r="H72" s="486"/>
      <c r="I72" s="486"/>
      <c r="J72" s="486"/>
      <c r="K72" s="485"/>
      <c r="L72" s="486"/>
      <c r="M72" s="486"/>
      <c r="N72" s="486"/>
      <c r="O72" s="486"/>
      <c r="P72" s="486"/>
    </row>
    <row r="73" spans="1:16" x14ac:dyDescent="0.2">
      <c r="A73" s="535"/>
      <c r="B73" s="536"/>
      <c r="C73" s="496" t="s">
        <v>136</v>
      </c>
      <c r="D73" s="496"/>
      <c r="E73" s="733"/>
      <c r="F73" s="733"/>
      <c r="G73" s="733"/>
      <c r="H73" s="733"/>
      <c r="I73" s="734"/>
      <c r="J73" s="734"/>
      <c r="K73" s="733"/>
      <c r="L73" s="733"/>
      <c r="M73" s="733"/>
      <c r="N73" s="733"/>
      <c r="O73" s="733"/>
      <c r="P73" s="733"/>
    </row>
    <row r="74" spans="1:16" ht="15" x14ac:dyDescent="0.25">
      <c r="A74" s="510"/>
      <c r="B74" s="536"/>
      <c r="C74" s="496" t="s">
        <v>131</v>
      </c>
      <c r="D74" s="537"/>
      <c r="E74" s="737">
        <v>335.93132425966508</v>
      </c>
      <c r="F74" s="737">
        <v>469.20588649202875</v>
      </c>
      <c r="G74" s="737">
        <v>476.5646046520979</v>
      </c>
      <c r="H74" s="737">
        <v>571.64391548219783</v>
      </c>
      <c r="I74" s="737">
        <v>427.62328863512994</v>
      </c>
      <c r="J74" s="737">
        <v>327.28775054783779</v>
      </c>
      <c r="K74" s="737">
        <v>641.7269455780945</v>
      </c>
      <c r="L74" s="737">
        <v>609.25514163366245</v>
      </c>
      <c r="M74" s="737">
        <v>609.83916688446152</v>
      </c>
      <c r="N74" s="737">
        <v>546.18041454735533</v>
      </c>
      <c r="O74" s="737">
        <v>498.29034398182586</v>
      </c>
      <c r="P74" s="737">
        <v>296.45121730564324</v>
      </c>
    </row>
    <row r="75" spans="1:16" ht="15" x14ac:dyDescent="0.25">
      <c r="A75" s="510"/>
      <c r="B75" s="510"/>
      <c r="C75" s="510" t="s">
        <v>132</v>
      </c>
      <c r="D75" s="510"/>
      <c r="E75" s="737"/>
      <c r="F75" s="737"/>
      <c r="G75" s="737"/>
      <c r="H75" s="737"/>
      <c r="I75" s="737"/>
      <c r="J75" s="737"/>
      <c r="K75" s="737"/>
      <c r="L75" s="737"/>
      <c r="M75" s="737"/>
      <c r="N75" s="737"/>
      <c r="O75" s="737"/>
      <c r="P75" s="737"/>
    </row>
    <row r="76" spans="1:16" x14ac:dyDescent="0.2">
      <c r="A76" s="510"/>
      <c r="B76" s="510"/>
      <c r="C76" s="510"/>
      <c r="D76" s="510"/>
      <c r="E76" s="534"/>
      <c r="F76" s="534"/>
      <c r="G76" s="534"/>
      <c r="H76" s="534"/>
      <c r="I76" s="736"/>
      <c r="J76" s="736"/>
      <c r="K76" s="534"/>
      <c r="L76" s="534"/>
      <c r="M76" s="534"/>
      <c r="N76" s="534"/>
      <c r="O76" s="534"/>
      <c r="P76" s="534"/>
    </row>
    <row r="77" spans="1:16" x14ac:dyDescent="0.2">
      <c r="A77" s="510"/>
      <c r="B77" s="510"/>
      <c r="C77" s="510"/>
      <c r="D77" s="510"/>
      <c r="E77" s="510"/>
      <c r="F77" s="510"/>
      <c r="G77" s="510"/>
      <c r="H77" s="510"/>
      <c r="I77" s="510"/>
      <c r="J77" s="510"/>
      <c r="K77" s="510"/>
      <c r="L77" s="510"/>
      <c r="M77" s="510"/>
      <c r="N77" s="510"/>
      <c r="O77" s="510"/>
      <c r="P77" s="510"/>
    </row>
    <row r="78" spans="1:16" ht="15" x14ac:dyDescent="0.25">
      <c r="A78" s="735" t="s">
        <v>674</v>
      </c>
      <c r="B78" s="483">
        <v>239982</v>
      </c>
      <c r="C78" s="484" t="s">
        <v>615</v>
      </c>
      <c r="D78" s="484" t="s">
        <v>618</v>
      </c>
      <c r="E78" s="485"/>
      <c r="F78" s="486"/>
      <c r="G78" s="486"/>
      <c r="H78" s="486"/>
      <c r="I78" s="486"/>
      <c r="J78" s="486"/>
      <c r="K78" s="485"/>
      <c r="L78" s="486"/>
      <c r="M78" s="486"/>
      <c r="N78" s="486"/>
      <c r="O78" s="486"/>
      <c r="P78" s="486"/>
    </row>
    <row r="79" spans="1:16" x14ac:dyDescent="0.2">
      <c r="A79" s="535"/>
      <c r="B79" s="536"/>
      <c r="C79" s="496" t="s">
        <v>136</v>
      </c>
      <c r="D79" s="496"/>
      <c r="E79" s="733"/>
      <c r="F79" s="733"/>
      <c r="G79" s="733"/>
      <c r="H79" s="733"/>
      <c r="I79" s="734"/>
      <c r="J79" s="734"/>
      <c r="K79" s="733"/>
      <c r="L79" s="733"/>
      <c r="M79" s="733"/>
      <c r="N79" s="733"/>
      <c r="O79" s="733"/>
      <c r="P79" s="733"/>
    </row>
    <row r="80" spans="1:16" ht="15" x14ac:dyDescent="0.25">
      <c r="A80" s="510"/>
      <c r="B80" s="536"/>
      <c r="C80" s="496" t="s">
        <v>131</v>
      </c>
      <c r="D80" s="537"/>
      <c r="E80" s="737">
        <v>15000</v>
      </c>
      <c r="F80" s="737">
        <v>15000</v>
      </c>
      <c r="G80" s="737">
        <v>15000</v>
      </c>
      <c r="H80" s="737">
        <v>15000</v>
      </c>
      <c r="I80" s="737">
        <v>5170</v>
      </c>
      <c r="J80" s="737">
        <v>4664</v>
      </c>
      <c r="K80" s="737">
        <v>15000</v>
      </c>
      <c r="L80" s="737">
        <v>14918</v>
      </c>
      <c r="M80" s="737">
        <v>15000</v>
      </c>
      <c r="N80" s="737">
        <v>15000</v>
      </c>
      <c r="O80" s="737">
        <v>14991</v>
      </c>
      <c r="P80" s="737"/>
    </row>
    <row r="81" spans="1:16" ht="15" x14ac:dyDescent="0.25">
      <c r="A81" s="510"/>
      <c r="B81" s="510"/>
      <c r="C81" s="510" t="s">
        <v>132</v>
      </c>
      <c r="D81" s="510"/>
      <c r="E81" s="737">
        <v>25000</v>
      </c>
      <c r="F81" s="737">
        <v>25000</v>
      </c>
      <c r="G81" s="737">
        <v>25000</v>
      </c>
      <c r="H81" s="737">
        <v>25000</v>
      </c>
      <c r="I81" s="737">
        <v>25000</v>
      </c>
      <c r="J81" s="737">
        <v>25000</v>
      </c>
      <c r="K81" s="737">
        <v>25000</v>
      </c>
      <c r="L81" s="737">
        <v>25000</v>
      </c>
      <c r="M81" s="737">
        <v>25000</v>
      </c>
      <c r="N81" s="737">
        <v>25000</v>
      </c>
      <c r="O81" s="737">
        <v>25000</v>
      </c>
      <c r="P81" s="737"/>
    </row>
    <row r="82" spans="1:16" x14ac:dyDescent="0.2">
      <c r="A82" s="510"/>
      <c r="B82" s="510"/>
      <c r="C82" s="510"/>
      <c r="D82" s="510"/>
      <c r="E82" s="534"/>
      <c r="F82" s="534"/>
      <c r="G82" s="534"/>
      <c r="H82" s="534"/>
      <c r="I82" s="736"/>
      <c r="J82" s="736"/>
      <c r="K82" s="534"/>
      <c r="L82" s="534"/>
      <c r="M82" s="534"/>
      <c r="N82" s="534"/>
      <c r="O82" s="534"/>
      <c r="P82" s="534"/>
    </row>
    <row r="83" spans="1:16" x14ac:dyDescent="0.2">
      <c r="A83" s="510"/>
      <c r="B83" s="510"/>
      <c r="C83" s="510"/>
      <c r="D83" s="510"/>
      <c r="E83" s="510"/>
      <c r="F83" s="510"/>
      <c r="G83" s="510"/>
      <c r="H83" s="510"/>
      <c r="I83" s="510"/>
      <c r="J83" s="510"/>
      <c r="K83" s="510"/>
      <c r="L83" s="510"/>
      <c r="M83" s="510"/>
      <c r="N83" s="510"/>
      <c r="O83" s="510"/>
      <c r="P83" s="510"/>
    </row>
    <row r="84" spans="1:16" ht="15" x14ac:dyDescent="0.25">
      <c r="A84" s="735" t="s">
        <v>675</v>
      </c>
      <c r="B84" s="483">
        <v>170394</v>
      </c>
      <c r="C84" s="484" t="s">
        <v>633</v>
      </c>
      <c r="D84" s="484" t="s">
        <v>618</v>
      </c>
      <c r="E84" s="485"/>
      <c r="F84" s="486"/>
      <c r="G84" s="486"/>
      <c r="H84" s="486"/>
      <c r="I84" s="486"/>
      <c r="J84" s="486"/>
      <c r="K84" s="485"/>
      <c r="L84" s="486"/>
      <c r="M84" s="486"/>
      <c r="N84" s="486"/>
      <c r="O84" s="486"/>
      <c r="P84" s="486"/>
    </row>
    <row r="85" spans="1:16" x14ac:dyDescent="0.2">
      <c r="A85" s="535"/>
      <c r="B85" s="536"/>
      <c r="C85" s="496" t="s">
        <v>136</v>
      </c>
      <c r="D85" s="496"/>
      <c r="E85" s="733"/>
      <c r="F85" s="733"/>
      <c r="G85" s="733"/>
      <c r="H85" s="733"/>
      <c r="I85" s="734"/>
      <c r="J85" s="734"/>
      <c r="K85" s="733"/>
      <c r="L85" s="733">
        <v>-1</v>
      </c>
      <c r="M85" s="733">
        <v>-1</v>
      </c>
      <c r="N85" s="733">
        <v>-1</v>
      </c>
      <c r="O85" s="733">
        <v>-1</v>
      </c>
      <c r="P85" s="733">
        <v>-1</v>
      </c>
    </row>
    <row r="86" spans="1:16" ht="15" x14ac:dyDescent="0.25">
      <c r="A86" s="510"/>
      <c r="B86" s="536"/>
      <c r="C86" s="496" t="s">
        <v>131</v>
      </c>
      <c r="D86" s="537"/>
      <c r="E86" s="737"/>
      <c r="F86" s="737"/>
      <c r="G86" s="737"/>
      <c r="H86" s="737"/>
      <c r="I86" s="737"/>
      <c r="J86" s="737"/>
      <c r="K86" s="737"/>
      <c r="L86" s="737"/>
      <c r="M86" s="737"/>
      <c r="N86" s="737"/>
      <c r="O86" s="737"/>
      <c r="P86" s="737"/>
    </row>
    <row r="87" spans="1:16" ht="15" x14ac:dyDescent="0.25">
      <c r="A87" s="510"/>
      <c r="B87" s="510"/>
      <c r="C87" s="510" t="s">
        <v>132</v>
      </c>
      <c r="D87" s="510"/>
      <c r="E87" s="737"/>
      <c r="F87" s="737"/>
      <c r="G87" s="737"/>
      <c r="H87" s="737"/>
      <c r="I87" s="737"/>
      <c r="J87" s="737"/>
      <c r="K87" s="737"/>
      <c r="L87" s="737"/>
      <c r="M87" s="737"/>
      <c r="N87" s="737"/>
      <c r="O87" s="737"/>
      <c r="P87" s="737"/>
    </row>
    <row r="88" spans="1:16" x14ac:dyDescent="0.2">
      <c r="A88" s="510"/>
      <c r="B88" s="510"/>
      <c r="C88" s="510"/>
      <c r="D88" s="510"/>
      <c r="E88" s="534"/>
      <c r="F88" s="534"/>
      <c r="G88" s="534"/>
      <c r="H88" s="534"/>
      <c r="I88" s="736"/>
      <c r="J88" s="736"/>
      <c r="K88" s="534"/>
      <c r="L88" s="534"/>
      <c r="M88" s="534"/>
      <c r="N88" s="534"/>
      <c r="O88" s="534"/>
      <c r="P88" s="534"/>
    </row>
    <row r="89" spans="1:16" x14ac:dyDescent="0.2">
      <c r="A89" s="510"/>
      <c r="B89" s="510"/>
      <c r="C89" s="510"/>
      <c r="D89" s="510"/>
      <c r="E89" s="510"/>
      <c r="F89" s="510"/>
      <c r="G89" s="510"/>
      <c r="H89" s="510"/>
      <c r="I89" s="510"/>
      <c r="J89" s="510"/>
      <c r="K89" s="510"/>
      <c r="L89" s="510"/>
      <c r="M89" s="510"/>
      <c r="N89" s="510"/>
      <c r="O89" s="510"/>
      <c r="P89" s="510"/>
    </row>
    <row r="90" spans="1:16" x14ac:dyDescent="0.2">
      <c r="A90" s="510"/>
      <c r="B90" s="510"/>
      <c r="C90" s="510"/>
      <c r="D90" s="510"/>
      <c r="E90" s="541"/>
      <c r="F90" s="541"/>
      <c r="G90" s="541"/>
      <c r="H90" s="541"/>
      <c r="I90" s="541"/>
      <c r="J90" s="541"/>
      <c r="K90" s="541"/>
      <c r="L90" s="541"/>
      <c r="M90" s="541"/>
      <c r="N90" s="541"/>
      <c r="O90" s="541"/>
      <c r="P90" s="541"/>
    </row>
    <row r="91" spans="1:16" ht="15" x14ac:dyDescent="0.25">
      <c r="A91" s="742" t="s">
        <v>698</v>
      </c>
      <c r="B91" s="483" t="s">
        <v>61</v>
      </c>
      <c r="C91" s="484" t="s">
        <v>707</v>
      </c>
      <c r="D91" s="484" t="s">
        <v>616</v>
      </c>
      <c r="E91" s="485"/>
      <c r="F91" s="486"/>
      <c r="G91" s="486"/>
      <c r="H91" s="486"/>
      <c r="I91" s="486"/>
      <c r="J91" s="486"/>
      <c r="K91" s="485"/>
      <c r="L91" s="486"/>
      <c r="M91" s="486"/>
      <c r="N91" s="486"/>
      <c r="O91" s="486"/>
      <c r="P91" s="486"/>
    </row>
    <row r="92" spans="1:16" x14ac:dyDescent="0.2">
      <c r="A92" s="535"/>
      <c r="B92" s="536"/>
      <c r="C92" s="478" t="s">
        <v>625</v>
      </c>
      <c r="D92" s="496"/>
      <c r="E92" s="733">
        <v>-1</v>
      </c>
      <c r="F92" s="733">
        <v>-1</v>
      </c>
      <c r="G92" s="733">
        <v>-1</v>
      </c>
      <c r="H92" s="733">
        <v>-1</v>
      </c>
      <c r="I92" s="734">
        <v>-1</v>
      </c>
      <c r="J92" s="734">
        <v>-1</v>
      </c>
      <c r="K92" s="733">
        <v>-1</v>
      </c>
      <c r="L92" s="733">
        <v>0</v>
      </c>
      <c r="M92" s="733">
        <v>0</v>
      </c>
      <c r="N92" s="733">
        <v>0</v>
      </c>
      <c r="O92" s="733">
        <v>0</v>
      </c>
      <c r="P92" s="733">
        <v>0</v>
      </c>
    </row>
    <row r="93" spans="1:16" s="739" customFormat="1" x14ac:dyDescent="0.2">
      <c r="A93" s="535"/>
      <c r="B93" s="536"/>
      <c r="C93" s="739" t="s">
        <v>133</v>
      </c>
      <c r="D93" s="740"/>
      <c r="E93" s="733">
        <v>-21055.81603691019</v>
      </c>
      <c r="F93" s="733">
        <v>-20445.648468075127</v>
      </c>
      <c r="G93" s="733">
        <v>-21607.834307058711</v>
      </c>
      <c r="H93" s="733">
        <v>-25560.514377999199</v>
      </c>
      <c r="I93" s="734">
        <v>7752.3578069216519</v>
      </c>
      <c r="J93" s="734">
        <v>7648.0463425025355</v>
      </c>
      <c r="K93" s="733">
        <v>8572.9403710174411</v>
      </c>
      <c r="L93" s="733">
        <v>8251.6620154629127</v>
      </c>
      <c r="M93" s="733">
        <v>8392.8641529249744</v>
      </c>
      <c r="N93" s="733">
        <v>8072.9028069051383</v>
      </c>
      <c r="O93" s="733">
        <v>8338.3960249546708</v>
      </c>
      <c r="P93" s="733">
        <v>7340.6436693539072</v>
      </c>
    </row>
    <row r="94" spans="1:16" ht="15" x14ac:dyDescent="0.25">
      <c r="A94" s="510"/>
      <c r="B94" s="510"/>
      <c r="C94" s="496" t="s">
        <v>134</v>
      </c>
      <c r="D94" s="510"/>
      <c r="E94" s="738"/>
      <c r="F94" s="738"/>
      <c r="G94" s="738"/>
      <c r="H94" s="738"/>
      <c r="I94" s="737"/>
      <c r="J94" s="737"/>
      <c r="K94" s="737"/>
      <c r="L94" s="737"/>
      <c r="M94" s="737"/>
      <c r="N94" s="737"/>
      <c r="O94" s="737"/>
      <c r="P94" s="737"/>
    </row>
    <row r="95" spans="1:16" x14ac:dyDescent="0.2">
      <c r="A95" s="510"/>
      <c r="B95" s="510"/>
      <c r="C95" s="510" t="s">
        <v>135</v>
      </c>
      <c r="D95" s="510"/>
      <c r="E95" s="534">
        <v>62169.210235939878</v>
      </c>
      <c r="F95" s="534">
        <v>59645.174291065712</v>
      </c>
      <c r="G95" s="534">
        <v>63289.448981658839</v>
      </c>
      <c r="H95" s="534">
        <v>69455.827268180146</v>
      </c>
      <c r="I95" s="736">
        <v>35853.872983315116</v>
      </c>
      <c r="J95" s="736">
        <v>50563.723805075482</v>
      </c>
      <c r="K95" s="534">
        <v>45473.796170493319</v>
      </c>
      <c r="L95" s="534">
        <v>33923.860782937947</v>
      </c>
      <c r="M95" s="534">
        <v>32354.984189055744</v>
      </c>
      <c r="N95" s="534">
        <v>16291.391533311977</v>
      </c>
      <c r="O95" s="534">
        <v>9376.695244741386</v>
      </c>
      <c r="P95" s="534">
        <v>5901.6147971772416</v>
      </c>
    </row>
    <row r="96" spans="1:16" x14ac:dyDescent="0.2">
      <c r="A96" s="510"/>
      <c r="B96" s="510"/>
      <c r="C96" s="510"/>
      <c r="D96" s="510"/>
      <c r="E96" s="510"/>
      <c r="F96" s="510"/>
      <c r="G96" s="510"/>
      <c r="H96" s="510"/>
      <c r="I96" s="510"/>
      <c r="J96" s="510"/>
      <c r="K96" s="510"/>
      <c r="L96" s="510"/>
      <c r="M96" s="510"/>
      <c r="N96" s="510"/>
      <c r="O96" s="510"/>
      <c r="P96" s="510"/>
    </row>
    <row r="97" spans="1:16" ht="15" x14ac:dyDescent="0.25">
      <c r="A97" s="742" t="s">
        <v>699</v>
      </c>
      <c r="B97" s="483" t="s">
        <v>690</v>
      </c>
      <c r="C97" s="484" t="s">
        <v>633</v>
      </c>
      <c r="D97" s="484" t="s">
        <v>620</v>
      </c>
      <c r="E97" s="485"/>
      <c r="F97" s="486"/>
      <c r="G97" s="486"/>
      <c r="H97" s="486"/>
      <c r="I97" s="486"/>
      <c r="J97" s="486"/>
      <c r="K97" s="485"/>
      <c r="L97" s="486"/>
      <c r="M97" s="486"/>
      <c r="N97" s="486"/>
      <c r="O97" s="486"/>
      <c r="P97" s="486"/>
    </row>
    <row r="98" spans="1:16" x14ac:dyDescent="0.2">
      <c r="A98" s="535"/>
      <c r="B98" s="536"/>
      <c r="C98" s="496" t="s">
        <v>127</v>
      </c>
      <c r="D98" s="496"/>
      <c r="E98" s="733">
        <v>-1</v>
      </c>
      <c r="F98" s="733">
        <v>-1</v>
      </c>
      <c r="G98" s="733">
        <v>-1</v>
      </c>
      <c r="H98" s="733">
        <v>-1</v>
      </c>
      <c r="I98" s="734">
        <v>-1</v>
      </c>
      <c r="J98" s="734">
        <v>-1</v>
      </c>
      <c r="K98" s="733">
        <v>-1</v>
      </c>
      <c r="L98" s="733">
        <v>-1</v>
      </c>
      <c r="M98" s="733">
        <v>-1</v>
      </c>
      <c r="N98" s="733">
        <v>-1</v>
      </c>
      <c r="O98" s="733">
        <v>-1</v>
      </c>
      <c r="P98" s="733">
        <v>-1</v>
      </c>
    </row>
    <row r="99" spans="1:16" ht="15" x14ac:dyDescent="0.25">
      <c r="A99" s="510"/>
      <c r="B99" s="536"/>
      <c r="C99" s="496" t="s">
        <v>128</v>
      </c>
      <c r="D99" s="537"/>
      <c r="E99" s="737">
        <v>-300</v>
      </c>
      <c r="F99" s="737">
        <v>-300</v>
      </c>
      <c r="G99" s="737">
        <v>-300</v>
      </c>
      <c r="H99" s="737">
        <v>-300</v>
      </c>
      <c r="I99" s="737">
        <v>-300</v>
      </c>
      <c r="J99" s="737">
        <v>-300</v>
      </c>
      <c r="K99" s="737">
        <v>-300</v>
      </c>
      <c r="L99" s="737">
        <v>-300</v>
      </c>
      <c r="M99" s="737">
        <v>-300</v>
      </c>
      <c r="N99" s="737">
        <v>-300</v>
      </c>
      <c r="O99" s="737">
        <v>-297</v>
      </c>
      <c r="P99" s="737">
        <v>-1</v>
      </c>
    </row>
    <row r="100" spans="1:16" ht="15" x14ac:dyDescent="0.25">
      <c r="A100" s="510"/>
      <c r="B100" s="510"/>
      <c r="C100" s="510" t="s">
        <v>129</v>
      </c>
      <c r="D100" s="510"/>
      <c r="E100" s="737">
        <v>-1494</v>
      </c>
      <c r="F100" s="737">
        <v>-2120</v>
      </c>
      <c r="G100" s="737">
        <v>-1905</v>
      </c>
      <c r="H100" s="737">
        <v>-2380</v>
      </c>
      <c r="I100" s="737">
        <v>-3782</v>
      </c>
      <c r="J100" s="737">
        <v>-7623</v>
      </c>
      <c r="K100" s="737">
        <v>-5326</v>
      </c>
      <c r="L100" s="737">
        <v>-2005</v>
      </c>
      <c r="M100" s="737">
        <v>-2569</v>
      </c>
      <c r="N100" s="737">
        <v>-844</v>
      </c>
      <c r="O100" s="737">
        <v>0</v>
      </c>
      <c r="P100" s="737">
        <v>0</v>
      </c>
    </row>
    <row r="101" spans="1:16" x14ac:dyDescent="0.2">
      <c r="A101" s="510"/>
      <c r="B101" s="510"/>
      <c r="C101" s="510" t="s">
        <v>130</v>
      </c>
      <c r="D101" s="510"/>
      <c r="E101" s="534"/>
      <c r="F101" s="534"/>
      <c r="G101" s="534"/>
      <c r="H101" s="534"/>
      <c r="I101" s="736"/>
      <c r="J101" s="736"/>
      <c r="K101" s="534"/>
      <c r="L101" s="534"/>
      <c r="M101" s="534"/>
      <c r="N101" s="534"/>
      <c r="O101" s="534"/>
      <c r="P101" s="534"/>
    </row>
    <row r="102" spans="1:16" ht="15" x14ac:dyDescent="0.25">
      <c r="A102" s="735"/>
      <c r="B102" s="510"/>
      <c r="C102" s="510"/>
      <c r="D102" s="510"/>
      <c r="E102" s="510"/>
      <c r="F102" s="510"/>
      <c r="G102" s="510"/>
      <c r="H102" s="510"/>
      <c r="I102" s="510"/>
      <c r="J102" s="510"/>
      <c r="K102" s="510"/>
      <c r="L102" s="510"/>
      <c r="M102" s="510"/>
      <c r="N102" s="510"/>
      <c r="O102" s="510"/>
      <c r="P102" s="510"/>
    </row>
    <row r="103" spans="1:16" ht="15" x14ac:dyDescent="0.25">
      <c r="A103" s="742" t="s">
        <v>700</v>
      </c>
      <c r="B103" s="483" t="s">
        <v>691</v>
      </c>
      <c r="C103" s="484" t="s">
        <v>697</v>
      </c>
      <c r="D103" s="484" t="s">
        <v>623</v>
      </c>
      <c r="E103" s="485"/>
      <c r="F103" s="486"/>
      <c r="G103" s="486"/>
      <c r="H103" s="486"/>
      <c r="I103" s="486"/>
      <c r="J103" s="486"/>
      <c r="K103" s="485"/>
      <c r="L103" s="486"/>
      <c r="M103" s="486"/>
      <c r="N103" s="486"/>
      <c r="O103" s="486"/>
      <c r="P103" s="486"/>
    </row>
    <row r="104" spans="1:16" x14ac:dyDescent="0.2">
      <c r="A104" s="535"/>
      <c r="B104" s="536"/>
      <c r="C104" s="496" t="s">
        <v>496</v>
      </c>
      <c r="D104" s="496"/>
      <c r="E104" s="733"/>
      <c r="F104" s="733"/>
      <c r="G104" s="733"/>
      <c r="H104" s="733"/>
      <c r="I104" s="734"/>
      <c r="J104" s="734"/>
      <c r="K104" s="733"/>
      <c r="L104" s="733"/>
      <c r="M104" s="733"/>
      <c r="N104" s="733"/>
      <c r="O104" s="733"/>
      <c r="P104" s="733"/>
    </row>
    <row r="105" spans="1:16" ht="15" x14ac:dyDescent="0.25">
      <c r="A105" s="510"/>
      <c r="B105" s="536"/>
      <c r="C105" s="496" t="s">
        <v>140</v>
      </c>
      <c r="D105" s="537"/>
      <c r="E105" s="737"/>
      <c r="F105" s="737"/>
      <c r="G105" s="737"/>
      <c r="H105" s="737"/>
      <c r="I105" s="737"/>
      <c r="J105" s="737"/>
      <c r="K105" s="737">
        <v>-15000</v>
      </c>
      <c r="L105" s="737">
        <v>-15000</v>
      </c>
      <c r="M105" s="737">
        <v>-15000</v>
      </c>
      <c r="N105" s="737">
        <v>-15000</v>
      </c>
      <c r="O105" s="737">
        <v>-15000</v>
      </c>
      <c r="P105" s="737"/>
    </row>
    <row r="106" spans="1:16" ht="15" x14ac:dyDescent="0.25">
      <c r="A106" s="510"/>
      <c r="B106" s="510"/>
      <c r="C106" s="510" t="s">
        <v>141</v>
      </c>
      <c r="D106" s="510"/>
      <c r="E106" s="737"/>
      <c r="F106" s="737"/>
      <c r="G106" s="737"/>
      <c r="H106" s="737"/>
      <c r="I106" s="737"/>
      <c r="J106" s="737"/>
      <c r="K106" s="737">
        <v>-34899</v>
      </c>
      <c r="L106" s="737">
        <v>-90742</v>
      </c>
      <c r="M106" s="737">
        <v>-30630</v>
      </c>
      <c r="N106" s="737">
        <v>-38094</v>
      </c>
      <c r="O106" s="737">
        <v>-72430</v>
      </c>
      <c r="P106" s="737"/>
    </row>
    <row r="107" spans="1:16" x14ac:dyDescent="0.2">
      <c r="A107" s="510"/>
      <c r="B107" s="510"/>
      <c r="C107" s="510"/>
      <c r="D107" s="510"/>
      <c r="E107" s="534"/>
      <c r="F107" s="534"/>
      <c r="G107" s="534"/>
      <c r="H107" s="534"/>
      <c r="I107" s="736"/>
      <c r="J107" s="736"/>
      <c r="K107" s="534"/>
      <c r="L107" s="534"/>
      <c r="M107" s="534"/>
      <c r="N107" s="534"/>
      <c r="O107" s="534"/>
      <c r="P107" s="534"/>
    </row>
    <row r="108" spans="1:16" x14ac:dyDescent="0.2">
      <c r="A108" s="510"/>
      <c r="B108" s="510"/>
      <c r="C108" s="510"/>
      <c r="D108" s="510"/>
      <c r="E108" s="510"/>
      <c r="F108" s="510"/>
      <c r="G108" s="510"/>
      <c r="H108" s="510"/>
      <c r="I108" s="510"/>
      <c r="J108" s="510"/>
      <c r="K108" s="510"/>
      <c r="L108" s="510"/>
      <c r="M108" s="510"/>
      <c r="N108" s="510"/>
      <c r="O108" s="510"/>
      <c r="P108" s="510"/>
    </row>
    <row r="109" spans="1:16" ht="15" x14ac:dyDescent="0.25">
      <c r="A109" s="742" t="s">
        <v>701</v>
      </c>
      <c r="B109" s="483">
        <v>8000113860</v>
      </c>
      <c r="C109" s="484" t="s">
        <v>692</v>
      </c>
      <c r="D109" s="484" t="s">
        <v>618</v>
      </c>
      <c r="E109" s="485"/>
      <c r="F109" s="486"/>
      <c r="G109" s="486"/>
      <c r="H109" s="486"/>
      <c r="I109" s="486"/>
      <c r="J109" s="486"/>
      <c r="K109" s="485"/>
      <c r="L109" s="486"/>
      <c r="M109" s="486"/>
      <c r="N109" s="486"/>
      <c r="O109" s="486"/>
      <c r="P109" s="486"/>
    </row>
    <row r="110" spans="1:16" x14ac:dyDescent="0.2">
      <c r="A110" s="535"/>
      <c r="B110" s="536"/>
      <c r="C110" s="496" t="s">
        <v>136</v>
      </c>
      <c r="D110" s="496"/>
      <c r="E110" s="733">
        <v>-1</v>
      </c>
      <c r="F110" s="733">
        <v>-1</v>
      </c>
      <c r="G110" s="733">
        <v>-1</v>
      </c>
      <c r="H110" s="733">
        <v>-1</v>
      </c>
      <c r="I110" s="734">
        <v>-1</v>
      </c>
      <c r="J110" s="734">
        <v>-1</v>
      </c>
      <c r="K110" s="733">
        <v>-1</v>
      </c>
      <c r="L110" s="733">
        <v>-1</v>
      </c>
      <c r="M110" s="733">
        <v>-1</v>
      </c>
      <c r="N110" s="733">
        <v>-1</v>
      </c>
      <c r="O110" s="733">
        <v>-1</v>
      </c>
      <c r="P110" s="733">
        <v>-1</v>
      </c>
    </row>
    <row r="111" spans="1:16" ht="15" x14ac:dyDescent="0.25">
      <c r="A111" s="510"/>
      <c r="B111" s="536"/>
      <c r="C111" s="496" t="s">
        <v>131</v>
      </c>
      <c r="D111" s="537"/>
      <c r="E111" s="737">
        <v>0</v>
      </c>
      <c r="F111" s="737">
        <v>0</v>
      </c>
      <c r="G111" s="737">
        <v>-2</v>
      </c>
      <c r="H111" s="737">
        <v>0</v>
      </c>
      <c r="I111" s="737">
        <v>-89</v>
      </c>
      <c r="J111" s="737">
        <v>-654</v>
      </c>
      <c r="K111" s="737">
        <v>-403</v>
      </c>
      <c r="L111" s="737">
        <v>-326</v>
      </c>
      <c r="M111" s="737">
        <v>-376</v>
      </c>
      <c r="N111" s="737">
        <v>0</v>
      </c>
      <c r="O111" s="737">
        <v>0</v>
      </c>
      <c r="P111" s="737">
        <v>0</v>
      </c>
    </row>
    <row r="112" spans="1:16" ht="15" x14ac:dyDescent="0.25">
      <c r="A112" s="510"/>
      <c r="B112" s="510"/>
      <c r="C112" s="510" t="s">
        <v>132</v>
      </c>
      <c r="D112" s="510"/>
      <c r="E112" s="737"/>
      <c r="F112" s="737"/>
      <c r="G112" s="737"/>
      <c r="H112" s="737"/>
      <c r="I112" s="737"/>
      <c r="J112" s="737"/>
      <c r="K112" s="737"/>
      <c r="L112" s="737"/>
      <c r="M112" s="737"/>
      <c r="N112" s="737"/>
      <c r="O112" s="737"/>
      <c r="P112" s="737"/>
    </row>
    <row r="113" spans="1:16" x14ac:dyDescent="0.2">
      <c r="A113" s="510"/>
      <c r="B113" s="510"/>
      <c r="C113" s="510"/>
      <c r="D113" s="510"/>
      <c r="E113" s="534"/>
      <c r="F113" s="534"/>
      <c r="G113" s="534"/>
      <c r="H113" s="534"/>
      <c r="I113" s="736"/>
      <c r="J113" s="736"/>
      <c r="K113" s="534"/>
      <c r="L113" s="534"/>
      <c r="M113" s="534"/>
      <c r="N113" s="534"/>
      <c r="O113" s="534"/>
      <c r="P113" s="534"/>
    </row>
    <row r="114" spans="1:16" x14ac:dyDescent="0.2">
      <c r="A114" s="510"/>
      <c r="B114" s="510"/>
      <c r="C114" s="510"/>
      <c r="D114" s="510"/>
      <c r="E114" s="510"/>
      <c r="F114" s="510"/>
      <c r="G114" s="510"/>
      <c r="H114" s="510"/>
      <c r="I114" s="510"/>
      <c r="J114" s="510"/>
      <c r="K114" s="510"/>
      <c r="L114" s="510"/>
      <c r="M114" s="510"/>
      <c r="N114" s="510"/>
      <c r="O114" s="510"/>
      <c r="P114" s="510"/>
    </row>
    <row r="115" spans="1:16" ht="15" x14ac:dyDescent="0.25">
      <c r="A115" s="742" t="s">
        <v>701</v>
      </c>
      <c r="B115" s="483">
        <v>8000113860</v>
      </c>
      <c r="C115" s="484" t="s">
        <v>693</v>
      </c>
      <c r="D115" s="484" t="s">
        <v>621</v>
      </c>
      <c r="E115" s="485"/>
      <c r="F115" s="486"/>
      <c r="G115" s="486"/>
      <c r="H115" s="486"/>
      <c r="I115" s="486"/>
      <c r="J115" s="486"/>
      <c r="K115" s="485"/>
      <c r="L115" s="486"/>
      <c r="M115" s="486"/>
      <c r="N115" s="486"/>
      <c r="O115" s="486"/>
      <c r="P115" s="486"/>
    </row>
    <row r="116" spans="1:16" x14ac:dyDescent="0.2">
      <c r="A116" s="535"/>
      <c r="B116" s="536"/>
      <c r="C116" s="496" t="s">
        <v>495</v>
      </c>
      <c r="D116" s="496"/>
      <c r="E116" s="733">
        <v>1</v>
      </c>
      <c r="F116" s="733">
        <v>1</v>
      </c>
      <c r="G116" s="733">
        <v>1</v>
      </c>
      <c r="H116" s="733">
        <v>1</v>
      </c>
      <c r="I116" s="734">
        <v>1</v>
      </c>
      <c r="J116" s="734">
        <v>1</v>
      </c>
      <c r="K116" s="733">
        <v>1</v>
      </c>
      <c r="L116" s="733">
        <v>1</v>
      </c>
      <c r="M116" s="733">
        <v>1</v>
      </c>
      <c r="N116" s="733">
        <v>1</v>
      </c>
      <c r="O116" s="733">
        <v>1</v>
      </c>
      <c r="P116" s="733">
        <v>1</v>
      </c>
    </row>
    <row r="117" spans="1:16" ht="15" x14ac:dyDescent="0.25">
      <c r="A117" s="510"/>
      <c r="B117" s="536"/>
      <c r="C117" s="496" t="s">
        <v>137</v>
      </c>
      <c r="D117" s="537"/>
      <c r="E117" s="737">
        <f>-E111</f>
        <v>0</v>
      </c>
      <c r="F117" s="737">
        <f t="shared" ref="F117:P117" si="0">-F111</f>
        <v>0</v>
      </c>
      <c r="G117" s="737">
        <f t="shared" si="0"/>
        <v>2</v>
      </c>
      <c r="H117" s="737">
        <f t="shared" si="0"/>
        <v>0</v>
      </c>
      <c r="I117" s="737">
        <f t="shared" si="0"/>
        <v>89</v>
      </c>
      <c r="J117" s="737">
        <f t="shared" si="0"/>
        <v>654</v>
      </c>
      <c r="K117" s="737">
        <f t="shared" si="0"/>
        <v>403</v>
      </c>
      <c r="L117" s="737">
        <f t="shared" si="0"/>
        <v>326</v>
      </c>
      <c r="M117" s="737">
        <f t="shared" si="0"/>
        <v>376</v>
      </c>
      <c r="N117" s="737">
        <f t="shared" si="0"/>
        <v>0</v>
      </c>
      <c r="O117" s="737">
        <f t="shared" si="0"/>
        <v>0</v>
      </c>
      <c r="P117" s="737">
        <f t="shared" si="0"/>
        <v>0</v>
      </c>
    </row>
    <row r="118" spans="1:16" ht="15" x14ac:dyDescent="0.25">
      <c r="A118" s="510"/>
      <c r="B118" s="510"/>
      <c r="C118" s="510" t="s">
        <v>138</v>
      </c>
      <c r="D118" s="510"/>
      <c r="E118" s="737"/>
      <c r="F118" s="737"/>
      <c r="G118" s="737"/>
      <c r="H118" s="737"/>
      <c r="I118" s="737"/>
      <c r="J118" s="737"/>
      <c r="K118" s="737"/>
      <c r="L118" s="737"/>
      <c r="M118" s="737"/>
      <c r="N118" s="737"/>
      <c r="O118" s="737"/>
      <c r="P118" s="737"/>
    </row>
    <row r="119" spans="1:16" x14ac:dyDescent="0.2">
      <c r="A119" s="510"/>
      <c r="B119" s="510"/>
      <c r="C119" s="510" t="s">
        <v>139</v>
      </c>
      <c r="D119" s="510"/>
      <c r="E119" s="534"/>
      <c r="F119" s="534"/>
      <c r="G119" s="534"/>
      <c r="H119" s="534"/>
      <c r="I119" s="736"/>
      <c r="J119" s="736"/>
      <c r="K119" s="534"/>
      <c r="L119" s="534"/>
      <c r="M119" s="534"/>
      <c r="N119" s="534"/>
      <c r="O119" s="534"/>
      <c r="P119" s="534"/>
    </row>
    <row r="120" spans="1:16" x14ac:dyDescent="0.2">
      <c r="A120" s="510"/>
      <c r="B120" s="510"/>
      <c r="C120" s="510"/>
      <c r="D120" s="510"/>
      <c r="E120" s="542"/>
      <c r="F120" s="542"/>
      <c r="G120" s="510"/>
      <c r="H120" s="510"/>
      <c r="I120" s="510"/>
      <c r="J120" s="510"/>
      <c r="K120" s="510"/>
      <c r="L120" s="510"/>
      <c r="M120" s="510"/>
      <c r="N120" s="510"/>
      <c r="O120" s="510"/>
      <c r="P120" s="510"/>
    </row>
    <row r="121" spans="1:16" ht="15" x14ac:dyDescent="0.25">
      <c r="A121" s="742" t="s">
        <v>702</v>
      </c>
      <c r="B121" s="483">
        <v>400264749</v>
      </c>
      <c r="C121" s="484" t="s">
        <v>692</v>
      </c>
      <c r="D121" s="484" t="s">
        <v>620</v>
      </c>
      <c r="E121" s="485"/>
      <c r="F121" s="486"/>
      <c r="G121" s="486"/>
      <c r="H121" s="486"/>
      <c r="I121" s="486"/>
      <c r="J121" s="486"/>
      <c r="K121" s="485"/>
      <c r="L121" s="486"/>
      <c r="M121" s="486"/>
      <c r="N121" s="486"/>
      <c r="O121" s="486"/>
      <c r="P121" s="486"/>
    </row>
    <row r="122" spans="1:16" x14ac:dyDescent="0.2">
      <c r="A122" s="535"/>
      <c r="B122" s="536"/>
      <c r="C122" s="496" t="s">
        <v>127</v>
      </c>
      <c r="D122" s="496"/>
      <c r="E122" s="733">
        <v>-1</v>
      </c>
      <c r="F122" s="733">
        <v>-1</v>
      </c>
      <c r="G122" s="733">
        <v>-1</v>
      </c>
      <c r="H122" s="733">
        <v>-1</v>
      </c>
      <c r="I122" s="734">
        <v>-1</v>
      </c>
      <c r="J122" s="734">
        <v>-1</v>
      </c>
      <c r="K122" s="733">
        <v>-1</v>
      </c>
      <c r="L122" s="733">
        <v>-1</v>
      </c>
      <c r="M122" s="733">
        <v>-1</v>
      </c>
      <c r="N122" s="733">
        <v>-1</v>
      </c>
      <c r="O122" s="733">
        <v>-1</v>
      </c>
      <c r="P122" s="733">
        <v>-1</v>
      </c>
    </row>
    <row r="123" spans="1:16" ht="15" x14ac:dyDescent="0.25">
      <c r="A123" s="510"/>
      <c r="B123" s="536"/>
      <c r="C123" s="496" t="s">
        <v>128</v>
      </c>
      <c r="D123" s="537"/>
      <c r="E123" s="737">
        <v>-145</v>
      </c>
      <c r="F123" s="737">
        <v>-150</v>
      </c>
      <c r="G123" s="737">
        <v>-127</v>
      </c>
      <c r="H123" s="737">
        <v>-154</v>
      </c>
      <c r="I123" s="737">
        <v>-300</v>
      </c>
      <c r="J123" s="737">
        <v>-300</v>
      </c>
      <c r="K123" s="737">
        <v>-300</v>
      </c>
      <c r="L123" s="737">
        <v>-211</v>
      </c>
      <c r="M123" s="737">
        <v>-218</v>
      </c>
      <c r="N123" s="737">
        <v>-58</v>
      </c>
      <c r="O123" s="737">
        <v>-63</v>
      </c>
      <c r="P123" s="737">
        <v>-70</v>
      </c>
    </row>
    <row r="124" spans="1:16" ht="15" x14ac:dyDescent="0.25">
      <c r="A124" s="510"/>
      <c r="B124" s="510"/>
      <c r="C124" s="510" t="s">
        <v>129</v>
      </c>
      <c r="D124" s="510"/>
      <c r="E124" s="737"/>
      <c r="F124" s="737"/>
      <c r="G124" s="737"/>
      <c r="H124" s="737"/>
      <c r="I124" s="737">
        <v>-162</v>
      </c>
      <c r="J124" s="737">
        <v>-232</v>
      </c>
      <c r="K124" s="737">
        <v>-98</v>
      </c>
      <c r="L124" s="737"/>
      <c r="M124" s="737"/>
      <c r="N124" s="737"/>
      <c r="O124" s="737"/>
      <c r="P124" s="737"/>
    </row>
    <row r="125" spans="1:16" x14ac:dyDescent="0.2">
      <c r="A125" s="510"/>
      <c r="B125" s="510"/>
      <c r="C125" s="510" t="s">
        <v>130</v>
      </c>
      <c r="D125" s="510"/>
      <c r="E125" s="534"/>
      <c r="F125" s="534"/>
      <c r="G125" s="534"/>
      <c r="H125" s="534"/>
      <c r="I125" s="736"/>
      <c r="J125" s="736"/>
      <c r="K125" s="534"/>
      <c r="L125" s="534"/>
      <c r="M125" s="534"/>
      <c r="N125" s="534"/>
      <c r="O125" s="534"/>
      <c r="P125" s="534"/>
    </row>
    <row r="126" spans="1:16" x14ac:dyDescent="0.2">
      <c r="A126" s="510"/>
      <c r="B126" s="510"/>
      <c r="C126" s="510"/>
      <c r="D126" s="510"/>
      <c r="E126" s="510"/>
      <c r="F126" s="510"/>
      <c r="G126" s="510"/>
      <c r="H126" s="510"/>
      <c r="I126" s="510"/>
      <c r="J126" s="510"/>
      <c r="K126" s="510"/>
      <c r="L126" s="510"/>
      <c r="M126" s="510"/>
      <c r="N126" s="510"/>
      <c r="O126" s="510"/>
      <c r="P126" s="510"/>
    </row>
    <row r="127" spans="1:16" ht="15" x14ac:dyDescent="0.25">
      <c r="A127" s="735" t="s">
        <v>703</v>
      </c>
      <c r="B127" s="483">
        <v>400264749</v>
      </c>
      <c r="C127" s="484" t="s">
        <v>694</v>
      </c>
      <c r="D127" s="484" t="s">
        <v>621</v>
      </c>
      <c r="E127" s="485"/>
      <c r="F127" s="486"/>
      <c r="G127" s="486"/>
      <c r="H127" s="486"/>
      <c r="I127" s="486"/>
      <c r="J127" s="486"/>
      <c r="K127" s="485"/>
      <c r="L127" s="486"/>
      <c r="M127" s="486"/>
      <c r="N127" s="486"/>
      <c r="O127" s="486"/>
      <c r="P127" s="486"/>
    </row>
    <row r="128" spans="1:16" x14ac:dyDescent="0.2">
      <c r="A128" s="535"/>
      <c r="B128" s="536"/>
      <c r="C128" s="496" t="s">
        <v>495</v>
      </c>
      <c r="D128" s="496"/>
      <c r="E128" s="733">
        <f>-E122</f>
        <v>1</v>
      </c>
      <c r="F128" s="733">
        <f t="shared" ref="F128:P130" si="1">-F122</f>
        <v>1</v>
      </c>
      <c r="G128" s="733">
        <f t="shared" si="1"/>
        <v>1</v>
      </c>
      <c r="H128" s="733">
        <f t="shared" si="1"/>
        <v>1</v>
      </c>
      <c r="I128" s="734">
        <f t="shared" si="1"/>
        <v>1</v>
      </c>
      <c r="J128" s="734">
        <f t="shared" si="1"/>
        <v>1</v>
      </c>
      <c r="K128" s="733">
        <f t="shared" si="1"/>
        <v>1</v>
      </c>
      <c r="L128" s="733">
        <f t="shared" si="1"/>
        <v>1</v>
      </c>
      <c r="M128" s="733">
        <f t="shared" si="1"/>
        <v>1</v>
      </c>
      <c r="N128" s="733">
        <f t="shared" si="1"/>
        <v>1</v>
      </c>
      <c r="O128" s="733">
        <f t="shared" si="1"/>
        <v>1</v>
      </c>
      <c r="P128" s="733">
        <f t="shared" si="1"/>
        <v>1</v>
      </c>
    </row>
    <row r="129" spans="1:16" ht="15" x14ac:dyDescent="0.25">
      <c r="A129" s="510"/>
      <c r="B129" s="536"/>
      <c r="C129" s="496" t="s">
        <v>137</v>
      </c>
      <c r="D129" s="537"/>
      <c r="E129" s="737">
        <f>-E123</f>
        <v>145</v>
      </c>
      <c r="F129" s="737">
        <f t="shared" si="1"/>
        <v>150</v>
      </c>
      <c r="G129" s="737">
        <f t="shared" si="1"/>
        <v>127</v>
      </c>
      <c r="H129" s="737">
        <f t="shared" si="1"/>
        <v>154</v>
      </c>
      <c r="I129" s="737">
        <f t="shared" si="1"/>
        <v>300</v>
      </c>
      <c r="J129" s="737">
        <f t="shared" si="1"/>
        <v>300</v>
      </c>
      <c r="K129" s="737">
        <f t="shared" si="1"/>
        <v>300</v>
      </c>
      <c r="L129" s="737">
        <f t="shared" si="1"/>
        <v>211</v>
      </c>
      <c r="M129" s="737">
        <f t="shared" si="1"/>
        <v>218</v>
      </c>
      <c r="N129" s="737">
        <f t="shared" si="1"/>
        <v>58</v>
      </c>
      <c r="O129" s="737">
        <f t="shared" si="1"/>
        <v>63</v>
      </c>
      <c r="P129" s="737">
        <f t="shared" si="1"/>
        <v>70</v>
      </c>
    </row>
    <row r="130" spans="1:16" ht="15" x14ac:dyDescent="0.25">
      <c r="A130" s="510"/>
      <c r="B130" s="510"/>
      <c r="C130" s="510" t="s">
        <v>138</v>
      </c>
      <c r="D130" s="510"/>
      <c r="E130" s="737"/>
      <c r="F130" s="737"/>
      <c r="G130" s="737"/>
      <c r="H130" s="737"/>
      <c r="I130" s="737">
        <f t="shared" si="1"/>
        <v>162</v>
      </c>
      <c r="J130" s="737">
        <f t="shared" si="1"/>
        <v>232</v>
      </c>
      <c r="K130" s="737">
        <f t="shared" si="1"/>
        <v>98</v>
      </c>
      <c r="L130" s="737"/>
      <c r="M130" s="737"/>
      <c r="N130" s="737"/>
      <c r="O130" s="737"/>
      <c r="P130" s="737"/>
    </row>
    <row r="131" spans="1:16" x14ac:dyDescent="0.2">
      <c r="A131" s="510"/>
      <c r="B131" s="510"/>
      <c r="C131" s="510" t="s">
        <v>139</v>
      </c>
      <c r="D131" s="510"/>
      <c r="E131" s="534"/>
      <c r="F131" s="534"/>
      <c r="G131" s="534"/>
      <c r="H131" s="534"/>
      <c r="I131" s="736"/>
      <c r="J131" s="736"/>
      <c r="K131" s="534"/>
      <c r="L131" s="534"/>
      <c r="M131" s="534"/>
      <c r="N131" s="534"/>
      <c r="O131" s="534"/>
      <c r="P131" s="534"/>
    </row>
    <row r="132" spans="1:16" x14ac:dyDescent="0.2">
      <c r="A132" s="510"/>
      <c r="B132" s="510"/>
      <c r="C132" s="510"/>
      <c r="D132" s="510"/>
      <c r="E132" s="510"/>
      <c r="F132" s="510"/>
      <c r="G132" s="510"/>
      <c r="H132" s="510"/>
      <c r="I132" s="510"/>
      <c r="J132" s="510"/>
      <c r="K132" s="510"/>
      <c r="L132" s="510"/>
      <c r="M132" s="510"/>
      <c r="N132" s="510"/>
      <c r="O132" s="510"/>
      <c r="P132" s="510"/>
    </row>
    <row r="133" spans="1:16" ht="15" x14ac:dyDescent="0.25">
      <c r="A133" s="735" t="s">
        <v>704</v>
      </c>
      <c r="B133" s="483">
        <v>8000138458</v>
      </c>
      <c r="C133" s="484" t="s">
        <v>622</v>
      </c>
      <c r="D133" s="484" t="s">
        <v>621</v>
      </c>
      <c r="E133" s="485"/>
      <c r="F133" s="486"/>
      <c r="G133" s="486"/>
      <c r="H133" s="486"/>
      <c r="I133" s="486"/>
      <c r="J133" s="486"/>
      <c r="K133" s="485"/>
      <c r="L133" s="486"/>
      <c r="M133" s="486"/>
      <c r="N133" s="486"/>
      <c r="O133" s="486"/>
      <c r="P133" s="486"/>
    </row>
    <row r="134" spans="1:16" x14ac:dyDescent="0.2">
      <c r="A134" s="535"/>
      <c r="B134" s="536"/>
      <c r="C134" s="496" t="s">
        <v>495</v>
      </c>
      <c r="D134" s="496"/>
      <c r="E134" s="733">
        <v>-1</v>
      </c>
      <c r="F134" s="733">
        <v>-1</v>
      </c>
      <c r="G134" s="733">
        <v>-1</v>
      </c>
      <c r="H134" s="733">
        <v>-1</v>
      </c>
      <c r="I134" s="734">
        <v>-1</v>
      </c>
      <c r="J134" s="734">
        <v>-1</v>
      </c>
      <c r="K134" s="733">
        <v>-1</v>
      </c>
      <c r="L134" s="733">
        <v>-1</v>
      </c>
      <c r="M134" s="733">
        <v>-1</v>
      </c>
      <c r="N134" s="733">
        <v>-1</v>
      </c>
      <c r="O134" s="733">
        <v>-1</v>
      </c>
      <c r="P134" s="733"/>
    </row>
    <row r="135" spans="1:16" ht="15" x14ac:dyDescent="0.25">
      <c r="A135" s="510"/>
      <c r="B135" s="536"/>
      <c r="C135" s="496" t="s">
        <v>137</v>
      </c>
      <c r="D135" s="537"/>
      <c r="E135" s="737">
        <v>-300</v>
      </c>
      <c r="F135" s="737">
        <v>-300</v>
      </c>
      <c r="G135" s="737">
        <v>-300</v>
      </c>
      <c r="H135" s="737">
        <v>-300</v>
      </c>
      <c r="I135" s="737">
        <v>-300</v>
      </c>
      <c r="J135" s="737">
        <v>-300</v>
      </c>
      <c r="K135" s="737">
        <v>-300</v>
      </c>
      <c r="L135" s="737">
        <v>-300</v>
      </c>
      <c r="M135" s="737">
        <v>-300</v>
      </c>
      <c r="N135" s="737">
        <v>-300</v>
      </c>
      <c r="O135" s="737">
        <v>-300</v>
      </c>
      <c r="P135" s="737"/>
    </row>
    <row r="136" spans="1:16" ht="15" x14ac:dyDescent="0.25">
      <c r="A136" s="510"/>
      <c r="B136" s="510"/>
      <c r="C136" s="510" t="s">
        <v>138</v>
      </c>
      <c r="D136" s="510"/>
      <c r="E136" s="737">
        <v>-361</v>
      </c>
      <c r="F136" s="737">
        <v>-42</v>
      </c>
      <c r="G136" s="737">
        <v>-1267</v>
      </c>
      <c r="H136" s="737">
        <v>-1542</v>
      </c>
      <c r="I136" s="737">
        <v>-2767</v>
      </c>
      <c r="J136" s="737">
        <v>-4630</v>
      </c>
      <c r="K136" s="737">
        <v>-5222</v>
      </c>
      <c r="L136" s="737">
        <v>-5329</v>
      </c>
      <c r="M136" s="737">
        <v>-3814</v>
      </c>
      <c r="N136" s="737">
        <v>-4193</v>
      </c>
      <c r="O136" s="737">
        <v>-4268</v>
      </c>
      <c r="P136" s="737"/>
    </row>
    <row r="137" spans="1:16" x14ac:dyDescent="0.2">
      <c r="A137" s="510"/>
      <c r="B137" s="510"/>
      <c r="C137" s="510" t="s">
        <v>139</v>
      </c>
      <c r="D137" s="510"/>
      <c r="E137" s="534"/>
      <c r="F137" s="534"/>
      <c r="G137" s="534"/>
      <c r="H137" s="534"/>
      <c r="I137" s="736"/>
      <c r="J137" s="736"/>
      <c r="K137" s="534"/>
      <c r="L137" s="534"/>
      <c r="M137" s="534"/>
      <c r="N137" s="534"/>
      <c r="O137" s="534"/>
      <c r="P137" s="534"/>
    </row>
    <row r="138" spans="1:16" x14ac:dyDescent="0.2">
      <c r="A138" s="510"/>
      <c r="B138" s="510"/>
      <c r="C138" s="510"/>
      <c r="D138" s="510"/>
      <c r="E138" s="510"/>
      <c r="F138" s="510"/>
      <c r="G138" s="510"/>
      <c r="H138" s="510"/>
      <c r="I138" s="510"/>
      <c r="J138" s="510"/>
      <c r="K138" s="510"/>
      <c r="L138" s="510"/>
      <c r="M138" s="510"/>
      <c r="N138" s="510"/>
      <c r="O138" s="510"/>
      <c r="P138" s="510"/>
    </row>
    <row r="139" spans="1:16" ht="15" x14ac:dyDescent="0.25">
      <c r="A139" s="742" t="s">
        <v>704</v>
      </c>
      <c r="B139" s="483">
        <v>8000138458</v>
      </c>
      <c r="C139" s="484" t="s">
        <v>695</v>
      </c>
      <c r="D139" s="484" t="s">
        <v>620</v>
      </c>
      <c r="E139" s="485"/>
      <c r="F139" s="486"/>
      <c r="G139" s="486"/>
      <c r="H139" s="486"/>
      <c r="I139" s="486"/>
      <c r="J139" s="486"/>
      <c r="K139" s="485"/>
      <c r="L139" s="486"/>
      <c r="M139" s="486"/>
      <c r="N139" s="486"/>
      <c r="O139" s="486"/>
      <c r="P139" s="486"/>
    </row>
    <row r="140" spans="1:16" x14ac:dyDescent="0.2">
      <c r="A140" s="535"/>
      <c r="B140" s="536"/>
      <c r="C140" s="496" t="s">
        <v>127</v>
      </c>
      <c r="D140" s="496"/>
      <c r="E140" s="733">
        <f>-E134</f>
        <v>1</v>
      </c>
      <c r="F140" s="733">
        <f t="shared" ref="F140:O140" si="2">-F134</f>
        <v>1</v>
      </c>
      <c r="G140" s="733">
        <f t="shared" si="2"/>
        <v>1</v>
      </c>
      <c r="H140" s="733">
        <f t="shared" si="2"/>
        <v>1</v>
      </c>
      <c r="I140" s="734">
        <f t="shared" si="2"/>
        <v>1</v>
      </c>
      <c r="J140" s="734">
        <f t="shared" si="2"/>
        <v>1</v>
      </c>
      <c r="K140" s="733">
        <f t="shared" si="2"/>
        <v>1</v>
      </c>
      <c r="L140" s="733">
        <f t="shared" si="2"/>
        <v>1</v>
      </c>
      <c r="M140" s="733">
        <f t="shared" si="2"/>
        <v>1</v>
      </c>
      <c r="N140" s="733">
        <f t="shared" si="2"/>
        <v>1</v>
      </c>
      <c r="O140" s="733">
        <f t="shared" si="2"/>
        <v>1</v>
      </c>
      <c r="P140" s="733"/>
    </row>
    <row r="141" spans="1:16" ht="15" x14ac:dyDescent="0.25">
      <c r="A141" s="510"/>
      <c r="B141" s="536"/>
      <c r="C141" s="496" t="s">
        <v>128</v>
      </c>
      <c r="D141" s="537"/>
      <c r="E141" s="737">
        <f t="shared" ref="E141:P141" si="3">-E135</f>
        <v>300</v>
      </c>
      <c r="F141" s="737">
        <f t="shared" si="3"/>
        <v>300</v>
      </c>
      <c r="G141" s="737">
        <f t="shared" si="3"/>
        <v>300</v>
      </c>
      <c r="H141" s="737">
        <f t="shared" si="3"/>
        <v>300</v>
      </c>
      <c r="I141" s="737">
        <f t="shared" si="3"/>
        <v>300</v>
      </c>
      <c r="J141" s="737">
        <f t="shared" si="3"/>
        <v>300</v>
      </c>
      <c r="K141" s="737">
        <f t="shared" si="3"/>
        <v>300</v>
      </c>
      <c r="L141" s="737">
        <f t="shared" si="3"/>
        <v>300</v>
      </c>
      <c r="M141" s="737">
        <f t="shared" si="3"/>
        <v>300</v>
      </c>
      <c r="N141" s="737">
        <f t="shared" si="3"/>
        <v>300</v>
      </c>
      <c r="O141" s="737">
        <f t="shared" si="3"/>
        <v>300</v>
      </c>
      <c r="P141" s="737">
        <f t="shared" si="3"/>
        <v>0</v>
      </c>
    </row>
    <row r="142" spans="1:16" ht="15" x14ac:dyDescent="0.25">
      <c r="A142" s="510"/>
      <c r="B142" s="510"/>
      <c r="C142" s="510" t="s">
        <v>129</v>
      </c>
      <c r="D142" s="510"/>
      <c r="E142" s="737">
        <v>662.20098015430153</v>
      </c>
      <c r="F142" s="737">
        <v>197.84074918724829</v>
      </c>
      <c r="G142" s="737">
        <v>1981.0422630889416</v>
      </c>
      <c r="H142" s="737">
        <v>2381.3528070260568</v>
      </c>
      <c r="I142" s="737">
        <v>4164.5543209277494</v>
      </c>
      <c r="J142" s="737">
        <v>6876.4762967635497</v>
      </c>
      <c r="K142" s="737">
        <v>7738.2357222572664</v>
      </c>
      <c r="L142" s="737">
        <v>7893.9929157164352</v>
      </c>
      <c r="M142" s="737">
        <v>5688.6457372992381</v>
      </c>
      <c r="N142" s="737">
        <v>6240.3464505798438</v>
      </c>
      <c r="O142" s="737">
        <v>6349.5220534717846</v>
      </c>
      <c r="P142" s="737">
        <v>2042.7897035275848</v>
      </c>
    </row>
    <row r="143" spans="1:16" x14ac:dyDescent="0.2">
      <c r="A143" s="510"/>
      <c r="B143" s="510"/>
      <c r="C143" s="510" t="s">
        <v>130</v>
      </c>
      <c r="D143" s="510"/>
      <c r="E143" s="534"/>
      <c r="F143" s="534"/>
      <c r="G143" s="534"/>
      <c r="H143" s="534"/>
      <c r="I143" s="736"/>
      <c r="J143" s="736"/>
      <c r="K143" s="534"/>
      <c r="L143" s="534"/>
      <c r="M143" s="534"/>
      <c r="N143" s="534"/>
      <c r="O143" s="534"/>
      <c r="P143" s="534"/>
    </row>
    <row r="144" spans="1:16" x14ac:dyDescent="0.2">
      <c r="A144" s="510"/>
      <c r="B144" s="510"/>
      <c r="C144" s="510"/>
      <c r="D144" s="510"/>
      <c r="E144" s="541"/>
      <c r="F144" s="541"/>
      <c r="G144" s="541"/>
      <c r="H144" s="541"/>
      <c r="I144" s="541"/>
      <c r="J144" s="541"/>
      <c r="K144" s="541"/>
      <c r="L144" s="541"/>
      <c r="M144" s="541"/>
      <c r="N144" s="541"/>
      <c r="O144" s="541"/>
      <c r="P144" s="541"/>
    </row>
    <row r="145" spans="1:17" ht="15" x14ac:dyDescent="0.25">
      <c r="A145" s="742" t="s">
        <v>705</v>
      </c>
      <c r="B145" s="483"/>
      <c r="C145" s="484" t="s">
        <v>617</v>
      </c>
      <c r="D145" s="484" t="s">
        <v>620</v>
      </c>
      <c r="E145" s="485"/>
      <c r="F145" s="486"/>
      <c r="G145" s="486"/>
      <c r="H145" s="486"/>
      <c r="I145" s="486"/>
      <c r="J145" s="486"/>
      <c r="K145" s="485"/>
      <c r="L145" s="486"/>
      <c r="M145" s="486"/>
      <c r="N145" s="486"/>
      <c r="O145" s="486"/>
      <c r="P145" s="486"/>
    </row>
    <row r="146" spans="1:17" x14ac:dyDescent="0.2">
      <c r="A146" s="535"/>
      <c r="B146" s="536"/>
      <c r="C146" s="496" t="s">
        <v>127</v>
      </c>
      <c r="D146" s="496"/>
      <c r="E146" s="733">
        <v>1</v>
      </c>
      <c r="F146" s="733">
        <v>1</v>
      </c>
      <c r="G146" s="733">
        <v>1</v>
      </c>
      <c r="H146" s="733">
        <v>1</v>
      </c>
      <c r="I146" s="734">
        <v>1</v>
      </c>
      <c r="J146" s="734">
        <v>1</v>
      </c>
      <c r="K146" s="733">
        <v>1</v>
      </c>
      <c r="L146" s="733">
        <v>1</v>
      </c>
      <c r="M146" s="733">
        <v>1</v>
      </c>
      <c r="N146" s="733">
        <v>1</v>
      </c>
      <c r="O146" s="733">
        <v>1</v>
      </c>
      <c r="P146" s="733">
        <v>1</v>
      </c>
    </row>
    <row r="147" spans="1:17" ht="15" x14ac:dyDescent="0.25">
      <c r="A147" s="510"/>
      <c r="B147" s="536"/>
      <c r="C147" s="496" t="s">
        <v>128</v>
      </c>
      <c r="D147" s="537"/>
      <c r="E147" s="737">
        <v>300</v>
      </c>
      <c r="F147" s="737">
        <v>300</v>
      </c>
      <c r="G147" s="737">
        <v>300</v>
      </c>
      <c r="H147" s="737">
        <v>300</v>
      </c>
      <c r="I147" s="737">
        <v>300</v>
      </c>
      <c r="J147" s="737">
        <v>300</v>
      </c>
      <c r="K147" s="737">
        <v>300</v>
      </c>
      <c r="L147" s="737">
        <v>300</v>
      </c>
      <c r="M147" s="737">
        <v>300</v>
      </c>
      <c r="N147" s="737">
        <v>300</v>
      </c>
      <c r="O147" s="737">
        <v>300</v>
      </c>
      <c r="P147" s="737">
        <v>300</v>
      </c>
    </row>
    <row r="148" spans="1:17" ht="15" x14ac:dyDescent="0.25">
      <c r="A148" s="510"/>
      <c r="B148" s="510"/>
      <c r="C148" s="510" t="s">
        <v>129</v>
      </c>
      <c r="D148" s="510"/>
      <c r="E148" s="737">
        <v>1700</v>
      </c>
      <c r="F148" s="737">
        <v>1700</v>
      </c>
      <c r="G148" s="737">
        <v>1700</v>
      </c>
      <c r="H148" s="737">
        <v>1700</v>
      </c>
      <c r="I148" s="737">
        <v>1700</v>
      </c>
      <c r="J148" s="737">
        <v>1700</v>
      </c>
      <c r="K148" s="737">
        <v>1700</v>
      </c>
      <c r="L148" s="737">
        <v>1700</v>
      </c>
      <c r="M148" s="737">
        <v>1700</v>
      </c>
      <c r="N148" s="737">
        <v>1700</v>
      </c>
      <c r="O148" s="737">
        <v>1700</v>
      </c>
      <c r="P148" s="737">
        <v>1700</v>
      </c>
    </row>
    <row r="149" spans="1:17" x14ac:dyDescent="0.2">
      <c r="A149" s="510"/>
      <c r="B149" s="510"/>
      <c r="C149" s="510" t="s">
        <v>130</v>
      </c>
      <c r="D149" s="510"/>
      <c r="E149" s="534"/>
      <c r="F149" s="534"/>
      <c r="G149" s="534"/>
      <c r="H149" s="534"/>
      <c r="I149" s="736"/>
      <c r="J149" s="736"/>
      <c r="K149" s="534"/>
      <c r="L149" s="534"/>
      <c r="M149" s="534"/>
      <c r="N149" s="534"/>
      <c r="O149" s="534"/>
      <c r="P149" s="534"/>
    </row>
    <row r="150" spans="1:17" x14ac:dyDescent="0.2">
      <c r="A150" s="510"/>
      <c r="B150" s="510"/>
      <c r="C150" s="510"/>
      <c r="D150" s="510"/>
      <c r="E150" s="541"/>
      <c r="F150" s="541"/>
      <c r="G150" s="541"/>
      <c r="H150" s="541"/>
      <c r="I150" s="541"/>
      <c r="J150" s="541"/>
      <c r="K150" s="541"/>
      <c r="L150" s="541"/>
      <c r="M150" s="541"/>
      <c r="N150" s="541"/>
      <c r="O150" s="541"/>
      <c r="P150" s="541"/>
    </row>
    <row r="151" spans="1:17" x14ac:dyDescent="0.2">
      <c r="A151" s="543" t="s">
        <v>706</v>
      </c>
      <c r="B151" s="483"/>
      <c r="C151" s="484" t="s">
        <v>617</v>
      </c>
      <c r="D151" s="484" t="s">
        <v>620</v>
      </c>
      <c r="E151" s="485"/>
      <c r="F151" s="486"/>
      <c r="G151" s="486"/>
      <c r="H151" s="486"/>
      <c r="I151" s="486"/>
      <c r="J151" s="486"/>
      <c r="K151" s="485"/>
      <c r="L151" s="486"/>
      <c r="M151" s="486"/>
      <c r="N151" s="486"/>
      <c r="O151" s="486"/>
      <c r="P151" s="486"/>
    </row>
    <row r="152" spans="1:17" x14ac:dyDescent="0.2">
      <c r="A152" s="535"/>
      <c r="B152" s="536"/>
      <c r="C152" s="496" t="s">
        <v>127</v>
      </c>
      <c r="D152" s="496"/>
      <c r="E152" s="733">
        <v>1</v>
      </c>
      <c r="F152" s="733">
        <v>1</v>
      </c>
      <c r="G152" s="733">
        <v>1</v>
      </c>
      <c r="H152" s="733">
        <v>1</v>
      </c>
      <c r="I152" s="734">
        <v>1</v>
      </c>
      <c r="J152" s="734">
        <v>1</v>
      </c>
      <c r="K152" s="733">
        <v>1</v>
      </c>
      <c r="L152" s="733">
        <v>1</v>
      </c>
      <c r="M152" s="733">
        <v>1</v>
      </c>
      <c r="N152" s="733">
        <v>1</v>
      </c>
      <c r="O152" s="733">
        <v>1</v>
      </c>
      <c r="P152" s="733">
        <v>1</v>
      </c>
    </row>
    <row r="153" spans="1:17" ht="15" x14ac:dyDescent="0.25">
      <c r="A153" s="510"/>
      <c r="B153" s="536"/>
      <c r="C153" s="496" t="s">
        <v>128</v>
      </c>
      <c r="D153" s="537"/>
      <c r="E153" s="737">
        <v>300</v>
      </c>
      <c r="F153" s="737">
        <v>300</v>
      </c>
      <c r="G153" s="737">
        <v>300</v>
      </c>
      <c r="H153" s="737">
        <v>300</v>
      </c>
      <c r="I153" s="737">
        <v>300</v>
      </c>
      <c r="J153" s="737">
        <v>300</v>
      </c>
      <c r="K153" s="737">
        <v>300</v>
      </c>
      <c r="L153" s="737">
        <v>300</v>
      </c>
      <c r="M153" s="737">
        <v>300</v>
      </c>
      <c r="N153" s="737">
        <v>300</v>
      </c>
      <c r="O153" s="737">
        <v>300</v>
      </c>
      <c r="P153" s="737">
        <v>300</v>
      </c>
    </row>
    <row r="154" spans="1:17" ht="15" x14ac:dyDescent="0.25">
      <c r="A154" s="510"/>
      <c r="B154" s="510"/>
      <c r="C154" s="510" t="s">
        <v>129</v>
      </c>
      <c r="D154" s="510"/>
      <c r="E154" s="737">
        <v>950</v>
      </c>
      <c r="F154" s="737">
        <v>950</v>
      </c>
      <c r="G154" s="737">
        <v>950</v>
      </c>
      <c r="H154" s="737">
        <v>950</v>
      </c>
      <c r="I154" s="737">
        <v>950</v>
      </c>
      <c r="J154" s="737">
        <v>950</v>
      </c>
      <c r="K154" s="737">
        <v>950</v>
      </c>
      <c r="L154" s="737">
        <v>950</v>
      </c>
      <c r="M154" s="737">
        <v>950</v>
      </c>
      <c r="N154" s="737">
        <v>950</v>
      </c>
      <c r="O154" s="737">
        <v>950</v>
      </c>
      <c r="P154" s="737">
        <v>950</v>
      </c>
    </row>
    <row r="155" spans="1:17" x14ac:dyDescent="0.2">
      <c r="A155" s="510"/>
      <c r="B155" s="510"/>
      <c r="C155" s="510" t="s">
        <v>130</v>
      </c>
      <c r="D155" s="510"/>
      <c r="E155" s="534"/>
      <c r="F155" s="534"/>
      <c r="G155" s="534"/>
      <c r="H155" s="534"/>
      <c r="I155" s="736"/>
      <c r="J155" s="736"/>
      <c r="K155" s="534"/>
      <c r="L155" s="534"/>
      <c r="M155" s="534"/>
      <c r="N155" s="534"/>
      <c r="O155" s="534"/>
      <c r="P155" s="534"/>
    </row>
    <row r="156" spans="1:17" x14ac:dyDescent="0.2">
      <c r="A156" s="510"/>
      <c r="B156" s="510"/>
      <c r="C156" s="510"/>
      <c r="D156" s="510"/>
      <c r="E156" s="510"/>
      <c r="F156" s="510"/>
      <c r="G156" s="510"/>
      <c r="H156" s="510"/>
      <c r="I156" s="510"/>
      <c r="J156" s="510"/>
      <c r="K156" s="510"/>
      <c r="L156" s="510"/>
      <c r="M156" s="510"/>
      <c r="N156" s="510"/>
      <c r="O156" s="510"/>
      <c r="P156" s="510"/>
    </row>
    <row r="157" spans="1:17" x14ac:dyDescent="0.2">
      <c r="A157" s="492" t="s">
        <v>624</v>
      </c>
      <c r="B157" s="483"/>
      <c r="C157" s="493"/>
      <c r="D157" s="484"/>
      <c r="E157" s="485"/>
      <c r="F157" s="486"/>
      <c r="G157" s="486"/>
      <c r="H157" s="486"/>
      <c r="I157" s="486"/>
      <c r="J157" s="486"/>
      <c r="K157" s="485"/>
      <c r="L157" s="486"/>
      <c r="M157" s="486"/>
      <c r="N157" s="486"/>
      <c r="O157" s="486"/>
      <c r="P157" s="486"/>
      <c r="Q157" s="491"/>
    </row>
    <row r="158" spans="1:17" x14ac:dyDescent="0.2">
      <c r="C158" s="494"/>
      <c r="E158" s="495"/>
      <c r="F158" s="495"/>
      <c r="G158" s="495"/>
      <c r="H158" s="495"/>
      <c r="I158" s="495"/>
      <c r="J158" s="495"/>
      <c r="K158" s="495"/>
      <c r="L158" s="495"/>
      <c r="M158" s="495"/>
      <c r="N158" s="495"/>
      <c r="O158" s="495"/>
      <c r="P158" s="495"/>
      <c r="Q158" s="491"/>
    </row>
    <row r="159" spans="1:17" x14ac:dyDescent="0.2">
      <c r="C159" s="496" t="s">
        <v>495</v>
      </c>
      <c r="E159" s="491">
        <f t="shared" ref="E159:P162" si="4">SUMIF($C$6:$C$155,$C159,E$6:E$155)</f>
        <v>1</v>
      </c>
      <c r="F159" s="491">
        <f t="shared" si="4"/>
        <v>1</v>
      </c>
      <c r="G159" s="491">
        <f t="shared" si="4"/>
        <v>1</v>
      </c>
      <c r="H159" s="491">
        <f t="shared" si="4"/>
        <v>1</v>
      </c>
      <c r="I159" s="491">
        <f t="shared" si="4"/>
        <v>1</v>
      </c>
      <c r="J159" s="491">
        <f t="shared" si="4"/>
        <v>1</v>
      </c>
      <c r="K159" s="491">
        <f t="shared" si="4"/>
        <v>1</v>
      </c>
      <c r="L159" s="491">
        <f t="shared" si="4"/>
        <v>1</v>
      </c>
      <c r="M159" s="491">
        <f t="shared" si="4"/>
        <v>1</v>
      </c>
      <c r="N159" s="491">
        <f t="shared" si="4"/>
        <v>1</v>
      </c>
      <c r="O159" s="491">
        <f t="shared" si="4"/>
        <v>1</v>
      </c>
      <c r="P159" s="491">
        <f t="shared" si="4"/>
        <v>2</v>
      </c>
      <c r="Q159" s="491">
        <f>SUM(E159:P159)</f>
        <v>13</v>
      </c>
    </row>
    <row r="160" spans="1:17" x14ac:dyDescent="0.2">
      <c r="C160" s="496" t="s">
        <v>137</v>
      </c>
      <c r="E160" s="491">
        <f t="shared" si="4"/>
        <v>-155</v>
      </c>
      <c r="F160" s="491">
        <f t="shared" si="4"/>
        <v>-150</v>
      </c>
      <c r="G160" s="491">
        <f t="shared" si="4"/>
        <v>-171</v>
      </c>
      <c r="H160" s="491">
        <f t="shared" si="4"/>
        <v>-146</v>
      </c>
      <c r="I160" s="491">
        <f t="shared" si="4"/>
        <v>89</v>
      </c>
      <c r="J160" s="491">
        <f t="shared" si="4"/>
        <v>654</v>
      </c>
      <c r="K160" s="491">
        <f t="shared" si="4"/>
        <v>403</v>
      </c>
      <c r="L160" s="491">
        <f t="shared" si="4"/>
        <v>237</v>
      </c>
      <c r="M160" s="491">
        <f t="shared" si="4"/>
        <v>294</v>
      </c>
      <c r="N160" s="491">
        <f t="shared" si="4"/>
        <v>-242</v>
      </c>
      <c r="O160" s="491">
        <f t="shared" si="4"/>
        <v>-237</v>
      </c>
      <c r="P160" s="491">
        <f t="shared" si="4"/>
        <v>70</v>
      </c>
      <c r="Q160" s="741">
        <f t="shared" ref="Q160:Q185" si="5">SUM(E160:P160)</f>
        <v>646</v>
      </c>
    </row>
    <row r="161" spans="3:17" x14ac:dyDescent="0.2">
      <c r="C161" s="478" t="s">
        <v>138</v>
      </c>
      <c r="E161" s="491">
        <f t="shared" si="4"/>
        <v>-361</v>
      </c>
      <c r="F161" s="491">
        <f t="shared" si="4"/>
        <v>-42</v>
      </c>
      <c r="G161" s="491">
        <f t="shared" si="4"/>
        <v>-1267</v>
      </c>
      <c r="H161" s="491">
        <f t="shared" si="4"/>
        <v>-1542</v>
      </c>
      <c r="I161" s="491">
        <f t="shared" si="4"/>
        <v>-2605</v>
      </c>
      <c r="J161" s="491">
        <f t="shared" si="4"/>
        <v>-4398</v>
      </c>
      <c r="K161" s="491">
        <f t="shared" si="4"/>
        <v>-5124</v>
      </c>
      <c r="L161" s="491">
        <f t="shared" si="4"/>
        <v>-5329</v>
      </c>
      <c r="M161" s="491">
        <f t="shared" si="4"/>
        <v>-3814</v>
      </c>
      <c r="N161" s="491">
        <f t="shared" si="4"/>
        <v>-4193</v>
      </c>
      <c r="O161" s="491">
        <f t="shared" si="4"/>
        <v>-4268</v>
      </c>
      <c r="P161" s="491">
        <f t="shared" si="4"/>
        <v>0</v>
      </c>
      <c r="Q161" s="741">
        <f t="shared" si="5"/>
        <v>-32943</v>
      </c>
    </row>
    <row r="162" spans="3:17" x14ac:dyDescent="0.2">
      <c r="C162" s="478" t="s">
        <v>139</v>
      </c>
      <c r="E162" s="491">
        <f t="shared" si="4"/>
        <v>0</v>
      </c>
      <c r="F162" s="491">
        <f t="shared" si="4"/>
        <v>0</v>
      </c>
      <c r="G162" s="491">
        <f t="shared" si="4"/>
        <v>0</v>
      </c>
      <c r="H162" s="491">
        <f t="shared" si="4"/>
        <v>0</v>
      </c>
      <c r="I162" s="491">
        <f t="shared" si="4"/>
        <v>0</v>
      </c>
      <c r="J162" s="491">
        <f t="shared" si="4"/>
        <v>0</v>
      </c>
      <c r="K162" s="491">
        <f t="shared" si="4"/>
        <v>0</v>
      </c>
      <c r="L162" s="491">
        <f t="shared" si="4"/>
        <v>0</v>
      </c>
      <c r="M162" s="491">
        <f t="shared" si="4"/>
        <v>0</v>
      </c>
      <c r="N162" s="491">
        <f t="shared" si="4"/>
        <v>0</v>
      </c>
      <c r="O162" s="491">
        <f t="shared" si="4"/>
        <v>0</v>
      </c>
      <c r="P162" s="491">
        <f t="shared" si="4"/>
        <v>0</v>
      </c>
      <c r="Q162" s="741">
        <f t="shared" si="5"/>
        <v>0</v>
      </c>
    </row>
    <row r="163" spans="3:17" x14ac:dyDescent="0.2">
      <c r="C163" s="496"/>
      <c r="E163" s="491"/>
      <c r="F163" s="491"/>
      <c r="G163" s="491"/>
      <c r="H163" s="491"/>
      <c r="I163" s="491"/>
      <c r="J163" s="491"/>
      <c r="K163" s="491"/>
      <c r="L163" s="491"/>
      <c r="M163" s="491"/>
      <c r="N163" s="491"/>
      <c r="O163" s="491"/>
      <c r="P163" s="491"/>
      <c r="Q163" s="741">
        <f t="shared" si="5"/>
        <v>0</v>
      </c>
    </row>
    <row r="164" spans="3:17" x14ac:dyDescent="0.2">
      <c r="C164" s="496" t="s">
        <v>496</v>
      </c>
      <c r="E164" s="491">
        <f t="shared" ref="E164:P166" si="6">SUMIF($C$6:$C$155,$C164,E$6:E$155)</f>
        <v>0</v>
      </c>
      <c r="F164" s="491">
        <f t="shared" si="6"/>
        <v>0</v>
      </c>
      <c r="G164" s="491">
        <f t="shared" si="6"/>
        <v>0</v>
      </c>
      <c r="H164" s="491">
        <f t="shared" si="6"/>
        <v>0</v>
      </c>
      <c r="I164" s="491">
        <f t="shared" si="6"/>
        <v>0</v>
      </c>
      <c r="J164" s="491">
        <f t="shared" si="6"/>
        <v>0</v>
      </c>
      <c r="K164" s="491">
        <f t="shared" si="6"/>
        <v>0</v>
      </c>
      <c r="L164" s="491">
        <f t="shared" si="6"/>
        <v>0</v>
      </c>
      <c r="M164" s="491">
        <f t="shared" si="6"/>
        <v>0</v>
      </c>
      <c r="N164" s="491">
        <f t="shared" si="6"/>
        <v>0</v>
      </c>
      <c r="O164" s="491">
        <f t="shared" si="6"/>
        <v>0</v>
      </c>
      <c r="P164" s="491">
        <f t="shared" si="6"/>
        <v>0</v>
      </c>
      <c r="Q164" s="741">
        <f t="shared" si="5"/>
        <v>0</v>
      </c>
    </row>
    <row r="165" spans="3:17" x14ac:dyDescent="0.2">
      <c r="C165" s="496" t="s">
        <v>140</v>
      </c>
      <c r="E165" s="491">
        <f t="shared" si="6"/>
        <v>0</v>
      </c>
      <c r="F165" s="491">
        <f t="shared" si="6"/>
        <v>0</v>
      </c>
      <c r="G165" s="491">
        <f t="shared" si="6"/>
        <v>0</v>
      </c>
      <c r="H165" s="491">
        <f t="shared" si="6"/>
        <v>0</v>
      </c>
      <c r="I165" s="491">
        <f t="shared" si="6"/>
        <v>0</v>
      </c>
      <c r="J165" s="491">
        <f t="shared" si="6"/>
        <v>0</v>
      </c>
      <c r="K165" s="491">
        <f t="shared" si="6"/>
        <v>-15000</v>
      </c>
      <c r="L165" s="491">
        <f t="shared" si="6"/>
        <v>-15000</v>
      </c>
      <c r="M165" s="491">
        <f t="shared" si="6"/>
        <v>-15000</v>
      </c>
      <c r="N165" s="491">
        <f t="shared" si="6"/>
        <v>-15000</v>
      </c>
      <c r="O165" s="491">
        <f t="shared" si="6"/>
        <v>-15000</v>
      </c>
      <c r="P165" s="491">
        <f t="shared" si="6"/>
        <v>0</v>
      </c>
      <c r="Q165" s="741">
        <f t="shared" si="5"/>
        <v>-75000</v>
      </c>
    </row>
    <row r="166" spans="3:17" x14ac:dyDescent="0.2">
      <c r="C166" s="478" t="s">
        <v>141</v>
      </c>
      <c r="E166" s="491">
        <f t="shared" si="6"/>
        <v>0</v>
      </c>
      <c r="F166" s="491">
        <f t="shared" si="6"/>
        <v>0</v>
      </c>
      <c r="G166" s="491">
        <f t="shared" si="6"/>
        <v>0</v>
      </c>
      <c r="H166" s="491">
        <f t="shared" si="6"/>
        <v>0</v>
      </c>
      <c r="I166" s="491">
        <f t="shared" si="6"/>
        <v>0</v>
      </c>
      <c r="J166" s="491">
        <f t="shared" si="6"/>
        <v>0</v>
      </c>
      <c r="K166" s="491">
        <f t="shared" si="6"/>
        <v>-34899</v>
      </c>
      <c r="L166" s="491">
        <f t="shared" si="6"/>
        <v>-90742</v>
      </c>
      <c r="M166" s="491">
        <f t="shared" si="6"/>
        <v>-30630</v>
      </c>
      <c r="N166" s="491">
        <f t="shared" si="6"/>
        <v>-38094</v>
      </c>
      <c r="O166" s="491">
        <f t="shared" si="6"/>
        <v>-72430</v>
      </c>
      <c r="P166" s="491">
        <f t="shared" si="6"/>
        <v>0</v>
      </c>
      <c r="Q166" s="741">
        <f t="shared" si="5"/>
        <v>-266795</v>
      </c>
    </row>
    <row r="167" spans="3:17" x14ac:dyDescent="0.2">
      <c r="E167" s="491"/>
      <c r="F167" s="491"/>
      <c r="G167" s="491"/>
      <c r="H167" s="491"/>
      <c r="I167" s="491"/>
      <c r="J167" s="491"/>
      <c r="K167" s="491"/>
      <c r="L167" s="491"/>
      <c r="M167" s="491"/>
      <c r="N167" s="491"/>
      <c r="O167" s="491"/>
      <c r="P167" s="491"/>
      <c r="Q167" s="741">
        <f t="shared" si="5"/>
        <v>0</v>
      </c>
    </row>
    <row r="168" spans="3:17" x14ac:dyDescent="0.2">
      <c r="C168" s="496" t="s">
        <v>136</v>
      </c>
      <c r="E168" s="491">
        <f t="shared" ref="E168:P170" si="7">SUMIF($C$6:$C$155,$C168,E$6:E$155)</f>
        <v>-1</v>
      </c>
      <c r="F168" s="491">
        <f t="shared" si="7"/>
        <v>-1</v>
      </c>
      <c r="G168" s="491">
        <f t="shared" si="7"/>
        <v>-1</v>
      </c>
      <c r="H168" s="491">
        <f t="shared" si="7"/>
        <v>-1</v>
      </c>
      <c r="I168" s="491">
        <f t="shared" si="7"/>
        <v>-1</v>
      </c>
      <c r="J168" s="491">
        <f t="shared" si="7"/>
        <v>-1</v>
      </c>
      <c r="K168" s="491">
        <f t="shared" si="7"/>
        <v>-1</v>
      </c>
      <c r="L168" s="491">
        <f t="shared" si="7"/>
        <v>-2</v>
      </c>
      <c r="M168" s="491">
        <f t="shared" si="7"/>
        <v>-2</v>
      </c>
      <c r="N168" s="491">
        <f t="shared" si="7"/>
        <v>-2</v>
      </c>
      <c r="O168" s="491">
        <f t="shared" si="7"/>
        <v>-2</v>
      </c>
      <c r="P168" s="491">
        <f t="shared" si="7"/>
        <v>-2</v>
      </c>
      <c r="Q168" s="741">
        <f t="shared" si="5"/>
        <v>-17</v>
      </c>
    </row>
    <row r="169" spans="3:17" x14ac:dyDescent="0.2">
      <c r="C169" s="496" t="s">
        <v>131</v>
      </c>
      <c r="E169" s="491">
        <f t="shared" si="7"/>
        <v>16737.18041691689</v>
      </c>
      <c r="F169" s="491">
        <f t="shared" si="7"/>
        <v>16209.968761262313</v>
      </c>
      <c r="G169" s="491">
        <f t="shared" si="7"/>
        <v>17346.133658629144</v>
      </c>
      <c r="H169" s="491">
        <f t="shared" si="7"/>
        <v>16357.238643509578</v>
      </c>
      <c r="I169" s="491">
        <f t="shared" si="7"/>
        <v>6332.9396652462128</v>
      </c>
      <c r="J169" s="491">
        <f t="shared" si="7"/>
        <v>5125.3628688759527</v>
      </c>
      <c r="K169" s="491">
        <f t="shared" si="7"/>
        <v>16047.88538146246</v>
      </c>
      <c r="L169" s="491">
        <f t="shared" si="7"/>
        <v>16128.783314647571</v>
      </c>
      <c r="M169" s="491">
        <f t="shared" si="7"/>
        <v>16113.964325262092</v>
      </c>
      <c r="N169" s="491">
        <f t="shared" si="7"/>
        <v>16357.130243426696</v>
      </c>
      <c r="O169" s="491">
        <f t="shared" si="7"/>
        <v>16213.426512335427</v>
      </c>
      <c r="P169" s="491">
        <f t="shared" si="7"/>
        <v>2641.1547644656716</v>
      </c>
      <c r="Q169" s="741">
        <f t="shared" si="5"/>
        <v>161611.16855604001</v>
      </c>
    </row>
    <row r="170" spans="3:17" x14ac:dyDescent="0.2">
      <c r="C170" s="478" t="s">
        <v>132</v>
      </c>
      <c r="E170" s="491">
        <f t="shared" si="7"/>
        <v>25000</v>
      </c>
      <c r="F170" s="491">
        <f t="shared" si="7"/>
        <v>25000</v>
      </c>
      <c r="G170" s="491">
        <f t="shared" si="7"/>
        <v>25000</v>
      </c>
      <c r="H170" s="491">
        <f t="shared" si="7"/>
        <v>26825.406263714343</v>
      </c>
      <c r="I170" s="491">
        <f t="shared" si="7"/>
        <v>27036.897894046906</v>
      </c>
      <c r="J170" s="491">
        <f t="shared" si="7"/>
        <v>27091.342395486023</v>
      </c>
      <c r="K170" s="491">
        <f t="shared" si="7"/>
        <v>27353.461799321762</v>
      </c>
      <c r="L170" s="491">
        <f t="shared" si="7"/>
        <v>27139.276008093242</v>
      </c>
      <c r="M170" s="491">
        <f t="shared" si="7"/>
        <v>27073.718092958308</v>
      </c>
      <c r="N170" s="491">
        <f t="shared" si="7"/>
        <v>26842.918309538058</v>
      </c>
      <c r="O170" s="491">
        <f t="shared" si="7"/>
        <v>26886.810680801344</v>
      </c>
      <c r="P170" s="491">
        <f t="shared" si="7"/>
        <v>0</v>
      </c>
      <c r="Q170" s="741">
        <f t="shared" si="5"/>
        <v>291249.83144395996</v>
      </c>
    </row>
    <row r="171" spans="3:17" x14ac:dyDescent="0.2">
      <c r="E171" s="491"/>
      <c r="F171" s="491"/>
      <c r="G171" s="491"/>
      <c r="H171" s="491"/>
      <c r="I171" s="491"/>
      <c r="J171" s="491"/>
      <c r="K171" s="491"/>
      <c r="L171" s="491"/>
      <c r="M171" s="491"/>
      <c r="N171" s="491"/>
      <c r="O171" s="491"/>
      <c r="P171" s="491"/>
      <c r="Q171" s="741">
        <f t="shared" si="5"/>
        <v>0</v>
      </c>
    </row>
    <row r="172" spans="3:17" x14ac:dyDescent="0.2">
      <c r="C172" s="496" t="s">
        <v>127</v>
      </c>
      <c r="E172" s="491">
        <f t="shared" ref="E172:P175" si="8">SUMIF($C$6:$C$155,$C172,E$6:E$155)</f>
        <v>1</v>
      </c>
      <c r="F172" s="491">
        <f t="shared" si="8"/>
        <v>1</v>
      </c>
      <c r="G172" s="491">
        <f t="shared" si="8"/>
        <v>1</v>
      </c>
      <c r="H172" s="491">
        <f t="shared" si="8"/>
        <v>1</v>
      </c>
      <c r="I172" s="491">
        <f t="shared" si="8"/>
        <v>1</v>
      </c>
      <c r="J172" s="491">
        <f t="shared" si="8"/>
        <v>1</v>
      </c>
      <c r="K172" s="491">
        <f t="shared" si="8"/>
        <v>1</v>
      </c>
      <c r="L172" s="491">
        <f t="shared" si="8"/>
        <v>1</v>
      </c>
      <c r="M172" s="491">
        <f t="shared" si="8"/>
        <v>1</v>
      </c>
      <c r="N172" s="491">
        <f t="shared" si="8"/>
        <v>1</v>
      </c>
      <c r="O172" s="491">
        <f t="shared" si="8"/>
        <v>1</v>
      </c>
      <c r="P172" s="491">
        <f t="shared" si="8"/>
        <v>0</v>
      </c>
      <c r="Q172" s="741">
        <f t="shared" si="5"/>
        <v>11</v>
      </c>
    </row>
    <row r="173" spans="3:17" x14ac:dyDescent="0.2">
      <c r="C173" s="496" t="s">
        <v>128</v>
      </c>
      <c r="E173" s="491">
        <f t="shared" si="8"/>
        <v>455</v>
      </c>
      <c r="F173" s="491">
        <f t="shared" si="8"/>
        <v>450</v>
      </c>
      <c r="G173" s="491">
        <f t="shared" si="8"/>
        <v>473</v>
      </c>
      <c r="H173" s="491">
        <f t="shared" si="8"/>
        <v>477</v>
      </c>
      <c r="I173" s="491">
        <f t="shared" si="8"/>
        <v>414</v>
      </c>
      <c r="J173" s="491">
        <f t="shared" si="8"/>
        <v>300</v>
      </c>
      <c r="K173" s="491">
        <f t="shared" si="8"/>
        <v>300</v>
      </c>
      <c r="L173" s="491">
        <f t="shared" si="8"/>
        <v>407</v>
      </c>
      <c r="M173" s="491">
        <f t="shared" si="8"/>
        <v>382</v>
      </c>
      <c r="N173" s="491">
        <f t="shared" si="8"/>
        <v>592</v>
      </c>
      <c r="O173" s="491">
        <f t="shared" si="8"/>
        <v>647</v>
      </c>
      <c r="P173" s="491">
        <f t="shared" si="8"/>
        <v>597</v>
      </c>
      <c r="Q173" s="741">
        <f t="shared" si="5"/>
        <v>5494</v>
      </c>
    </row>
    <row r="174" spans="3:17" x14ac:dyDescent="0.2">
      <c r="C174" s="478" t="s">
        <v>129</v>
      </c>
      <c r="E174" s="491">
        <f t="shared" si="8"/>
        <v>6982.456791952075</v>
      </c>
      <c r="F174" s="491">
        <f t="shared" si="8"/>
        <v>5663.7074756030961</v>
      </c>
      <c r="G174" s="491">
        <f t="shared" si="8"/>
        <v>8013.2431465724185</v>
      </c>
      <c r="H174" s="491">
        <f t="shared" si="8"/>
        <v>8711.8943844439473</v>
      </c>
      <c r="I174" s="491">
        <f t="shared" si="8"/>
        <v>12041.422855612253</v>
      </c>
      <c r="J174" s="491">
        <f t="shared" si="8"/>
        <v>10936.159650421516</v>
      </c>
      <c r="K174" s="491">
        <f t="shared" si="8"/>
        <v>15677.233807624471</v>
      </c>
      <c r="L174" s="491">
        <f t="shared" si="8"/>
        <v>19323.276219145038</v>
      </c>
      <c r="M174" s="491">
        <f t="shared" si="8"/>
        <v>14539.073977119475</v>
      </c>
      <c r="N174" s="491">
        <f t="shared" si="8"/>
        <v>18365.709661730063</v>
      </c>
      <c r="O174" s="491">
        <f t="shared" si="8"/>
        <v>18226.88461583872</v>
      </c>
      <c r="P174" s="491">
        <f t="shared" si="8"/>
        <v>12690.404763486295</v>
      </c>
      <c r="Q174" s="741">
        <f t="shared" si="5"/>
        <v>151171.46734954938</v>
      </c>
    </row>
    <row r="175" spans="3:17" x14ac:dyDescent="0.2">
      <c r="C175" s="478" t="s">
        <v>130</v>
      </c>
      <c r="E175" s="491">
        <f t="shared" si="8"/>
        <v>2106.2610410659618</v>
      </c>
      <c r="F175" s="491">
        <f t="shared" si="8"/>
        <v>2564.669197537607</v>
      </c>
      <c r="G175" s="491">
        <f t="shared" si="8"/>
        <v>1800.3885237387403</v>
      </c>
      <c r="H175" s="491">
        <f t="shared" si="8"/>
        <v>253.34101491842375</v>
      </c>
      <c r="I175" s="491">
        <f t="shared" si="8"/>
        <v>-2302.0741364299383</v>
      </c>
      <c r="J175" s="491">
        <f t="shared" si="8"/>
        <v>-2878.8942692883902</v>
      </c>
      <c r="K175" s="491">
        <f t="shared" si="8"/>
        <v>-4694.3781869810755</v>
      </c>
      <c r="L175" s="491">
        <f t="shared" si="8"/>
        <v>-6315.4652216579489</v>
      </c>
      <c r="M175" s="491">
        <f t="shared" si="8"/>
        <v>-2529.0313981280779</v>
      </c>
      <c r="N175" s="491">
        <f t="shared" si="8"/>
        <v>-4750.2167390034219</v>
      </c>
      <c r="O175" s="491">
        <f t="shared" si="8"/>
        <v>-2953.7940464843314</v>
      </c>
      <c r="P175" s="491">
        <f t="shared" si="8"/>
        <v>-2643.2731288369159</v>
      </c>
      <c r="Q175" s="741">
        <f t="shared" si="5"/>
        <v>-22342.46734954937</v>
      </c>
    </row>
    <row r="176" spans="3:17" x14ac:dyDescent="0.2">
      <c r="E176" s="491"/>
      <c r="F176" s="491"/>
      <c r="G176" s="491"/>
      <c r="H176" s="491"/>
      <c r="I176" s="491"/>
      <c r="J176" s="491"/>
      <c r="K176" s="491"/>
      <c r="L176" s="491"/>
      <c r="M176" s="491"/>
      <c r="N176" s="491"/>
      <c r="O176" s="491"/>
      <c r="P176" s="491"/>
      <c r="Q176" s="741">
        <f t="shared" si="5"/>
        <v>0</v>
      </c>
    </row>
    <row r="177" spans="1:17" x14ac:dyDescent="0.2">
      <c r="C177" s="496" t="s">
        <v>640</v>
      </c>
      <c r="E177" s="491">
        <f t="shared" ref="E177:P180" si="9">SUMIF($C$6:$C$155,$C177,E$6:E$155)</f>
        <v>0</v>
      </c>
      <c r="F177" s="491">
        <f t="shared" si="9"/>
        <v>0</v>
      </c>
      <c r="G177" s="491">
        <f t="shared" si="9"/>
        <v>0</v>
      </c>
      <c r="H177" s="491">
        <f t="shared" si="9"/>
        <v>0</v>
      </c>
      <c r="I177" s="491">
        <f t="shared" si="9"/>
        <v>0</v>
      </c>
      <c r="J177" s="491">
        <f t="shared" si="9"/>
        <v>0</v>
      </c>
      <c r="K177" s="491">
        <f t="shared" si="9"/>
        <v>0</v>
      </c>
      <c r="L177" s="491">
        <f t="shared" si="9"/>
        <v>0</v>
      </c>
      <c r="M177" s="491">
        <f t="shared" si="9"/>
        <v>0</v>
      </c>
      <c r="N177" s="491">
        <f t="shared" si="9"/>
        <v>0</v>
      </c>
      <c r="O177" s="491">
        <f t="shared" si="9"/>
        <v>0</v>
      </c>
      <c r="P177" s="491">
        <f t="shared" si="9"/>
        <v>0</v>
      </c>
      <c r="Q177" s="741">
        <f t="shared" si="5"/>
        <v>0</v>
      </c>
    </row>
    <row r="178" spans="1:17" x14ac:dyDescent="0.2">
      <c r="C178" s="496" t="s">
        <v>641</v>
      </c>
      <c r="E178" s="491">
        <f t="shared" si="9"/>
        <v>0</v>
      </c>
      <c r="F178" s="491">
        <f t="shared" si="9"/>
        <v>0</v>
      </c>
      <c r="G178" s="491">
        <f t="shared" si="9"/>
        <v>0</v>
      </c>
      <c r="H178" s="491">
        <f t="shared" si="9"/>
        <v>0</v>
      </c>
      <c r="I178" s="491">
        <f t="shared" si="9"/>
        <v>0</v>
      </c>
      <c r="J178" s="491">
        <f t="shared" si="9"/>
        <v>0</v>
      </c>
      <c r="K178" s="491">
        <f t="shared" si="9"/>
        <v>0</v>
      </c>
      <c r="L178" s="491">
        <f t="shared" si="9"/>
        <v>0</v>
      </c>
      <c r="M178" s="491">
        <f t="shared" si="9"/>
        <v>0</v>
      </c>
      <c r="N178" s="491">
        <f t="shared" si="9"/>
        <v>0</v>
      </c>
      <c r="O178" s="491">
        <f t="shared" si="9"/>
        <v>0</v>
      </c>
      <c r="P178" s="491">
        <f t="shared" si="9"/>
        <v>0</v>
      </c>
      <c r="Q178" s="741">
        <f t="shared" si="5"/>
        <v>0</v>
      </c>
    </row>
    <row r="179" spans="1:17" x14ac:dyDescent="0.2">
      <c r="C179" s="510" t="s">
        <v>642</v>
      </c>
      <c r="E179" s="491">
        <f t="shared" si="9"/>
        <v>0</v>
      </c>
      <c r="F179" s="491">
        <f t="shared" si="9"/>
        <v>0</v>
      </c>
      <c r="G179" s="491">
        <f t="shared" si="9"/>
        <v>0</v>
      </c>
      <c r="H179" s="491">
        <f t="shared" si="9"/>
        <v>0</v>
      </c>
      <c r="I179" s="491">
        <f t="shared" si="9"/>
        <v>0</v>
      </c>
      <c r="J179" s="491">
        <f t="shared" si="9"/>
        <v>0</v>
      </c>
      <c r="K179" s="491">
        <f t="shared" si="9"/>
        <v>0</v>
      </c>
      <c r="L179" s="491">
        <f t="shared" si="9"/>
        <v>0</v>
      </c>
      <c r="M179" s="491">
        <f t="shared" si="9"/>
        <v>0</v>
      </c>
      <c r="N179" s="491">
        <f t="shared" si="9"/>
        <v>0</v>
      </c>
      <c r="O179" s="491">
        <f t="shared" si="9"/>
        <v>0</v>
      </c>
      <c r="P179" s="491">
        <f t="shared" si="9"/>
        <v>0</v>
      </c>
      <c r="Q179" s="741">
        <f t="shared" si="5"/>
        <v>0</v>
      </c>
    </row>
    <row r="180" spans="1:17" x14ac:dyDescent="0.2">
      <c r="C180" s="510" t="s">
        <v>643</v>
      </c>
      <c r="E180" s="491">
        <f t="shared" si="9"/>
        <v>0</v>
      </c>
      <c r="F180" s="491">
        <f t="shared" si="9"/>
        <v>0</v>
      </c>
      <c r="G180" s="491">
        <f t="shared" si="9"/>
        <v>0</v>
      </c>
      <c r="H180" s="491">
        <f t="shared" si="9"/>
        <v>0</v>
      </c>
      <c r="I180" s="491">
        <f t="shared" si="9"/>
        <v>0</v>
      </c>
      <c r="J180" s="491">
        <f t="shared" si="9"/>
        <v>0</v>
      </c>
      <c r="K180" s="491">
        <f t="shared" si="9"/>
        <v>0</v>
      </c>
      <c r="L180" s="491">
        <f t="shared" si="9"/>
        <v>0</v>
      </c>
      <c r="M180" s="491">
        <f t="shared" si="9"/>
        <v>0</v>
      </c>
      <c r="N180" s="491">
        <f t="shared" si="9"/>
        <v>0</v>
      </c>
      <c r="O180" s="491">
        <f t="shared" si="9"/>
        <v>0</v>
      </c>
      <c r="P180" s="491">
        <f t="shared" si="9"/>
        <v>0</v>
      </c>
      <c r="Q180" s="741">
        <f t="shared" si="5"/>
        <v>0</v>
      </c>
    </row>
    <row r="181" spans="1:17" x14ac:dyDescent="0.2">
      <c r="E181" s="491"/>
      <c r="F181" s="491"/>
      <c r="G181" s="491"/>
      <c r="H181" s="491"/>
      <c r="I181" s="491"/>
      <c r="J181" s="491"/>
      <c r="K181" s="491"/>
      <c r="L181" s="491"/>
      <c r="M181" s="491"/>
      <c r="N181" s="491"/>
      <c r="O181" s="491"/>
      <c r="P181" s="491"/>
      <c r="Q181" s="741">
        <f t="shared" si="5"/>
        <v>0</v>
      </c>
    </row>
    <row r="182" spans="1:17" x14ac:dyDescent="0.2">
      <c r="C182" s="478" t="s">
        <v>625</v>
      </c>
      <c r="E182" s="491">
        <f t="shared" ref="E182:P185" si="10">SUMIF($C$6:$C$155,$C182,E$6:E$155)</f>
        <v>-1</v>
      </c>
      <c r="F182" s="491">
        <f t="shared" si="10"/>
        <v>-1</v>
      </c>
      <c r="G182" s="491">
        <f t="shared" si="10"/>
        <v>-1</v>
      </c>
      <c r="H182" s="491">
        <f t="shared" si="10"/>
        <v>-1</v>
      </c>
      <c r="I182" s="491">
        <f t="shared" si="10"/>
        <v>-1</v>
      </c>
      <c r="J182" s="491">
        <f t="shared" si="10"/>
        <v>-1</v>
      </c>
      <c r="K182" s="491">
        <f t="shared" si="10"/>
        <v>-1</v>
      </c>
      <c r="L182" s="491">
        <f t="shared" si="10"/>
        <v>0</v>
      </c>
      <c r="M182" s="491">
        <f t="shared" si="10"/>
        <v>0</v>
      </c>
      <c r="N182" s="491">
        <f t="shared" si="10"/>
        <v>0</v>
      </c>
      <c r="O182" s="491">
        <f t="shared" si="10"/>
        <v>0</v>
      </c>
      <c r="P182" s="491">
        <f t="shared" si="10"/>
        <v>0</v>
      </c>
      <c r="Q182" s="741">
        <f t="shared" si="5"/>
        <v>-7</v>
      </c>
    </row>
    <row r="183" spans="1:17" x14ac:dyDescent="0.2">
      <c r="C183" s="496" t="s">
        <v>133</v>
      </c>
      <c r="E183" s="491">
        <f t="shared" si="10"/>
        <v>-21055.81603691019</v>
      </c>
      <c r="F183" s="491">
        <f t="shared" si="10"/>
        <v>-20445.648468075127</v>
      </c>
      <c r="G183" s="491">
        <f t="shared" si="10"/>
        <v>-21607.834307058711</v>
      </c>
      <c r="H183" s="491">
        <f t="shared" si="10"/>
        <v>-25560.514377999199</v>
      </c>
      <c r="I183" s="491">
        <f t="shared" si="10"/>
        <v>7752.3578069216519</v>
      </c>
      <c r="J183" s="491">
        <f t="shared" si="10"/>
        <v>7648.0463425025355</v>
      </c>
      <c r="K183" s="491">
        <f t="shared" si="10"/>
        <v>8572.9403710174411</v>
      </c>
      <c r="L183" s="491">
        <f t="shared" si="10"/>
        <v>8251.6620154629127</v>
      </c>
      <c r="M183" s="491">
        <f t="shared" si="10"/>
        <v>8392.8641529249744</v>
      </c>
      <c r="N183" s="491">
        <f t="shared" si="10"/>
        <v>8072.9028069051383</v>
      </c>
      <c r="O183" s="491">
        <f t="shared" si="10"/>
        <v>8338.3960249546708</v>
      </c>
      <c r="P183" s="491">
        <f t="shared" si="10"/>
        <v>7340.6436693539072</v>
      </c>
      <c r="Q183" s="741">
        <f t="shared" si="5"/>
        <v>-24300.000000000015</v>
      </c>
    </row>
    <row r="184" spans="1:17" x14ac:dyDescent="0.2">
      <c r="C184" s="496" t="s">
        <v>134</v>
      </c>
      <c r="E184" s="491">
        <f t="shared" si="10"/>
        <v>0</v>
      </c>
      <c r="F184" s="491">
        <f t="shared" si="10"/>
        <v>0</v>
      </c>
      <c r="G184" s="491">
        <f t="shared" si="10"/>
        <v>0</v>
      </c>
      <c r="H184" s="491">
        <f t="shared" si="10"/>
        <v>0</v>
      </c>
      <c r="I184" s="491">
        <f t="shared" si="10"/>
        <v>0</v>
      </c>
      <c r="J184" s="491">
        <f t="shared" si="10"/>
        <v>0</v>
      </c>
      <c r="K184" s="491">
        <f t="shared" si="10"/>
        <v>0</v>
      </c>
      <c r="L184" s="491">
        <f t="shared" si="10"/>
        <v>0</v>
      </c>
      <c r="M184" s="491">
        <f t="shared" si="10"/>
        <v>0</v>
      </c>
      <c r="N184" s="491">
        <f t="shared" si="10"/>
        <v>0</v>
      </c>
      <c r="O184" s="491">
        <f t="shared" si="10"/>
        <v>0</v>
      </c>
      <c r="P184" s="491">
        <f t="shared" si="10"/>
        <v>0</v>
      </c>
      <c r="Q184" s="741">
        <f t="shared" si="5"/>
        <v>0</v>
      </c>
    </row>
    <row r="185" spans="1:17" x14ac:dyDescent="0.2">
      <c r="C185" s="478" t="s">
        <v>135</v>
      </c>
      <c r="E185" s="491">
        <f t="shared" si="10"/>
        <v>62169.210235939878</v>
      </c>
      <c r="F185" s="491">
        <f t="shared" si="10"/>
        <v>59645.174291065712</v>
      </c>
      <c r="G185" s="491">
        <f t="shared" si="10"/>
        <v>63289.448981658839</v>
      </c>
      <c r="H185" s="491">
        <f t="shared" si="10"/>
        <v>69455.827268180146</v>
      </c>
      <c r="I185" s="491">
        <f t="shared" si="10"/>
        <v>35853.872983315116</v>
      </c>
      <c r="J185" s="491">
        <f t="shared" si="10"/>
        <v>50563.723805075482</v>
      </c>
      <c r="K185" s="491">
        <f t="shared" si="10"/>
        <v>45473.796170493319</v>
      </c>
      <c r="L185" s="491">
        <f t="shared" si="10"/>
        <v>33923.860782937947</v>
      </c>
      <c r="M185" s="491">
        <f t="shared" si="10"/>
        <v>32354.984189055744</v>
      </c>
      <c r="N185" s="491">
        <f t="shared" si="10"/>
        <v>16291.391533311977</v>
      </c>
      <c r="O185" s="491">
        <f t="shared" si="10"/>
        <v>9376.695244741386</v>
      </c>
      <c r="P185" s="491">
        <f t="shared" si="10"/>
        <v>5901.6147971772416</v>
      </c>
      <c r="Q185" s="741">
        <f t="shared" si="5"/>
        <v>484299.60028295277</v>
      </c>
    </row>
    <row r="186" spans="1:17" x14ac:dyDescent="0.2">
      <c r="Q186" s="741"/>
    </row>
    <row r="187" spans="1:17" s="739" customFormat="1" x14ac:dyDescent="0.2">
      <c r="A187" s="743"/>
      <c r="B187" s="743"/>
      <c r="C187" s="740"/>
    </row>
    <row r="188" spans="1:17" x14ac:dyDescent="0.2">
      <c r="B188" s="478">
        <v>5</v>
      </c>
      <c r="C188" s="478" t="s">
        <v>634</v>
      </c>
    </row>
    <row r="189" spans="1:17" x14ac:dyDescent="0.2">
      <c r="B189" s="478">
        <v>3</v>
      </c>
      <c r="C189" s="478" t="s">
        <v>635</v>
      </c>
    </row>
    <row r="190" spans="1:17" x14ac:dyDescent="0.2">
      <c r="B190" s="478">
        <v>6</v>
      </c>
      <c r="C190" s="478" t="s">
        <v>636</v>
      </c>
    </row>
    <row r="191" spans="1:17" x14ac:dyDescent="0.2">
      <c r="B191" s="478">
        <v>3</v>
      </c>
      <c r="C191" s="478" t="s">
        <v>637</v>
      </c>
    </row>
    <row r="192" spans="1:17" x14ac:dyDescent="0.2">
      <c r="B192" s="478">
        <v>3</v>
      </c>
      <c r="C192" s="478" t="s">
        <v>638</v>
      </c>
    </row>
  </sheetData>
  <autoFilter ref="A4:P90"/>
  <pageMargins left="0.7" right="0.7" top="0.75" bottom="0.75" header="0.3" footer="0.3"/>
  <pageSetup scale="4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FF00"/>
  </sheetPr>
  <dimension ref="A2:O36"/>
  <sheetViews>
    <sheetView view="pageBreakPreview" zoomScale="60" zoomScaleNormal="100" workbookViewId="0">
      <selection activeCell="E28" sqref="E28"/>
    </sheetView>
  </sheetViews>
  <sheetFormatPr defaultColWidth="9.140625" defaultRowHeight="12.75" x14ac:dyDescent="0.2"/>
  <cols>
    <col min="1" max="1" width="4" style="205" customWidth="1"/>
    <col min="2" max="2" width="10.42578125" style="205" customWidth="1"/>
    <col min="3" max="8" width="10.5703125" style="205" customWidth="1"/>
    <col min="9" max="9" width="12.42578125" style="205" customWidth="1"/>
    <col min="10" max="14" width="10.5703125" style="205" customWidth="1"/>
    <col min="15" max="15" width="10.5703125" style="205" bestFit="1" customWidth="1"/>
    <col min="16" max="16384" width="9.140625" style="205"/>
  </cols>
  <sheetData>
    <row r="2" spans="1:15" x14ac:dyDescent="0.2">
      <c r="A2" s="211" t="s">
        <v>151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</row>
    <row r="3" spans="1:15" x14ac:dyDescent="0.2">
      <c r="A3" s="211"/>
      <c r="B3" s="211"/>
      <c r="C3" s="674">
        <f>'Monthly Forecast'!Y8</f>
        <v>43220</v>
      </c>
      <c r="D3" s="674">
        <f>'Monthly Forecast'!Z8</f>
        <v>43251</v>
      </c>
      <c r="E3" s="674">
        <f>'Monthly Forecast'!AA8</f>
        <v>43281</v>
      </c>
      <c r="F3" s="674">
        <f>'Monthly Forecast'!AB8</f>
        <v>43312</v>
      </c>
      <c r="G3" s="674">
        <f>'Monthly Forecast'!AC8</f>
        <v>43343</v>
      </c>
      <c r="H3" s="674">
        <f>'Monthly Forecast'!AD8</f>
        <v>43373</v>
      </c>
      <c r="I3" s="674">
        <f>'Monthly Forecast'!AE8</f>
        <v>43404</v>
      </c>
      <c r="J3" s="674">
        <f>'Monthly Forecast'!AF8</f>
        <v>43434</v>
      </c>
      <c r="K3" s="674">
        <f>'Monthly Forecast'!AG8</f>
        <v>43465</v>
      </c>
      <c r="L3" s="674">
        <f>'Monthly Forecast'!AH8</f>
        <v>43496</v>
      </c>
      <c r="M3" s="674">
        <f>'Monthly Forecast'!AI8</f>
        <v>43524</v>
      </c>
      <c r="N3" s="674">
        <f>'Monthly Forecast'!AJ8</f>
        <v>43555</v>
      </c>
      <c r="O3" s="674" t="s">
        <v>19</v>
      </c>
    </row>
    <row r="4" spans="1:15" x14ac:dyDescent="0.2">
      <c r="A4" s="211" t="s">
        <v>94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</row>
    <row r="5" spans="1:15" x14ac:dyDescent="0.2">
      <c r="A5" s="211"/>
      <c r="B5" s="211" t="s">
        <v>95</v>
      </c>
      <c r="C5" s="210">
        <f>+'Monthly Forecast'!Y12</f>
        <v>157594</v>
      </c>
      <c r="D5" s="210">
        <f>+'Monthly Forecast'!Z12</f>
        <v>159580</v>
      </c>
      <c r="E5" s="210">
        <f>+'Monthly Forecast'!AA12</f>
        <v>157189</v>
      </c>
      <c r="F5" s="210">
        <f>+'Monthly Forecast'!AB12</f>
        <v>155047</v>
      </c>
      <c r="G5" s="210">
        <f>+'Monthly Forecast'!AC12</f>
        <v>155912</v>
      </c>
      <c r="H5" s="210">
        <f>+'Monthly Forecast'!AD12</f>
        <v>153510</v>
      </c>
      <c r="I5" s="210">
        <f>+'Monthly Forecast'!AE12</f>
        <v>153825</v>
      </c>
      <c r="J5" s="210">
        <f>+'Monthly Forecast'!AF12</f>
        <v>155116</v>
      </c>
      <c r="K5" s="210">
        <f>+'Monthly Forecast'!AG12</f>
        <v>158490</v>
      </c>
      <c r="L5" s="210">
        <f>+'Monthly Forecast'!AH12</f>
        <v>159482</v>
      </c>
      <c r="M5" s="210">
        <f>+'Monthly Forecast'!AI12</f>
        <v>160183</v>
      </c>
      <c r="N5" s="210">
        <f>+'Monthly Forecast'!AJ12</f>
        <v>160439</v>
      </c>
      <c r="O5" s="210">
        <f>SUM(C5:N5)</f>
        <v>1886367</v>
      </c>
    </row>
    <row r="6" spans="1:15" x14ac:dyDescent="0.2">
      <c r="A6" s="211"/>
      <c r="B6" s="211" t="s">
        <v>21</v>
      </c>
      <c r="C6" s="210">
        <f>+'Monthly Forecast'!Y16</f>
        <v>879434.00569909997</v>
      </c>
      <c r="D6" s="210">
        <f>+'Monthly Forecast'!Z16</f>
        <v>408824.40533803555</v>
      </c>
      <c r="E6" s="210">
        <f>+'Monthly Forecast'!AA16</f>
        <v>201104.06382711162</v>
      </c>
      <c r="F6" s="210">
        <f>+'Monthly Forecast'!AB16</f>
        <v>154175.24230415092</v>
      </c>
      <c r="G6" s="210">
        <f>+'Monthly Forecast'!AC16</f>
        <v>155035.37880852114</v>
      </c>
      <c r="H6" s="210">
        <f>+'Monthly Forecast'!AD16</f>
        <v>156622.79314551849</v>
      </c>
      <c r="I6" s="210">
        <f>+'Monthly Forecast'!AE16</f>
        <v>330320.33804595389</v>
      </c>
      <c r="J6" s="210">
        <f>+'Monthly Forecast'!AF16</f>
        <v>873656.35074900824</v>
      </c>
      <c r="K6" s="210">
        <f>+'Monthly Forecast'!AG16</f>
        <v>1523006.0829047831</v>
      </c>
      <c r="L6" s="210">
        <f>+'Monthly Forecast'!AH16</f>
        <v>1918899.7777467889</v>
      </c>
      <c r="M6" s="210">
        <f>+'Monthly Forecast'!AI16</f>
        <v>2004125.9942474405</v>
      </c>
      <c r="N6" s="210">
        <f>+'Monthly Forecast'!AJ16</f>
        <v>1421181.0898776357</v>
      </c>
      <c r="O6" s="210">
        <f>SUM(C6:N6)</f>
        <v>10026385.522694048</v>
      </c>
    </row>
    <row r="7" spans="1:15" x14ac:dyDescent="0.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</row>
    <row r="8" spans="1:15" x14ac:dyDescent="0.2">
      <c r="A8" s="211" t="s">
        <v>477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</row>
    <row r="9" spans="1:15" x14ac:dyDescent="0.2">
      <c r="A9" s="211"/>
      <c r="B9" s="211" t="s">
        <v>95</v>
      </c>
      <c r="C9" s="210">
        <f>'Monthly Forecast'!Y21+'Monthly Forecast'!Y39</f>
        <v>19077</v>
      </c>
      <c r="D9" s="210">
        <f>'Monthly Forecast'!Z21+'Monthly Forecast'!Z39</f>
        <v>19395</v>
      </c>
      <c r="E9" s="210">
        <f>'Monthly Forecast'!AA21+'Monthly Forecast'!AA39</f>
        <v>18880</v>
      </c>
      <c r="F9" s="210">
        <f>'Monthly Forecast'!AB21+'Monthly Forecast'!AB39</f>
        <v>18544</v>
      </c>
      <c r="G9" s="210">
        <f>'Monthly Forecast'!AC21+'Monthly Forecast'!AC39</f>
        <v>18742</v>
      </c>
      <c r="H9" s="210">
        <f>'Monthly Forecast'!AD21+'Monthly Forecast'!AD39</f>
        <v>18396</v>
      </c>
      <c r="I9" s="210">
        <f>'Monthly Forecast'!AE21+'Monthly Forecast'!AE39</f>
        <v>18332</v>
      </c>
      <c r="J9" s="210">
        <f>'Monthly Forecast'!AF21+'Monthly Forecast'!AF39</f>
        <v>18756</v>
      </c>
      <c r="K9" s="210">
        <f>'Monthly Forecast'!AG21+'Monthly Forecast'!AG39</f>
        <v>19086</v>
      </c>
      <c r="L9" s="210">
        <f>'Monthly Forecast'!AH21+'Monthly Forecast'!AH39</f>
        <v>19426</v>
      </c>
      <c r="M9" s="210">
        <f>'Monthly Forecast'!AI21+'Monthly Forecast'!AI39</f>
        <v>19436</v>
      </c>
      <c r="N9" s="210">
        <f>'Monthly Forecast'!AJ21+'Monthly Forecast'!AJ39</f>
        <v>19504</v>
      </c>
      <c r="O9" s="210">
        <f>SUM(C9:N9)</f>
        <v>227574</v>
      </c>
    </row>
    <row r="10" spans="1:15" x14ac:dyDescent="0.2">
      <c r="A10" s="211"/>
      <c r="B10" s="211" t="s">
        <v>21</v>
      </c>
      <c r="C10" s="210">
        <f>'Monthly Forecast'!Y25+'Monthly Forecast'!Y43</f>
        <v>506275.96999999991</v>
      </c>
      <c r="D10" s="210">
        <f>'Monthly Forecast'!Z25+'Monthly Forecast'!Z43</f>
        <v>303164.68</v>
      </c>
      <c r="E10" s="210">
        <f>'Monthly Forecast'!AA25+'Monthly Forecast'!AA43</f>
        <v>207109.69</v>
      </c>
      <c r="F10" s="210">
        <f>'Monthly Forecast'!AB25+'Monthly Forecast'!AB43</f>
        <v>184297.13</v>
      </c>
      <c r="G10" s="210">
        <f>'Monthly Forecast'!AC25+'Monthly Forecast'!AC43</f>
        <v>186706.6</v>
      </c>
      <c r="H10" s="210">
        <f>'Monthly Forecast'!AD25+'Monthly Forecast'!AD43</f>
        <v>184688.12</v>
      </c>
      <c r="I10" s="210">
        <f>'Monthly Forecast'!AE25+'Monthly Forecast'!AE43</f>
        <v>259787.18</v>
      </c>
      <c r="J10" s="210">
        <f>'Monthly Forecast'!AF25+'Monthly Forecast'!AF43</f>
        <v>503483.75999999995</v>
      </c>
      <c r="K10" s="210">
        <f>'Monthly Forecast'!AG25+'Monthly Forecast'!AG43</f>
        <v>787294.04</v>
      </c>
      <c r="L10" s="210">
        <f>'Monthly Forecast'!AH25+'Monthly Forecast'!AH43</f>
        <v>970750.21</v>
      </c>
      <c r="M10" s="210">
        <f>'Monthly Forecast'!AI25+'Monthly Forecast'!AI43</f>
        <v>1004616.4199999999</v>
      </c>
      <c r="N10" s="210">
        <f>'Monthly Forecast'!AJ25+'Monthly Forecast'!AJ43</f>
        <v>750386.21</v>
      </c>
      <c r="O10" s="210">
        <f>SUM(C10:N10)</f>
        <v>5848560.0099999998</v>
      </c>
    </row>
    <row r="11" spans="1:15" x14ac:dyDescent="0.2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</row>
    <row r="12" spans="1:15" x14ac:dyDescent="0.2">
      <c r="A12" s="211" t="s">
        <v>488</v>
      </c>
      <c r="B12" s="211"/>
      <c r="C12" s="211"/>
      <c r="D12" s="211"/>
      <c r="E12" s="211"/>
      <c r="F12" s="211"/>
      <c r="G12" s="211"/>
      <c r="H12" s="211"/>
      <c r="I12" s="211"/>
      <c r="J12" s="211"/>
      <c r="K12" s="211"/>
      <c r="L12" s="211"/>
      <c r="M12" s="211"/>
      <c r="N12" s="211"/>
      <c r="O12" s="211"/>
    </row>
    <row r="13" spans="1:15" x14ac:dyDescent="0.2">
      <c r="A13" s="211"/>
      <c r="B13" s="211" t="s">
        <v>95</v>
      </c>
      <c r="C13" s="210">
        <f>'Monthly Forecast'!Y30</f>
        <v>194.97777777777779</v>
      </c>
      <c r="D13" s="210">
        <f>'Monthly Forecast'!Z30</f>
        <v>211.97777777777779</v>
      </c>
      <c r="E13" s="210">
        <f>'Monthly Forecast'!AA30</f>
        <v>204.98888888888888</v>
      </c>
      <c r="F13" s="210">
        <f>'Monthly Forecast'!AB30</f>
        <v>183</v>
      </c>
      <c r="G13" s="210">
        <f>'Monthly Forecast'!AC30</f>
        <v>208</v>
      </c>
      <c r="H13" s="210">
        <f>'Monthly Forecast'!AD30</f>
        <v>193.24444444444444</v>
      </c>
      <c r="I13" s="210">
        <f>'Monthly Forecast'!AE30</f>
        <v>189.24444444444444</v>
      </c>
      <c r="J13" s="210">
        <f>'Monthly Forecast'!AF30</f>
        <v>203.97777777777779</v>
      </c>
      <c r="K13" s="210">
        <f>'Monthly Forecast'!AG30</f>
        <v>195.97777777777779</v>
      </c>
      <c r="L13" s="210">
        <f>'Monthly Forecast'!AH30</f>
        <v>221.97777777777779</v>
      </c>
      <c r="M13" s="210">
        <f>'Monthly Forecast'!AI30</f>
        <v>209.97777777777779</v>
      </c>
      <c r="N13" s="210">
        <f>'Monthly Forecast'!AJ30</f>
        <v>211.97777777777779</v>
      </c>
      <c r="O13" s="210">
        <f>SUM(C13:N13)</f>
        <v>2429.3222222222225</v>
      </c>
    </row>
    <row r="14" spans="1:15" x14ac:dyDescent="0.2">
      <c r="A14" s="211"/>
      <c r="B14" s="211" t="s">
        <v>21</v>
      </c>
      <c r="C14" s="210">
        <f>'Monthly Forecast'!Y34</f>
        <v>41964.569999999992</v>
      </c>
      <c r="D14" s="210">
        <f>'Monthly Forecast'!Z34</f>
        <v>35122.82</v>
      </c>
      <c r="E14" s="210">
        <f>'Monthly Forecast'!AA34</f>
        <v>28027.18</v>
      </c>
      <c r="F14" s="210">
        <f>'Monthly Forecast'!AB34</f>
        <v>22479.759999999998</v>
      </c>
      <c r="G14" s="210">
        <f>'Monthly Forecast'!AC34</f>
        <v>23559.4</v>
      </c>
      <c r="H14" s="210">
        <f>'Monthly Forecast'!AD34</f>
        <v>25140.69</v>
      </c>
      <c r="I14" s="210">
        <f>'Monthly Forecast'!AE34</f>
        <v>28480.28</v>
      </c>
      <c r="J14" s="210">
        <f>'Monthly Forecast'!AF34</f>
        <v>30326.619999999995</v>
      </c>
      <c r="K14" s="210">
        <f>'Monthly Forecast'!AG34</f>
        <v>70916.739999999991</v>
      </c>
      <c r="L14" s="210">
        <f>'Monthly Forecast'!AH34</f>
        <v>114623.30000000002</v>
      </c>
      <c r="M14" s="210">
        <f>'Monthly Forecast'!AI34</f>
        <v>78067.109999999986</v>
      </c>
      <c r="N14" s="210">
        <f>'Monthly Forecast'!AJ34</f>
        <v>69311.73</v>
      </c>
      <c r="O14" s="210">
        <f>SUM(C14:N14)</f>
        <v>568020.19999999995</v>
      </c>
    </row>
    <row r="15" spans="1:15" x14ac:dyDescent="0.2">
      <c r="A15" s="211"/>
      <c r="B15" s="211"/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</row>
    <row r="16" spans="1:15" x14ac:dyDescent="0.2">
      <c r="A16" s="211" t="s">
        <v>478</v>
      </c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</row>
    <row r="17" spans="1:15" x14ac:dyDescent="0.2">
      <c r="A17" s="211"/>
      <c r="B17" s="211" t="s">
        <v>95</v>
      </c>
      <c r="C17" s="210">
        <f>SUM('Monthly Forecast'!Y48,'Monthly Forecast'!Y56,'Monthly Forecast'!Y64,'Monthly Forecast'!Y80,'Monthly Forecast'!Y89)</f>
        <v>220.86666666666667</v>
      </c>
      <c r="D17" s="210">
        <f>SUM('Monthly Forecast'!Z48,'Monthly Forecast'!Z56,'Monthly Forecast'!Z64,'Monthly Forecast'!Z80,'Monthly Forecast'!Z89)</f>
        <v>223.86666666666667</v>
      </c>
      <c r="E17" s="210">
        <f>SUM('Monthly Forecast'!AA48,'Monthly Forecast'!AA56,'Monthly Forecast'!AA64,'Monthly Forecast'!AA80,'Monthly Forecast'!AA89)</f>
        <v>220.8</v>
      </c>
      <c r="F17" s="210">
        <f>SUM('Monthly Forecast'!AB48,'Monthly Forecast'!AB56,'Monthly Forecast'!AB64,'Monthly Forecast'!AB80,'Monthly Forecast'!AB89)</f>
        <v>220</v>
      </c>
      <c r="G17" s="210">
        <f>SUM('Monthly Forecast'!AC48,'Monthly Forecast'!AC56,'Monthly Forecast'!AC64,'Monthly Forecast'!AC80,'Monthly Forecast'!AC89)</f>
        <v>219</v>
      </c>
      <c r="H17" s="210">
        <f>SUM('Monthly Forecast'!AD48,'Monthly Forecast'!AD56,'Monthly Forecast'!AD64,'Monthly Forecast'!AD80,'Monthly Forecast'!AD89)</f>
        <v>218.86666666666667</v>
      </c>
      <c r="I17" s="210">
        <f>SUM('Monthly Forecast'!AE48,'Monthly Forecast'!AE56,'Monthly Forecast'!AE64,'Monthly Forecast'!AE80,'Monthly Forecast'!AE89)</f>
        <v>217.86666666666667</v>
      </c>
      <c r="J17" s="210">
        <f>SUM('Monthly Forecast'!AF48,'Monthly Forecast'!AF56,'Monthly Forecast'!AF64,'Monthly Forecast'!AF80,'Monthly Forecast'!AF89)</f>
        <v>220.86666666666667</v>
      </c>
      <c r="K17" s="210">
        <f>SUM('Monthly Forecast'!AG48,'Monthly Forecast'!AG56,'Monthly Forecast'!AG64,'Monthly Forecast'!AG80,'Monthly Forecast'!AG89)</f>
        <v>220.86666666666667</v>
      </c>
      <c r="L17" s="210">
        <f>SUM('Monthly Forecast'!AH48,'Monthly Forecast'!AH56,'Monthly Forecast'!AH64,'Monthly Forecast'!AH80,'Monthly Forecast'!AH89)</f>
        <v>221.86666666666667</v>
      </c>
      <c r="M17" s="210">
        <f>SUM('Monthly Forecast'!AI48,'Monthly Forecast'!AI56,'Monthly Forecast'!AI64,'Monthly Forecast'!AI80,'Monthly Forecast'!AI89)</f>
        <v>228.86666666666667</v>
      </c>
      <c r="N17" s="210">
        <f>SUM('Monthly Forecast'!AJ48,'Monthly Forecast'!AJ56,'Monthly Forecast'!AJ64,'Monthly Forecast'!AJ80,'Monthly Forecast'!AJ89)</f>
        <v>222.86666666666667</v>
      </c>
      <c r="O17" s="210">
        <f>SUM(C17:N17)</f>
        <v>2656.6000000000008</v>
      </c>
    </row>
    <row r="18" spans="1:15" x14ac:dyDescent="0.2">
      <c r="A18" s="211"/>
      <c r="B18" s="211" t="s">
        <v>21</v>
      </c>
      <c r="C18" s="210">
        <f>SUM('Monthly Forecast'!Y51,'Monthly Forecast'!Y59,'Monthly Forecast'!Y71,'Monthly Forecast'!Y86,'Monthly Forecast'!Y95,'Monthly Forecast'!Y77)</f>
        <v>2285076.3042825963</v>
      </c>
      <c r="D18" s="210">
        <f>SUM('Monthly Forecast'!Z51,'Monthly Forecast'!Z59,'Monthly Forecast'!Z71,'Monthly Forecast'!Z86,'Monthly Forecast'!Z95,'Monthly Forecast'!Z77)</f>
        <v>2329889.2837874461</v>
      </c>
      <c r="E18" s="210">
        <f>SUM('Monthly Forecast'!AA51,'Monthly Forecast'!AA59,'Monthly Forecast'!AA71,'Monthly Forecast'!AA86,'Monthly Forecast'!AA95,'Monthly Forecast'!AA77)</f>
        <v>2078404.8200684688</v>
      </c>
      <c r="F18" s="210">
        <f>SUM('Monthly Forecast'!AB51,'Monthly Forecast'!AB59,'Monthly Forecast'!AB71,'Monthly Forecast'!AB86,'Monthly Forecast'!AB95,'Monthly Forecast'!AB77)</f>
        <v>2208828.1122130249</v>
      </c>
      <c r="G18" s="210">
        <f>SUM('Monthly Forecast'!AC51,'Monthly Forecast'!AC59,'Monthly Forecast'!AC71,'Monthly Forecast'!AC86,'Monthly Forecast'!AC95,'Monthly Forecast'!AC77)</f>
        <v>2281988.0369663276</v>
      </c>
      <c r="H18" s="210">
        <f>SUM('Monthly Forecast'!AD51,'Monthly Forecast'!AD59,'Monthly Forecast'!AD71,'Monthly Forecast'!AD86,'Monthly Forecast'!AD95,'Monthly Forecast'!AD77)</f>
        <v>2294444.6010218817</v>
      </c>
      <c r="I18" s="210">
        <f>SUM('Monthly Forecast'!AE51,'Monthly Forecast'!AE59,'Monthly Forecast'!AE71,'Monthly Forecast'!AE86,'Monthly Forecast'!AE95,'Monthly Forecast'!AE77)</f>
        <v>2440882.7059285874</v>
      </c>
      <c r="J18" s="210">
        <f>SUM('Monthly Forecast'!AF51,'Monthly Forecast'!AF59,'Monthly Forecast'!AF71,'Monthly Forecast'!AF86,'Monthly Forecast'!AF95,'Monthly Forecast'!AF77)</f>
        <v>2594419.5140853971</v>
      </c>
      <c r="K18" s="210">
        <f>SUM('Monthly Forecast'!AG51,'Monthly Forecast'!AG59,'Monthly Forecast'!AG71,'Monthly Forecast'!AG86,'Monthly Forecast'!AG95,'Monthly Forecast'!AG77)</f>
        <v>2952459.6069879979</v>
      </c>
      <c r="L18" s="210">
        <f>SUM('Monthly Forecast'!AH51,'Monthly Forecast'!AH59,'Monthly Forecast'!AH71,'Monthly Forecast'!AH86,'Monthly Forecast'!AH95,'Monthly Forecast'!AH77)</f>
        <v>3013489.5031724451</v>
      </c>
      <c r="M18" s="210">
        <f>SUM('Monthly Forecast'!AI51,'Monthly Forecast'!AI59,'Monthly Forecast'!AI71,'Monthly Forecast'!AI86,'Monthly Forecast'!AI95,'Monthly Forecast'!AI77)</f>
        <v>2548771.9923356911</v>
      </c>
      <c r="N18" s="210">
        <f>SUM('Monthly Forecast'!AJ51,'Monthly Forecast'!AJ59,'Monthly Forecast'!AJ71,'Monthly Forecast'!AJ86,'Monthly Forecast'!AJ95,'Monthly Forecast'!AJ77)</f>
        <v>2728301.5291501367</v>
      </c>
      <c r="O18" s="210">
        <f>SUM(C18:N18)</f>
        <v>29756956.010000002</v>
      </c>
    </row>
    <row r="19" spans="1:15" x14ac:dyDescent="0.2">
      <c r="A19" s="211"/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</row>
    <row r="20" spans="1:15" x14ac:dyDescent="0.2">
      <c r="A20" s="211"/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</row>
    <row r="21" spans="1:15" x14ac:dyDescent="0.2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</row>
    <row r="22" spans="1:15" ht="38.25" x14ac:dyDescent="0.2">
      <c r="A22" s="211"/>
      <c r="B22" s="211"/>
      <c r="C22" s="211"/>
      <c r="D22" s="211"/>
      <c r="E22" s="211"/>
      <c r="F22" s="660" t="s">
        <v>94</v>
      </c>
      <c r="G22" s="660" t="s">
        <v>477</v>
      </c>
      <c r="H22" s="660" t="s">
        <v>488</v>
      </c>
      <c r="I22" s="660" t="s">
        <v>478</v>
      </c>
      <c r="J22" s="660" t="s">
        <v>19</v>
      </c>
      <c r="K22" s="211"/>
      <c r="L22" s="211"/>
      <c r="M22" s="211"/>
      <c r="N22" s="211"/>
      <c r="O22" s="211"/>
    </row>
    <row r="23" spans="1:15" x14ac:dyDescent="0.2">
      <c r="A23" s="211"/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</row>
    <row r="24" spans="1:15" x14ac:dyDescent="0.2">
      <c r="A24" s="211"/>
      <c r="B24" s="211" t="s">
        <v>479</v>
      </c>
      <c r="C24" s="211"/>
      <c r="D24" s="211"/>
      <c r="E24" s="211"/>
      <c r="F24" s="675">
        <f>SUM(G6:H6)/SUM(G5:H5)</f>
        <v>1.0072269326487437</v>
      </c>
      <c r="G24" s="675">
        <f>SUM(G10:H10)/SUM(G9:H9)</f>
        <v>10.000396359523936</v>
      </c>
      <c r="H24" s="675">
        <f>SUM(G14:H14)/SUM(G13:H13)</f>
        <v>121.37262128932211</v>
      </c>
      <c r="I24" s="601">
        <f>SUM(G18:H18)/SUM(G17:H17)</f>
        <v>10451.657973480991</v>
      </c>
      <c r="J24" s="211"/>
      <c r="K24" s="211"/>
      <c r="L24" s="211"/>
      <c r="M24" s="211"/>
      <c r="N24" s="211"/>
      <c r="O24" s="211"/>
    </row>
    <row r="25" spans="1:15" x14ac:dyDescent="0.2">
      <c r="A25" s="211"/>
      <c r="B25" s="211" t="s">
        <v>485</v>
      </c>
      <c r="C25" s="211"/>
      <c r="D25" s="211"/>
      <c r="E25" s="211"/>
      <c r="F25" s="601">
        <f>+F24*O5</f>
        <v>1899999.6472598128</v>
      </c>
      <c r="G25" s="601">
        <f>+G24*O9</f>
        <v>2275830.2011223002</v>
      </c>
      <c r="H25" s="601">
        <f>+H24*O13</f>
        <v>294853.20606751222</v>
      </c>
      <c r="I25" s="601">
        <f>+I24*O17</f>
        <v>27765874.572349608</v>
      </c>
      <c r="J25" s="211"/>
      <c r="K25" s="211"/>
      <c r="L25" s="211"/>
      <c r="M25" s="211"/>
      <c r="N25" s="211"/>
      <c r="O25" s="211"/>
    </row>
    <row r="26" spans="1:15" x14ac:dyDescent="0.2">
      <c r="A26" s="211"/>
      <c r="B26" s="211" t="s">
        <v>486</v>
      </c>
      <c r="C26" s="211"/>
      <c r="D26" s="211"/>
      <c r="E26" s="211"/>
      <c r="F26" s="676">
        <f>+F25/365/(O5/12)</f>
        <v>3.3114310114479246E-2</v>
      </c>
      <c r="G26" s="676">
        <f>+G25/365/(O9/12)</f>
        <v>0.32878015428571844</v>
      </c>
      <c r="H26" s="676">
        <f>+H25/365/(O13/12)</f>
        <v>3.9903327547174392</v>
      </c>
      <c r="I26" s="676">
        <f>+I25/365/(O17/12)</f>
        <v>343.61615255279969</v>
      </c>
      <c r="J26" s="211"/>
      <c r="K26" s="211"/>
      <c r="L26" s="211"/>
      <c r="M26" s="211"/>
      <c r="N26" s="211"/>
      <c r="O26" s="211"/>
    </row>
    <row r="27" spans="1:15" x14ac:dyDescent="0.2">
      <c r="A27" s="211"/>
      <c r="B27" s="211" t="s">
        <v>480</v>
      </c>
      <c r="C27" s="211"/>
      <c r="D27" s="211"/>
      <c r="E27" s="211"/>
      <c r="F27" s="601">
        <f>+O6-F25</f>
        <v>8126385.8754342347</v>
      </c>
      <c r="G27" s="601">
        <f>+O10-G25</f>
        <v>3572729.8088776995</v>
      </c>
      <c r="H27" s="601">
        <f>+O14-H25</f>
        <v>273166.99393248773</v>
      </c>
      <c r="I27" s="601">
        <f>+O18-I25</f>
        <v>1991081.4376503937</v>
      </c>
      <c r="J27" s="211"/>
      <c r="K27" s="211"/>
      <c r="L27" s="211"/>
      <c r="M27" s="211"/>
      <c r="N27" s="211"/>
      <c r="O27" s="211"/>
    </row>
    <row r="28" spans="1:15" x14ac:dyDescent="0.2">
      <c r="A28" s="211"/>
      <c r="B28" s="211" t="s">
        <v>481</v>
      </c>
      <c r="C28" s="211"/>
      <c r="D28" s="211"/>
      <c r="E28" s="211"/>
      <c r="F28" s="601">
        <f>HDDs!D25</f>
        <v>3959</v>
      </c>
      <c r="G28" s="601">
        <f>+F28</f>
        <v>3959</v>
      </c>
      <c r="H28" s="601">
        <f>+G28</f>
        <v>3959</v>
      </c>
      <c r="I28" s="601">
        <f>+H28</f>
        <v>3959</v>
      </c>
      <c r="J28" s="211"/>
      <c r="K28" s="211"/>
      <c r="L28" s="211"/>
      <c r="M28" s="211"/>
      <c r="N28" s="211"/>
      <c r="O28" s="211"/>
    </row>
    <row r="29" spans="1:15" x14ac:dyDescent="0.2">
      <c r="A29" s="211"/>
      <c r="B29" s="211" t="s">
        <v>482</v>
      </c>
      <c r="C29" s="211"/>
      <c r="D29" s="211"/>
      <c r="E29" s="211"/>
      <c r="F29" s="676">
        <f>+F27/F28/(O5/12)</f>
        <v>1.3057709264842865E-2</v>
      </c>
      <c r="G29" s="676">
        <f>+G27/G28/(O9/12)</f>
        <v>4.7585350742547099E-2</v>
      </c>
      <c r="H29" s="676">
        <f>+H27/H28/(O13/12)</f>
        <v>0.34083080859390757</v>
      </c>
      <c r="I29" s="676">
        <f>+I27/I28/(O17/12)</f>
        <v>2.2717398668548583</v>
      </c>
      <c r="J29" s="211"/>
      <c r="K29" s="211"/>
      <c r="L29" s="211"/>
      <c r="M29" s="211"/>
      <c r="N29" s="211"/>
      <c r="O29" s="211"/>
    </row>
    <row r="30" spans="1:15" x14ac:dyDescent="0.2">
      <c r="A30" s="211"/>
      <c r="B30" s="211" t="s">
        <v>483</v>
      </c>
      <c r="C30" s="211"/>
      <c r="D30" s="211"/>
      <c r="E30" s="211"/>
      <c r="F30" s="601">
        <v>60</v>
      </c>
      <c r="G30" s="601">
        <f>+F30</f>
        <v>60</v>
      </c>
      <c r="H30" s="601">
        <f>+G30</f>
        <v>60</v>
      </c>
      <c r="I30" s="601">
        <f>+H30</f>
        <v>60</v>
      </c>
      <c r="J30" s="211"/>
      <c r="K30" s="211"/>
      <c r="L30" s="211"/>
      <c r="M30" s="211"/>
      <c r="N30" s="211"/>
      <c r="O30" s="211"/>
    </row>
    <row r="31" spans="1:15" x14ac:dyDescent="0.2">
      <c r="A31" s="211"/>
      <c r="B31" s="211" t="s">
        <v>484</v>
      </c>
      <c r="C31" s="211"/>
      <c r="D31" s="211"/>
      <c r="E31" s="211"/>
      <c r="F31" s="676">
        <f>+F26+F29*F30</f>
        <v>0.81657686600505119</v>
      </c>
      <c r="G31" s="676">
        <f>+G26+G29*G30</f>
        <v>3.1839011988385444</v>
      </c>
      <c r="H31" s="676">
        <f>+H26+H29*H30</f>
        <v>24.440181270351893</v>
      </c>
      <c r="I31" s="676">
        <f>+I26+I29*I30</f>
        <v>479.92054456409119</v>
      </c>
      <c r="J31" s="211"/>
      <c r="K31" s="211"/>
      <c r="L31" s="211"/>
      <c r="M31" s="211"/>
      <c r="N31" s="211"/>
      <c r="O31" s="211"/>
    </row>
    <row r="32" spans="1:15" x14ac:dyDescent="0.2">
      <c r="A32" s="211"/>
      <c r="B32" s="211"/>
      <c r="C32" s="211"/>
      <c r="D32" s="211"/>
      <c r="E32" s="211"/>
      <c r="F32" s="601"/>
      <c r="G32" s="601"/>
      <c r="H32" s="601"/>
      <c r="I32" s="601"/>
      <c r="J32" s="211"/>
      <c r="K32" s="211"/>
      <c r="L32" s="211"/>
      <c r="M32" s="211"/>
      <c r="N32" s="211"/>
      <c r="O32" s="211"/>
    </row>
    <row r="33" spans="1:15" x14ac:dyDescent="0.2">
      <c r="A33" s="211"/>
      <c r="B33" s="211" t="s">
        <v>487</v>
      </c>
      <c r="C33" s="211"/>
      <c r="D33" s="211"/>
      <c r="E33" s="211"/>
      <c r="F33" s="601">
        <f>+F31*(O5/12)</f>
        <v>128363.63774961254</v>
      </c>
      <c r="G33" s="601">
        <f>+G31*(O9/12)</f>
        <v>60381.094285373576</v>
      </c>
      <c r="H33" s="601">
        <f>+H31*(O13/12)</f>
        <v>4947.7562896004338</v>
      </c>
      <c r="I33" s="601">
        <f>+I31*(O17/12)</f>
        <v>106246.40989074709</v>
      </c>
      <c r="J33" s="601">
        <f>SUM(F33:I33)</f>
        <v>299938.89821533364</v>
      </c>
      <c r="K33" s="211"/>
      <c r="L33" s="211"/>
      <c r="M33" s="211"/>
      <c r="N33" s="211"/>
      <c r="O33" s="211"/>
    </row>
    <row r="34" spans="1:15" x14ac:dyDescent="0.2">
      <c r="F34" s="208"/>
      <c r="G34" s="208"/>
      <c r="H34" s="208"/>
      <c r="I34" s="208"/>
    </row>
    <row r="35" spans="1:15" x14ac:dyDescent="0.2">
      <c r="F35" s="208"/>
      <c r="G35" s="208"/>
      <c r="H35" s="208"/>
      <c r="I35" s="208"/>
    </row>
    <row r="36" spans="1:15" x14ac:dyDescent="0.2">
      <c r="F36" s="405"/>
      <c r="G36" s="208"/>
      <c r="H36" s="208"/>
      <c r="I36" s="208"/>
    </row>
  </sheetData>
  <phoneticPr fontId="4" type="noConversion"/>
  <pageMargins left="0.75" right="0.75" top="1" bottom="1" header="0.5" footer="0.5"/>
  <pageSetup scale="59" orientation="portrait" r:id="rId1"/>
  <headerFooter alignWithMargins="0"/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6">
    <tabColor rgb="FF00FF00"/>
  </sheetPr>
  <dimension ref="A1:CS4249"/>
  <sheetViews>
    <sheetView showGridLines="0" view="pageBreakPreview" zoomScale="50" zoomScaleNormal="115" zoomScaleSheetLayoutView="50" workbookViewId="0">
      <pane xSplit="3" ySplit="9" topLeftCell="D10" activePane="bottomRight" state="frozen"/>
      <selection activeCell="E28" sqref="E28"/>
      <selection pane="topRight" activeCell="E28" sqref="E28"/>
      <selection pane="bottomLeft" activeCell="E28" sqref="E28"/>
      <selection pane="bottomRight" activeCell="D57" sqref="D57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3" width="8.5703125" style="2" customWidth="1"/>
    <col min="4" max="20" width="10.5703125" style="2" customWidth="1"/>
    <col min="21" max="50" width="10.5703125" style="17" customWidth="1"/>
    <col min="51" max="63" width="10.5703125" style="2" customWidth="1"/>
    <col min="64" max="67" width="9.5703125" style="2" customWidth="1"/>
    <col min="68" max="87" width="10.5703125" style="2" customWidth="1"/>
    <col min="88" max="16384" width="12.5703125" style="2"/>
  </cols>
  <sheetData>
    <row r="1" spans="1:87" x14ac:dyDescent="0.2">
      <c r="P1" s="71"/>
      <c r="Q1" s="71"/>
      <c r="S1" s="61"/>
      <c r="T1" s="6"/>
    </row>
    <row r="2" spans="1:87" x14ac:dyDescent="0.2">
      <c r="P2" s="71"/>
      <c r="Q2" s="71"/>
      <c r="S2" s="61"/>
      <c r="V2" s="39"/>
    </row>
    <row r="3" spans="1:87" x14ac:dyDescent="0.2">
      <c r="A3" s="8"/>
      <c r="C3" s="20"/>
      <c r="D3" s="19"/>
      <c r="E3" s="19"/>
      <c r="F3" s="19"/>
      <c r="G3" s="19"/>
      <c r="H3" s="19"/>
      <c r="I3" s="19"/>
      <c r="J3" s="5" t="s">
        <v>93</v>
      </c>
      <c r="K3" s="19"/>
      <c r="L3" s="19"/>
      <c r="M3" s="19"/>
      <c r="N3" s="19"/>
      <c r="O3" s="19"/>
      <c r="P3" s="72"/>
      <c r="Q3" s="72"/>
      <c r="R3" s="20"/>
      <c r="S3" s="73"/>
    </row>
    <row r="4" spans="1:87" x14ac:dyDescent="0.2">
      <c r="A4" s="8"/>
      <c r="B4" s="19"/>
      <c r="C4" s="20"/>
      <c r="D4" s="19"/>
      <c r="E4" s="19"/>
      <c r="F4" s="19"/>
      <c r="G4" s="19"/>
      <c r="H4" s="19"/>
      <c r="I4" s="19"/>
      <c r="J4" s="5" t="s">
        <v>178</v>
      </c>
      <c r="K4" s="19"/>
      <c r="L4" s="19"/>
      <c r="M4" s="19"/>
      <c r="N4" s="19"/>
      <c r="O4" s="19"/>
      <c r="P4" s="19"/>
      <c r="Q4" s="19"/>
      <c r="R4" s="20"/>
      <c r="S4" s="19"/>
      <c r="Y4" s="22"/>
    </row>
    <row r="5" spans="1:87" x14ac:dyDescent="0.2">
      <c r="A5" s="8"/>
      <c r="B5" s="19"/>
      <c r="C5" s="74"/>
      <c r="D5" s="19"/>
      <c r="E5" s="19"/>
      <c r="F5" s="19"/>
      <c r="G5" s="19"/>
      <c r="H5" s="19"/>
      <c r="I5" s="19"/>
      <c r="J5" s="5" t="str">
        <f>'Bill Frequency'!I6</f>
        <v>Reference Period - Twelve Months Ending 06/30/2017</v>
      </c>
      <c r="K5" s="19"/>
      <c r="L5" s="19"/>
      <c r="M5" s="19"/>
      <c r="N5" s="19"/>
      <c r="O5" s="19"/>
      <c r="P5" s="19"/>
      <c r="Q5" s="19"/>
      <c r="R5" s="74"/>
      <c r="S5" s="19"/>
      <c r="Y5" s="23"/>
      <c r="AA5" s="23"/>
    </row>
    <row r="7" spans="1:87" x14ac:dyDescent="0.2">
      <c r="A7" s="8" t="s">
        <v>12</v>
      </c>
      <c r="D7" s="662"/>
      <c r="P7" s="5"/>
      <c r="S7" s="5"/>
      <c r="T7" s="16"/>
      <c r="U7" s="16"/>
      <c r="W7" s="16"/>
      <c r="X7" s="16"/>
      <c r="Y7" s="16"/>
      <c r="Z7" s="16"/>
      <c r="AA7" s="16"/>
    </row>
    <row r="8" spans="1:87" x14ac:dyDescent="0.2">
      <c r="A8" s="9" t="s">
        <v>17</v>
      </c>
      <c r="B8" s="10" t="s">
        <v>27</v>
      </c>
      <c r="C8" s="11" t="s">
        <v>6</v>
      </c>
      <c r="D8" s="66">
        <f>'Monthly Forecast'!D8</f>
        <v>42582</v>
      </c>
      <c r="E8" s="66">
        <f>'Monthly Forecast'!E8</f>
        <v>42613</v>
      </c>
      <c r="F8" s="66">
        <f>'Monthly Forecast'!F8</f>
        <v>42643</v>
      </c>
      <c r="G8" s="66">
        <f>'Monthly Forecast'!G8</f>
        <v>42674</v>
      </c>
      <c r="H8" s="66">
        <f>'Monthly Forecast'!H8</f>
        <v>42704</v>
      </c>
      <c r="I8" s="66">
        <f>'Monthly Forecast'!I8</f>
        <v>42735</v>
      </c>
      <c r="J8" s="66">
        <f>'Monthly Forecast'!J8</f>
        <v>42766</v>
      </c>
      <c r="K8" s="66">
        <f>'Monthly Forecast'!K8</f>
        <v>42794</v>
      </c>
      <c r="L8" s="66">
        <f>'Monthly Forecast'!L8</f>
        <v>42825</v>
      </c>
      <c r="M8" s="66">
        <f>'Monthly Forecast'!M8</f>
        <v>42855</v>
      </c>
      <c r="N8" s="66">
        <f>'Monthly Forecast'!N8</f>
        <v>42886</v>
      </c>
      <c r="O8" s="66">
        <f>'Monthly Forecast'!O8</f>
        <v>42916</v>
      </c>
      <c r="P8" s="66">
        <f>'Monthly Forecast'!P8</f>
        <v>42947</v>
      </c>
      <c r="Q8" s="66">
        <f>'Monthly Forecast'!Q8</f>
        <v>42978</v>
      </c>
      <c r="R8" s="66">
        <f>'Monthly Forecast'!R8</f>
        <v>43008</v>
      </c>
      <c r="S8" s="66">
        <f>'Monthly Forecast'!S8</f>
        <v>43039</v>
      </c>
      <c r="T8" s="66">
        <f>'Monthly Forecast'!T8</f>
        <v>43069</v>
      </c>
      <c r="U8" s="66">
        <f>'Monthly Forecast'!U8</f>
        <v>43100</v>
      </c>
      <c r="V8" s="66">
        <f>'Monthly Forecast'!V8</f>
        <v>43131</v>
      </c>
      <c r="W8" s="66">
        <f>'Monthly Forecast'!W8</f>
        <v>43159</v>
      </c>
      <c r="X8" s="66">
        <f>'Monthly Forecast'!X8</f>
        <v>43190</v>
      </c>
      <c r="Y8" s="66">
        <f>'Monthly Forecast'!Y8</f>
        <v>43220</v>
      </c>
      <c r="Z8" s="66">
        <f>'Monthly Forecast'!Z8</f>
        <v>43251</v>
      </c>
      <c r="AA8" s="66">
        <f>'Monthly Forecast'!AA8</f>
        <v>43281</v>
      </c>
      <c r="AB8" s="66">
        <f>'Monthly Forecast'!AB8</f>
        <v>43312</v>
      </c>
      <c r="AC8" s="66">
        <f>'Monthly Forecast'!AC8</f>
        <v>43343</v>
      </c>
      <c r="AD8" s="66">
        <f>'Monthly Forecast'!AD8</f>
        <v>43373</v>
      </c>
      <c r="AE8" s="66">
        <f>'Monthly Forecast'!AE8</f>
        <v>43404</v>
      </c>
      <c r="AF8" s="66">
        <f>'Monthly Forecast'!AF8</f>
        <v>43434</v>
      </c>
      <c r="AG8" s="66">
        <f>'Monthly Forecast'!AG8</f>
        <v>43465</v>
      </c>
      <c r="AH8" s="66">
        <f>'Monthly Forecast'!AH8</f>
        <v>43496</v>
      </c>
      <c r="AI8" s="66">
        <f>'Monthly Forecast'!AI8</f>
        <v>43524</v>
      </c>
      <c r="AJ8" s="66">
        <f>'Monthly Forecast'!AJ8</f>
        <v>43555</v>
      </c>
      <c r="AK8" s="66">
        <f>'Monthly Forecast'!AK8</f>
        <v>43585</v>
      </c>
      <c r="AL8" s="66">
        <f>'Monthly Forecast'!AL8</f>
        <v>43616</v>
      </c>
      <c r="AM8" s="66">
        <f>'Monthly Forecast'!AM8</f>
        <v>43646</v>
      </c>
      <c r="AN8" s="66">
        <f>'Monthly Forecast'!AN8</f>
        <v>43677</v>
      </c>
      <c r="AO8" s="66">
        <f>'Monthly Forecast'!AO8</f>
        <v>43708</v>
      </c>
      <c r="AP8" s="66">
        <f>'Monthly Forecast'!AP8</f>
        <v>43738</v>
      </c>
      <c r="AQ8" s="66">
        <f>'Monthly Forecast'!AQ8</f>
        <v>43769</v>
      </c>
      <c r="AR8" s="66">
        <f>'Monthly Forecast'!AR8</f>
        <v>43799</v>
      </c>
      <c r="AS8" s="66">
        <f>'Monthly Forecast'!AS8</f>
        <v>43830</v>
      </c>
      <c r="AT8" s="66">
        <f>'Monthly Forecast'!AT8</f>
        <v>43861</v>
      </c>
      <c r="AU8" s="66">
        <f>'Monthly Forecast'!AU8</f>
        <v>43890</v>
      </c>
      <c r="AV8" s="66">
        <f>'Monthly Forecast'!AV8</f>
        <v>43921</v>
      </c>
      <c r="AW8" s="66">
        <f>'Monthly Forecast'!AW8</f>
        <v>43951</v>
      </c>
      <c r="AX8" s="66">
        <f>'Monthly Forecast'!AX8</f>
        <v>43982</v>
      </c>
      <c r="AY8" s="66">
        <f>'Monthly Forecast'!AY8</f>
        <v>44012</v>
      </c>
      <c r="AZ8" s="66">
        <f>'Monthly Forecast'!AZ8</f>
        <v>44043</v>
      </c>
      <c r="BA8" s="66">
        <f>'Monthly Forecast'!BA8</f>
        <v>44074</v>
      </c>
      <c r="BB8" s="66">
        <f>'Monthly Forecast'!BB8</f>
        <v>44104</v>
      </c>
      <c r="BC8" s="66">
        <f>'Monthly Forecast'!BC8</f>
        <v>44135</v>
      </c>
      <c r="BD8" s="66">
        <f>'Monthly Forecast'!BD8</f>
        <v>44165</v>
      </c>
      <c r="BE8" s="66">
        <f>'Monthly Forecast'!BE8</f>
        <v>44196</v>
      </c>
      <c r="BF8" s="66">
        <f>'Monthly Forecast'!BF8</f>
        <v>44227</v>
      </c>
      <c r="BG8" s="66">
        <f>'Monthly Forecast'!BG8</f>
        <v>44255</v>
      </c>
      <c r="BH8" s="66">
        <f>'Monthly Forecast'!BH8</f>
        <v>44286</v>
      </c>
      <c r="BI8" s="66">
        <f>'Monthly Forecast'!BI8</f>
        <v>44316</v>
      </c>
      <c r="BJ8" s="66">
        <f>'Monthly Forecast'!BJ8</f>
        <v>44347</v>
      </c>
      <c r="BK8" s="66">
        <f>'Monthly Forecast'!BK8</f>
        <v>44377</v>
      </c>
      <c r="BL8" s="66">
        <f>'Monthly Forecast'!BL8</f>
        <v>44408</v>
      </c>
      <c r="BM8" s="66">
        <f>'Monthly Forecast'!BM8</f>
        <v>44439</v>
      </c>
      <c r="BN8" s="66">
        <f>'Monthly Forecast'!BN8</f>
        <v>44469</v>
      </c>
      <c r="BO8" s="66">
        <f>'Monthly Forecast'!BO8</f>
        <v>44500</v>
      </c>
      <c r="BP8" s="66">
        <f>'Monthly Forecast'!BP8</f>
        <v>44530</v>
      </c>
      <c r="BQ8" s="66">
        <f>'Monthly Forecast'!BQ8</f>
        <v>44561</v>
      </c>
      <c r="BR8" s="66">
        <f>'Monthly Forecast'!BR8</f>
        <v>44592</v>
      </c>
      <c r="BS8" s="66">
        <f>'Monthly Forecast'!BS8</f>
        <v>44620</v>
      </c>
      <c r="BT8" s="66">
        <f>'Monthly Forecast'!BT8</f>
        <v>44651</v>
      </c>
      <c r="BU8" s="66">
        <f>'Monthly Forecast'!BU8</f>
        <v>44681</v>
      </c>
      <c r="BV8" s="66">
        <f>'Monthly Forecast'!BV8</f>
        <v>44712</v>
      </c>
      <c r="BW8" s="66">
        <f>'Monthly Forecast'!BW8</f>
        <v>44742</v>
      </c>
      <c r="BX8" s="66">
        <f>'Monthly Forecast'!BX8</f>
        <v>44773</v>
      </c>
      <c r="BY8" s="66">
        <f>'Monthly Forecast'!BY8</f>
        <v>44804</v>
      </c>
      <c r="BZ8" s="66">
        <f>'Monthly Forecast'!BZ8</f>
        <v>44834</v>
      </c>
      <c r="CA8" s="66">
        <f>'Monthly Forecast'!CA8</f>
        <v>44865</v>
      </c>
      <c r="CB8" s="66">
        <f>'Monthly Forecast'!CB8</f>
        <v>44895</v>
      </c>
      <c r="CC8" s="66">
        <f>'Monthly Forecast'!CC8</f>
        <v>44926</v>
      </c>
      <c r="CD8" s="66">
        <f>'Monthly Forecast'!CD8</f>
        <v>44957</v>
      </c>
      <c r="CE8" s="66">
        <f>'Monthly Forecast'!CE8</f>
        <v>44985</v>
      </c>
      <c r="CF8" s="66">
        <f>'Monthly Forecast'!CF8</f>
        <v>45016</v>
      </c>
      <c r="CG8" s="66">
        <f>'Monthly Forecast'!CG8</f>
        <v>45046</v>
      </c>
      <c r="CH8" s="66">
        <f>'Monthly Forecast'!CH8</f>
        <v>45077</v>
      </c>
      <c r="CI8" s="66">
        <f>'Monthly Forecast'!CI8</f>
        <v>45107</v>
      </c>
    </row>
    <row r="9" spans="1:87" x14ac:dyDescent="0.2">
      <c r="B9" s="82" t="s">
        <v>13</v>
      </c>
      <c r="C9" s="82" t="s">
        <v>14</v>
      </c>
      <c r="D9" s="5" t="s">
        <v>15</v>
      </c>
      <c r="E9" s="96" t="s">
        <v>16</v>
      </c>
      <c r="F9" s="97" t="s">
        <v>108</v>
      </c>
      <c r="G9" s="97" t="s">
        <v>109</v>
      </c>
      <c r="H9" s="97" t="s">
        <v>110</v>
      </c>
      <c r="I9" s="97" t="s">
        <v>111</v>
      </c>
      <c r="J9" s="97" t="s">
        <v>112</v>
      </c>
      <c r="K9" s="97" t="s">
        <v>113</v>
      </c>
      <c r="L9" s="97" t="s">
        <v>114</v>
      </c>
      <c r="M9" s="97" t="s">
        <v>115</v>
      </c>
      <c r="N9" s="97" t="s">
        <v>116</v>
      </c>
      <c r="O9" s="97" t="s">
        <v>234</v>
      </c>
      <c r="P9" s="97" t="s">
        <v>235</v>
      </c>
      <c r="Q9" s="97" t="s">
        <v>236</v>
      </c>
      <c r="R9" s="97" t="s">
        <v>237</v>
      </c>
      <c r="S9" s="97" t="s">
        <v>238</v>
      </c>
      <c r="T9" s="97" t="s">
        <v>239</v>
      </c>
      <c r="U9" s="97" t="s">
        <v>240</v>
      </c>
      <c r="V9" s="97" t="s">
        <v>241</v>
      </c>
      <c r="W9" s="97" t="s">
        <v>242</v>
      </c>
      <c r="X9" s="97" t="s">
        <v>243</v>
      </c>
      <c r="Y9" s="97" t="s">
        <v>244</v>
      </c>
      <c r="Z9" s="97" t="s">
        <v>245</v>
      </c>
      <c r="AA9" s="97" t="s">
        <v>246</v>
      </c>
      <c r="AB9" s="97" t="s">
        <v>247</v>
      </c>
      <c r="AC9" s="97" t="s">
        <v>248</v>
      </c>
      <c r="AD9" s="97" t="s">
        <v>249</v>
      </c>
      <c r="AE9" s="97" t="s">
        <v>250</v>
      </c>
      <c r="AF9" s="97" t="s">
        <v>251</v>
      </c>
      <c r="AG9" s="97" t="s">
        <v>252</v>
      </c>
      <c r="AH9" s="97" t="s">
        <v>253</v>
      </c>
      <c r="AI9" s="97" t="s">
        <v>254</v>
      </c>
      <c r="AJ9" s="97" t="s">
        <v>255</v>
      </c>
      <c r="AK9" s="97" t="s">
        <v>256</v>
      </c>
      <c r="AL9" s="97" t="s">
        <v>257</v>
      </c>
      <c r="AM9" s="97" t="s">
        <v>258</v>
      </c>
      <c r="AN9" s="97" t="s">
        <v>259</v>
      </c>
      <c r="AO9" s="97" t="s">
        <v>260</v>
      </c>
      <c r="AP9" s="97" t="s">
        <v>261</v>
      </c>
      <c r="AQ9" s="97" t="s">
        <v>262</v>
      </c>
      <c r="AR9" s="97" t="s">
        <v>263</v>
      </c>
      <c r="AS9" s="97" t="s">
        <v>264</v>
      </c>
      <c r="AT9" s="97" t="s">
        <v>265</v>
      </c>
      <c r="AU9" s="97" t="s">
        <v>266</v>
      </c>
      <c r="AV9" s="97" t="s">
        <v>267</v>
      </c>
      <c r="AW9" s="97" t="s">
        <v>268</v>
      </c>
      <c r="AX9" s="97" t="s">
        <v>269</v>
      </c>
      <c r="AY9" s="97" t="s">
        <v>270</v>
      </c>
      <c r="AZ9" s="97" t="s">
        <v>271</v>
      </c>
      <c r="BA9" s="97" t="s">
        <v>272</v>
      </c>
      <c r="BB9" s="97" t="s">
        <v>273</v>
      </c>
      <c r="BC9" s="97" t="s">
        <v>274</v>
      </c>
      <c r="BD9" s="97" t="s">
        <v>275</v>
      </c>
      <c r="BE9" s="97" t="s">
        <v>276</v>
      </c>
      <c r="BF9" s="97" t="s">
        <v>277</v>
      </c>
      <c r="BG9" s="97" t="s">
        <v>278</v>
      </c>
      <c r="BH9" s="97" t="s">
        <v>279</v>
      </c>
      <c r="BI9" s="97" t="s">
        <v>280</v>
      </c>
      <c r="BJ9" s="97" t="s">
        <v>281</v>
      </c>
      <c r="BK9" s="97" t="s">
        <v>282</v>
      </c>
      <c r="BL9" s="97" t="s">
        <v>298</v>
      </c>
      <c r="BM9" s="97" t="s">
        <v>299</v>
      </c>
      <c r="BN9" s="97" t="s">
        <v>300</v>
      </c>
      <c r="BO9" s="97" t="s">
        <v>301</v>
      </c>
      <c r="BP9" s="97" t="s">
        <v>302</v>
      </c>
      <c r="BQ9" s="97" t="s">
        <v>303</v>
      </c>
      <c r="BR9" s="97" t="s">
        <v>304</v>
      </c>
      <c r="BS9" s="97" t="s">
        <v>305</v>
      </c>
      <c r="BT9" s="97" t="s">
        <v>306</v>
      </c>
      <c r="BU9" s="97" t="s">
        <v>307</v>
      </c>
      <c r="BV9" s="97" t="s">
        <v>308</v>
      </c>
      <c r="BW9" s="97" t="s">
        <v>309</v>
      </c>
      <c r="BX9" s="97" t="s">
        <v>329</v>
      </c>
      <c r="BY9" s="97" t="s">
        <v>330</v>
      </c>
      <c r="BZ9" s="97" t="s">
        <v>331</v>
      </c>
      <c r="CA9" s="97" t="s">
        <v>332</v>
      </c>
      <c r="CB9" s="97" t="s">
        <v>333</v>
      </c>
      <c r="CC9" s="97" t="s">
        <v>334</v>
      </c>
      <c r="CD9" s="97" t="s">
        <v>335</v>
      </c>
      <c r="CE9" s="97" t="s">
        <v>336</v>
      </c>
      <c r="CF9" s="97" t="s">
        <v>337</v>
      </c>
      <c r="CG9" s="97" t="s">
        <v>338</v>
      </c>
      <c r="CH9" s="97" t="s">
        <v>339</v>
      </c>
      <c r="CI9" s="97" t="s">
        <v>340</v>
      </c>
    </row>
    <row r="10" spans="1:87" x14ac:dyDescent="0.2"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37"/>
      <c r="U10" s="37"/>
      <c r="V10" s="45"/>
      <c r="W10" s="37"/>
      <c r="X10" s="37"/>
      <c r="Y10" s="37"/>
      <c r="Z10" s="37"/>
      <c r="AA10" s="37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17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17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17"/>
    </row>
    <row r="11" spans="1:87" x14ac:dyDescent="0.2">
      <c r="A11" s="2">
        <v>1</v>
      </c>
      <c r="B11" s="169" t="s">
        <v>283</v>
      </c>
      <c r="C11" s="17"/>
      <c r="D11" s="17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</row>
    <row r="12" spans="1:87" x14ac:dyDescent="0.2">
      <c r="A12" s="2">
        <v>2</v>
      </c>
      <c r="B12" s="2" t="s">
        <v>284</v>
      </c>
      <c r="C12" s="12">
        <f>'Rate Design'!L12</f>
        <v>34</v>
      </c>
      <c r="D12" s="167">
        <v>88</v>
      </c>
      <c r="E12" s="167">
        <v>92</v>
      </c>
      <c r="F12" s="167">
        <v>138</v>
      </c>
      <c r="G12" s="167">
        <v>294</v>
      </c>
      <c r="H12" s="167">
        <v>553</v>
      </c>
      <c r="I12" s="167">
        <v>421</v>
      </c>
      <c r="J12" s="167">
        <v>175</v>
      </c>
      <c r="K12" s="167">
        <v>112</v>
      </c>
      <c r="L12" s="167">
        <v>138</v>
      </c>
      <c r="M12" s="167">
        <v>83</v>
      </c>
      <c r="N12" s="167">
        <v>98</v>
      </c>
      <c r="O12" s="167">
        <v>108</v>
      </c>
      <c r="P12" s="71">
        <f t="shared" ref="P12:Y13" si="0">D12</f>
        <v>88</v>
      </c>
      <c r="Q12" s="71">
        <f t="shared" si="0"/>
        <v>92</v>
      </c>
      <c r="R12" s="71">
        <f t="shared" si="0"/>
        <v>138</v>
      </c>
      <c r="S12" s="71">
        <f t="shared" si="0"/>
        <v>294</v>
      </c>
      <c r="T12" s="71">
        <f t="shared" si="0"/>
        <v>553</v>
      </c>
      <c r="U12" s="71">
        <f t="shared" si="0"/>
        <v>421</v>
      </c>
      <c r="V12" s="71">
        <f t="shared" si="0"/>
        <v>175</v>
      </c>
      <c r="W12" s="71">
        <f t="shared" si="0"/>
        <v>112</v>
      </c>
      <c r="X12" s="71">
        <f t="shared" si="0"/>
        <v>138</v>
      </c>
      <c r="Y12" s="71">
        <f t="shared" si="0"/>
        <v>83</v>
      </c>
      <c r="Z12" s="71">
        <f t="shared" ref="Z12:AI13" si="1">N12</f>
        <v>98</v>
      </c>
      <c r="AA12" s="71">
        <f t="shared" si="1"/>
        <v>108</v>
      </c>
      <c r="AB12" s="71">
        <f t="shared" si="1"/>
        <v>88</v>
      </c>
      <c r="AC12" s="71">
        <f t="shared" si="1"/>
        <v>92</v>
      </c>
      <c r="AD12" s="71">
        <f t="shared" si="1"/>
        <v>138</v>
      </c>
      <c r="AE12" s="71">
        <f t="shared" si="1"/>
        <v>294</v>
      </c>
      <c r="AF12" s="71">
        <f t="shared" si="1"/>
        <v>553</v>
      </c>
      <c r="AG12" s="71">
        <f t="shared" si="1"/>
        <v>421</v>
      </c>
      <c r="AH12" s="71">
        <f t="shared" si="1"/>
        <v>175</v>
      </c>
      <c r="AI12" s="71">
        <f t="shared" si="1"/>
        <v>112</v>
      </c>
      <c r="AJ12" s="71">
        <f t="shared" ref="AJ12:AS13" si="2">X12</f>
        <v>138</v>
      </c>
      <c r="AK12" s="71">
        <f t="shared" si="2"/>
        <v>83</v>
      </c>
      <c r="AL12" s="71">
        <f t="shared" si="2"/>
        <v>98</v>
      </c>
      <c r="AM12" s="71">
        <f t="shared" si="2"/>
        <v>108</v>
      </c>
      <c r="AN12" s="71">
        <f t="shared" si="2"/>
        <v>88</v>
      </c>
      <c r="AO12" s="71">
        <f t="shared" si="2"/>
        <v>92</v>
      </c>
      <c r="AP12" s="71">
        <f t="shared" si="2"/>
        <v>138</v>
      </c>
      <c r="AQ12" s="71">
        <f t="shared" si="2"/>
        <v>294</v>
      </c>
      <c r="AR12" s="71">
        <f t="shared" si="2"/>
        <v>553</v>
      </c>
      <c r="AS12" s="71">
        <f t="shared" si="2"/>
        <v>421</v>
      </c>
      <c r="AT12" s="71">
        <f t="shared" ref="AT12:BC13" si="3">AH12</f>
        <v>175</v>
      </c>
      <c r="AU12" s="71">
        <f t="shared" si="3"/>
        <v>112</v>
      </c>
      <c r="AV12" s="71">
        <f t="shared" si="3"/>
        <v>138</v>
      </c>
      <c r="AW12" s="71">
        <f t="shared" si="3"/>
        <v>83</v>
      </c>
      <c r="AX12" s="71">
        <f t="shared" si="3"/>
        <v>98</v>
      </c>
      <c r="AY12" s="71">
        <f t="shared" si="3"/>
        <v>108</v>
      </c>
      <c r="AZ12" s="71">
        <f t="shared" si="3"/>
        <v>88</v>
      </c>
      <c r="BA12" s="71">
        <f t="shared" si="3"/>
        <v>92</v>
      </c>
      <c r="BB12" s="71">
        <f t="shared" si="3"/>
        <v>138</v>
      </c>
      <c r="BC12" s="71">
        <f t="shared" si="3"/>
        <v>294</v>
      </c>
      <c r="BD12" s="71">
        <f t="shared" ref="BD12:BK13" si="4">AR12</f>
        <v>553</v>
      </c>
      <c r="BE12" s="71">
        <f t="shared" si="4"/>
        <v>421</v>
      </c>
      <c r="BF12" s="71">
        <f t="shared" si="4"/>
        <v>175</v>
      </c>
      <c r="BG12" s="71">
        <f t="shared" si="4"/>
        <v>112</v>
      </c>
      <c r="BH12" s="71">
        <f t="shared" si="4"/>
        <v>138</v>
      </c>
      <c r="BI12" s="71">
        <f t="shared" si="4"/>
        <v>83</v>
      </c>
      <c r="BJ12" s="71">
        <f t="shared" si="4"/>
        <v>98</v>
      </c>
      <c r="BK12" s="71">
        <f t="shared" si="4"/>
        <v>108</v>
      </c>
      <c r="BL12" s="71">
        <f t="shared" ref="BL12:BW13" si="5">AZ12</f>
        <v>88</v>
      </c>
      <c r="BM12" s="71">
        <f t="shared" si="5"/>
        <v>92</v>
      </c>
      <c r="BN12" s="71">
        <f t="shared" si="5"/>
        <v>138</v>
      </c>
      <c r="BO12" s="71">
        <f t="shared" si="5"/>
        <v>294</v>
      </c>
      <c r="BP12" s="71">
        <f t="shared" si="5"/>
        <v>553</v>
      </c>
      <c r="BQ12" s="71">
        <f t="shared" si="5"/>
        <v>421</v>
      </c>
      <c r="BR12" s="71">
        <f t="shared" si="5"/>
        <v>175</v>
      </c>
      <c r="BS12" s="71">
        <f t="shared" si="5"/>
        <v>112</v>
      </c>
      <c r="BT12" s="71">
        <f t="shared" si="5"/>
        <v>138</v>
      </c>
      <c r="BU12" s="71">
        <f t="shared" si="5"/>
        <v>83</v>
      </c>
      <c r="BV12" s="71">
        <f t="shared" si="5"/>
        <v>98</v>
      </c>
      <c r="BW12" s="71">
        <f t="shared" si="5"/>
        <v>108</v>
      </c>
      <c r="BX12" s="71">
        <f t="shared" ref="BX12:CI13" si="6">BL12</f>
        <v>88</v>
      </c>
      <c r="BY12" s="71">
        <f t="shared" si="6"/>
        <v>92</v>
      </c>
      <c r="BZ12" s="71">
        <f t="shared" si="6"/>
        <v>138</v>
      </c>
      <c r="CA12" s="71">
        <f t="shared" si="6"/>
        <v>294</v>
      </c>
      <c r="CB12" s="71">
        <f t="shared" si="6"/>
        <v>553</v>
      </c>
      <c r="CC12" s="71">
        <f t="shared" si="6"/>
        <v>421</v>
      </c>
      <c r="CD12" s="71">
        <f t="shared" si="6"/>
        <v>175</v>
      </c>
      <c r="CE12" s="71">
        <f t="shared" si="6"/>
        <v>112</v>
      </c>
      <c r="CF12" s="71">
        <f t="shared" si="6"/>
        <v>138</v>
      </c>
      <c r="CG12" s="71">
        <f t="shared" si="6"/>
        <v>83</v>
      </c>
      <c r="CH12" s="71">
        <f t="shared" si="6"/>
        <v>98</v>
      </c>
      <c r="CI12" s="71">
        <f t="shared" si="6"/>
        <v>108</v>
      </c>
    </row>
    <row r="13" spans="1:87" x14ac:dyDescent="0.2">
      <c r="A13" s="2">
        <v>3</v>
      </c>
      <c r="B13" s="2" t="s">
        <v>285</v>
      </c>
      <c r="C13" s="12">
        <f>'Rate Design'!M12</f>
        <v>44</v>
      </c>
      <c r="D13" s="167">
        <v>0</v>
      </c>
      <c r="E13" s="167">
        <v>0</v>
      </c>
      <c r="F13" s="167">
        <v>0</v>
      </c>
      <c r="G13" s="167">
        <v>0</v>
      </c>
      <c r="H13" s="167">
        <v>0</v>
      </c>
      <c r="I13" s="167">
        <v>0</v>
      </c>
      <c r="J13" s="167">
        <v>0</v>
      </c>
      <c r="K13" s="167">
        <v>0</v>
      </c>
      <c r="L13" s="167">
        <v>0</v>
      </c>
      <c r="M13" s="167">
        <v>0</v>
      </c>
      <c r="N13" s="167">
        <v>0</v>
      </c>
      <c r="O13" s="167">
        <v>0</v>
      </c>
      <c r="P13" s="71">
        <f t="shared" si="0"/>
        <v>0</v>
      </c>
      <c r="Q13" s="71">
        <f t="shared" si="0"/>
        <v>0</v>
      </c>
      <c r="R13" s="71">
        <f t="shared" si="0"/>
        <v>0</v>
      </c>
      <c r="S13" s="71">
        <f t="shared" si="0"/>
        <v>0</v>
      </c>
      <c r="T13" s="71">
        <f t="shared" si="0"/>
        <v>0</v>
      </c>
      <c r="U13" s="71">
        <f t="shared" si="0"/>
        <v>0</v>
      </c>
      <c r="V13" s="71">
        <f t="shared" si="0"/>
        <v>0</v>
      </c>
      <c r="W13" s="71">
        <f t="shared" si="0"/>
        <v>0</v>
      </c>
      <c r="X13" s="71">
        <f t="shared" si="0"/>
        <v>0</v>
      </c>
      <c r="Y13" s="71">
        <f t="shared" si="0"/>
        <v>0</v>
      </c>
      <c r="Z13" s="71">
        <f t="shared" si="1"/>
        <v>0</v>
      </c>
      <c r="AA13" s="71">
        <f t="shared" si="1"/>
        <v>0</v>
      </c>
      <c r="AB13" s="71">
        <f t="shared" si="1"/>
        <v>0</v>
      </c>
      <c r="AC13" s="71">
        <f t="shared" si="1"/>
        <v>0</v>
      </c>
      <c r="AD13" s="71">
        <f t="shared" si="1"/>
        <v>0</v>
      </c>
      <c r="AE13" s="71">
        <f t="shared" si="1"/>
        <v>0</v>
      </c>
      <c r="AF13" s="71">
        <f t="shared" si="1"/>
        <v>0</v>
      </c>
      <c r="AG13" s="71">
        <f t="shared" si="1"/>
        <v>0</v>
      </c>
      <c r="AH13" s="71">
        <f t="shared" si="1"/>
        <v>0</v>
      </c>
      <c r="AI13" s="71">
        <f t="shared" si="1"/>
        <v>0</v>
      </c>
      <c r="AJ13" s="71">
        <f t="shared" si="2"/>
        <v>0</v>
      </c>
      <c r="AK13" s="71">
        <f t="shared" si="2"/>
        <v>0</v>
      </c>
      <c r="AL13" s="71">
        <f t="shared" si="2"/>
        <v>0</v>
      </c>
      <c r="AM13" s="71">
        <f t="shared" si="2"/>
        <v>0</v>
      </c>
      <c r="AN13" s="71">
        <f t="shared" si="2"/>
        <v>0</v>
      </c>
      <c r="AO13" s="71">
        <f t="shared" si="2"/>
        <v>0</v>
      </c>
      <c r="AP13" s="71">
        <f t="shared" si="2"/>
        <v>0</v>
      </c>
      <c r="AQ13" s="71">
        <f t="shared" si="2"/>
        <v>0</v>
      </c>
      <c r="AR13" s="71">
        <f t="shared" si="2"/>
        <v>0</v>
      </c>
      <c r="AS13" s="71">
        <f t="shared" si="2"/>
        <v>0</v>
      </c>
      <c r="AT13" s="71">
        <f t="shared" si="3"/>
        <v>0</v>
      </c>
      <c r="AU13" s="71">
        <f t="shared" si="3"/>
        <v>0</v>
      </c>
      <c r="AV13" s="71">
        <f t="shared" si="3"/>
        <v>0</v>
      </c>
      <c r="AW13" s="71">
        <f t="shared" si="3"/>
        <v>0</v>
      </c>
      <c r="AX13" s="71">
        <f t="shared" si="3"/>
        <v>0</v>
      </c>
      <c r="AY13" s="71">
        <f t="shared" si="3"/>
        <v>0</v>
      </c>
      <c r="AZ13" s="71">
        <f t="shared" si="3"/>
        <v>0</v>
      </c>
      <c r="BA13" s="71">
        <f t="shared" si="3"/>
        <v>0</v>
      </c>
      <c r="BB13" s="71">
        <f t="shared" si="3"/>
        <v>0</v>
      </c>
      <c r="BC13" s="71">
        <f t="shared" si="3"/>
        <v>0</v>
      </c>
      <c r="BD13" s="71">
        <f t="shared" si="4"/>
        <v>0</v>
      </c>
      <c r="BE13" s="71">
        <f t="shared" si="4"/>
        <v>0</v>
      </c>
      <c r="BF13" s="71">
        <f t="shared" si="4"/>
        <v>0</v>
      </c>
      <c r="BG13" s="71">
        <f t="shared" si="4"/>
        <v>0</v>
      </c>
      <c r="BH13" s="71">
        <f t="shared" si="4"/>
        <v>0</v>
      </c>
      <c r="BI13" s="71">
        <f t="shared" si="4"/>
        <v>0</v>
      </c>
      <c r="BJ13" s="71">
        <f t="shared" si="4"/>
        <v>0</v>
      </c>
      <c r="BK13" s="71">
        <f t="shared" si="4"/>
        <v>0</v>
      </c>
      <c r="BL13" s="71">
        <f t="shared" si="5"/>
        <v>0</v>
      </c>
      <c r="BM13" s="71">
        <f t="shared" si="5"/>
        <v>0</v>
      </c>
      <c r="BN13" s="71">
        <f t="shared" si="5"/>
        <v>0</v>
      </c>
      <c r="BO13" s="71">
        <f t="shared" si="5"/>
        <v>0</v>
      </c>
      <c r="BP13" s="71">
        <f t="shared" si="5"/>
        <v>0</v>
      </c>
      <c r="BQ13" s="71">
        <f t="shared" si="5"/>
        <v>0</v>
      </c>
      <c r="BR13" s="71">
        <f t="shared" si="5"/>
        <v>0</v>
      </c>
      <c r="BS13" s="71">
        <f t="shared" si="5"/>
        <v>0</v>
      </c>
      <c r="BT13" s="71">
        <f t="shared" si="5"/>
        <v>0</v>
      </c>
      <c r="BU13" s="71">
        <f t="shared" si="5"/>
        <v>0</v>
      </c>
      <c r="BV13" s="71">
        <f t="shared" si="5"/>
        <v>0</v>
      </c>
      <c r="BW13" s="71">
        <f t="shared" si="5"/>
        <v>0</v>
      </c>
      <c r="BX13" s="71">
        <f t="shared" si="6"/>
        <v>0</v>
      </c>
      <c r="BY13" s="71">
        <f t="shared" si="6"/>
        <v>0</v>
      </c>
      <c r="BZ13" s="71">
        <f t="shared" si="6"/>
        <v>0</v>
      </c>
      <c r="CA13" s="71">
        <f t="shared" si="6"/>
        <v>0</v>
      </c>
      <c r="CB13" s="71">
        <f t="shared" si="6"/>
        <v>0</v>
      </c>
      <c r="CC13" s="71">
        <f t="shared" si="6"/>
        <v>0</v>
      </c>
      <c r="CD13" s="71">
        <f t="shared" si="6"/>
        <v>0</v>
      </c>
      <c r="CE13" s="71">
        <f t="shared" si="6"/>
        <v>0</v>
      </c>
      <c r="CF13" s="71">
        <f t="shared" si="6"/>
        <v>0</v>
      </c>
      <c r="CG13" s="71">
        <f t="shared" si="6"/>
        <v>0</v>
      </c>
      <c r="CH13" s="71">
        <f t="shared" si="6"/>
        <v>0</v>
      </c>
      <c r="CI13" s="71">
        <f t="shared" si="6"/>
        <v>0</v>
      </c>
    </row>
    <row r="14" spans="1:87" x14ac:dyDescent="0.2">
      <c r="A14" s="2">
        <v>6</v>
      </c>
      <c r="B14" s="33" t="s">
        <v>289</v>
      </c>
      <c r="C14" s="33"/>
      <c r="D14" s="32">
        <f>D12+D13</f>
        <v>88</v>
      </c>
      <c r="E14" s="32">
        <f t="shared" ref="E14:O14" si="7">E12+E13</f>
        <v>92</v>
      </c>
      <c r="F14" s="32">
        <f t="shared" si="7"/>
        <v>138</v>
      </c>
      <c r="G14" s="32">
        <f t="shared" si="7"/>
        <v>294</v>
      </c>
      <c r="H14" s="32">
        <f t="shared" si="7"/>
        <v>553</v>
      </c>
      <c r="I14" s="32">
        <f t="shared" si="7"/>
        <v>421</v>
      </c>
      <c r="J14" s="32">
        <f t="shared" si="7"/>
        <v>175</v>
      </c>
      <c r="K14" s="32">
        <f t="shared" si="7"/>
        <v>112</v>
      </c>
      <c r="L14" s="32">
        <f t="shared" si="7"/>
        <v>138</v>
      </c>
      <c r="M14" s="32">
        <f t="shared" si="7"/>
        <v>83</v>
      </c>
      <c r="N14" s="32">
        <f t="shared" si="7"/>
        <v>98</v>
      </c>
      <c r="O14" s="32">
        <f t="shared" si="7"/>
        <v>108</v>
      </c>
      <c r="P14" s="32">
        <f t="shared" ref="P14:BK14" si="8">P12+P13</f>
        <v>88</v>
      </c>
      <c r="Q14" s="32">
        <f t="shared" si="8"/>
        <v>92</v>
      </c>
      <c r="R14" s="32">
        <f t="shared" si="8"/>
        <v>138</v>
      </c>
      <c r="S14" s="32">
        <f t="shared" si="8"/>
        <v>294</v>
      </c>
      <c r="T14" s="32">
        <f t="shared" si="8"/>
        <v>553</v>
      </c>
      <c r="U14" s="32">
        <f t="shared" si="8"/>
        <v>421</v>
      </c>
      <c r="V14" s="32">
        <f t="shared" si="8"/>
        <v>175</v>
      </c>
      <c r="W14" s="32">
        <f t="shared" si="8"/>
        <v>112</v>
      </c>
      <c r="X14" s="32">
        <f t="shared" si="8"/>
        <v>138</v>
      </c>
      <c r="Y14" s="32">
        <f t="shared" si="8"/>
        <v>83</v>
      </c>
      <c r="Z14" s="32">
        <f t="shared" si="8"/>
        <v>98</v>
      </c>
      <c r="AA14" s="32">
        <f t="shared" si="8"/>
        <v>108</v>
      </c>
      <c r="AB14" s="32">
        <f t="shared" si="8"/>
        <v>88</v>
      </c>
      <c r="AC14" s="32">
        <f t="shared" si="8"/>
        <v>92</v>
      </c>
      <c r="AD14" s="32">
        <f t="shared" si="8"/>
        <v>138</v>
      </c>
      <c r="AE14" s="32">
        <f t="shared" si="8"/>
        <v>294</v>
      </c>
      <c r="AF14" s="32">
        <f t="shared" si="8"/>
        <v>553</v>
      </c>
      <c r="AG14" s="32">
        <f t="shared" si="8"/>
        <v>421</v>
      </c>
      <c r="AH14" s="32">
        <f t="shared" si="8"/>
        <v>175</v>
      </c>
      <c r="AI14" s="32">
        <f t="shared" si="8"/>
        <v>112</v>
      </c>
      <c r="AJ14" s="32">
        <f t="shared" si="8"/>
        <v>138</v>
      </c>
      <c r="AK14" s="32">
        <f t="shared" si="8"/>
        <v>83</v>
      </c>
      <c r="AL14" s="32">
        <f t="shared" si="8"/>
        <v>98</v>
      </c>
      <c r="AM14" s="32">
        <f t="shared" si="8"/>
        <v>108</v>
      </c>
      <c r="AN14" s="32">
        <f t="shared" si="8"/>
        <v>88</v>
      </c>
      <c r="AO14" s="32">
        <f t="shared" si="8"/>
        <v>92</v>
      </c>
      <c r="AP14" s="32">
        <f t="shared" si="8"/>
        <v>138</v>
      </c>
      <c r="AQ14" s="32">
        <f t="shared" si="8"/>
        <v>294</v>
      </c>
      <c r="AR14" s="32">
        <f t="shared" si="8"/>
        <v>553</v>
      </c>
      <c r="AS14" s="32">
        <f t="shared" si="8"/>
        <v>421</v>
      </c>
      <c r="AT14" s="32">
        <f t="shared" si="8"/>
        <v>175</v>
      </c>
      <c r="AU14" s="32">
        <f t="shared" si="8"/>
        <v>112</v>
      </c>
      <c r="AV14" s="32">
        <f t="shared" si="8"/>
        <v>138</v>
      </c>
      <c r="AW14" s="32">
        <f t="shared" si="8"/>
        <v>83</v>
      </c>
      <c r="AX14" s="32">
        <f t="shared" si="8"/>
        <v>98</v>
      </c>
      <c r="AY14" s="32">
        <f t="shared" si="8"/>
        <v>108</v>
      </c>
      <c r="AZ14" s="32">
        <f t="shared" si="8"/>
        <v>88</v>
      </c>
      <c r="BA14" s="32">
        <f t="shared" si="8"/>
        <v>92</v>
      </c>
      <c r="BB14" s="32">
        <f t="shared" si="8"/>
        <v>138</v>
      </c>
      <c r="BC14" s="32">
        <f t="shared" si="8"/>
        <v>294</v>
      </c>
      <c r="BD14" s="32">
        <f t="shared" si="8"/>
        <v>553</v>
      </c>
      <c r="BE14" s="32">
        <f t="shared" si="8"/>
        <v>421</v>
      </c>
      <c r="BF14" s="32">
        <f t="shared" si="8"/>
        <v>175</v>
      </c>
      <c r="BG14" s="32">
        <f t="shared" si="8"/>
        <v>112</v>
      </c>
      <c r="BH14" s="32">
        <f t="shared" si="8"/>
        <v>138</v>
      </c>
      <c r="BI14" s="32">
        <f t="shared" si="8"/>
        <v>83</v>
      </c>
      <c r="BJ14" s="32">
        <f t="shared" si="8"/>
        <v>98</v>
      </c>
      <c r="BK14" s="32">
        <f t="shared" si="8"/>
        <v>108</v>
      </c>
      <c r="BL14" s="32">
        <f t="shared" ref="BL14:BW14" si="9">BL12+BL13</f>
        <v>88</v>
      </c>
      <c r="BM14" s="32">
        <f t="shared" si="9"/>
        <v>92</v>
      </c>
      <c r="BN14" s="32">
        <f t="shared" si="9"/>
        <v>138</v>
      </c>
      <c r="BO14" s="32">
        <f t="shared" si="9"/>
        <v>294</v>
      </c>
      <c r="BP14" s="32">
        <f t="shared" si="9"/>
        <v>553</v>
      </c>
      <c r="BQ14" s="32">
        <f t="shared" si="9"/>
        <v>421</v>
      </c>
      <c r="BR14" s="32">
        <f t="shared" si="9"/>
        <v>175</v>
      </c>
      <c r="BS14" s="32">
        <f t="shared" si="9"/>
        <v>112</v>
      </c>
      <c r="BT14" s="32">
        <f t="shared" si="9"/>
        <v>138</v>
      </c>
      <c r="BU14" s="32">
        <f t="shared" si="9"/>
        <v>83</v>
      </c>
      <c r="BV14" s="32">
        <f t="shared" si="9"/>
        <v>98</v>
      </c>
      <c r="BW14" s="32">
        <f t="shared" si="9"/>
        <v>108</v>
      </c>
      <c r="BX14" s="32">
        <f t="shared" ref="BX14:CI14" si="10">BX12+BX13</f>
        <v>88</v>
      </c>
      <c r="BY14" s="32">
        <f t="shared" si="10"/>
        <v>92</v>
      </c>
      <c r="BZ14" s="32">
        <f t="shared" si="10"/>
        <v>138</v>
      </c>
      <c r="CA14" s="32">
        <f t="shared" si="10"/>
        <v>294</v>
      </c>
      <c r="CB14" s="32">
        <f t="shared" si="10"/>
        <v>553</v>
      </c>
      <c r="CC14" s="32">
        <f t="shared" si="10"/>
        <v>421</v>
      </c>
      <c r="CD14" s="32">
        <f t="shared" si="10"/>
        <v>175</v>
      </c>
      <c r="CE14" s="32">
        <f t="shared" si="10"/>
        <v>112</v>
      </c>
      <c r="CF14" s="32">
        <f t="shared" si="10"/>
        <v>138</v>
      </c>
      <c r="CG14" s="32">
        <f t="shared" si="10"/>
        <v>83</v>
      </c>
      <c r="CH14" s="32">
        <f t="shared" si="10"/>
        <v>98</v>
      </c>
      <c r="CI14" s="32">
        <f t="shared" si="10"/>
        <v>108</v>
      </c>
    </row>
    <row r="15" spans="1:87" x14ac:dyDescent="0.2">
      <c r="A15" s="2">
        <v>7</v>
      </c>
      <c r="B15" s="33" t="s">
        <v>290</v>
      </c>
      <c r="C15" s="33"/>
      <c r="D15" s="99">
        <f t="shared" ref="D15:O15" si="11">$C$12*D12+$C$13*D13</f>
        <v>2992</v>
      </c>
      <c r="E15" s="99">
        <f t="shared" si="11"/>
        <v>3128</v>
      </c>
      <c r="F15" s="99">
        <f t="shared" si="11"/>
        <v>4692</v>
      </c>
      <c r="G15" s="99">
        <f t="shared" si="11"/>
        <v>9996</v>
      </c>
      <c r="H15" s="99">
        <f t="shared" si="11"/>
        <v>18802</v>
      </c>
      <c r="I15" s="99">
        <f t="shared" si="11"/>
        <v>14314</v>
      </c>
      <c r="J15" s="99">
        <f t="shared" si="11"/>
        <v>5950</v>
      </c>
      <c r="K15" s="99">
        <f t="shared" si="11"/>
        <v>3808</v>
      </c>
      <c r="L15" s="99">
        <f t="shared" si="11"/>
        <v>4692</v>
      </c>
      <c r="M15" s="99">
        <f t="shared" si="11"/>
        <v>2822</v>
      </c>
      <c r="N15" s="99">
        <f t="shared" si="11"/>
        <v>3332</v>
      </c>
      <c r="O15" s="99">
        <f t="shared" si="11"/>
        <v>3672</v>
      </c>
      <c r="P15" s="99">
        <f t="shared" ref="P15:BK15" si="12">$C$12*P12+$C$13*P13</f>
        <v>2992</v>
      </c>
      <c r="Q15" s="99">
        <f t="shared" si="12"/>
        <v>3128</v>
      </c>
      <c r="R15" s="99">
        <f t="shared" si="12"/>
        <v>4692</v>
      </c>
      <c r="S15" s="99">
        <f t="shared" si="12"/>
        <v>9996</v>
      </c>
      <c r="T15" s="99">
        <f t="shared" si="12"/>
        <v>18802</v>
      </c>
      <c r="U15" s="99">
        <f t="shared" si="12"/>
        <v>14314</v>
      </c>
      <c r="V15" s="99">
        <f t="shared" si="12"/>
        <v>5950</v>
      </c>
      <c r="W15" s="99">
        <f t="shared" si="12"/>
        <v>3808</v>
      </c>
      <c r="X15" s="99">
        <f t="shared" si="12"/>
        <v>4692</v>
      </c>
      <c r="Y15" s="99">
        <f t="shared" si="12"/>
        <v>2822</v>
      </c>
      <c r="Z15" s="99">
        <f t="shared" si="12"/>
        <v>3332</v>
      </c>
      <c r="AA15" s="99">
        <f t="shared" si="12"/>
        <v>3672</v>
      </c>
      <c r="AB15" s="99">
        <f t="shared" si="12"/>
        <v>2992</v>
      </c>
      <c r="AC15" s="99">
        <f t="shared" si="12"/>
        <v>3128</v>
      </c>
      <c r="AD15" s="99">
        <f t="shared" si="12"/>
        <v>4692</v>
      </c>
      <c r="AE15" s="99">
        <f t="shared" si="12"/>
        <v>9996</v>
      </c>
      <c r="AF15" s="99">
        <f t="shared" si="12"/>
        <v>18802</v>
      </c>
      <c r="AG15" s="99">
        <f t="shared" si="12"/>
        <v>14314</v>
      </c>
      <c r="AH15" s="99">
        <f t="shared" si="12"/>
        <v>5950</v>
      </c>
      <c r="AI15" s="99">
        <f t="shared" si="12"/>
        <v>3808</v>
      </c>
      <c r="AJ15" s="99">
        <f t="shared" si="12"/>
        <v>4692</v>
      </c>
      <c r="AK15" s="99">
        <f t="shared" si="12"/>
        <v>2822</v>
      </c>
      <c r="AL15" s="99">
        <f t="shared" si="12"/>
        <v>3332</v>
      </c>
      <c r="AM15" s="99">
        <f t="shared" si="12"/>
        <v>3672</v>
      </c>
      <c r="AN15" s="99">
        <f t="shared" si="12"/>
        <v>2992</v>
      </c>
      <c r="AO15" s="99">
        <f t="shared" si="12"/>
        <v>3128</v>
      </c>
      <c r="AP15" s="99">
        <f t="shared" si="12"/>
        <v>4692</v>
      </c>
      <c r="AQ15" s="99">
        <f t="shared" si="12"/>
        <v>9996</v>
      </c>
      <c r="AR15" s="99">
        <f t="shared" si="12"/>
        <v>18802</v>
      </c>
      <c r="AS15" s="99">
        <f t="shared" si="12"/>
        <v>14314</v>
      </c>
      <c r="AT15" s="99">
        <f t="shared" si="12"/>
        <v>5950</v>
      </c>
      <c r="AU15" s="99">
        <f t="shared" si="12"/>
        <v>3808</v>
      </c>
      <c r="AV15" s="99">
        <f t="shared" si="12"/>
        <v>4692</v>
      </c>
      <c r="AW15" s="99">
        <f t="shared" si="12"/>
        <v>2822</v>
      </c>
      <c r="AX15" s="99">
        <f t="shared" si="12"/>
        <v>3332</v>
      </c>
      <c r="AY15" s="99">
        <f t="shared" si="12"/>
        <v>3672</v>
      </c>
      <c r="AZ15" s="99">
        <f t="shared" si="12"/>
        <v>2992</v>
      </c>
      <c r="BA15" s="99">
        <f t="shared" si="12"/>
        <v>3128</v>
      </c>
      <c r="BB15" s="99">
        <f t="shared" si="12"/>
        <v>4692</v>
      </c>
      <c r="BC15" s="99">
        <f t="shared" si="12"/>
        <v>9996</v>
      </c>
      <c r="BD15" s="99">
        <f t="shared" si="12"/>
        <v>18802</v>
      </c>
      <c r="BE15" s="99">
        <f t="shared" si="12"/>
        <v>14314</v>
      </c>
      <c r="BF15" s="99">
        <f t="shared" si="12"/>
        <v>5950</v>
      </c>
      <c r="BG15" s="99">
        <f t="shared" si="12"/>
        <v>3808</v>
      </c>
      <c r="BH15" s="99">
        <f t="shared" si="12"/>
        <v>4692</v>
      </c>
      <c r="BI15" s="99">
        <f t="shared" si="12"/>
        <v>2822</v>
      </c>
      <c r="BJ15" s="99">
        <f t="shared" si="12"/>
        <v>3332</v>
      </c>
      <c r="BK15" s="99">
        <f t="shared" si="12"/>
        <v>3672</v>
      </c>
      <c r="BL15" s="99">
        <f t="shared" ref="BL15:BW15" si="13">$C$12*BL12+$C$13*BL13</f>
        <v>2992</v>
      </c>
      <c r="BM15" s="99">
        <f t="shared" si="13"/>
        <v>3128</v>
      </c>
      <c r="BN15" s="99">
        <f t="shared" si="13"/>
        <v>4692</v>
      </c>
      <c r="BO15" s="99">
        <f t="shared" si="13"/>
        <v>9996</v>
      </c>
      <c r="BP15" s="99">
        <f t="shared" si="13"/>
        <v>18802</v>
      </c>
      <c r="BQ15" s="99">
        <f t="shared" si="13"/>
        <v>14314</v>
      </c>
      <c r="BR15" s="99">
        <f t="shared" si="13"/>
        <v>5950</v>
      </c>
      <c r="BS15" s="99">
        <f t="shared" si="13"/>
        <v>3808</v>
      </c>
      <c r="BT15" s="99">
        <f t="shared" si="13"/>
        <v>4692</v>
      </c>
      <c r="BU15" s="99">
        <f t="shared" si="13"/>
        <v>2822</v>
      </c>
      <c r="BV15" s="99">
        <f t="shared" si="13"/>
        <v>3332</v>
      </c>
      <c r="BW15" s="99">
        <f t="shared" si="13"/>
        <v>3672</v>
      </c>
      <c r="BX15" s="99">
        <f t="shared" ref="BX15:CI15" si="14">$C$12*BX12+$C$13*BX13</f>
        <v>2992</v>
      </c>
      <c r="BY15" s="99">
        <f t="shared" si="14"/>
        <v>3128</v>
      </c>
      <c r="BZ15" s="99">
        <f t="shared" si="14"/>
        <v>4692</v>
      </c>
      <c r="CA15" s="99">
        <f t="shared" si="14"/>
        <v>9996</v>
      </c>
      <c r="CB15" s="99">
        <f t="shared" si="14"/>
        <v>18802</v>
      </c>
      <c r="CC15" s="99">
        <f t="shared" si="14"/>
        <v>14314</v>
      </c>
      <c r="CD15" s="99">
        <f t="shared" si="14"/>
        <v>5950</v>
      </c>
      <c r="CE15" s="99">
        <f t="shared" si="14"/>
        <v>3808</v>
      </c>
      <c r="CF15" s="99">
        <f t="shared" si="14"/>
        <v>4692</v>
      </c>
      <c r="CG15" s="99">
        <f t="shared" si="14"/>
        <v>2822</v>
      </c>
      <c r="CH15" s="99">
        <f t="shared" si="14"/>
        <v>3332</v>
      </c>
      <c r="CI15" s="99">
        <f t="shared" si="14"/>
        <v>3672</v>
      </c>
    </row>
    <row r="16" spans="1:87" x14ac:dyDescent="0.2">
      <c r="A16" s="2">
        <v>8</v>
      </c>
    </row>
    <row r="17" spans="1:87" x14ac:dyDescent="0.2">
      <c r="A17" s="2">
        <v>9</v>
      </c>
      <c r="B17" s="169" t="s">
        <v>286</v>
      </c>
      <c r="C17" s="17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</row>
    <row r="18" spans="1:87" x14ac:dyDescent="0.2">
      <c r="A18" s="2">
        <v>10</v>
      </c>
      <c r="B18" s="2" t="s">
        <v>284</v>
      </c>
      <c r="C18" s="12">
        <f>'Rate Design'!L13</f>
        <v>23</v>
      </c>
      <c r="D18" s="167">
        <v>682</v>
      </c>
      <c r="E18" s="167">
        <v>857</v>
      </c>
      <c r="F18" s="167">
        <v>938</v>
      </c>
      <c r="G18" s="167">
        <v>1731</v>
      </c>
      <c r="H18" s="167">
        <v>2887</v>
      </c>
      <c r="I18" s="167">
        <v>1855</v>
      </c>
      <c r="J18" s="167">
        <v>641</v>
      </c>
      <c r="K18" s="167">
        <v>520</v>
      </c>
      <c r="L18" s="167">
        <v>646</v>
      </c>
      <c r="M18" s="167">
        <v>430</v>
      </c>
      <c r="N18" s="167">
        <v>547</v>
      </c>
      <c r="O18" s="167">
        <v>603</v>
      </c>
      <c r="P18" s="71">
        <f>D18</f>
        <v>682</v>
      </c>
      <c r="Q18" s="71">
        <f t="shared" ref="Q18:BK19" si="15">E18</f>
        <v>857</v>
      </c>
      <c r="R18" s="71">
        <f t="shared" si="15"/>
        <v>938</v>
      </c>
      <c r="S18" s="71">
        <f t="shared" si="15"/>
        <v>1731</v>
      </c>
      <c r="T18" s="71">
        <f t="shared" si="15"/>
        <v>2887</v>
      </c>
      <c r="U18" s="71">
        <f t="shared" si="15"/>
        <v>1855</v>
      </c>
      <c r="V18" s="71">
        <f t="shared" si="15"/>
        <v>641</v>
      </c>
      <c r="W18" s="71">
        <f t="shared" si="15"/>
        <v>520</v>
      </c>
      <c r="X18" s="71">
        <f t="shared" si="15"/>
        <v>646</v>
      </c>
      <c r="Y18" s="71">
        <f t="shared" si="15"/>
        <v>430</v>
      </c>
      <c r="Z18" s="71">
        <f t="shared" si="15"/>
        <v>547</v>
      </c>
      <c r="AA18" s="71">
        <f t="shared" si="15"/>
        <v>603</v>
      </c>
      <c r="AB18" s="71">
        <f t="shared" si="15"/>
        <v>682</v>
      </c>
      <c r="AC18" s="71">
        <f t="shared" si="15"/>
        <v>857</v>
      </c>
      <c r="AD18" s="71">
        <f t="shared" si="15"/>
        <v>938</v>
      </c>
      <c r="AE18" s="71">
        <f t="shared" si="15"/>
        <v>1731</v>
      </c>
      <c r="AF18" s="71">
        <f t="shared" si="15"/>
        <v>2887</v>
      </c>
      <c r="AG18" s="71">
        <f t="shared" si="15"/>
        <v>1855</v>
      </c>
      <c r="AH18" s="71">
        <f t="shared" si="15"/>
        <v>641</v>
      </c>
      <c r="AI18" s="71">
        <f t="shared" si="15"/>
        <v>520</v>
      </c>
      <c r="AJ18" s="71">
        <f t="shared" si="15"/>
        <v>646</v>
      </c>
      <c r="AK18" s="71">
        <f t="shared" si="15"/>
        <v>430</v>
      </c>
      <c r="AL18" s="71">
        <f t="shared" si="15"/>
        <v>547</v>
      </c>
      <c r="AM18" s="71">
        <f t="shared" si="15"/>
        <v>603</v>
      </c>
      <c r="AN18" s="71">
        <f t="shared" si="15"/>
        <v>682</v>
      </c>
      <c r="AO18" s="71">
        <f t="shared" si="15"/>
        <v>857</v>
      </c>
      <c r="AP18" s="71">
        <f t="shared" si="15"/>
        <v>938</v>
      </c>
      <c r="AQ18" s="71">
        <f t="shared" si="15"/>
        <v>1731</v>
      </c>
      <c r="AR18" s="71">
        <f t="shared" si="15"/>
        <v>2887</v>
      </c>
      <c r="AS18" s="71">
        <f t="shared" si="15"/>
        <v>1855</v>
      </c>
      <c r="AT18" s="71">
        <f t="shared" si="15"/>
        <v>641</v>
      </c>
      <c r="AU18" s="71">
        <f t="shared" si="15"/>
        <v>520</v>
      </c>
      <c r="AV18" s="71">
        <f t="shared" si="15"/>
        <v>646</v>
      </c>
      <c r="AW18" s="71">
        <f t="shared" si="15"/>
        <v>430</v>
      </c>
      <c r="AX18" s="71">
        <f t="shared" si="15"/>
        <v>547</v>
      </c>
      <c r="AY18" s="71">
        <f t="shared" si="15"/>
        <v>603</v>
      </c>
      <c r="AZ18" s="71">
        <f t="shared" si="15"/>
        <v>682</v>
      </c>
      <c r="BA18" s="71">
        <f t="shared" si="15"/>
        <v>857</v>
      </c>
      <c r="BB18" s="71">
        <f t="shared" si="15"/>
        <v>938</v>
      </c>
      <c r="BC18" s="71">
        <f t="shared" si="15"/>
        <v>1731</v>
      </c>
      <c r="BD18" s="71">
        <f t="shared" si="15"/>
        <v>2887</v>
      </c>
      <c r="BE18" s="71">
        <f t="shared" si="15"/>
        <v>1855</v>
      </c>
      <c r="BF18" s="71">
        <f t="shared" si="15"/>
        <v>641</v>
      </c>
      <c r="BG18" s="71">
        <f t="shared" si="15"/>
        <v>520</v>
      </c>
      <c r="BH18" s="71">
        <f t="shared" si="15"/>
        <v>646</v>
      </c>
      <c r="BI18" s="71">
        <f t="shared" si="15"/>
        <v>430</v>
      </c>
      <c r="BJ18" s="71">
        <f t="shared" si="15"/>
        <v>547</v>
      </c>
      <c r="BK18" s="71">
        <f t="shared" si="15"/>
        <v>603</v>
      </c>
      <c r="BL18" s="71">
        <f t="shared" ref="BL18:BW19" si="16">AZ18</f>
        <v>682</v>
      </c>
      <c r="BM18" s="71">
        <f t="shared" si="16"/>
        <v>857</v>
      </c>
      <c r="BN18" s="71">
        <f t="shared" si="16"/>
        <v>938</v>
      </c>
      <c r="BO18" s="71">
        <f t="shared" si="16"/>
        <v>1731</v>
      </c>
      <c r="BP18" s="71">
        <f t="shared" si="16"/>
        <v>2887</v>
      </c>
      <c r="BQ18" s="71">
        <f t="shared" si="16"/>
        <v>1855</v>
      </c>
      <c r="BR18" s="71">
        <f t="shared" si="16"/>
        <v>641</v>
      </c>
      <c r="BS18" s="71">
        <f t="shared" si="16"/>
        <v>520</v>
      </c>
      <c r="BT18" s="71">
        <f t="shared" si="16"/>
        <v>646</v>
      </c>
      <c r="BU18" s="71">
        <f t="shared" si="16"/>
        <v>430</v>
      </c>
      <c r="BV18" s="71">
        <f t="shared" si="16"/>
        <v>547</v>
      </c>
      <c r="BW18" s="71">
        <f t="shared" si="16"/>
        <v>603</v>
      </c>
      <c r="BX18" s="71">
        <f t="shared" ref="BX18:CI19" si="17">BL18</f>
        <v>682</v>
      </c>
      <c r="BY18" s="71">
        <f t="shared" si="17"/>
        <v>857</v>
      </c>
      <c r="BZ18" s="71">
        <f t="shared" si="17"/>
        <v>938</v>
      </c>
      <c r="CA18" s="71">
        <f t="shared" si="17"/>
        <v>1731</v>
      </c>
      <c r="CB18" s="71">
        <f t="shared" si="17"/>
        <v>2887</v>
      </c>
      <c r="CC18" s="71">
        <f t="shared" si="17"/>
        <v>1855</v>
      </c>
      <c r="CD18" s="71">
        <f t="shared" si="17"/>
        <v>641</v>
      </c>
      <c r="CE18" s="71">
        <f t="shared" si="17"/>
        <v>520</v>
      </c>
      <c r="CF18" s="71">
        <f t="shared" si="17"/>
        <v>646</v>
      </c>
      <c r="CG18" s="71">
        <f t="shared" si="17"/>
        <v>430</v>
      </c>
      <c r="CH18" s="71">
        <f t="shared" si="17"/>
        <v>547</v>
      </c>
      <c r="CI18" s="71">
        <f t="shared" si="17"/>
        <v>603</v>
      </c>
    </row>
    <row r="19" spans="1:87" x14ac:dyDescent="0.2">
      <c r="A19" s="2">
        <v>11</v>
      </c>
      <c r="B19" s="2" t="s">
        <v>285</v>
      </c>
      <c r="C19" s="12">
        <f>'Rate Design'!M13</f>
        <v>28</v>
      </c>
      <c r="D19" s="167">
        <v>0</v>
      </c>
      <c r="E19" s="167">
        <v>0</v>
      </c>
      <c r="F19" s="167">
        <v>0</v>
      </c>
      <c r="G19" s="167">
        <v>0</v>
      </c>
      <c r="H19" s="167">
        <v>0</v>
      </c>
      <c r="I19" s="167">
        <v>0</v>
      </c>
      <c r="J19" s="167">
        <v>0</v>
      </c>
      <c r="K19" s="167">
        <v>0</v>
      </c>
      <c r="L19" s="167">
        <v>0</v>
      </c>
      <c r="M19" s="167">
        <v>0</v>
      </c>
      <c r="N19" s="167">
        <v>0</v>
      </c>
      <c r="O19" s="167">
        <v>0</v>
      </c>
      <c r="P19" s="71">
        <f>D19</f>
        <v>0</v>
      </c>
      <c r="Q19" s="71">
        <f t="shared" si="15"/>
        <v>0</v>
      </c>
      <c r="R19" s="71">
        <f t="shared" si="15"/>
        <v>0</v>
      </c>
      <c r="S19" s="71">
        <f t="shared" si="15"/>
        <v>0</v>
      </c>
      <c r="T19" s="71">
        <f t="shared" si="15"/>
        <v>0</v>
      </c>
      <c r="U19" s="71">
        <f t="shared" si="15"/>
        <v>0</v>
      </c>
      <c r="V19" s="71">
        <f t="shared" si="15"/>
        <v>0</v>
      </c>
      <c r="W19" s="71">
        <f t="shared" si="15"/>
        <v>0</v>
      </c>
      <c r="X19" s="71">
        <f t="shared" si="15"/>
        <v>0</v>
      </c>
      <c r="Y19" s="71">
        <f t="shared" si="15"/>
        <v>0</v>
      </c>
      <c r="Z19" s="71">
        <f t="shared" si="15"/>
        <v>0</v>
      </c>
      <c r="AA19" s="71">
        <f t="shared" si="15"/>
        <v>0</v>
      </c>
      <c r="AB19" s="71">
        <f t="shared" si="15"/>
        <v>0</v>
      </c>
      <c r="AC19" s="71">
        <f t="shared" si="15"/>
        <v>0</v>
      </c>
      <c r="AD19" s="71">
        <f t="shared" si="15"/>
        <v>0</v>
      </c>
      <c r="AE19" s="71">
        <f t="shared" si="15"/>
        <v>0</v>
      </c>
      <c r="AF19" s="71">
        <f t="shared" si="15"/>
        <v>0</v>
      </c>
      <c r="AG19" s="71">
        <f t="shared" si="15"/>
        <v>0</v>
      </c>
      <c r="AH19" s="71">
        <f t="shared" si="15"/>
        <v>0</v>
      </c>
      <c r="AI19" s="71">
        <f t="shared" si="15"/>
        <v>0</v>
      </c>
      <c r="AJ19" s="71">
        <f t="shared" si="15"/>
        <v>0</v>
      </c>
      <c r="AK19" s="71">
        <f t="shared" si="15"/>
        <v>0</v>
      </c>
      <c r="AL19" s="71">
        <f t="shared" si="15"/>
        <v>0</v>
      </c>
      <c r="AM19" s="71">
        <f t="shared" si="15"/>
        <v>0</v>
      </c>
      <c r="AN19" s="71">
        <f t="shared" si="15"/>
        <v>0</v>
      </c>
      <c r="AO19" s="71">
        <f t="shared" si="15"/>
        <v>0</v>
      </c>
      <c r="AP19" s="71">
        <f t="shared" si="15"/>
        <v>0</v>
      </c>
      <c r="AQ19" s="71">
        <f t="shared" si="15"/>
        <v>0</v>
      </c>
      <c r="AR19" s="71">
        <f t="shared" si="15"/>
        <v>0</v>
      </c>
      <c r="AS19" s="71">
        <f t="shared" si="15"/>
        <v>0</v>
      </c>
      <c r="AT19" s="71">
        <f t="shared" si="15"/>
        <v>0</v>
      </c>
      <c r="AU19" s="71">
        <f t="shared" si="15"/>
        <v>0</v>
      </c>
      <c r="AV19" s="71">
        <f t="shared" si="15"/>
        <v>0</v>
      </c>
      <c r="AW19" s="71">
        <f t="shared" si="15"/>
        <v>0</v>
      </c>
      <c r="AX19" s="71">
        <f t="shared" si="15"/>
        <v>0</v>
      </c>
      <c r="AY19" s="71">
        <f t="shared" si="15"/>
        <v>0</v>
      </c>
      <c r="AZ19" s="71">
        <f t="shared" si="15"/>
        <v>0</v>
      </c>
      <c r="BA19" s="71">
        <f t="shared" si="15"/>
        <v>0</v>
      </c>
      <c r="BB19" s="71">
        <f t="shared" si="15"/>
        <v>0</v>
      </c>
      <c r="BC19" s="71">
        <f t="shared" si="15"/>
        <v>0</v>
      </c>
      <c r="BD19" s="71">
        <f t="shared" si="15"/>
        <v>0</v>
      </c>
      <c r="BE19" s="71">
        <f t="shared" si="15"/>
        <v>0</v>
      </c>
      <c r="BF19" s="71">
        <f t="shared" si="15"/>
        <v>0</v>
      </c>
      <c r="BG19" s="71">
        <f t="shared" si="15"/>
        <v>0</v>
      </c>
      <c r="BH19" s="71">
        <f t="shared" si="15"/>
        <v>0</v>
      </c>
      <c r="BI19" s="71">
        <f t="shared" si="15"/>
        <v>0</v>
      </c>
      <c r="BJ19" s="71">
        <f t="shared" si="15"/>
        <v>0</v>
      </c>
      <c r="BK19" s="71">
        <f t="shared" si="15"/>
        <v>0</v>
      </c>
      <c r="BL19" s="71">
        <f t="shared" si="16"/>
        <v>0</v>
      </c>
      <c r="BM19" s="71">
        <f t="shared" si="16"/>
        <v>0</v>
      </c>
      <c r="BN19" s="71">
        <f t="shared" si="16"/>
        <v>0</v>
      </c>
      <c r="BO19" s="71">
        <f t="shared" si="16"/>
        <v>0</v>
      </c>
      <c r="BP19" s="71">
        <f t="shared" si="16"/>
        <v>0</v>
      </c>
      <c r="BQ19" s="71">
        <f t="shared" si="16"/>
        <v>0</v>
      </c>
      <c r="BR19" s="71">
        <f t="shared" si="16"/>
        <v>0</v>
      </c>
      <c r="BS19" s="71">
        <f t="shared" si="16"/>
        <v>0</v>
      </c>
      <c r="BT19" s="71">
        <f t="shared" si="16"/>
        <v>0</v>
      </c>
      <c r="BU19" s="71">
        <f t="shared" si="16"/>
        <v>0</v>
      </c>
      <c r="BV19" s="71">
        <f t="shared" si="16"/>
        <v>0</v>
      </c>
      <c r="BW19" s="71">
        <f t="shared" si="16"/>
        <v>0</v>
      </c>
      <c r="BX19" s="71">
        <f t="shared" si="17"/>
        <v>0</v>
      </c>
      <c r="BY19" s="71">
        <f t="shared" si="17"/>
        <v>0</v>
      </c>
      <c r="BZ19" s="71">
        <f t="shared" si="17"/>
        <v>0</v>
      </c>
      <c r="CA19" s="71">
        <f t="shared" si="17"/>
        <v>0</v>
      </c>
      <c r="CB19" s="71">
        <f t="shared" si="17"/>
        <v>0</v>
      </c>
      <c r="CC19" s="71">
        <f t="shared" si="17"/>
        <v>0</v>
      </c>
      <c r="CD19" s="71">
        <f t="shared" si="17"/>
        <v>0</v>
      </c>
      <c r="CE19" s="71">
        <f t="shared" si="17"/>
        <v>0</v>
      </c>
      <c r="CF19" s="71">
        <f t="shared" si="17"/>
        <v>0</v>
      </c>
      <c r="CG19" s="71">
        <f t="shared" si="17"/>
        <v>0</v>
      </c>
      <c r="CH19" s="71">
        <f t="shared" si="17"/>
        <v>0</v>
      </c>
      <c r="CI19" s="71">
        <f t="shared" si="17"/>
        <v>0</v>
      </c>
    </row>
    <row r="20" spans="1:87" x14ac:dyDescent="0.2">
      <c r="A20" s="2">
        <v>12</v>
      </c>
      <c r="B20" s="33" t="s">
        <v>289</v>
      </c>
      <c r="C20" s="33"/>
      <c r="D20" s="32">
        <f t="shared" ref="D20:P20" si="18">D18+D19</f>
        <v>682</v>
      </c>
      <c r="E20" s="32">
        <f t="shared" si="18"/>
        <v>857</v>
      </c>
      <c r="F20" s="32">
        <f t="shared" si="18"/>
        <v>938</v>
      </c>
      <c r="G20" s="32">
        <f t="shared" si="18"/>
        <v>1731</v>
      </c>
      <c r="H20" s="32">
        <f t="shared" si="18"/>
        <v>2887</v>
      </c>
      <c r="I20" s="32">
        <f t="shared" si="18"/>
        <v>1855</v>
      </c>
      <c r="J20" s="32">
        <f t="shared" si="18"/>
        <v>641</v>
      </c>
      <c r="K20" s="32">
        <f t="shared" si="18"/>
        <v>520</v>
      </c>
      <c r="L20" s="32">
        <f t="shared" si="18"/>
        <v>646</v>
      </c>
      <c r="M20" s="32">
        <f t="shared" si="18"/>
        <v>430</v>
      </c>
      <c r="N20" s="32">
        <f t="shared" si="18"/>
        <v>547</v>
      </c>
      <c r="O20" s="32">
        <f t="shared" si="18"/>
        <v>603</v>
      </c>
      <c r="P20" s="32">
        <f t="shared" si="18"/>
        <v>682</v>
      </c>
      <c r="Q20" s="32">
        <f t="shared" ref="Q20:BK20" si="19">Q18+Q19</f>
        <v>857</v>
      </c>
      <c r="R20" s="32">
        <f t="shared" si="19"/>
        <v>938</v>
      </c>
      <c r="S20" s="32">
        <f t="shared" si="19"/>
        <v>1731</v>
      </c>
      <c r="T20" s="32">
        <f t="shared" si="19"/>
        <v>2887</v>
      </c>
      <c r="U20" s="32">
        <f t="shared" si="19"/>
        <v>1855</v>
      </c>
      <c r="V20" s="32">
        <f t="shared" si="19"/>
        <v>641</v>
      </c>
      <c r="W20" s="32">
        <f t="shared" si="19"/>
        <v>520</v>
      </c>
      <c r="X20" s="32">
        <f t="shared" si="19"/>
        <v>646</v>
      </c>
      <c r="Y20" s="32">
        <f t="shared" si="19"/>
        <v>430</v>
      </c>
      <c r="Z20" s="32">
        <f t="shared" si="19"/>
        <v>547</v>
      </c>
      <c r="AA20" s="32">
        <f t="shared" si="19"/>
        <v>603</v>
      </c>
      <c r="AB20" s="32">
        <f t="shared" si="19"/>
        <v>682</v>
      </c>
      <c r="AC20" s="32">
        <f t="shared" si="19"/>
        <v>857</v>
      </c>
      <c r="AD20" s="32">
        <f t="shared" si="19"/>
        <v>938</v>
      </c>
      <c r="AE20" s="32">
        <f t="shared" si="19"/>
        <v>1731</v>
      </c>
      <c r="AF20" s="32">
        <f t="shared" si="19"/>
        <v>2887</v>
      </c>
      <c r="AG20" s="32">
        <f t="shared" si="19"/>
        <v>1855</v>
      </c>
      <c r="AH20" s="32">
        <f t="shared" si="19"/>
        <v>641</v>
      </c>
      <c r="AI20" s="32">
        <f t="shared" si="19"/>
        <v>520</v>
      </c>
      <c r="AJ20" s="32">
        <f t="shared" si="19"/>
        <v>646</v>
      </c>
      <c r="AK20" s="32">
        <f t="shared" si="19"/>
        <v>430</v>
      </c>
      <c r="AL20" s="32">
        <f t="shared" si="19"/>
        <v>547</v>
      </c>
      <c r="AM20" s="32">
        <f t="shared" si="19"/>
        <v>603</v>
      </c>
      <c r="AN20" s="32">
        <f t="shared" si="19"/>
        <v>682</v>
      </c>
      <c r="AO20" s="32">
        <f t="shared" si="19"/>
        <v>857</v>
      </c>
      <c r="AP20" s="32">
        <f t="shared" si="19"/>
        <v>938</v>
      </c>
      <c r="AQ20" s="32">
        <f t="shared" si="19"/>
        <v>1731</v>
      </c>
      <c r="AR20" s="32">
        <f t="shared" si="19"/>
        <v>2887</v>
      </c>
      <c r="AS20" s="32">
        <f t="shared" si="19"/>
        <v>1855</v>
      </c>
      <c r="AT20" s="32">
        <f t="shared" si="19"/>
        <v>641</v>
      </c>
      <c r="AU20" s="32">
        <f t="shared" si="19"/>
        <v>520</v>
      </c>
      <c r="AV20" s="32">
        <f t="shared" si="19"/>
        <v>646</v>
      </c>
      <c r="AW20" s="32">
        <f t="shared" si="19"/>
        <v>430</v>
      </c>
      <c r="AX20" s="32">
        <f t="shared" si="19"/>
        <v>547</v>
      </c>
      <c r="AY20" s="32">
        <f t="shared" si="19"/>
        <v>603</v>
      </c>
      <c r="AZ20" s="32">
        <f t="shared" si="19"/>
        <v>682</v>
      </c>
      <c r="BA20" s="32">
        <f t="shared" si="19"/>
        <v>857</v>
      </c>
      <c r="BB20" s="32">
        <f t="shared" si="19"/>
        <v>938</v>
      </c>
      <c r="BC20" s="32">
        <f t="shared" si="19"/>
        <v>1731</v>
      </c>
      <c r="BD20" s="32">
        <f t="shared" si="19"/>
        <v>2887</v>
      </c>
      <c r="BE20" s="32">
        <f t="shared" si="19"/>
        <v>1855</v>
      </c>
      <c r="BF20" s="32">
        <f t="shared" si="19"/>
        <v>641</v>
      </c>
      <c r="BG20" s="32">
        <f t="shared" si="19"/>
        <v>520</v>
      </c>
      <c r="BH20" s="32">
        <f t="shared" si="19"/>
        <v>646</v>
      </c>
      <c r="BI20" s="32">
        <f t="shared" si="19"/>
        <v>430</v>
      </c>
      <c r="BJ20" s="32">
        <f t="shared" si="19"/>
        <v>547</v>
      </c>
      <c r="BK20" s="32">
        <f t="shared" si="19"/>
        <v>603</v>
      </c>
      <c r="BL20" s="32">
        <f t="shared" ref="BL20:BW20" si="20">BL18+BL19</f>
        <v>682</v>
      </c>
      <c r="BM20" s="32">
        <f t="shared" si="20"/>
        <v>857</v>
      </c>
      <c r="BN20" s="32">
        <f t="shared" si="20"/>
        <v>938</v>
      </c>
      <c r="BO20" s="32">
        <f t="shared" si="20"/>
        <v>1731</v>
      </c>
      <c r="BP20" s="32">
        <f t="shared" si="20"/>
        <v>2887</v>
      </c>
      <c r="BQ20" s="32">
        <f t="shared" si="20"/>
        <v>1855</v>
      </c>
      <c r="BR20" s="32">
        <f t="shared" si="20"/>
        <v>641</v>
      </c>
      <c r="BS20" s="32">
        <f t="shared" si="20"/>
        <v>520</v>
      </c>
      <c r="BT20" s="32">
        <f t="shared" si="20"/>
        <v>646</v>
      </c>
      <c r="BU20" s="32">
        <f t="shared" si="20"/>
        <v>430</v>
      </c>
      <c r="BV20" s="32">
        <f t="shared" si="20"/>
        <v>547</v>
      </c>
      <c r="BW20" s="32">
        <f t="shared" si="20"/>
        <v>603</v>
      </c>
      <c r="BX20" s="32">
        <f t="shared" ref="BX20:CI20" si="21">BX18+BX19</f>
        <v>682</v>
      </c>
      <c r="BY20" s="32">
        <f t="shared" si="21"/>
        <v>857</v>
      </c>
      <c r="BZ20" s="32">
        <f t="shared" si="21"/>
        <v>938</v>
      </c>
      <c r="CA20" s="32">
        <f t="shared" si="21"/>
        <v>1731</v>
      </c>
      <c r="CB20" s="32">
        <f t="shared" si="21"/>
        <v>2887</v>
      </c>
      <c r="CC20" s="32">
        <f t="shared" si="21"/>
        <v>1855</v>
      </c>
      <c r="CD20" s="32">
        <f t="shared" si="21"/>
        <v>641</v>
      </c>
      <c r="CE20" s="32">
        <f t="shared" si="21"/>
        <v>520</v>
      </c>
      <c r="CF20" s="32">
        <f t="shared" si="21"/>
        <v>646</v>
      </c>
      <c r="CG20" s="32">
        <f t="shared" si="21"/>
        <v>430</v>
      </c>
      <c r="CH20" s="32">
        <f t="shared" si="21"/>
        <v>547</v>
      </c>
      <c r="CI20" s="32">
        <f t="shared" si="21"/>
        <v>603</v>
      </c>
    </row>
    <row r="21" spans="1:87" x14ac:dyDescent="0.2">
      <c r="A21" s="2">
        <v>13</v>
      </c>
      <c r="B21" s="33" t="s">
        <v>290</v>
      </c>
      <c r="C21" s="33"/>
      <c r="D21" s="99">
        <f t="shared" ref="D21:O21" si="22">$C$18*D18+$C$19*D19</f>
        <v>15686</v>
      </c>
      <c r="E21" s="99">
        <f t="shared" si="22"/>
        <v>19711</v>
      </c>
      <c r="F21" s="99">
        <f t="shared" si="22"/>
        <v>21574</v>
      </c>
      <c r="G21" s="99">
        <f t="shared" si="22"/>
        <v>39813</v>
      </c>
      <c r="H21" s="99">
        <f t="shared" si="22"/>
        <v>66401</v>
      </c>
      <c r="I21" s="99">
        <f t="shared" si="22"/>
        <v>42665</v>
      </c>
      <c r="J21" s="99">
        <f t="shared" si="22"/>
        <v>14743</v>
      </c>
      <c r="K21" s="99">
        <f t="shared" si="22"/>
        <v>11960</v>
      </c>
      <c r="L21" s="99">
        <f t="shared" si="22"/>
        <v>14858</v>
      </c>
      <c r="M21" s="99">
        <f t="shared" si="22"/>
        <v>9890</v>
      </c>
      <c r="N21" s="99">
        <f t="shared" si="22"/>
        <v>12581</v>
      </c>
      <c r="O21" s="99">
        <f t="shared" si="22"/>
        <v>13869</v>
      </c>
      <c r="P21" s="99">
        <f t="shared" ref="P21:BK21" si="23">$C$18*P18+$C$19*P19</f>
        <v>15686</v>
      </c>
      <c r="Q21" s="99">
        <f t="shared" si="23"/>
        <v>19711</v>
      </c>
      <c r="R21" s="99">
        <f t="shared" si="23"/>
        <v>21574</v>
      </c>
      <c r="S21" s="99">
        <f t="shared" si="23"/>
        <v>39813</v>
      </c>
      <c r="T21" s="99">
        <f t="shared" si="23"/>
        <v>66401</v>
      </c>
      <c r="U21" s="99">
        <f t="shared" si="23"/>
        <v>42665</v>
      </c>
      <c r="V21" s="99">
        <f t="shared" si="23"/>
        <v>14743</v>
      </c>
      <c r="W21" s="99">
        <f t="shared" si="23"/>
        <v>11960</v>
      </c>
      <c r="X21" s="99">
        <f t="shared" si="23"/>
        <v>14858</v>
      </c>
      <c r="Y21" s="99">
        <f t="shared" si="23"/>
        <v>9890</v>
      </c>
      <c r="Z21" s="99">
        <f t="shared" si="23"/>
        <v>12581</v>
      </c>
      <c r="AA21" s="99">
        <f t="shared" si="23"/>
        <v>13869</v>
      </c>
      <c r="AB21" s="99">
        <f t="shared" si="23"/>
        <v>15686</v>
      </c>
      <c r="AC21" s="99">
        <f t="shared" si="23"/>
        <v>19711</v>
      </c>
      <c r="AD21" s="99">
        <f t="shared" si="23"/>
        <v>21574</v>
      </c>
      <c r="AE21" s="99">
        <f t="shared" si="23"/>
        <v>39813</v>
      </c>
      <c r="AF21" s="99">
        <f t="shared" si="23"/>
        <v>66401</v>
      </c>
      <c r="AG21" s="99">
        <f t="shared" si="23"/>
        <v>42665</v>
      </c>
      <c r="AH21" s="99">
        <f t="shared" si="23"/>
        <v>14743</v>
      </c>
      <c r="AI21" s="99">
        <f t="shared" si="23"/>
        <v>11960</v>
      </c>
      <c r="AJ21" s="99">
        <f t="shared" si="23"/>
        <v>14858</v>
      </c>
      <c r="AK21" s="99">
        <f t="shared" si="23"/>
        <v>9890</v>
      </c>
      <c r="AL21" s="99">
        <f t="shared" si="23"/>
        <v>12581</v>
      </c>
      <c r="AM21" s="99">
        <f t="shared" si="23"/>
        <v>13869</v>
      </c>
      <c r="AN21" s="99">
        <f t="shared" si="23"/>
        <v>15686</v>
      </c>
      <c r="AO21" s="99">
        <f t="shared" si="23"/>
        <v>19711</v>
      </c>
      <c r="AP21" s="99">
        <f t="shared" si="23"/>
        <v>21574</v>
      </c>
      <c r="AQ21" s="99">
        <f t="shared" si="23"/>
        <v>39813</v>
      </c>
      <c r="AR21" s="99">
        <f t="shared" si="23"/>
        <v>66401</v>
      </c>
      <c r="AS21" s="99">
        <f t="shared" si="23"/>
        <v>42665</v>
      </c>
      <c r="AT21" s="99">
        <f t="shared" si="23"/>
        <v>14743</v>
      </c>
      <c r="AU21" s="99">
        <f t="shared" si="23"/>
        <v>11960</v>
      </c>
      <c r="AV21" s="99">
        <f t="shared" si="23"/>
        <v>14858</v>
      </c>
      <c r="AW21" s="99">
        <f t="shared" si="23"/>
        <v>9890</v>
      </c>
      <c r="AX21" s="99">
        <f t="shared" si="23"/>
        <v>12581</v>
      </c>
      <c r="AY21" s="99">
        <f t="shared" si="23"/>
        <v>13869</v>
      </c>
      <c r="AZ21" s="99">
        <f t="shared" si="23"/>
        <v>15686</v>
      </c>
      <c r="BA21" s="99">
        <f t="shared" si="23"/>
        <v>19711</v>
      </c>
      <c r="BB21" s="99">
        <f t="shared" si="23"/>
        <v>21574</v>
      </c>
      <c r="BC21" s="99">
        <f t="shared" si="23"/>
        <v>39813</v>
      </c>
      <c r="BD21" s="99">
        <f t="shared" si="23"/>
        <v>66401</v>
      </c>
      <c r="BE21" s="99">
        <f t="shared" si="23"/>
        <v>42665</v>
      </c>
      <c r="BF21" s="99">
        <f t="shared" si="23"/>
        <v>14743</v>
      </c>
      <c r="BG21" s="99">
        <f t="shared" si="23"/>
        <v>11960</v>
      </c>
      <c r="BH21" s="99">
        <f t="shared" si="23"/>
        <v>14858</v>
      </c>
      <c r="BI21" s="99">
        <f t="shared" si="23"/>
        <v>9890</v>
      </c>
      <c r="BJ21" s="99">
        <f t="shared" si="23"/>
        <v>12581</v>
      </c>
      <c r="BK21" s="99">
        <f t="shared" si="23"/>
        <v>13869</v>
      </c>
      <c r="BL21" s="99">
        <f t="shared" ref="BL21:BW21" si="24">$C$18*BL18+$C$19*BL19</f>
        <v>15686</v>
      </c>
      <c r="BM21" s="99">
        <f t="shared" si="24"/>
        <v>19711</v>
      </c>
      <c r="BN21" s="99">
        <f t="shared" si="24"/>
        <v>21574</v>
      </c>
      <c r="BO21" s="99">
        <f t="shared" si="24"/>
        <v>39813</v>
      </c>
      <c r="BP21" s="99">
        <f t="shared" si="24"/>
        <v>66401</v>
      </c>
      <c r="BQ21" s="99">
        <f t="shared" si="24"/>
        <v>42665</v>
      </c>
      <c r="BR21" s="99">
        <f t="shared" si="24"/>
        <v>14743</v>
      </c>
      <c r="BS21" s="99">
        <f t="shared" si="24"/>
        <v>11960</v>
      </c>
      <c r="BT21" s="99">
        <f t="shared" si="24"/>
        <v>14858</v>
      </c>
      <c r="BU21" s="99">
        <f t="shared" si="24"/>
        <v>9890</v>
      </c>
      <c r="BV21" s="99">
        <f t="shared" si="24"/>
        <v>12581</v>
      </c>
      <c r="BW21" s="99">
        <f t="shared" si="24"/>
        <v>13869</v>
      </c>
      <c r="BX21" s="99">
        <f t="shared" ref="BX21:CI21" si="25">$C$18*BX18+$C$19*BX19</f>
        <v>15686</v>
      </c>
      <c r="BY21" s="99">
        <f t="shared" si="25"/>
        <v>19711</v>
      </c>
      <c r="BZ21" s="99">
        <f t="shared" si="25"/>
        <v>21574</v>
      </c>
      <c r="CA21" s="99">
        <f t="shared" si="25"/>
        <v>39813</v>
      </c>
      <c r="CB21" s="99">
        <f t="shared" si="25"/>
        <v>66401</v>
      </c>
      <c r="CC21" s="99">
        <f t="shared" si="25"/>
        <v>42665</v>
      </c>
      <c r="CD21" s="99">
        <f t="shared" si="25"/>
        <v>14743</v>
      </c>
      <c r="CE21" s="99">
        <f t="shared" si="25"/>
        <v>11960</v>
      </c>
      <c r="CF21" s="99">
        <f t="shared" si="25"/>
        <v>14858</v>
      </c>
      <c r="CG21" s="99">
        <f t="shared" si="25"/>
        <v>9890</v>
      </c>
      <c r="CH21" s="99">
        <f t="shared" si="25"/>
        <v>12581</v>
      </c>
      <c r="CI21" s="99">
        <f t="shared" si="25"/>
        <v>13869</v>
      </c>
    </row>
    <row r="22" spans="1:87" x14ac:dyDescent="0.2">
      <c r="A22" s="2">
        <v>14</v>
      </c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87" x14ac:dyDescent="0.2">
      <c r="A23" s="2">
        <v>15</v>
      </c>
      <c r="B23" s="169" t="s">
        <v>221</v>
      </c>
      <c r="C23" s="17"/>
      <c r="D23" s="17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</row>
    <row r="24" spans="1:87" x14ac:dyDescent="0.2">
      <c r="A24" s="2">
        <v>16</v>
      </c>
      <c r="B24" s="2" t="s">
        <v>284</v>
      </c>
      <c r="C24" s="12">
        <f>'Rate Design'!L14</f>
        <v>12</v>
      </c>
      <c r="D24" s="167">
        <v>1306</v>
      </c>
      <c r="E24" s="167">
        <v>1489</v>
      </c>
      <c r="F24" s="167">
        <v>1254</v>
      </c>
      <c r="G24" s="167">
        <v>1220</v>
      </c>
      <c r="H24" s="167">
        <v>1314</v>
      </c>
      <c r="I24" s="167">
        <v>1619</v>
      </c>
      <c r="J24" s="167">
        <v>1518</v>
      </c>
      <c r="K24" s="167">
        <v>1143</v>
      </c>
      <c r="L24" s="167">
        <v>1381</v>
      </c>
      <c r="M24" s="167">
        <v>911</v>
      </c>
      <c r="N24" s="167">
        <v>902</v>
      </c>
      <c r="O24" s="167">
        <v>947</v>
      </c>
      <c r="P24" s="71">
        <f>D24</f>
        <v>1306</v>
      </c>
      <c r="Q24" s="71">
        <f t="shared" ref="Q24:BK25" si="26">E24</f>
        <v>1489</v>
      </c>
      <c r="R24" s="71">
        <f t="shared" si="26"/>
        <v>1254</v>
      </c>
      <c r="S24" s="71">
        <f t="shared" si="26"/>
        <v>1220</v>
      </c>
      <c r="T24" s="71">
        <f t="shared" si="26"/>
        <v>1314</v>
      </c>
      <c r="U24" s="71">
        <f t="shared" si="26"/>
        <v>1619</v>
      </c>
      <c r="V24" s="71">
        <f t="shared" si="26"/>
        <v>1518</v>
      </c>
      <c r="W24" s="71">
        <f t="shared" si="26"/>
        <v>1143</v>
      </c>
      <c r="X24" s="71">
        <f t="shared" si="26"/>
        <v>1381</v>
      </c>
      <c r="Y24" s="71">
        <f t="shared" si="26"/>
        <v>911</v>
      </c>
      <c r="Z24" s="71">
        <f t="shared" si="26"/>
        <v>902</v>
      </c>
      <c r="AA24" s="71">
        <f t="shared" si="26"/>
        <v>947</v>
      </c>
      <c r="AB24" s="71">
        <f t="shared" si="26"/>
        <v>1306</v>
      </c>
      <c r="AC24" s="71">
        <f t="shared" si="26"/>
        <v>1489</v>
      </c>
      <c r="AD24" s="71">
        <f t="shared" si="26"/>
        <v>1254</v>
      </c>
      <c r="AE24" s="71">
        <f t="shared" si="26"/>
        <v>1220</v>
      </c>
      <c r="AF24" s="71">
        <f t="shared" si="26"/>
        <v>1314</v>
      </c>
      <c r="AG24" s="71">
        <f t="shared" si="26"/>
        <v>1619</v>
      </c>
      <c r="AH24" s="71">
        <f t="shared" si="26"/>
        <v>1518</v>
      </c>
      <c r="AI24" s="71">
        <f t="shared" si="26"/>
        <v>1143</v>
      </c>
      <c r="AJ24" s="71">
        <f t="shared" si="26"/>
        <v>1381</v>
      </c>
      <c r="AK24" s="71">
        <f t="shared" si="26"/>
        <v>911</v>
      </c>
      <c r="AL24" s="71">
        <f t="shared" si="26"/>
        <v>902</v>
      </c>
      <c r="AM24" s="71">
        <f t="shared" si="26"/>
        <v>947</v>
      </c>
      <c r="AN24" s="71">
        <f t="shared" si="26"/>
        <v>1306</v>
      </c>
      <c r="AO24" s="71">
        <f t="shared" si="26"/>
        <v>1489</v>
      </c>
      <c r="AP24" s="71">
        <f t="shared" si="26"/>
        <v>1254</v>
      </c>
      <c r="AQ24" s="71">
        <f t="shared" si="26"/>
        <v>1220</v>
      </c>
      <c r="AR24" s="71">
        <f t="shared" si="26"/>
        <v>1314</v>
      </c>
      <c r="AS24" s="71">
        <f t="shared" si="26"/>
        <v>1619</v>
      </c>
      <c r="AT24" s="71">
        <f t="shared" si="26"/>
        <v>1518</v>
      </c>
      <c r="AU24" s="71">
        <f t="shared" si="26"/>
        <v>1143</v>
      </c>
      <c r="AV24" s="71">
        <f t="shared" si="26"/>
        <v>1381</v>
      </c>
      <c r="AW24" s="71">
        <f t="shared" si="26"/>
        <v>911</v>
      </c>
      <c r="AX24" s="71">
        <f t="shared" si="26"/>
        <v>902</v>
      </c>
      <c r="AY24" s="71">
        <f t="shared" si="26"/>
        <v>947</v>
      </c>
      <c r="AZ24" s="71">
        <f t="shared" si="26"/>
        <v>1306</v>
      </c>
      <c r="BA24" s="71">
        <f t="shared" si="26"/>
        <v>1489</v>
      </c>
      <c r="BB24" s="71">
        <f t="shared" si="26"/>
        <v>1254</v>
      </c>
      <c r="BC24" s="71">
        <f t="shared" si="26"/>
        <v>1220</v>
      </c>
      <c r="BD24" s="71">
        <f t="shared" si="26"/>
        <v>1314</v>
      </c>
      <c r="BE24" s="71">
        <f t="shared" si="26"/>
        <v>1619</v>
      </c>
      <c r="BF24" s="71">
        <f t="shared" si="26"/>
        <v>1518</v>
      </c>
      <c r="BG24" s="71">
        <f t="shared" si="26"/>
        <v>1143</v>
      </c>
      <c r="BH24" s="71">
        <f t="shared" si="26"/>
        <v>1381</v>
      </c>
      <c r="BI24" s="71">
        <f t="shared" si="26"/>
        <v>911</v>
      </c>
      <c r="BJ24" s="71">
        <f t="shared" si="26"/>
        <v>902</v>
      </c>
      <c r="BK24" s="71">
        <f t="shared" si="26"/>
        <v>947</v>
      </c>
      <c r="BL24" s="71">
        <f t="shared" ref="BL24:BW25" si="27">AZ24</f>
        <v>1306</v>
      </c>
      <c r="BM24" s="71">
        <f t="shared" si="27"/>
        <v>1489</v>
      </c>
      <c r="BN24" s="71">
        <f t="shared" si="27"/>
        <v>1254</v>
      </c>
      <c r="BO24" s="71">
        <f t="shared" si="27"/>
        <v>1220</v>
      </c>
      <c r="BP24" s="71">
        <f t="shared" si="27"/>
        <v>1314</v>
      </c>
      <c r="BQ24" s="71">
        <f t="shared" si="27"/>
        <v>1619</v>
      </c>
      <c r="BR24" s="71">
        <f t="shared" si="27"/>
        <v>1518</v>
      </c>
      <c r="BS24" s="71">
        <f t="shared" si="27"/>
        <v>1143</v>
      </c>
      <c r="BT24" s="71">
        <f t="shared" si="27"/>
        <v>1381</v>
      </c>
      <c r="BU24" s="71">
        <f t="shared" si="27"/>
        <v>911</v>
      </c>
      <c r="BV24" s="71">
        <f t="shared" si="27"/>
        <v>902</v>
      </c>
      <c r="BW24" s="71">
        <f t="shared" si="27"/>
        <v>947</v>
      </c>
      <c r="BX24" s="71">
        <f t="shared" ref="BX24:CI25" si="28">BL24</f>
        <v>1306</v>
      </c>
      <c r="BY24" s="71">
        <f t="shared" si="28"/>
        <v>1489</v>
      </c>
      <c r="BZ24" s="71">
        <f t="shared" si="28"/>
        <v>1254</v>
      </c>
      <c r="CA24" s="71">
        <f t="shared" si="28"/>
        <v>1220</v>
      </c>
      <c r="CB24" s="71">
        <f t="shared" si="28"/>
        <v>1314</v>
      </c>
      <c r="CC24" s="71">
        <f t="shared" si="28"/>
        <v>1619</v>
      </c>
      <c r="CD24" s="71">
        <f t="shared" si="28"/>
        <v>1518</v>
      </c>
      <c r="CE24" s="71">
        <f t="shared" si="28"/>
        <v>1143</v>
      </c>
      <c r="CF24" s="71">
        <f t="shared" si="28"/>
        <v>1381</v>
      </c>
      <c r="CG24" s="71">
        <f t="shared" si="28"/>
        <v>911</v>
      </c>
      <c r="CH24" s="71">
        <f t="shared" si="28"/>
        <v>902</v>
      </c>
      <c r="CI24" s="71">
        <f t="shared" si="28"/>
        <v>947</v>
      </c>
    </row>
    <row r="25" spans="1:87" x14ac:dyDescent="0.2">
      <c r="A25" s="2">
        <v>17</v>
      </c>
      <c r="B25" s="2" t="s">
        <v>285</v>
      </c>
      <c r="C25" s="12">
        <f>'Rate Design'!M14</f>
        <v>14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0</v>
      </c>
      <c r="L25" s="167">
        <v>0</v>
      </c>
      <c r="M25" s="167">
        <v>0</v>
      </c>
      <c r="N25" s="167">
        <v>0</v>
      </c>
      <c r="O25" s="167">
        <v>0</v>
      </c>
      <c r="P25" s="71">
        <f>D25</f>
        <v>0</v>
      </c>
      <c r="Q25" s="71">
        <f t="shared" si="26"/>
        <v>0</v>
      </c>
      <c r="R25" s="71">
        <f t="shared" si="26"/>
        <v>0</v>
      </c>
      <c r="S25" s="71">
        <f t="shared" si="26"/>
        <v>0</v>
      </c>
      <c r="T25" s="71">
        <f t="shared" si="26"/>
        <v>0</v>
      </c>
      <c r="U25" s="71">
        <f t="shared" si="26"/>
        <v>0</v>
      </c>
      <c r="V25" s="71">
        <f t="shared" si="26"/>
        <v>0</v>
      </c>
      <c r="W25" s="71">
        <f t="shared" si="26"/>
        <v>0</v>
      </c>
      <c r="X25" s="71">
        <f t="shared" si="26"/>
        <v>0</v>
      </c>
      <c r="Y25" s="71">
        <f t="shared" si="26"/>
        <v>0</v>
      </c>
      <c r="Z25" s="71">
        <f t="shared" si="26"/>
        <v>0</v>
      </c>
      <c r="AA25" s="71">
        <f t="shared" si="26"/>
        <v>0</v>
      </c>
      <c r="AB25" s="71">
        <f t="shared" si="26"/>
        <v>0</v>
      </c>
      <c r="AC25" s="71">
        <f t="shared" si="26"/>
        <v>0</v>
      </c>
      <c r="AD25" s="71">
        <f t="shared" si="26"/>
        <v>0</v>
      </c>
      <c r="AE25" s="71">
        <f t="shared" si="26"/>
        <v>0</v>
      </c>
      <c r="AF25" s="71">
        <f t="shared" si="26"/>
        <v>0</v>
      </c>
      <c r="AG25" s="71">
        <f t="shared" si="26"/>
        <v>0</v>
      </c>
      <c r="AH25" s="71">
        <f t="shared" si="26"/>
        <v>0</v>
      </c>
      <c r="AI25" s="71">
        <f t="shared" si="26"/>
        <v>0</v>
      </c>
      <c r="AJ25" s="71">
        <f t="shared" si="26"/>
        <v>0</v>
      </c>
      <c r="AK25" s="71">
        <f t="shared" si="26"/>
        <v>0</v>
      </c>
      <c r="AL25" s="71">
        <f t="shared" si="26"/>
        <v>0</v>
      </c>
      <c r="AM25" s="71">
        <f t="shared" si="26"/>
        <v>0</v>
      </c>
      <c r="AN25" s="71">
        <f t="shared" si="26"/>
        <v>0</v>
      </c>
      <c r="AO25" s="71">
        <f t="shared" si="26"/>
        <v>0</v>
      </c>
      <c r="AP25" s="71">
        <f t="shared" si="26"/>
        <v>0</v>
      </c>
      <c r="AQ25" s="71">
        <f t="shared" si="26"/>
        <v>0</v>
      </c>
      <c r="AR25" s="71">
        <f t="shared" si="26"/>
        <v>0</v>
      </c>
      <c r="AS25" s="71">
        <f t="shared" si="26"/>
        <v>0</v>
      </c>
      <c r="AT25" s="71">
        <f t="shared" si="26"/>
        <v>0</v>
      </c>
      <c r="AU25" s="71">
        <f t="shared" si="26"/>
        <v>0</v>
      </c>
      <c r="AV25" s="71">
        <f t="shared" si="26"/>
        <v>0</v>
      </c>
      <c r="AW25" s="71">
        <f t="shared" si="26"/>
        <v>0</v>
      </c>
      <c r="AX25" s="71">
        <f t="shared" si="26"/>
        <v>0</v>
      </c>
      <c r="AY25" s="71">
        <f t="shared" si="26"/>
        <v>0</v>
      </c>
      <c r="AZ25" s="71">
        <f t="shared" si="26"/>
        <v>0</v>
      </c>
      <c r="BA25" s="71">
        <f t="shared" si="26"/>
        <v>0</v>
      </c>
      <c r="BB25" s="71">
        <f t="shared" si="26"/>
        <v>0</v>
      </c>
      <c r="BC25" s="71">
        <f t="shared" si="26"/>
        <v>0</v>
      </c>
      <c r="BD25" s="71">
        <f t="shared" si="26"/>
        <v>0</v>
      </c>
      <c r="BE25" s="71">
        <f t="shared" si="26"/>
        <v>0</v>
      </c>
      <c r="BF25" s="71">
        <f t="shared" si="26"/>
        <v>0</v>
      </c>
      <c r="BG25" s="71">
        <f t="shared" si="26"/>
        <v>0</v>
      </c>
      <c r="BH25" s="71">
        <f t="shared" si="26"/>
        <v>0</v>
      </c>
      <c r="BI25" s="71">
        <f t="shared" si="26"/>
        <v>0</v>
      </c>
      <c r="BJ25" s="71">
        <f t="shared" si="26"/>
        <v>0</v>
      </c>
      <c r="BK25" s="71">
        <f t="shared" si="26"/>
        <v>0</v>
      </c>
      <c r="BL25" s="71">
        <f t="shared" si="27"/>
        <v>0</v>
      </c>
      <c r="BM25" s="71">
        <f t="shared" si="27"/>
        <v>0</v>
      </c>
      <c r="BN25" s="71">
        <f t="shared" si="27"/>
        <v>0</v>
      </c>
      <c r="BO25" s="71">
        <f t="shared" si="27"/>
        <v>0</v>
      </c>
      <c r="BP25" s="71">
        <f t="shared" si="27"/>
        <v>0</v>
      </c>
      <c r="BQ25" s="71">
        <f t="shared" si="27"/>
        <v>0</v>
      </c>
      <c r="BR25" s="71">
        <f t="shared" si="27"/>
        <v>0</v>
      </c>
      <c r="BS25" s="71">
        <f t="shared" si="27"/>
        <v>0</v>
      </c>
      <c r="BT25" s="71">
        <f t="shared" si="27"/>
        <v>0</v>
      </c>
      <c r="BU25" s="71">
        <f t="shared" si="27"/>
        <v>0</v>
      </c>
      <c r="BV25" s="71">
        <f t="shared" si="27"/>
        <v>0</v>
      </c>
      <c r="BW25" s="71">
        <f t="shared" si="27"/>
        <v>0</v>
      </c>
      <c r="BX25" s="71">
        <f t="shared" si="28"/>
        <v>0</v>
      </c>
      <c r="BY25" s="71">
        <f t="shared" si="28"/>
        <v>0</v>
      </c>
      <c r="BZ25" s="71">
        <f t="shared" si="28"/>
        <v>0</v>
      </c>
      <c r="CA25" s="71">
        <f t="shared" si="28"/>
        <v>0</v>
      </c>
      <c r="CB25" s="71">
        <f t="shared" si="28"/>
        <v>0</v>
      </c>
      <c r="CC25" s="71">
        <f t="shared" si="28"/>
        <v>0</v>
      </c>
      <c r="CD25" s="71">
        <f t="shared" si="28"/>
        <v>0</v>
      </c>
      <c r="CE25" s="71">
        <f t="shared" si="28"/>
        <v>0</v>
      </c>
      <c r="CF25" s="71">
        <f t="shared" si="28"/>
        <v>0</v>
      </c>
      <c r="CG25" s="71">
        <f t="shared" si="28"/>
        <v>0</v>
      </c>
      <c r="CH25" s="71">
        <f t="shared" si="28"/>
        <v>0</v>
      </c>
      <c r="CI25" s="71">
        <f t="shared" si="28"/>
        <v>0</v>
      </c>
    </row>
    <row r="26" spans="1:87" x14ac:dyDescent="0.2">
      <c r="A26" s="2">
        <v>18</v>
      </c>
      <c r="B26" s="33" t="s">
        <v>289</v>
      </c>
      <c r="C26" s="33"/>
      <c r="D26" s="32">
        <f t="shared" ref="D26:P26" si="29">D24+D25</f>
        <v>1306</v>
      </c>
      <c r="E26" s="32">
        <f t="shared" si="29"/>
        <v>1489</v>
      </c>
      <c r="F26" s="32">
        <f t="shared" si="29"/>
        <v>1254</v>
      </c>
      <c r="G26" s="32">
        <f t="shared" si="29"/>
        <v>1220</v>
      </c>
      <c r="H26" s="32">
        <f t="shared" si="29"/>
        <v>1314</v>
      </c>
      <c r="I26" s="32">
        <f t="shared" si="29"/>
        <v>1619</v>
      </c>
      <c r="J26" s="32">
        <f t="shared" si="29"/>
        <v>1518</v>
      </c>
      <c r="K26" s="32">
        <f t="shared" si="29"/>
        <v>1143</v>
      </c>
      <c r="L26" s="32">
        <f t="shared" si="29"/>
        <v>1381</v>
      </c>
      <c r="M26" s="32">
        <f t="shared" si="29"/>
        <v>911</v>
      </c>
      <c r="N26" s="32">
        <f t="shared" si="29"/>
        <v>902</v>
      </c>
      <c r="O26" s="32">
        <f t="shared" si="29"/>
        <v>947</v>
      </c>
      <c r="P26" s="32">
        <f t="shared" si="29"/>
        <v>1306</v>
      </c>
      <c r="Q26" s="32">
        <f t="shared" ref="Q26:BK26" si="30">Q24+Q25</f>
        <v>1489</v>
      </c>
      <c r="R26" s="32">
        <f t="shared" si="30"/>
        <v>1254</v>
      </c>
      <c r="S26" s="32">
        <f t="shared" si="30"/>
        <v>1220</v>
      </c>
      <c r="T26" s="32">
        <f t="shared" si="30"/>
        <v>1314</v>
      </c>
      <c r="U26" s="32">
        <f t="shared" si="30"/>
        <v>1619</v>
      </c>
      <c r="V26" s="32">
        <f t="shared" si="30"/>
        <v>1518</v>
      </c>
      <c r="W26" s="32">
        <f t="shared" si="30"/>
        <v>1143</v>
      </c>
      <c r="X26" s="32">
        <f t="shared" si="30"/>
        <v>1381</v>
      </c>
      <c r="Y26" s="32">
        <f t="shared" si="30"/>
        <v>911</v>
      </c>
      <c r="Z26" s="32">
        <f t="shared" si="30"/>
        <v>902</v>
      </c>
      <c r="AA26" s="32">
        <f t="shared" si="30"/>
        <v>947</v>
      </c>
      <c r="AB26" s="32">
        <f t="shared" si="30"/>
        <v>1306</v>
      </c>
      <c r="AC26" s="32">
        <f t="shared" si="30"/>
        <v>1489</v>
      </c>
      <c r="AD26" s="32">
        <f t="shared" si="30"/>
        <v>1254</v>
      </c>
      <c r="AE26" s="32">
        <f t="shared" si="30"/>
        <v>1220</v>
      </c>
      <c r="AF26" s="32">
        <f t="shared" si="30"/>
        <v>1314</v>
      </c>
      <c r="AG26" s="32">
        <f t="shared" si="30"/>
        <v>1619</v>
      </c>
      <c r="AH26" s="32">
        <f t="shared" si="30"/>
        <v>1518</v>
      </c>
      <c r="AI26" s="32">
        <f t="shared" si="30"/>
        <v>1143</v>
      </c>
      <c r="AJ26" s="32">
        <f t="shared" si="30"/>
        <v>1381</v>
      </c>
      <c r="AK26" s="32">
        <f t="shared" si="30"/>
        <v>911</v>
      </c>
      <c r="AL26" s="32">
        <f t="shared" si="30"/>
        <v>902</v>
      </c>
      <c r="AM26" s="32">
        <f t="shared" si="30"/>
        <v>947</v>
      </c>
      <c r="AN26" s="32">
        <f t="shared" si="30"/>
        <v>1306</v>
      </c>
      <c r="AO26" s="32">
        <f t="shared" si="30"/>
        <v>1489</v>
      </c>
      <c r="AP26" s="32">
        <f t="shared" si="30"/>
        <v>1254</v>
      </c>
      <c r="AQ26" s="32">
        <f t="shared" si="30"/>
        <v>1220</v>
      </c>
      <c r="AR26" s="32">
        <f t="shared" si="30"/>
        <v>1314</v>
      </c>
      <c r="AS26" s="32">
        <f t="shared" si="30"/>
        <v>1619</v>
      </c>
      <c r="AT26" s="32">
        <f t="shared" si="30"/>
        <v>1518</v>
      </c>
      <c r="AU26" s="32">
        <f t="shared" si="30"/>
        <v>1143</v>
      </c>
      <c r="AV26" s="32">
        <f t="shared" si="30"/>
        <v>1381</v>
      </c>
      <c r="AW26" s="32">
        <f t="shared" si="30"/>
        <v>911</v>
      </c>
      <c r="AX26" s="32">
        <f t="shared" si="30"/>
        <v>902</v>
      </c>
      <c r="AY26" s="32">
        <f t="shared" si="30"/>
        <v>947</v>
      </c>
      <c r="AZ26" s="32">
        <f t="shared" si="30"/>
        <v>1306</v>
      </c>
      <c r="BA26" s="32">
        <f t="shared" si="30"/>
        <v>1489</v>
      </c>
      <c r="BB26" s="32">
        <f t="shared" si="30"/>
        <v>1254</v>
      </c>
      <c r="BC26" s="32">
        <f t="shared" si="30"/>
        <v>1220</v>
      </c>
      <c r="BD26" s="32">
        <f t="shared" si="30"/>
        <v>1314</v>
      </c>
      <c r="BE26" s="32">
        <f t="shared" si="30"/>
        <v>1619</v>
      </c>
      <c r="BF26" s="32">
        <f t="shared" si="30"/>
        <v>1518</v>
      </c>
      <c r="BG26" s="32">
        <f t="shared" si="30"/>
        <v>1143</v>
      </c>
      <c r="BH26" s="32">
        <f t="shared" si="30"/>
        <v>1381</v>
      </c>
      <c r="BI26" s="32">
        <f t="shared" si="30"/>
        <v>911</v>
      </c>
      <c r="BJ26" s="32">
        <f t="shared" si="30"/>
        <v>902</v>
      </c>
      <c r="BK26" s="32">
        <f t="shared" si="30"/>
        <v>947</v>
      </c>
      <c r="BL26" s="32">
        <f t="shared" ref="BL26:BW26" si="31">BL24+BL25</f>
        <v>1306</v>
      </c>
      <c r="BM26" s="32">
        <f t="shared" si="31"/>
        <v>1489</v>
      </c>
      <c r="BN26" s="32">
        <f t="shared" si="31"/>
        <v>1254</v>
      </c>
      <c r="BO26" s="32">
        <f t="shared" si="31"/>
        <v>1220</v>
      </c>
      <c r="BP26" s="32">
        <f t="shared" si="31"/>
        <v>1314</v>
      </c>
      <c r="BQ26" s="32">
        <f t="shared" si="31"/>
        <v>1619</v>
      </c>
      <c r="BR26" s="32">
        <f t="shared" si="31"/>
        <v>1518</v>
      </c>
      <c r="BS26" s="32">
        <f t="shared" si="31"/>
        <v>1143</v>
      </c>
      <c r="BT26" s="32">
        <f t="shared" si="31"/>
        <v>1381</v>
      </c>
      <c r="BU26" s="32">
        <f t="shared" si="31"/>
        <v>911</v>
      </c>
      <c r="BV26" s="32">
        <f t="shared" si="31"/>
        <v>902</v>
      </c>
      <c r="BW26" s="32">
        <f t="shared" si="31"/>
        <v>947</v>
      </c>
      <c r="BX26" s="32">
        <f t="shared" ref="BX26:CI26" si="32">BX24+BX25</f>
        <v>1306</v>
      </c>
      <c r="BY26" s="32">
        <f t="shared" si="32"/>
        <v>1489</v>
      </c>
      <c r="BZ26" s="32">
        <f t="shared" si="32"/>
        <v>1254</v>
      </c>
      <c r="CA26" s="32">
        <f t="shared" si="32"/>
        <v>1220</v>
      </c>
      <c r="CB26" s="32">
        <f t="shared" si="32"/>
        <v>1314</v>
      </c>
      <c r="CC26" s="32">
        <f t="shared" si="32"/>
        <v>1619</v>
      </c>
      <c r="CD26" s="32">
        <f t="shared" si="32"/>
        <v>1518</v>
      </c>
      <c r="CE26" s="32">
        <f t="shared" si="32"/>
        <v>1143</v>
      </c>
      <c r="CF26" s="32">
        <f t="shared" si="32"/>
        <v>1381</v>
      </c>
      <c r="CG26" s="32">
        <f t="shared" si="32"/>
        <v>911</v>
      </c>
      <c r="CH26" s="32">
        <f t="shared" si="32"/>
        <v>902</v>
      </c>
      <c r="CI26" s="32">
        <f t="shared" si="32"/>
        <v>947</v>
      </c>
    </row>
    <row r="27" spans="1:87" x14ac:dyDescent="0.2">
      <c r="A27" s="2">
        <v>19</v>
      </c>
      <c r="B27" s="33" t="s">
        <v>290</v>
      </c>
      <c r="C27" s="33"/>
      <c r="D27" s="99">
        <f t="shared" ref="D27:O27" si="33">$C$24*D24+$C$25*D25</f>
        <v>15672</v>
      </c>
      <c r="E27" s="99">
        <f t="shared" si="33"/>
        <v>17868</v>
      </c>
      <c r="F27" s="99">
        <f t="shared" si="33"/>
        <v>15048</v>
      </c>
      <c r="G27" s="99">
        <f t="shared" si="33"/>
        <v>14640</v>
      </c>
      <c r="H27" s="99">
        <f t="shared" si="33"/>
        <v>15768</v>
      </c>
      <c r="I27" s="99">
        <f t="shared" si="33"/>
        <v>19428</v>
      </c>
      <c r="J27" s="99">
        <f t="shared" si="33"/>
        <v>18216</v>
      </c>
      <c r="K27" s="99">
        <f t="shared" si="33"/>
        <v>13716</v>
      </c>
      <c r="L27" s="99">
        <f t="shared" si="33"/>
        <v>16572</v>
      </c>
      <c r="M27" s="99">
        <f t="shared" si="33"/>
        <v>10932</v>
      </c>
      <c r="N27" s="99">
        <f t="shared" si="33"/>
        <v>10824</v>
      </c>
      <c r="O27" s="99">
        <f t="shared" si="33"/>
        <v>11364</v>
      </c>
      <c r="P27" s="99">
        <f t="shared" ref="P27:BK27" si="34">$C$24*P24+$C$25*P25</f>
        <v>15672</v>
      </c>
      <c r="Q27" s="99">
        <f t="shared" si="34"/>
        <v>17868</v>
      </c>
      <c r="R27" s="99">
        <f t="shared" si="34"/>
        <v>15048</v>
      </c>
      <c r="S27" s="99">
        <f t="shared" si="34"/>
        <v>14640</v>
      </c>
      <c r="T27" s="99">
        <f t="shared" si="34"/>
        <v>15768</v>
      </c>
      <c r="U27" s="99">
        <f t="shared" si="34"/>
        <v>19428</v>
      </c>
      <c r="V27" s="99">
        <f t="shared" si="34"/>
        <v>18216</v>
      </c>
      <c r="W27" s="99">
        <f t="shared" si="34"/>
        <v>13716</v>
      </c>
      <c r="X27" s="99">
        <f t="shared" si="34"/>
        <v>16572</v>
      </c>
      <c r="Y27" s="99">
        <f t="shared" si="34"/>
        <v>10932</v>
      </c>
      <c r="Z27" s="99">
        <f t="shared" si="34"/>
        <v>10824</v>
      </c>
      <c r="AA27" s="99">
        <f t="shared" si="34"/>
        <v>11364</v>
      </c>
      <c r="AB27" s="99">
        <f t="shared" si="34"/>
        <v>15672</v>
      </c>
      <c r="AC27" s="99">
        <f t="shared" si="34"/>
        <v>17868</v>
      </c>
      <c r="AD27" s="99">
        <f t="shared" si="34"/>
        <v>15048</v>
      </c>
      <c r="AE27" s="99">
        <f t="shared" si="34"/>
        <v>14640</v>
      </c>
      <c r="AF27" s="99">
        <f t="shared" si="34"/>
        <v>15768</v>
      </c>
      <c r="AG27" s="99">
        <f t="shared" si="34"/>
        <v>19428</v>
      </c>
      <c r="AH27" s="99">
        <f t="shared" si="34"/>
        <v>18216</v>
      </c>
      <c r="AI27" s="99">
        <f t="shared" si="34"/>
        <v>13716</v>
      </c>
      <c r="AJ27" s="99">
        <f t="shared" si="34"/>
        <v>16572</v>
      </c>
      <c r="AK27" s="99">
        <f t="shared" si="34"/>
        <v>10932</v>
      </c>
      <c r="AL27" s="99">
        <f t="shared" si="34"/>
        <v>10824</v>
      </c>
      <c r="AM27" s="99">
        <f t="shared" si="34"/>
        <v>11364</v>
      </c>
      <c r="AN27" s="99">
        <f t="shared" si="34"/>
        <v>15672</v>
      </c>
      <c r="AO27" s="99">
        <f t="shared" si="34"/>
        <v>17868</v>
      </c>
      <c r="AP27" s="99">
        <f t="shared" si="34"/>
        <v>15048</v>
      </c>
      <c r="AQ27" s="99">
        <f t="shared" si="34"/>
        <v>14640</v>
      </c>
      <c r="AR27" s="99">
        <f t="shared" si="34"/>
        <v>15768</v>
      </c>
      <c r="AS27" s="99">
        <f t="shared" si="34"/>
        <v>19428</v>
      </c>
      <c r="AT27" s="99">
        <f t="shared" si="34"/>
        <v>18216</v>
      </c>
      <c r="AU27" s="99">
        <f t="shared" si="34"/>
        <v>13716</v>
      </c>
      <c r="AV27" s="99">
        <f t="shared" si="34"/>
        <v>16572</v>
      </c>
      <c r="AW27" s="99">
        <f t="shared" si="34"/>
        <v>10932</v>
      </c>
      <c r="AX27" s="99">
        <f t="shared" si="34"/>
        <v>10824</v>
      </c>
      <c r="AY27" s="99">
        <f t="shared" si="34"/>
        <v>11364</v>
      </c>
      <c r="AZ27" s="99">
        <f t="shared" si="34"/>
        <v>15672</v>
      </c>
      <c r="BA27" s="99">
        <f t="shared" si="34"/>
        <v>17868</v>
      </c>
      <c r="BB27" s="99">
        <f t="shared" si="34"/>
        <v>15048</v>
      </c>
      <c r="BC27" s="99">
        <f t="shared" si="34"/>
        <v>14640</v>
      </c>
      <c r="BD27" s="99">
        <f t="shared" si="34"/>
        <v>15768</v>
      </c>
      <c r="BE27" s="99">
        <f t="shared" si="34"/>
        <v>19428</v>
      </c>
      <c r="BF27" s="99">
        <f t="shared" si="34"/>
        <v>18216</v>
      </c>
      <c r="BG27" s="99">
        <f t="shared" si="34"/>
        <v>13716</v>
      </c>
      <c r="BH27" s="99">
        <f t="shared" si="34"/>
        <v>16572</v>
      </c>
      <c r="BI27" s="99">
        <f t="shared" si="34"/>
        <v>10932</v>
      </c>
      <c r="BJ27" s="99">
        <f t="shared" si="34"/>
        <v>10824</v>
      </c>
      <c r="BK27" s="99">
        <f t="shared" si="34"/>
        <v>11364</v>
      </c>
      <c r="BL27" s="99">
        <f t="shared" ref="BL27:BW27" si="35">$C$24*BL24+$C$25*BL25</f>
        <v>15672</v>
      </c>
      <c r="BM27" s="99">
        <f t="shared" si="35"/>
        <v>17868</v>
      </c>
      <c r="BN27" s="99">
        <f t="shared" si="35"/>
        <v>15048</v>
      </c>
      <c r="BO27" s="99">
        <f t="shared" si="35"/>
        <v>14640</v>
      </c>
      <c r="BP27" s="99">
        <f t="shared" si="35"/>
        <v>15768</v>
      </c>
      <c r="BQ27" s="99">
        <f t="shared" si="35"/>
        <v>19428</v>
      </c>
      <c r="BR27" s="99">
        <f t="shared" si="35"/>
        <v>18216</v>
      </c>
      <c r="BS27" s="99">
        <f t="shared" si="35"/>
        <v>13716</v>
      </c>
      <c r="BT27" s="99">
        <f t="shared" si="35"/>
        <v>16572</v>
      </c>
      <c r="BU27" s="99">
        <f t="shared" si="35"/>
        <v>10932</v>
      </c>
      <c r="BV27" s="99">
        <f t="shared" si="35"/>
        <v>10824</v>
      </c>
      <c r="BW27" s="99">
        <f t="shared" si="35"/>
        <v>11364</v>
      </c>
      <c r="BX27" s="99">
        <f t="shared" ref="BX27:CI27" si="36">$C$24*BX24+$C$25*BX25</f>
        <v>15672</v>
      </c>
      <c r="BY27" s="99">
        <f t="shared" si="36"/>
        <v>17868</v>
      </c>
      <c r="BZ27" s="99">
        <f t="shared" si="36"/>
        <v>15048</v>
      </c>
      <c r="CA27" s="99">
        <f t="shared" si="36"/>
        <v>14640</v>
      </c>
      <c r="CB27" s="99">
        <f t="shared" si="36"/>
        <v>15768</v>
      </c>
      <c r="CC27" s="99">
        <f t="shared" si="36"/>
        <v>19428</v>
      </c>
      <c r="CD27" s="99">
        <f t="shared" si="36"/>
        <v>18216</v>
      </c>
      <c r="CE27" s="99">
        <f t="shared" si="36"/>
        <v>13716</v>
      </c>
      <c r="CF27" s="99">
        <f t="shared" si="36"/>
        <v>16572</v>
      </c>
      <c r="CG27" s="99">
        <f t="shared" si="36"/>
        <v>10932</v>
      </c>
      <c r="CH27" s="99">
        <f t="shared" si="36"/>
        <v>10824</v>
      </c>
      <c r="CI27" s="99">
        <f t="shared" si="36"/>
        <v>11364</v>
      </c>
    </row>
    <row r="28" spans="1:87" x14ac:dyDescent="0.2">
      <c r="A28" s="2">
        <v>20</v>
      </c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87" x14ac:dyDescent="0.2">
      <c r="A29" s="2">
        <v>21</v>
      </c>
      <c r="B29" s="169" t="s">
        <v>222</v>
      </c>
      <c r="C29" s="17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</row>
    <row r="30" spans="1:87" x14ac:dyDescent="0.2">
      <c r="A30" s="2">
        <v>22</v>
      </c>
      <c r="B30" s="2" t="s">
        <v>284</v>
      </c>
      <c r="C30" s="12">
        <f>'Rate Design'!L15</f>
        <v>39</v>
      </c>
      <c r="D30" s="167">
        <v>168</v>
      </c>
      <c r="E30" s="167">
        <v>294</v>
      </c>
      <c r="F30" s="167">
        <v>219</v>
      </c>
      <c r="G30" s="167">
        <v>293</v>
      </c>
      <c r="H30" s="167">
        <v>261</v>
      </c>
      <c r="I30" s="167">
        <v>81</v>
      </c>
      <c r="J30" s="167">
        <v>316</v>
      </c>
      <c r="K30" s="167">
        <v>475</v>
      </c>
      <c r="L30" s="167">
        <v>766</v>
      </c>
      <c r="M30" s="167">
        <v>525</v>
      </c>
      <c r="N30" s="167">
        <v>514</v>
      </c>
      <c r="O30" s="167">
        <v>518</v>
      </c>
      <c r="P30" s="71">
        <f>D30</f>
        <v>168</v>
      </c>
      <c r="Q30" s="71">
        <f t="shared" ref="Q30:BK31" si="37">E30</f>
        <v>294</v>
      </c>
      <c r="R30" s="71">
        <f t="shared" si="37"/>
        <v>219</v>
      </c>
      <c r="S30" s="71">
        <f t="shared" si="37"/>
        <v>293</v>
      </c>
      <c r="T30" s="71">
        <f t="shared" si="37"/>
        <v>261</v>
      </c>
      <c r="U30" s="71">
        <f t="shared" si="37"/>
        <v>81</v>
      </c>
      <c r="V30" s="71">
        <f t="shared" si="37"/>
        <v>316</v>
      </c>
      <c r="W30" s="71">
        <f t="shared" si="37"/>
        <v>475</v>
      </c>
      <c r="X30" s="71">
        <f t="shared" si="37"/>
        <v>766</v>
      </c>
      <c r="Y30" s="71">
        <f t="shared" si="37"/>
        <v>525</v>
      </c>
      <c r="Z30" s="71">
        <f t="shared" si="37"/>
        <v>514</v>
      </c>
      <c r="AA30" s="71">
        <f t="shared" si="37"/>
        <v>518</v>
      </c>
      <c r="AB30" s="71">
        <f t="shared" si="37"/>
        <v>168</v>
      </c>
      <c r="AC30" s="71">
        <f t="shared" si="37"/>
        <v>294</v>
      </c>
      <c r="AD30" s="71">
        <f t="shared" si="37"/>
        <v>219</v>
      </c>
      <c r="AE30" s="71">
        <f t="shared" si="37"/>
        <v>293</v>
      </c>
      <c r="AF30" s="71">
        <f t="shared" si="37"/>
        <v>261</v>
      </c>
      <c r="AG30" s="71">
        <f t="shared" si="37"/>
        <v>81</v>
      </c>
      <c r="AH30" s="71">
        <f t="shared" si="37"/>
        <v>316</v>
      </c>
      <c r="AI30" s="71">
        <f t="shared" si="37"/>
        <v>475</v>
      </c>
      <c r="AJ30" s="71">
        <f t="shared" si="37"/>
        <v>766</v>
      </c>
      <c r="AK30" s="71">
        <f t="shared" si="37"/>
        <v>525</v>
      </c>
      <c r="AL30" s="71">
        <f t="shared" si="37"/>
        <v>514</v>
      </c>
      <c r="AM30" s="71">
        <f t="shared" si="37"/>
        <v>518</v>
      </c>
      <c r="AN30" s="71">
        <f t="shared" si="37"/>
        <v>168</v>
      </c>
      <c r="AO30" s="71">
        <f t="shared" si="37"/>
        <v>294</v>
      </c>
      <c r="AP30" s="71">
        <f t="shared" si="37"/>
        <v>219</v>
      </c>
      <c r="AQ30" s="71">
        <f t="shared" si="37"/>
        <v>293</v>
      </c>
      <c r="AR30" s="71">
        <f t="shared" si="37"/>
        <v>261</v>
      </c>
      <c r="AS30" s="71">
        <f t="shared" si="37"/>
        <v>81</v>
      </c>
      <c r="AT30" s="71">
        <f t="shared" si="37"/>
        <v>316</v>
      </c>
      <c r="AU30" s="71">
        <f t="shared" si="37"/>
        <v>475</v>
      </c>
      <c r="AV30" s="71">
        <f t="shared" si="37"/>
        <v>766</v>
      </c>
      <c r="AW30" s="71">
        <f t="shared" si="37"/>
        <v>525</v>
      </c>
      <c r="AX30" s="71">
        <f t="shared" si="37"/>
        <v>514</v>
      </c>
      <c r="AY30" s="71">
        <f t="shared" si="37"/>
        <v>518</v>
      </c>
      <c r="AZ30" s="71">
        <f t="shared" si="37"/>
        <v>168</v>
      </c>
      <c r="BA30" s="71">
        <f t="shared" si="37"/>
        <v>294</v>
      </c>
      <c r="BB30" s="71">
        <f t="shared" si="37"/>
        <v>219</v>
      </c>
      <c r="BC30" s="71">
        <f t="shared" si="37"/>
        <v>293</v>
      </c>
      <c r="BD30" s="71">
        <f t="shared" si="37"/>
        <v>261</v>
      </c>
      <c r="BE30" s="71">
        <f t="shared" si="37"/>
        <v>81</v>
      </c>
      <c r="BF30" s="71">
        <f t="shared" si="37"/>
        <v>316</v>
      </c>
      <c r="BG30" s="71">
        <f t="shared" si="37"/>
        <v>475</v>
      </c>
      <c r="BH30" s="71">
        <f t="shared" si="37"/>
        <v>766</v>
      </c>
      <c r="BI30" s="71">
        <f t="shared" si="37"/>
        <v>525</v>
      </c>
      <c r="BJ30" s="71">
        <f t="shared" si="37"/>
        <v>514</v>
      </c>
      <c r="BK30" s="71">
        <f t="shared" si="37"/>
        <v>518</v>
      </c>
      <c r="BL30" s="71">
        <f t="shared" ref="BL30:BW31" si="38">AZ30</f>
        <v>168</v>
      </c>
      <c r="BM30" s="71">
        <f t="shared" si="38"/>
        <v>294</v>
      </c>
      <c r="BN30" s="71">
        <f t="shared" si="38"/>
        <v>219</v>
      </c>
      <c r="BO30" s="71">
        <f t="shared" si="38"/>
        <v>293</v>
      </c>
      <c r="BP30" s="71">
        <f t="shared" si="38"/>
        <v>261</v>
      </c>
      <c r="BQ30" s="71">
        <f t="shared" si="38"/>
        <v>81</v>
      </c>
      <c r="BR30" s="71">
        <f t="shared" si="38"/>
        <v>316</v>
      </c>
      <c r="BS30" s="71">
        <f t="shared" si="38"/>
        <v>475</v>
      </c>
      <c r="BT30" s="71">
        <f t="shared" si="38"/>
        <v>766</v>
      </c>
      <c r="BU30" s="71">
        <f t="shared" si="38"/>
        <v>525</v>
      </c>
      <c r="BV30" s="71">
        <f t="shared" si="38"/>
        <v>514</v>
      </c>
      <c r="BW30" s="71">
        <f t="shared" si="38"/>
        <v>518</v>
      </c>
      <c r="BX30" s="71">
        <f t="shared" ref="BX30:CI31" si="39">BL30</f>
        <v>168</v>
      </c>
      <c r="BY30" s="71">
        <f t="shared" si="39"/>
        <v>294</v>
      </c>
      <c r="BZ30" s="71">
        <f t="shared" si="39"/>
        <v>219</v>
      </c>
      <c r="CA30" s="71">
        <f t="shared" si="39"/>
        <v>293</v>
      </c>
      <c r="CB30" s="71">
        <f t="shared" si="39"/>
        <v>261</v>
      </c>
      <c r="CC30" s="71">
        <f t="shared" si="39"/>
        <v>81</v>
      </c>
      <c r="CD30" s="71">
        <f t="shared" si="39"/>
        <v>316</v>
      </c>
      <c r="CE30" s="71">
        <f t="shared" si="39"/>
        <v>475</v>
      </c>
      <c r="CF30" s="71">
        <f t="shared" si="39"/>
        <v>766</v>
      </c>
      <c r="CG30" s="71">
        <f t="shared" si="39"/>
        <v>525</v>
      </c>
      <c r="CH30" s="71">
        <f t="shared" si="39"/>
        <v>514</v>
      </c>
      <c r="CI30" s="71">
        <f t="shared" si="39"/>
        <v>518</v>
      </c>
    </row>
    <row r="31" spans="1:87" x14ac:dyDescent="0.2">
      <c r="A31" s="2">
        <v>23</v>
      </c>
      <c r="B31" s="2" t="s">
        <v>285</v>
      </c>
      <c r="C31" s="12">
        <f>'Rate Design'!M15</f>
        <v>47</v>
      </c>
      <c r="D31" s="167">
        <v>0</v>
      </c>
      <c r="E31" s="167">
        <v>0</v>
      </c>
      <c r="F31" s="167">
        <v>0</v>
      </c>
      <c r="G31" s="167">
        <v>0</v>
      </c>
      <c r="H31" s="167">
        <v>0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167">
        <v>0</v>
      </c>
      <c r="O31" s="167">
        <v>0</v>
      </c>
      <c r="P31" s="71">
        <f>D31</f>
        <v>0</v>
      </c>
      <c r="Q31" s="71">
        <f t="shared" si="37"/>
        <v>0</v>
      </c>
      <c r="R31" s="71">
        <f t="shared" si="37"/>
        <v>0</v>
      </c>
      <c r="S31" s="71">
        <f t="shared" si="37"/>
        <v>0</v>
      </c>
      <c r="T31" s="71">
        <f t="shared" si="37"/>
        <v>0</v>
      </c>
      <c r="U31" s="71">
        <f t="shared" si="37"/>
        <v>0</v>
      </c>
      <c r="V31" s="71">
        <f t="shared" si="37"/>
        <v>0</v>
      </c>
      <c r="W31" s="71">
        <f t="shared" si="37"/>
        <v>0</v>
      </c>
      <c r="X31" s="71">
        <f t="shared" si="37"/>
        <v>0</v>
      </c>
      <c r="Y31" s="71">
        <f t="shared" si="37"/>
        <v>0</v>
      </c>
      <c r="Z31" s="71">
        <f t="shared" si="37"/>
        <v>0</v>
      </c>
      <c r="AA31" s="71">
        <f t="shared" si="37"/>
        <v>0</v>
      </c>
      <c r="AB31" s="71">
        <f t="shared" si="37"/>
        <v>0</v>
      </c>
      <c r="AC31" s="71">
        <f t="shared" si="37"/>
        <v>0</v>
      </c>
      <c r="AD31" s="71">
        <f t="shared" si="37"/>
        <v>0</v>
      </c>
      <c r="AE31" s="71">
        <f t="shared" si="37"/>
        <v>0</v>
      </c>
      <c r="AF31" s="71">
        <f t="shared" si="37"/>
        <v>0</v>
      </c>
      <c r="AG31" s="71">
        <f t="shared" si="37"/>
        <v>0</v>
      </c>
      <c r="AH31" s="71">
        <f t="shared" si="37"/>
        <v>0</v>
      </c>
      <c r="AI31" s="71">
        <f t="shared" si="37"/>
        <v>0</v>
      </c>
      <c r="AJ31" s="71">
        <f t="shared" si="37"/>
        <v>0</v>
      </c>
      <c r="AK31" s="71">
        <f t="shared" si="37"/>
        <v>0</v>
      </c>
      <c r="AL31" s="71">
        <f t="shared" si="37"/>
        <v>0</v>
      </c>
      <c r="AM31" s="71">
        <f t="shared" si="37"/>
        <v>0</v>
      </c>
      <c r="AN31" s="71">
        <f t="shared" si="37"/>
        <v>0</v>
      </c>
      <c r="AO31" s="71">
        <f t="shared" si="37"/>
        <v>0</v>
      </c>
      <c r="AP31" s="71">
        <f t="shared" si="37"/>
        <v>0</v>
      </c>
      <c r="AQ31" s="71">
        <f t="shared" si="37"/>
        <v>0</v>
      </c>
      <c r="AR31" s="71">
        <f t="shared" si="37"/>
        <v>0</v>
      </c>
      <c r="AS31" s="71">
        <f t="shared" si="37"/>
        <v>0</v>
      </c>
      <c r="AT31" s="71">
        <f t="shared" si="37"/>
        <v>0</v>
      </c>
      <c r="AU31" s="71">
        <f t="shared" si="37"/>
        <v>0</v>
      </c>
      <c r="AV31" s="71">
        <f t="shared" si="37"/>
        <v>0</v>
      </c>
      <c r="AW31" s="71">
        <f t="shared" si="37"/>
        <v>0</v>
      </c>
      <c r="AX31" s="71">
        <f t="shared" si="37"/>
        <v>0</v>
      </c>
      <c r="AY31" s="71">
        <f t="shared" si="37"/>
        <v>0</v>
      </c>
      <c r="AZ31" s="71">
        <f t="shared" si="37"/>
        <v>0</v>
      </c>
      <c r="BA31" s="71">
        <f t="shared" si="37"/>
        <v>0</v>
      </c>
      <c r="BB31" s="71">
        <f t="shared" si="37"/>
        <v>0</v>
      </c>
      <c r="BC31" s="71">
        <f t="shared" si="37"/>
        <v>0</v>
      </c>
      <c r="BD31" s="71">
        <f t="shared" si="37"/>
        <v>0</v>
      </c>
      <c r="BE31" s="71">
        <f t="shared" si="37"/>
        <v>0</v>
      </c>
      <c r="BF31" s="71">
        <f t="shared" si="37"/>
        <v>0</v>
      </c>
      <c r="BG31" s="71">
        <f t="shared" si="37"/>
        <v>0</v>
      </c>
      <c r="BH31" s="71">
        <f t="shared" si="37"/>
        <v>0</v>
      </c>
      <c r="BI31" s="71">
        <f t="shared" si="37"/>
        <v>0</v>
      </c>
      <c r="BJ31" s="71">
        <f t="shared" si="37"/>
        <v>0</v>
      </c>
      <c r="BK31" s="71">
        <f t="shared" si="37"/>
        <v>0</v>
      </c>
      <c r="BL31" s="71">
        <f t="shared" si="38"/>
        <v>0</v>
      </c>
      <c r="BM31" s="71">
        <f t="shared" si="38"/>
        <v>0</v>
      </c>
      <c r="BN31" s="71">
        <f t="shared" si="38"/>
        <v>0</v>
      </c>
      <c r="BO31" s="71">
        <f t="shared" si="38"/>
        <v>0</v>
      </c>
      <c r="BP31" s="71">
        <f t="shared" si="38"/>
        <v>0</v>
      </c>
      <c r="BQ31" s="71">
        <f t="shared" si="38"/>
        <v>0</v>
      </c>
      <c r="BR31" s="71">
        <f t="shared" si="38"/>
        <v>0</v>
      </c>
      <c r="BS31" s="71">
        <f t="shared" si="38"/>
        <v>0</v>
      </c>
      <c r="BT31" s="71">
        <f t="shared" si="38"/>
        <v>0</v>
      </c>
      <c r="BU31" s="71">
        <f t="shared" si="38"/>
        <v>0</v>
      </c>
      <c r="BV31" s="71">
        <f t="shared" si="38"/>
        <v>0</v>
      </c>
      <c r="BW31" s="71">
        <f t="shared" si="38"/>
        <v>0</v>
      </c>
      <c r="BX31" s="71">
        <f t="shared" si="39"/>
        <v>0</v>
      </c>
      <c r="BY31" s="71">
        <f t="shared" si="39"/>
        <v>0</v>
      </c>
      <c r="BZ31" s="71">
        <f t="shared" si="39"/>
        <v>0</v>
      </c>
      <c r="CA31" s="71">
        <f t="shared" si="39"/>
        <v>0</v>
      </c>
      <c r="CB31" s="71">
        <f t="shared" si="39"/>
        <v>0</v>
      </c>
      <c r="CC31" s="71">
        <f t="shared" si="39"/>
        <v>0</v>
      </c>
      <c r="CD31" s="71">
        <f t="shared" si="39"/>
        <v>0</v>
      </c>
      <c r="CE31" s="71">
        <f t="shared" si="39"/>
        <v>0</v>
      </c>
      <c r="CF31" s="71">
        <f t="shared" si="39"/>
        <v>0</v>
      </c>
      <c r="CG31" s="71">
        <f t="shared" si="39"/>
        <v>0</v>
      </c>
      <c r="CH31" s="71">
        <f t="shared" si="39"/>
        <v>0</v>
      </c>
      <c r="CI31" s="71">
        <f t="shared" si="39"/>
        <v>0</v>
      </c>
    </row>
    <row r="32" spans="1:87" x14ac:dyDescent="0.2">
      <c r="A32" s="2">
        <v>24</v>
      </c>
      <c r="B32" s="33" t="s">
        <v>289</v>
      </c>
      <c r="C32" s="33"/>
      <c r="D32" s="32">
        <f t="shared" ref="D32:P32" si="40">D30+D31</f>
        <v>168</v>
      </c>
      <c r="E32" s="32">
        <f t="shared" si="40"/>
        <v>294</v>
      </c>
      <c r="F32" s="32">
        <f t="shared" si="40"/>
        <v>219</v>
      </c>
      <c r="G32" s="32">
        <f t="shared" si="40"/>
        <v>293</v>
      </c>
      <c r="H32" s="32">
        <f t="shared" si="40"/>
        <v>261</v>
      </c>
      <c r="I32" s="32">
        <f t="shared" si="40"/>
        <v>81</v>
      </c>
      <c r="J32" s="32">
        <f t="shared" si="40"/>
        <v>316</v>
      </c>
      <c r="K32" s="32">
        <f t="shared" si="40"/>
        <v>475</v>
      </c>
      <c r="L32" s="32">
        <f t="shared" si="40"/>
        <v>766</v>
      </c>
      <c r="M32" s="32">
        <f t="shared" si="40"/>
        <v>525</v>
      </c>
      <c r="N32" s="32">
        <f t="shared" si="40"/>
        <v>514</v>
      </c>
      <c r="O32" s="32">
        <f t="shared" si="40"/>
        <v>518</v>
      </c>
      <c r="P32" s="32">
        <f t="shared" si="40"/>
        <v>168</v>
      </c>
      <c r="Q32" s="32">
        <f t="shared" ref="Q32:BK32" si="41">Q30+Q31</f>
        <v>294</v>
      </c>
      <c r="R32" s="32">
        <f t="shared" si="41"/>
        <v>219</v>
      </c>
      <c r="S32" s="32">
        <f t="shared" si="41"/>
        <v>293</v>
      </c>
      <c r="T32" s="32">
        <f t="shared" si="41"/>
        <v>261</v>
      </c>
      <c r="U32" s="32">
        <f t="shared" si="41"/>
        <v>81</v>
      </c>
      <c r="V32" s="32">
        <f t="shared" si="41"/>
        <v>316</v>
      </c>
      <c r="W32" s="32">
        <f t="shared" si="41"/>
        <v>475</v>
      </c>
      <c r="X32" s="32">
        <f t="shared" si="41"/>
        <v>766</v>
      </c>
      <c r="Y32" s="32">
        <f t="shared" si="41"/>
        <v>525</v>
      </c>
      <c r="Z32" s="32">
        <f t="shared" si="41"/>
        <v>514</v>
      </c>
      <c r="AA32" s="32">
        <f t="shared" si="41"/>
        <v>518</v>
      </c>
      <c r="AB32" s="32">
        <f t="shared" si="41"/>
        <v>168</v>
      </c>
      <c r="AC32" s="32">
        <f t="shared" si="41"/>
        <v>294</v>
      </c>
      <c r="AD32" s="32">
        <f t="shared" si="41"/>
        <v>219</v>
      </c>
      <c r="AE32" s="32">
        <f t="shared" si="41"/>
        <v>293</v>
      </c>
      <c r="AF32" s="32">
        <f t="shared" si="41"/>
        <v>261</v>
      </c>
      <c r="AG32" s="32">
        <f t="shared" si="41"/>
        <v>81</v>
      </c>
      <c r="AH32" s="32">
        <f t="shared" si="41"/>
        <v>316</v>
      </c>
      <c r="AI32" s="32">
        <f t="shared" si="41"/>
        <v>475</v>
      </c>
      <c r="AJ32" s="32">
        <f t="shared" si="41"/>
        <v>766</v>
      </c>
      <c r="AK32" s="32">
        <f t="shared" si="41"/>
        <v>525</v>
      </c>
      <c r="AL32" s="32">
        <f t="shared" si="41"/>
        <v>514</v>
      </c>
      <c r="AM32" s="32">
        <f t="shared" si="41"/>
        <v>518</v>
      </c>
      <c r="AN32" s="32">
        <f t="shared" si="41"/>
        <v>168</v>
      </c>
      <c r="AO32" s="32">
        <f t="shared" si="41"/>
        <v>294</v>
      </c>
      <c r="AP32" s="32">
        <f t="shared" si="41"/>
        <v>219</v>
      </c>
      <c r="AQ32" s="32">
        <f t="shared" si="41"/>
        <v>293</v>
      </c>
      <c r="AR32" s="32">
        <f t="shared" si="41"/>
        <v>261</v>
      </c>
      <c r="AS32" s="32">
        <f t="shared" si="41"/>
        <v>81</v>
      </c>
      <c r="AT32" s="32">
        <f t="shared" si="41"/>
        <v>316</v>
      </c>
      <c r="AU32" s="32">
        <f t="shared" si="41"/>
        <v>475</v>
      </c>
      <c r="AV32" s="32">
        <f t="shared" si="41"/>
        <v>766</v>
      </c>
      <c r="AW32" s="32">
        <f t="shared" si="41"/>
        <v>525</v>
      </c>
      <c r="AX32" s="32">
        <f t="shared" si="41"/>
        <v>514</v>
      </c>
      <c r="AY32" s="32">
        <f t="shared" si="41"/>
        <v>518</v>
      </c>
      <c r="AZ32" s="32">
        <f t="shared" si="41"/>
        <v>168</v>
      </c>
      <c r="BA32" s="32">
        <f t="shared" si="41"/>
        <v>294</v>
      </c>
      <c r="BB32" s="32">
        <f t="shared" si="41"/>
        <v>219</v>
      </c>
      <c r="BC32" s="32">
        <f t="shared" si="41"/>
        <v>293</v>
      </c>
      <c r="BD32" s="32">
        <f t="shared" si="41"/>
        <v>261</v>
      </c>
      <c r="BE32" s="32">
        <f t="shared" si="41"/>
        <v>81</v>
      </c>
      <c r="BF32" s="32">
        <f t="shared" si="41"/>
        <v>316</v>
      </c>
      <c r="BG32" s="32">
        <f t="shared" si="41"/>
        <v>475</v>
      </c>
      <c r="BH32" s="32">
        <f t="shared" si="41"/>
        <v>766</v>
      </c>
      <c r="BI32" s="32">
        <f t="shared" si="41"/>
        <v>525</v>
      </c>
      <c r="BJ32" s="32">
        <f t="shared" si="41"/>
        <v>514</v>
      </c>
      <c r="BK32" s="32">
        <f t="shared" si="41"/>
        <v>518</v>
      </c>
      <c r="BL32" s="32">
        <f t="shared" ref="BL32:BW32" si="42">BL30+BL31</f>
        <v>168</v>
      </c>
      <c r="BM32" s="32">
        <f t="shared" si="42"/>
        <v>294</v>
      </c>
      <c r="BN32" s="32">
        <f t="shared" si="42"/>
        <v>219</v>
      </c>
      <c r="BO32" s="32">
        <f t="shared" si="42"/>
        <v>293</v>
      </c>
      <c r="BP32" s="32">
        <f t="shared" si="42"/>
        <v>261</v>
      </c>
      <c r="BQ32" s="32">
        <f t="shared" si="42"/>
        <v>81</v>
      </c>
      <c r="BR32" s="32">
        <f t="shared" si="42"/>
        <v>316</v>
      </c>
      <c r="BS32" s="32">
        <f t="shared" si="42"/>
        <v>475</v>
      </c>
      <c r="BT32" s="32">
        <f t="shared" si="42"/>
        <v>766</v>
      </c>
      <c r="BU32" s="32">
        <f t="shared" si="42"/>
        <v>525</v>
      </c>
      <c r="BV32" s="32">
        <f t="shared" si="42"/>
        <v>514</v>
      </c>
      <c r="BW32" s="32">
        <f t="shared" si="42"/>
        <v>518</v>
      </c>
      <c r="BX32" s="32">
        <f t="shared" ref="BX32:CI32" si="43">BX30+BX31</f>
        <v>168</v>
      </c>
      <c r="BY32" s="32">
        <f t="shared" si="43"/>
        <v>294</v>
      </c>
      <c r="BZ32" s="32">
        <f t="shared" si="43"/>
        <v>219</v>
      </c>
      <c r="CA32" s="32">
        <f t="shared" si="43"/>
        <v>293</v>
      </c>
      <c r="CB32" s="32">
        <f t="shared" si="43"/>
        <v>261</v>
      </c>
      <c r="CC32" s="32">
        <f t="shared" si="43"/>
        <v>81</v>
      </c>
      <c r="CD32" s="32">
        <f t="shared" si="43"/>
        <v>316</v>
      </c>
      <c r="CE32" s="32">
        <f t="shared" si="43"/>
        <v>475</v>
      </c>
      <c r="CF32" s="32">
        <f t="shared" si="43"/>
        <v>766</v>
      </c>
      <c r="CG32" s="32">
        <f t="shared" si="43"/>
        <v>525</v>
      </c>
      <c r="CH32" s="32">
        <f t="shared" si="43"/>
        <v>514</v>
      </c>
      <c r="CI32" s="32">
        <f t="shared" si="43"/>
        <v>518</v>
      </c>
    </row>
    <row r="33" spans="1:87" x14ac:dyDescent="0.2">
      <c r="A33" s="2">
        <v>25</v>
      </c>
      <c r="B33" s="33" t="s">
        <v>290</v>
      </c>
      <c r="C33" s="33"/>
      <c r="D33" s="99">
        <f t="shared" ref="D33:O33" si="44">$C$30*D30+$C$31*D31</f>
        <v>6552</v>
      </c>
      <c r="E33" s="99">
        <f t="shared" si="44"/>
        <v>11466</v>
      </c>
      <c r="F33" s="99">
        <f t="shared" si="44"/>
        <v>8541</v>
      </c>
      <c r="G33" s="99">
        <f t="shared" si="44"/>
        <v>11427</v>
      </c>
      <c r="H33" s="99">
        <f t="shared" si="44"/>
        <v>10179</v>
      </c>
      <c r="I33" s="99">
        <f t="shared" si="44"/>
        <v>3159</v>
      </c>
      <c r="J33" s="99">
        <f t="shared" si="44"/>
        <v>12324</v>
      </c>
      <c r="K33" s="99">
        <f t="shared" si="44"/>
        <v>18525</v>
      </c>
      <c r="L33" s="99">
        <f t="shared" si="44"/>
        <v>29874</v>
      </c>
      <c r="M33" s="99">
        <f t="shared" si="44"/>
        <v>20475</v>
      </c>
      <c r="N33" s="99">
        <f t="shared" si="44"/>
        <v>20046</v>
      </c>
      <c r="O33" s="99">
        <f t="shared" si="44"/>
        <v>20202</v>
      </c>
      <c r="P33" s="99">
        <f t="shared" ref="P33:BK33" si="45">$C$30*P30+$C$31*P31</f>
        <v>6552</v>
      </c>
      <c r="Q33" s="99">
        <f t="shared" si="45"/>
        <v>11466</v>
      </c>
      <c r="R33" s="99">
        <f t="shared" si="45"/>
        <v>8541</v>
      </c>
      <c r="S33" s="99">
        <f t="shared" si="45"/>
        <v>11427</v>
      </c>
      <c r="T33" s="99">
        <f t="shared" si="45"/>
        <v>10179</v>
      </c>
      <c r="U33" s="99">
        <f t="shared" si="45"/>
        <v>3159</v>
      </c>
      <c r="V33" s="99">
        <f t="shared" si="45"/>
        <v>12324</v>
      </c>
      <c r="W33" s="99">
        <f t="shared" si="45"/>
        <v>18525</v>
      </c>
      <c r="X33" s="99">
        <f t="shared" si="45"/>
        <v>29874</v>
      </c>
      <c r="Y33" s="99">
        <f t="shared" si="45"/>
        <v>20475</v>
      </c>
      <c r="Z33" s="99">
        <f t="shared" si="45"/>
        <v>20046</v>
      </c>
      <c r="AA33" s="99">
        <f t="shared" si="45"/>
        <v>20202</v>
      </c>
      <c r="AB33" s="99">
        <f t="shared" si="45"/>
        <v>6552</v>
      </c>
      <c r="AC33" s="99">
        <f t="shared" si="45"/>
        <v>11466</v>
      </c>
      <c r="AD33" s="99">
        <f t="shared" si="45"/>
        <v>8541</v>
      </c>
      <c r="AE33" s="99">
        <f t="shared" si="45"/>
        <v>11427</v>
      </c>
      <c r="AF33" s="99">
        <f t="shared" si="45"/>
        <v>10179</v>
      </c>
      <c r="AG33" s="99">
        <f t="shared" si="45"/>
        <v>3159</v>
      </c>
      <c r="AH33" s="99">
        <f t="shared" si="45"/>
        <v>12324</v>
      </c>
      <c r="AI33" s="99">
        <f t="shared" si="45"/>
        <v>18525</v>
      </c>
      <c r="AJ33" s="99">
        <f t="shared" si="45"/>
        <v>29874</v>
      </c>
      <c r="AK33" s="99">
        <f t="shared" si="45"/>
        <v>20475</v>
      </c>
      <c r="AL33" s="99">
        <f t="shared" si="45"/>
        <v>20046</v>
      </c>
      <c r="AM33" s="99">
        <f t="shared" si="45"/>
        <v>20202</v>
      </c>
      <c r="AN33" s="99">
        <f t="shared" si="45"/>
        <v>6552</v>
      </c>
      <c r="AO33" s="99">
        <f t="shared" si="45"/>
        <v>11466</v>
      </c>
      <c r="AP33" s="99">
        <f t="shared" si="45"/>
        <v>8541</v>
      </c>
      <c r="AQ33" s="99">
        <f t="shared" si="45"/>
        <v>11427</v>
      </c>
      <c r="AR33" s="99">
        <f t="shared" si="45"/>
        <v>10179</v>
      </c>
      <c r="AS33" s="99">
        <f t="shared" si="45"/>
        <v>3159</v>
      </c>
      <c r="AT33" s="99">
        <f t="shared" si="45"/>
        <v>12324</v>
      </c>
      <c r="AU33" s="99">
        <f t="shared" si="45"/>
        <v>18525</v>
      </c>
      <c r="AV33" s="99">
        <f t="shared" si="45"/>
        <v>29874</v>
      </c>
      <c r="AW33" s="99">
        <f t="shared" si="45"/>
        <v>20475</v>
      </c>
      <c r="AX33" s="99">
        <f t="shared" si="45"/>
        <v>20046</v>
      </c>
      <c r="AY33" s="99">
        <f t="shared" si="45"/>
        <v>20202</v>
      </c>
      <c r="AZ33" s="99">
        <f t="shared" si="45"/>
        <v>6552</v>
      </c>
      <c r="BA33" s="99">
        <f t="shared" si="45"/>
        <v>11466</v>
      </c>
      <c r="BB33" s="99">
        <f t="shared" si="45"/>
        <v>8541</v>
      </c>
      <c r="BC33" s="99">
        <f t="shared" si="45"/>
        <v>11427</v>
      </c>
      <c r="BD33" s="99">
        <f t="shared" si="45"/>
        <v>10179</v>
      </c>
      <c r="BE33" s="99">
        <f t="shared" si="45"/>
        <v>3159</v>
      </c>
      <c r="BF33" s="99">
        <f t="shared" si="45"/>
        <v>12324</v>
      </c>
      <c r="BG33" s="99">
        <f t="shared" si="45"/>
        <v>18525</v>
      </c>
      <c r="BH33" s="99">
        <f t="shared" si="45"/>
        <v>29874</v>
      </c>
      <c r="BI33" s="99">
        <f t="shared" si="45"/>
        <v>20475</v>
      </c>
      <c r="BJ33" s="99">
        <f t="shared" si="45"/>
        <v>20046</v>
      </c>
      <c r="BK33" s="99">
        <f t="shared" si="45"/>
        <v>20202</v>
      </c>
      <c r="BL33" s="99">
        <f t="shared" ref="BL33:BW33" si="46">$C$30*BL30+$C$31*BL31</f>
        <v>6552</v>
      </c>
      <c r="BM33" s="99">
        <f t="shared" si="46"/>
        <v>11466</v>
      </c>
      <c r="BN33" s="99">
        <f t="shared" si="46"/>
        <v>8541</v>
      </c>
      <c r="BO33" s="99">
        <f t="shared" si="46"/>
        <v>11427</v>
      </c>
      <c r="BP33" s="99">
        <f t="shared" si="46"/>
        <v>10179</v>
      </c>
      <c r="BQ33" s="99">
        <f t="shared" si="46"/>
        <v>3159</v>
      </c>
      <c r="BR33" s="99">
        <f t="shared" si="46"/>
        <v>12324</v>
      </c>
      <c r="BS33" s="99">
        <f t="shared" si="46"/>
        <v>18525</v>
      </c>
      <c r="BT33" s="99">
        <f t="shared" si="46"/>
        <v>29874</v>
      </c>
      <c r="BU33" s="99">
        <f t="shared" si="46"/>
        <v>20475</v>
      </c>
      <c r="BV33" s="99">
        <f t="shared" si="46"/>
        <v>20046</v>
      </c>
      <c r="BW33" s="99">
        <f t="shared" si="46"/>
        <v>20202</v>
      </c>
      <c r="BX33" s="99">
        <f t="shared" ref="BX33:CI33" si="47">$C$30*BX30+$C$31*BX31</f>
        <v>6552</v>
      </c>
      <c r="BY33" s="99">
        <f t="shared" si="47"/>
        <v>11466</v>
      </c>
      <c r="BZ33" s="99">
        <f t="shared" si="47"/>
        <v>8541</v>
      </c>
      <c r="CA33" s="99">
        <f t="shared" si="47"/>
        <v>11427</v>
      </c>
      <c r="CB33" s="99">
        <f t="shared" si="47"/>
        <v>10179</v>
      </c>
      <c r="CC33" s="99">
        <f t="shared" si="47"/>
        <v>3159</v>
      </c>
      <c r="CD33" s="99">
        <f t="shared" si="47"/>
        <v>12324</v>
      </c>
      <c r="CE33" s="99">
        <f t="shared" si="47"/>
        <v>18525</v>
      </c>
      <c r="CF33" s="99">
        <f t="shared" si="47"/>
        <v>29874</v>
      </c>
      <c r="CG33" s="99">
        <f t="shared" si="47"/>
        <v>20475</v>
      </c>
      <c r="CH33" s="99">
        <f t="shared" si="47"/>
        <v>20046</v>
      </c>
      <c r="CI33" s="99">
        <f t="shared" si="47"/>
        <v>20202</v>
      </c>
    </row>
    <row r="34" spans="1:87" x14ac:dyDescent="0.2">
      <c r="A34" s="2">
        <v>26</v>
      </c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87" x14ac:dyDescent="0.2">
      <c r="A35" s="2">
        <v>27</v>
      </c>
      <c r="B35" s="169" t="s">
        <v>223</v>
      </c>
      <c r="C35" s="17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</row>
    <row r="36" spans="1:87" x14ac:dyDescent="0.2">
      <c r="A36" s="2">
        <v>28</v>
      </c>
      <c r="B36" s="2" t="s">
        <v>284</v>
      </c>
      <c r="C36" s="12">
        <f>'Rate Design'!L16</f>
        <v>65</v>
      </c>
      <c r="D36" s="167">
        <v>0</v>
      </c>
      <c r="E36" s="167">
        <v>0</v>
      </c>
      <c r="F36" s="167">
        <v>11</v>
      </c>
      <c r="G36" s="167">
        <v>120</v>
      </c>
      <c r="H36" s="167">
        <v>163</v>
      </c>
      <c r="I36" s="167">
        <v>24</v>
      </c>
      <c r="J36" s="167">
        <v>0</v>
      </c>
      <c r="K36" s="167">
        <v>2</v>
      </c>
      <c r="L36" s="167">
        <v>0</v>
      </c>
      <c r="M36" s="167">
        <v>0</v>
      </c>
      <c r="N36" s="167">
        <v>3</v>
      </c>
      <c r="O36" s="167">
        <v>1</v>
      </c>
      <c r="P36" s="71">
        <f>D36</f>
        <v>0</v>
      </c>
      <c r="Q36" s="71">
        <f t="shared" ref="Q36:BK37" si="48">E36</f>
        <v>0</v>
      </c>
      <c r="R36" s="71">
        <f t="shared" si="48"/>
        <v>11</v>
      </c>
      <c r="S36" s="71">
        <f t="shared" si="48"/>
        <v>120</v>
      </c>
      <c r="T36" s="71">
        <f t="shared" si="48"/>
        <v>163</v>
      </c>
      <c r="U36" s="71">
        <f t="shared" si="48"/>
        <v>24</v>
      </c>
      <c r="V36" s="71">
        <f t="shared" si="48"/>
        <v>0</v>
      </c>
      <c r="W36" s="71">
        <f t="shared" si="48"/>
        <v>2</v>
      </c>
      <c r="X36" s="71">
        <f t="shared" si="48"/>
        <v>0</v>
      </c>
      <c r="Y36" s="71">
        <f t="shared" si="48"/>
        <v>0</v>
      </c>
      <c r="Z36" s="71">
        <f t="shared" si="48"/>
        <v>3</v>
      </c>
      <c r="AA36" s="71">
        <f t="shared" si="48"/>
        <v>1</v>
      </c>
      <c r="AB36" s="71">
        <f t="shared" si="48"/>
        <v>0</v>
      </c>
      <c r="AC36" s="71">
        <f t="shared" si="48"/>
        <v>0</v>
      </c>
      <c r="AD36" s="71">
        <f t="shared" si="48"/>
        <v>11</v>
      </c>
      <c r="AE36" s="71">
        <f t="shared" si="48"/>
        <v>120</v>
      </c>
      <c r="AF36" s="71">
        <f t="shared" si="48"/>
        <v>163</v>
      </c>
      <c r="AG36" s="71">
        <f t="shared" si="48"/>
        <v>24</v>
      </c>
      <c r="AH36" s="71">
        <f t="shared" si="48"/>
        <v>0</v>
      </c>
      <c r="AI36" s="71">
        <f t="shared" si="48"/>
        <v>2</v>
      </c>
      <c r="AJ36" s="71">
        <f t="shared" si="48"/>
        <v>0</v>
      </c>
      <c r="AK36" s="71">
        <f t="shared" si="48"/>
        <v>0</v>
      </c>
      <c r="AL36" s="71">
        <f t="shared" si="48"/>
        <v>3</v>
      </c>
      <c r="AM36" s="71">
        <f t="shared" si="48"/>
        <v>1</v>
      </c>
      <c r="AN36" s="71">
        <f t="shared" si="48"/>
        <v>0</v>
      </c>
      <c r="AO36" s="71">
        <f t="shared" si="48"/>
        <v>0</v>
      </c>
      <c r="AP36" s="71">
        <f t="shared" si="48"/>
        <v>11</v>
      </c>
      <c r="AQ36" s="71">
        <f t="shared" si="48"/>
        <v>120</v>
      </c>
      <c r="AR36" s="71">
        <f t="shared" si="48"/>
        <v>163</v>
      </c>
      <c r="AS36" s="71">
        <f t="shared" si="48"/>
        <v>24</v>
      </c>
      <c r="AT36" s="71">
        <f t="shared" si="48"/>
        <v>0</v>
      </c>
      <c r="AU36" s="71">
        <f t="shared" si="48"/>
        <v>2</v>
      </c>
      <c r="AV36" s="71">
        <f t="shared" si="48"/>
        <v>0</v>
      </c>
      <c r="AW36" s="71">
        <f t="shared" si="48"/>
        <v>0</v>
      </c>
      <c r="AX36" s="71">
        <f t="shared" si="48"/>
        <v>3</v>
      </c>
      <c r="AY36" s="71">
        <f t="shared" si="48"/>
        <v>1</v>
      </c>
      <c r="AZ36" s="71">
        <f t="shared" si="48"/>
        <v>0</v>
      </c>
      <c r="BA36" s="71">
        <f t="shared" si="48"/>
        <v>0</v>
      </c>
      <c r="BB36" s="71">
        <f t="shared" si="48"/>
        <v>11</v>
      </c>
      <c r="BC36" s="71">
        <f t="shared" si="48"/>
        <v>120</v>
      </c>
      <c r="BD36" s="71">
        <f t="shared" si="48"/>
        <v>163</v>
      </c>
      <c r="BE36" s="71">
        <f t="shared" si="48"/>
        <v>24</v>
      </c>
      <c r="BF36" s="71">
        <f t="shared" si="48"/>
        <v>0</v>
      </c>
      <c r="BG36" s="71">
        <f t="shared" si="48"/>
        <v>2</v>
      </c>
      <c r="BH36" s="71">
        <f t="shared" si="48"/>
        <v>0</v>
      </c>
      <c r="BI36" s="71">
        <f t="shared" si="48"/>
        <v>0</v>
      </c>
      <c r="BJ36" s="71">
        <f t="shared" si="48"/>
        <v>3</v>
      </c>
      <c r="BK36" s="71">
        <f t="shared" si="48"/>
        <v>1</v>
      </c>
      <c r="BL36" s="71">
        <f t="shared" ref="BL36:BW37" si="49">AZ36</f>
        <v>0</v>
      </c>
      <c r="BM36" s="71">
        <f t="shared" si="49"/>
        <v>0</v>
      </c>
      <c r="BN36" s="71">
        <f t="shared" si="49"/>
        <v>11</v>
      </c>
      <c r="BO36" s="71">
        <f t="shared" si="49"/>
        <v>120</v>
      </c>
      <c r="BP36" s="71">
        <f t="shared" si="49"/>
        <v>163</v>
      </c>
      <c r="BQ36" s="71">
        <f t="shared" si="49"/>
        <v>24</v>
      </c>
      <c r="BR36" s="71">
        <f t="shared" si="49"/>
        <v>0</v>
      </c>
      <c r="BS36" s="71">
        <f t="shared" si="49"/>
        <v>2</v>
      </c>
      <c r="BT36" s="71">
        <f t="shared" si="49"/>
        <v>0</v>
      </c>
      <c r="BU36" s="71">
        <f t="shared" si="49"/>
        <v>0</v>
      </c>
      <c r="BV36" s="71">
        <f t="shared" si="49"/>
        <v>3</v>
      </c>
      <c r="BW36" s="71">
        <f t="shared" si="49"/>
        <v>1</v>
      </c>
      <c r="BX36" s="71">
        <f t="shared" ref="BX36:CI37" si="50">BL36</f>
        <v>0</v>
      </c>
      <c r="BY36" s="71">
        <f t="shared" si="50"/>
        <v>0</v>
      </c>
      <c r="BZ36" s="71">
        <f t="shared" si="50"/>
        <v>11</v>
      </c>
      <c r="CA36" s="71">
        <f t="shared" si="50"/>
        <v>120</v>
      </c>
      <c r="CB36" s="71">
        <f t="shared" si="50"/>
        <v>163</v>
      </c>
      <c r="CC36" s="71">
        <f t="shared" si="50"/>
        <v>24</v>
      </c>
      <c r="CD36" s="71">
        <f t="shared" si="50"/>
        <v>0</v>
      </c>
      <c r="CE36" s="71">
        <f t="shared" si="50"/>
        <v>2</v>
      </c>
      <c r="CF36" s="71">
        <f t="shared" si="50"/>
        <v>0</v>
      </c>
      <c r="CG36" s="71">
        <f t="shared" si="50"/>
        <v>0</v>
      </c>
      <c r="CH36" s="71">
        <f t="shared" si="50"/>
        <v>3</v>
      </c>
      <c r="CI36" s="71">
        <f t="shared" si="50"/>
        <v>1</v>
      </c>
    </row>
    <row r="37" spans="1:87" x14ac:dyDescent="0.2">
      <c r="A37" s="2">
        <v>25</v>
      </c>
      <c r="B37" s="2" t="s">
        <v>285</v>
      </c>
      <c r="C37" s="12">
        <f>'Rate Design'!M16</f>
        <v>73</v>
      </c>
      <c r="D37" s="167">
        <v>0</v>
      </c>
      <c r="E37" s="167">
        <v>0</v>
      </c>
      <c r="F37" s="167">
        <v>0</v>
      </c>
      <c r="G37" s="167">
        <v>0</v>
      </c>
      <c r="H37" s="167">
        <v>0</v>
      </c>
      <c r="I37" s="167">
        <v>0</v>
      </c>
      <c r="J37" s="167">
        <v>0</v>
      </c>
      <c r="K37" s="167">
        <v>0</v>
      </c>
      <c r="L37" s="167">
        <v>0</v>
      </c>
      <c r="M37" s="167">
        <v>0</v>
      </c>
      <c r="N37" s="167">
        <v>0</v>
      </c>
      <c r="O37" s="167">
        <v>0</v>
      </c>
      <c r="P37" s="71">
        <f>D37</f>
        <v>0</v>
      </c>
      <c r="Q37" s="71">
        <f t="shared" si="48"/>
        <v>0</v>
      </c>
      <c r="R37" s="71">
        <f t="shared" si="48"/>
        <v>0</v>
      </c>
      <c r="S37" s="71">
        <f t="shared" si="48"/>
        <v>0</v>
      </c>
      <c r="T37" s="71">
        <f t="shared" si="48"/>
        <v>0</v>
      </c>
      <c r="U37" s="71">
        <f t="shared" si="48"/>
        <v>0</v>
      </c>
      <c r="V37" s="71">
        <f t="shared" si="48"/>
        <v>0</v>
      </c>
      <c r="W37" s="71">
        <f t="shared" si="48"/>
        <v>0</v>
      </c>
      <c r="X37" s="71">
        <f t="shared" si="48"/>
        <v>0</v>
      </c>
      <c r="Y37" s="71">
        <f t="shared" si="48"/>
        <v>0</v>
      </c>
      <c r="Z37" s="71">
        <f t="shared" si="48"/>
        <v>0</v>
      </c>
      <c r="AA37" s="71">
        <f t="shared" si="48"/>
        <v>0</v>
      </c>
      <c r="AB37" s="71">
        <f t="shared" si="48"/>
        <v>0</v>
      </c>
      <c r="AC37" s="71">
        <f t="shared" si="48"/>
        <v>0</v>
      </c>
      <c r="AD37" s="71">
        <f t="shared" si="48"/>
        <v>0</v>
      </c>
      <c r="AE37" s="71">
        <f t="shared" si="48"/>
        <v>0</v>
      </c>
      <c r="AF37" s="71">
        <f t="shared" si="48"/>
        <v>0</v>
      </c>
      <c r="AG37" s="71">
        <f t="shared" si="48"/>
        <v>0</v>
      </c>
      <c r="AH37" s="71">
        <f t="shared" si="48"/>
        <v>0</v>
      </c>
      <c r="AI37" s="71">
        <f t="shared" si="48"/>
        <v>0</v>
      </c>
      <c r="AJ37" s="71">
        <f t="shared" si="48"/>
        <v>0</v>
      </c>
      <c r="AK37" s="71">
        <f t="shared" si="48"/>
        <v>0</v>
      </c>
      <c r="AL37" s="71">
        <f t="shared" si="48"/>
        <v>0</v>
      </c>
      <c r="AM37" s="71">
        <f t="shared" si="48"/>
        <v>0</v>
      </c>
      <c r="AN37" s="71">
        <f t="shared" si="48"/>
        <v>0</v>
      </c>
      <c r="AO37" s="71">
        <f t="shared" si="48"/>
        <v>0</v>
      </c>
      <c r="AP37" s="71">
        <f t="shared" si="48"/>
        <v>0</v>
      </c>
      <c r="AQ37" s="71">
        <f t="shared" si="48"/>
        <v>0</v>
      </c>
      <c r="AR37" s="71">
        <f t="shared" si="48"/>
        <v>0</v>
      </c>
      <c r="AS37" s="71">
        <f t="shared" si="48"/>
        <v>0</v>
      </c>
      <c r="AT37" s="71">
        <f t="shared" si="48"/>
        <v>0</v>
      </c>
      <c r="AU37" s="71">
        <f t="shared" si="48"/>
        <v>0</v>
      </c>
      <c r="AV37" s="71">
        <f t="shared" si="48"/>
        <v>0</v>
      </c>
      <c r="AW37" s="71">
        <f t="shared" si="48"/>
        <v>0</v>
      </c>
      <c r="AX37" s="71">
        <f t="shared" si="48"/>
        <v>0</v>
      </c>
      <c r="AY37" s="71">
        <f t="shared" si="48"/>
        <v>0</v>
      </c>
      <c r="AZ37" s="71">
        <f t="shared" si="48"/>
        <v>0</v>
      </c>
      <c r="BA37" s="71">
        <f t="shared" si="48"/>
        <v>0</v>
      </c>
      <c r="BB37" s="71">
        <f t="shared" si="48"/>
        <v>0</v>
      </c>
      <c r="BC37" s="71">
        <f t="shared" si="48"/>
        <v>0</v>
      </c>
      <c r="BD37" s="71">
        <f t="shared" si="48"/>
        <v>0</v>
      </c>
      <c r="BE37" s="71">
        <f t="shared" si="48"/>
        <v>0</v>
      </c>
      <c r="BF37" s="71">
        <f t="shared" si="48"/>
        <v>0</v>
      </c>
      <c r="BG37" s="71">
        <f t="shared" si="48"/>
        <v>0</v>
      </c>
      <c r="BH37" s="71">
        <f t="shared" si="48"/>
        <v>0</v>
      </c>
      <c r="BI37" s="71">
        <f t="shared" si="48"/>
        <v>0</v>
      </c>
      <c r="BJ37" s="71">
        <f t="shared" si="48"/>
        <v>0</v>
      </c>
      <c r="BK37" s="71">
        <f t="shared" si="48"/>
        <v>0</v>
      </c>
      <c r="BL37" s="71">
        <f t="shared" si="49"/>
        <v>0</v>
      </c>
      <c r="BM37" s="71">
        <f t="shared" si="49"/>
        <v>0</v>
      </c>
      <c r="BN37" s="71">
        <f t="shared" si="49"/>
        <v>0</v>
      </c>
      <c r="BO37" s="71">
        <f t="shared" si="49"/>
        <v>0</v>
      </c>
      <c r="BP37" s="71">
        <f t="shared" si="49"/>
        <v>0</v>
      </c>
      <c r="BQ37" s="71">
        <f t="shared" si="49"/>
        <v>0</v>
      </c>
      <c r="BR37" s="71">
        <f t="shared" si="49"/>
        <v>0</v>
      </c>
      <c r="BS37" s="71">
        <f t="shared" si="49"/>
        <v>0</v>
      </c>
      <c r="BT37" s="71">
        <f t="shared" si="49"/>
        <v>0</v>
      </c>
      <c r="BU37" s="71">
        <f t="shared" si="49"/>
        <v>0</v>
      </c>
      <c r="BV37" s="71">
        <f t="shared" si="49"/>
        <v>0</v>
      </c>
      <c r="BW37" s="71">
        <f t="shared" si="49"/>
        <v>0</v>
      </c>
      <c r="BX37" s="71">
        <f t="shared" si="50"/>
        <v>0</v>
      </c>
      <c r="BY37" s="71">
        <f t="shared" si="50"/>
        <v>0</v>
      </c>
      <c r="BZ37" s="71">
        <f t="shared" si="50"/>
        <v>0</v>
      </c>
      <c r="CA37" s="71">
        <f t="shared" si="50"/>
        <v>0</v>
      </c>
      <c r="CB37" s="71">
        <f t="shared" si="50"/>
        <v>0</v>
      </c>
      <c r="CC37" s="71">
        <f t="shared" si="50"/>
        <v>0</v>
      </c>
      <c r="CD37" s="71">
        <f t="shared" si="50"/>
        <v>0</v>
      </c>
      <c r="CE37" s="71">
        <f t="shared" si="50"/>
        <v>0</v>
      </c>
      <c r="CF37" s="71">
        <f t="shared" si="50"/>
        <v>0</v>
      </c>
      <c r="CG37" s="71">
        <f t="shared" si="50"/>
        <v>0</v>
      </c>
      <c r="CH37" s="71">
        <f t="shared" si="50"/>
        <v>0</v>
      </c>
      <c r="CI37" s="71">
        <f t="shared" si="50"/>
        <v>0</v>
      </c>
    </row>
    <row r="38" spans="1:87" x14ac:dyDescent="0.2">
      <c r="A38" s="2">
        <v>26</v>
      </c>
      <c r="B38" s="33" t="s">
        <v>289</v>
      </c>
      <c r="C38" s="33"/>
      <c r="D38" s="32">
        <f t="shared" ref="D38:P38" si="51">D36+D37</f>
        <v>0</v>
      </c>
      <c r="E38" s="32">
        <f t="shared" si="51"/>
        <v>0</v>
      </c>
      <c r="F38" s="32">
        <f t="shared" si="51"/>
        <v>11</v>
      </c>
      <c r="G38" s="32">
        <f t="shared" si="51"/>
        <v>120</v>
      </c>
      <c r="H38" s="32">
        <f t="shared" si="51"/>
        <v>163</v>
      </c>
      <c r="I38" s="32">
        <f t="shared" si="51"/>
        <v>24</v>
      </c>
      <c r="J38" s="32">
        <f t="shared" si="51"/>
        <v>0</v>
      </c>
      <c r="K38" s="32">
        <f t="shared" si="51"/>
        <v>2</v>
      </c>
      <c r="L38" s="32">
        <f t="shared" si="51"/>
        <v>0</v>
      </c>
      <c r="M38" s="32">
        <f t="shared" si="51"/>
        <v>0</v>
      </c>
      <c r="N38" s="32">
        <f t="shared" si="51"/>
        <v>3</v>
      </c>
      <c r="O38" s="32">
        <f t="shared" si="51"/>
        <v>1</v>
      </c>
      <c r="P38" s="32">
        <f t="shared" si="51"/>
        <v>0</v>
      </c>
      <c r="Q38" s="32">
        <f t="shared" ref="Q38:BK38" si="52">Q36+Q37</f>
        <v>0</v>
      </c>
      <c r="R38" s="32">
        <f t="shared" si="52"/>
        <v>11</v>
      </c>
      <c r="S38" s="32">
        <f t="shared" si="52"/>
        <v>120</v>
      </c>
      <c r="T38" s="32">
        <f t="shared" si="52"/>
        <v>163</v>
      </c>
      <c r="U38" s="32">
        <f t="shared" si="52"/>
        <v>24</v>
      </c>
      <c r="V38" s="32">
        <f t="shared" si="52"/>
        <v>0</v>
      </c>
      <c r="W38" s="32">
        <f t="shared" si="52"/>
        <v>2</v>
      </c>
      <c r="X38" s="32">
        <f t="shared" si="52"/>
        <v>0</v>
      </c>
      <c r="Y38" s="32">
        <f t="shared" si="52"/>
        <v>0</v>
      </c>
      <c r="Z38" s="32">
        <f t="shared" si="52"/>
        <v>3</v>
      </c>
      <c r="AA38" s="32">
        <f t="shared" si="52"/>
        <v>1</v>
      </c>
      <c r="AB38" s="32">
        <f t="shared" si="52"/>
        <v>0</v>
      </c>
      <c r="AC38" s="32">
        <f t="shared" si="52"/>
        <v>0</v>
      </c>
      <c r="AD38" s="32">
        <f t="shared" si="52"/>
        <v>11</v>
      </c>
      <c r="AE38" s="32">
        <f t="shared" si="52"/>
        <v>120</v>
      </c>
      <c r="AF38" s="32">
        <f t="shared" si="52"/>
        <v>163</v>
      </c>
      <c r="AG38" s="32">
        <f t="shared" si="52"/>
        <v>24</v>
      </c>
      <c r="AH38" s="32">
        <f t="shared" si="52"/>
        <v>0</v>
      </c>
      <c r="AI38" s="32">
        <f t="shared" si="52"/>
        <v>2</v>
      </c>
      <c r="AJ38" s="32">
        <f t="shared" si="52"/>
        <v>0</v>
      </c>
      <c r="AK38" s="32">
        <f t="shared" si="52"/>
        <v>0</v>
      </c>
      <c r="AL38" s="32">
        <f t="shared" si="52"/>
        <v>3</v>
      </c>
      <c r="AM38" s="32">
        <f t="shared" si="52"/>
        <v>1</v>
      </c>
      <c r="AN38" s="32">
        <f t="shared" si="52"/>
        <v>0</v>
      </c>
      <c r="AO38" s="32">
        <f t="shared" si="52"/>
        <v>0</v>
      </c>
      <c r="AP38" s="32">
        <f t="shared" si="52"/>
        <v>11</v>
      </c>
      <c r="AQ38" s="32">
        <f t="shared" si="52"/>
        <v>120</v>
      </c>
      <c r="AR38" s="32">
        <f t="shared" si="52"/>
        <v>163</v>
      </c>
      <c r="AS38" s="32">
        <f t="shared" si="52"/>
        <v>24</v>
      </c>
      <c r="AT38" s="32">
        <f t="shared" si="52"/>
        <v>0</v>
      </c>
      <c r="AU38" s="32">
        <f t="shared" si="52"/>
        <v>2</v>
      </c>
      <c r="AV38" s="32">
        <f t="shared" si="52"/>
        <v>0</v>
      </c>
      <c r="AW38" s="32">
        <f t="shared" si="52"/>
        <v>0</v>
      </c>
      <c r="AX38" s="32">
        <f t="shared" si="52"/>
        <v>3</v>
      </c>
      <c r="AY38" s="32">
        <f t="shared" si="52"/>
        <v>1</v>
      </c>
      <c r="AZ38" s="32">
        <f t="shared" si="52"/>
        <v>0</v>
      </c>
      <c r="BA38" s="32">
        <f t="shared" si="52"/>
        <v>0</v>
      </c>
      <c r="BB38" s="32">
        <f t="shared" si="52"/>
        <v>11</v>
      </c>
      <c r="BC38" s="32">
        <f t="shared" si="52"/>
        <v>120</v>
      </c>
      <c r="BD38" s="32">
        <f t="shared" si="52"/>
        <v>163</v>
      </c>
      <c r="BE38" s="32">
        <f t="shared" si="52"/>
        <v>24</v>
      </c>
      <c r="BF38" s="32">
        <f t="shared" si="52"/>
        <v>0</v>
      </c>
      <c r="BG38" s="32">
        <f t="shared" si="52"/>
        <v>2</v>
      </c>
      <c r="BH38" s="32">
        <f t="shared" si="52"/>
        <v>0</v>
      </c>
      <c r="BI38" s="32">
        <f t="shared" si="52"/>
        <v>0</v>
      </c>
      <c r="BJ38" s="32">
        <f t="shared" si="52"/>
        <v>3</v>
      </c>
      <c r="BK38" s="32">
        <f t="shared" si="52"/>
        <v>1</v>
      </c>
      <c r="BL38" s="32">
        <f t="shared" ref="BL38:BW38" si="53">BL36+BL37</f>
        <v>0</v>
      </c>
      <c r="BM38" s="32">
        <f t="shared" si="53"/>
        <v>0</v>
      </c>
      <c r="BN38" s="32">
        <f t="shared" si="53"/>
        <v>11</v>
      </c>
      <c r="BO38" s="32">
        <f t="shared" si="53"/>
        <v>120</v>
      </c>
      <c r="BP38" s="32">
        <f t="shared" si="53"/>
        <v>163</v>
      </c>
      <c r="BQ38" s="32">
        <f t="shared" si="53"/>
        <v>24</v>
      </c>
      <c r="BR38" s="32">
        <f t="shared" si="53"/>
        <v>0</v>
      </c>
      <c r="BS38" s="32">
        <f t="shared" si="53"/>
        <v>2</v>
      </c>
      <c r="BT38" s="32">
        <f t="shared" si="53"/>
        <v>0</v>
      </c>
      <c r="BU38" s="32">
        <f t="shared" si="53"/>
        <v>0</v>
      </c>
      <c r="BV38" s="32">
        <f t="shared" si="53"/>
        <v>3</v>
      </c>
      <c r="BW38" s="32">
        <f t="shared" si="53"/>
        <v>1</v>
      </c>
      <c r="BX38" s="32">
        <f t="shared" ref="BX38:CI38" si="54">BX36+BX37</f>
        <v>0</v>
      </c>
      <c r="BY38" s="32">
        <f t="shared" si="54"/>
        <v>0</v>
      </c>
      <c r="BZ38" s="32">
        <f t="shared" si="54"/>
        <v>11</v>
      </c>
      <c r="CA38" s="32">
        <f t="shared" si="54"/>
        <v>120</v>
      </c>
      <c r="CB38" s="32">
        <f t="shared" si="54"/>
        <v>163</v>
      </c>
      <c r="CC38" s="32">
        <f t="shared" si="54"/>
        <v>24</v>
      </c>
      <c r="CD38" s="32">
        <f t="shared" si="54"/>
        <v>0</v>
      </c>
      <c r="CE38" s="32">
        <f t="shared" si="54"/>
        <v>2</v>
      </c>
      <c r="CF38" s="32">
        <f t="shared" si="54"/>
        <v>0</v>
      </c>
      <c r="CG38" s="32">
        <f t="shared" si="54"/>
        <v>0</v>
      </c>
      <c r="CH38" s="32">
        <f t="shared" si="54"/>
        <v>3</v>
      </c>
      <c r="CI38" s="32">
        <f t="shared" si="54"/>
        <v>1</v>
      </c>
    </row>
    <row r="39" spans="1:87" x14ac:dyDescent="0.2">
      <c r="A39" s="2">
        <v>27</v>
      </c>
      <c r="B39" s="33" t="s">
        <v>290</v>
      </c>
      <c r="C39" s="33"/>
      <c r="D39" s="99">
        <f t="shared" ref="D39:O39" si="55">$C$36*D36+$C$37*D37</f>
        <v>0</v>
      </c>
      <c r="E39" s="99">
        <f t="shared" si="55"/>
        <v>0</v>
      </c>
      <c r="F39" s="99">
        <f t="shared" si="55"/>
        <v>715</v>
      </c>
      <c r="G39" s="99">
        <f t="shared" si="55"/>
        <v>7800</v>
      </c>
      <c r="H39" s="99">
        <f t="shared" si="55"/>
        <v>10595</v>
      </c>
      <c r="I39" s="99">
        <f t="shared" si="55"/>
        <v>1560</v>
      </c>
      <c r="J39" s="99">
        <f t="shared" si="55"/>
        <v>0</v>
      </c>
      <c r="K39" s="99">
        <f t="shared" si="55"/>
        <v>130</v>
      </c>
      <c r="L39" s="99">
        <f t="shared" si="55"/>
        <v>0</v>
      </c>
      <c r="M39" s="99">
        <f t="shared" si="55"/>
        <v>0</v>
      </c>
      <c r="N39" s="99">
        <f t="shared" si="55"/>
        <v>195</v>
      </c>
      <c r="O39" s="99">
        <f t="shared" si="55"/>
        <v>65</v>
      </c>
      <c r="P39" s="99">
        <f t="shared" ref="P39:BK39" si="56">$C$36*P36+$C$37*P37</f>
        <v>0</v>
      </c>
      <c r="Q39" s="99">
        <f t="shared" si="56"/>
        <v>0</v>
      </c>
      <c r="R39" s="99">
        <f t="shared" si="56"/>
        <v>715</v>
      </c>
      <c r="S39" s="99">
        <f t="shared" si="56"/>
        <v>7800</v>
      </c>
      <c r="T39" s="99">
        <f t="shared" si="56"/>
        <v>10595</v>
      </c>
      <c r="U39" s="99">
        <f t="shared" si="56"/>
        <v>1560</v>
      </c>
      <c r="V39" s="99">
        <f t="shared" si="56"/>
        <v>0</v>
      </c>
      <c r="W39" s="99">
        <f t="shared" si="56"/>
        <v>130</v>
      </c>
      <c r="X39" s="99">
        <f t="shared" si="56"/>
        <v>0</v>
      </c>
      <c r="Y39" s="99">
        <f t="shared" si="56"/>
        <v>0</v>
      </c>
      <c r="Z39" s="99">
        <f t="shared" si="56"/>
        <v>195</v>
      </c>
      <c r="AA39" s="99">
        <f t="shared" si="56"/>
        <v>65</v>
      </c>
      <c r="AB39" s="99">
        <f t="shared" si="56"/>
        <v>0</v>
      </c>
      <c r="AC39" s="99">
        <f t="shared" si="56"/>
        <v>0</v>
      </c>
      <c r="AD39" s="99">
        <f t="shared" si="56"/>
        <v>715</v>
      </c>
      <c r="AE39" s="99">
        <f t="shared" si="56"/>
        <v>7800</v>
      </c>
      <c r="AF39" s="99">
        <f t="shared" si="56"/>
        <v>10595</v>
      </c>
      <c r="AG39" s="99">
        <f t="shared" si="56"/>
        <v>1560</v>
      </c>
      <c r="AH39" s="99">
        <f t="shared" si="56"/>
        <v>0</v>
      </c>
      <c r="AI39" s="99">
        <f t="shared" si="56"/>
        <v>130</v>
      </c>
      <c r="AJ39" s="99">
        <f t="shared" si="56"/>
        <v>0</v>
      </c>
      <c r="AK39" s="99">
        <f t="shared" si="56"/>
        <v>0</v>
      </c>
      <c r="AL39" s="99">
        <f t="shared" si="56"/>
        <v>195</v>
      </c>
      <c r="AM39" s="99">
        <f t="shared" si="56"/>
        <v>65</v>
      </c>
      <c r="AN39" s="99">
        <f t="shared" si="56"/>
        <v>0</v>
      </c>
      <c r="AO39" s="99">
        <f t="shared" si="56"/>
        <v>0</v>
      </c>
      <c r="AP39" s="99">
        <f t="shared" si="56"/>
        <v>715</v>
      </c>
      <c r="AQ39" s="99">
        <f t="shared" si="56"/>
        <v>7800</v>
      </c>
      <c r="AR39" s="99">
        <f t="shared" si="56"/>
        <v>10595</v>
      </c>
      <c r="AS39" s="99">
        <f t="shared" si="56"/>
        <v>1560</v>
      </c>
      <c r="AT39" s="99">
        <f t="shared" si="56"/>
        <v>0</v>
      </c>
      <c r="AU39" s="99">
        <f t="shared" si="56"/>
        <v>130</v>
      </c>
      <c r="AV39" s="99">
        <f t="shared" si="56"/>
        <v>0</v>
      </c>
      <c r="AW39" s="99">
        <f t="shared" si="56"/>
        <v>0</v>
      </c>
      <c r="AX39" s="99">
        <f t="shared" si="56"/>
        <v>195</v>
      </c>
      <c r="AY39" s="99">
        <f t="shared" si="56"/>
        <v>65</v>
      </c>
      <c r="AZ39" s="99">
        <f t="shared" si="56"/>
        <v>0</v>
      </c>
      <c r="BA39" s="99">
        <f t="shared" si="56"/>
        <v>0</v>
      </c>
      <c r="BB39" s="99">
        <f t="shared" si="56"/>
        <v>715</v>
      </c>
      <c r="BC39" s="99">
        <f t="shared" si="56"/>
        <v>7800</v>
      </c>
      <c r="BD39" s="99">
        <f t="shared" si="56"/>
        <v>10595</v>
      </c>
      <c r="BE39" s="99">
        <f t="shared" si="56"/>
        <v>1560</v>
      </c>
      <c r="BF39" s="99">
        <f t="shared" si="56"/>
        <v>0</v>
      </c>
      <c r="BG39" s="99">
        <f t="shared" si="56"/>
        <v>130</v>
      </c>
      <c r="BH39" s="99">
        <f t="shared" si="56"/>
        <v>0</v>
      </c>
      <c r="BI39" s="99">
        <f t="shared" si="56"/>
        <v>0</v>
      </c>
      <c r="BJ39" s="99">
        <f t="shared" si="56"/>
        <v>195</v>
      </c>
      <c r="BK39" s="99">
        <f t="shared" si="56"/>
        <v>65</v>
      </c>
      <c r="BL39" s="99">
        <f t="shared" ref="BL39:BW39" si="57">$C$36*BL36+$C$37*BL37</f>
        <v>0</v>
      </c>
      <c r="BM39" s="99">
        <f t="shared" si="57"/>
        <v>0</v>
      </c>
      <c r="BN39" s="99">
        <f t="shared" si="57"/>
        <v>715</v>
      </c>
      <c r="BO39" s="99">
        <f t="shared" si="57"/>
        <v>7800</v>
      </c>
      <c r="BP39" s="99">
        <f t="shared" si="57"/>
        <v>10595</v>
      </c>
      <c r="BQ39" s="99">
        <f t="shared" si="57"/>
        <v>1560</v>
      </c>
      <c r="BR39" s="99">
        <f t="shared" si="57"/>
        <v>0</v>
      </c>
      <c r="BS39" s="99">
        <f t="shared" si="57"/>
        <v>130</v>
      </c>
      <c r="BT39" s="99">
        <f t="shared" si="57"/>
        <v>0</v>
      </c>
      <c r="BU39" s="99">
        <f t="shared" si="57"/>
        <v>0</v>
      </c>
      <c r="BV39" s="99">
        <f t="shared" si="57"/>
        <v>195</v>
      </c>
      <c r="BW39" s="99">
        <f t="shared" si="57"/>
        <v>65</v>
      </c>
      <c r="BX39" s="99">
        <f t="shared" ref="BX39:CI39" si="58">$C$36*BX36+$C$37*BX37</f>
        <v>0</v>
      </c>
      <c r="BY39" s="99">
        <f t="shared" si="58"/>
        <v>0</v>
      </c>
      <c r="BZ39" s="99">
        <f t="shared" si="58"/>
        <v>715</v>
      </c>
      <c r="CA39" s="99">
        <f t="shared" si="58"/>
        <v>7800</v>
      </c>
      <c r="CB39" s="99">
        <f t="shared" si="58"/>
        <v>10595</v>
      </c>
      <c r="CC39" s="99">
        <f t="shared" si="58"/>
        <v>1560</v>
      </c>
      <c r="CD39" s="99">
        <f t="shared" si="58"/>
        <v>0</v>
      </c>
      <c r="CE39" s="99">
        <f t="shared" si="58"/>
        <v>130</v>
      </c>
      <c r="CF39" s="99">
        <f t="shared" si="58"/>
        <v>0</v>
      </c>
      <c r="CG39" s="99">
        <f t="shared" si="58"/>
        <v>0</v>
      </c>
      <c r="CH39" s="99">
        <f t="shared" si="58"/>
        <v>195</v>
      </c>
      <c r="CI39" s="99">
        <f t="shared" si="58"/>
        <v>65</v>
      </c>
    </row>
    <row r="40" spans="1:87" x14ac:dyDescent="0.2">
      <c r="A40" s="2">
        <v>28</v>
      </c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87" x14ac:dyDescent="0.2">
      <c r="A41" s="2">
        <v>29</v>
      </c>
      <c r="B41" s="169" t="s">
        <v>224</v>
      </c>
      <c r="C41" s="17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</row>
    <row r="42" spans="1:87" x14ac:dyDescent="0.2">
      <c r="A42" s="2">
        <v>30</v>
      </c>
      <c r="B42" s="2" t="s">
        <v>284</v>
      </c>
      <c r="C42" s="12">
        <f>'Rate Design'!L18</f>
        <v>20</v>
      </c>
      <c r="D42" s="167">
        <v>0</v>
      </c>
      <c r="E42" s="167">
        <v>0</v>
      </c>
      <c r="F42" s="167">
        <v>0</v>
      </c>
      <c r="G42" s="167">
        <v>0</v>
      </c>
      <c r="H42" s="167">
        <v>0</v>
      </c>
      <c r="I42" s="167">
        <v>0</v>
      </c>
      <c r="J42" s="167">
        <v>0</v>
      </c>
      <c r="K42" s="167">
        <v>0</v>
      </c>
      <c r="L42" s="167">
        <v>0</v>
      </c>
      <c r="M42" s="167">
        <v>0</v>
      </c>
      <c r="N42" s="167">
        <v>0</v>
      </c>
      <c r="O42" s="167">
        <v>0</v>
      </c>
      <c r="P42" s="71">
        <f>D42</f>
        <v>0</v>
      </c>
      <c r="Q42" s="71">
        <f t="shared" ref="Q42:BK43" si="59">E42</f>
        <v>0</v>
      </c>
      <c r="R42" s="71">
        <f t="shared" si="59"/>
        <v>0</v>
      </c>
      <c r="S42" s="71">
        <f t="shared" si="59"/>
        <v>0</v>
      </c>
      <c r="T42" s="71">
        <f t="shared" si="59"/>
        <v>0</v>
      </c>
      <c r="U42" s="71">
        <f t="shared" si="59"/>
        <v>0</v>
      </c>
      <c r="V42" s="71">
        <f t="shared" si="59"/>
        <v>0</v>
      </c>
      <c r="W42" s="71">
        <f t="shared" si="59"/>
        <v>0</v>
      </c>
      <c r="X42" s="71">
        <f t="shared" si="59"/>
        <v>0</v>
      </c>
      <c r="Y42" s="71">
        <f t="shared" si="59"/>
        <v>0</v>
      </c>
      <c r="Z42" s="71">
        <f t="shared" si="59"/>
        <v>0</v>
      </c>
      <c r="AA42" s="71">
        <f t="shared" si="59"/>
        <v>0</v>
      </c>
      <c r="AB42" s="71">
        <f t="shared" si="59"/>
        <v>0</v>
      </c>
      <c r="AC42" s="71">
        <f t="shared" si="59"/>
        <v>0</v>
      </c>
      <c r="AD42" s="71">
        <f t="shared" si="59"/>
        <v>0</v>
      </c>
      <c r="AE42" s="71">
        <f t="shared" si="59"/>
        <v>0</v>
      </c>
      <c r="AF42" s="71">
        <f t="shared" si="59"/>
        <v>0</v>
      </c>
      <c r="AG42" s="71">
        <f t="shared" si="59"/>
        <v>0</v>
      </c>
      <c r="AH42" s="71">
        <f t="shared" si="59"/>
        <v>0</v>
      </c>
      <c r="AI42" s="71">
        <f t="shared" si="59"/>
        <v>0</v>
      </c>
      <c r="AJ42" s="71">
        <f t="shared" si="59"/>
        <v>0</v>
      </c>
      <c r="AK42" s="71">
        <f t="shared" si="59"/>
        <v>0</v>
      </c>
      <c r="AL42" s="71">
        <f t="shared" si="59"/>
        <v>0</v>
      </c>
      <c r="AM42" s="71">
        <f t="shared" si="59"/>
        <v>0</v>
      </c>
      <c r="AN42" s="71">
        <f t="shared" si="59"/>
        <v>0</v>
      </c>
      <c r="AO42" s="71">
        <f t="shared" si="59"/>
        <v>0</v>
      </c>
      <c r="AP42" s="71">
        <f t="shared" si="59"/>
        <v>0</v>
      </c>
      <c r="AQ42" s="71">
        <f t="shared" si="59"/>
        <v>0</v>
      </c>
      <c r="AR42" s="71">
        <f t="shared" si="59"/>
        <v>0</v>
      </c>
      <c r="AS42" s="71">
        <f t="shared" si="59"/>
        <v>0</v>
      </c>
      <c r="AT42" s="71">
        <f t="shared" si="59"/>
        <v>0</v>
      </c>
      <c r="AU42" s="71">
        <f t="shared" si="59"/>
        <v>0</v>
      </c>
      <c r="AV42" s="71">
        <f t="shared" si="59"/>
        <v>0</v>
      </c>
      <c r="AW42" s="71">
        <f t="shared" si="59"/>
        <v>0</v>
      </c>
      <c r="AX42" s="71">
        <f t="shared" si="59"/>
        <v>0</v>
      </c>
      <c r="AY42" s="71">
        <f t="shared" si="59"/>
        <v>0</v>
      </c>
      <c r="AZ42" s="71">
        <f t="shared" si="59"/>
        <v>0</v>
      </c>
      <c r="BA42" s="71">
        <f t="shared" si="59"/>
        <v>0</v>
      </c>
      <c r="BB42" s="71">
        <f t="shared" si="59"/>
        <v>0</v>
      </c>
      <c r="BC42" s="71">
        <f t="shared" si="59"/>
        <v>0</v>
      </c>
      <c r="BD42" s="71">
        <f t="shared" si="59"/>
        <v>0</v>
      </c>
      <c r="BE42" s="71">
        <f t="shared" si="59"/>
        <v>0</v>
      </c>
      <c r="BF42" s="71">
        <f t="shared" si="59"/>
        <v>0</v>
      </c>
      <c r="BG42" s="71">
        <f t="shared" si="59"/>
        <v>0</v>
      </c>
      <c r="BH42" s="71">
        <f t="shared" si="59"/>
        <v>0</v>
      </c>
      <c r="BI42" s="71">
        <f t="shared" si="59"/>
        <v>0</v>
      </c>
      <c r="BJ42" s="71">
        <f t="shared" si="59"/>
        <v>0</v>
      </c>
      <c r="BK42" s="71">
        <f t="shared" si="59"/>
        <v>0</v>
      </c>
      <c r="BL42" s="71">
        <f t="shared" ref="BL42:BW43" si="60">AZ42</f>
        <v>0</v>
      </c>
      <c r="BM42" s="71">
        <f t="shared" si="60"/>
        <v>0</v>
      </c>
      <c r="BN42" s="71">
        <f t="shared" si="60"/>
        <v>0</v>
      </c>
      <c r="BO42" s="71">
        <f t="shared" si="60"/>
        <v>0</v>
      </c>
      <c r="BP42" s="71">
        <f t="shared" si="60"/>
        <v>0</v>
      </c>
      <c r="BQ42" s="71">
        <f t="shared" si="60"/>
        <v>0</v>
      </c>
      <c r="BR42" s="71">
        <f t="shared" si="60"/>
        <v>0</v>
      </c>
      <c r="BS42" s="71">
        <f t="shared" si="60"/>
        <v>0</v>
      </c>
      <c r="BT42" s="71">
        <f t="shared" si="60"/>
        <v>0</v>
      </c>
      <c r="BU42" s="71">
        <f t="shared" si="60"/>
        <v>0</v>
      </c>
      <c r="BV42" s="71">
        <f t="shared" si="60"/>
        <v>0</v>
      </c>
      <c r="BW42" s="71">
        <f t="shared" si="60"/>
        <v>0</v>
      </c>
      <c r="BX42" s="71">
        <f t="shared" ref="BX42:CI43" si="61">BL42</f>
        <v>0</v>
      </c>
      <c r="BY42" s="71">
        <f t="shared" si="61"/>
        <v>0</v>
      </c>
      <c r="BZ42" s="71">
        <f t="shared" si="61"/>
        <v>0</v>
      </c>
      <c r="CA42" s="71">
        <f t="shared" si="61"/>
        <v>0</v>
      </c>
      <c r="CB42" s="71">
        <f t="shared" si="61"/>
        <v>0</v>
      </c>
      <c r="CC42" s="71">
        <f t="shared" si="61"/>
        <v>0</v>
      </c>
      <c r="CD42" s="71">
        <f t="shared" si="61"/>
        <v>0</v>
      </c>
      <c r="CE42" s="71">
        <f t="shared" si="61"/>
        <v>0</v>
      </c>
      <c r="CF42" s="71">
        <f t="shared" si="61"/>
        <v>0</v>
      </c>
      <c r="CG42" s="71">
        <f t="shared" si="61"/>
        <v>0</v>
      </c>
      <c r="CH42" s="71">
        <f t="shared" si="61"/>
        <v>0</v>
      </c>
      <c r="CI42" s="71">
        <f t="shared" si="61"/>
        <v>0</v>
      </c>
    </row>
    <row r="43" spans="1:87" x14ac:dyDescent="0.2">
      <c r="A43" s="2">
        <v>31</v>
      </c>
      <c r="B43" s="2" t="s">
        <v>285</v>
      </c>
      <c r="C43" s="193" t="s">
        <v>291</v>
      </c>
      <c r="D43" s="167">
        <v>0</v>
      </c>
      <c r="E43" s="167">
        <v>0</v>
      </c>
      <c r="F43" s="167">
        <v>0</v>
      </c>
      <c r="G43" s="167">
        <v>0</v>
      </c>
      <c r="H43" s="167">
        <v>0</v>
      </c>
      <c r="I43" s="167">
        <v>0</v>
      </c>
      <c r="J43" s="167">
        <v>0</v>
      </c>
      <c r="K43" s="167">
        <v>0</v>
      </c>
      <c r="L43" s="167">
        <v>0</v>
      </c>
      <c r="M43" s="167">
        <v>0</v>
      </c>
      <c r="N43" s="167">
        <v>0</v>
      </c>
      <c r="O43" s="167">
        <v>0</v>
      </c>
      <c r="P43" s="71">
        <f>D43</f>
        <v>0</v>
      </c>
      <c r="Q43" s="71">
        <f t="shared" si="59"/>
        <v>0</v>
      </c>
      <c r="R43" s="71">
        <f t="shared" si="59"/>
        <v>0</v>
      </c>
      <c r="S43" s="71">
        <f t="shared" si="59"/>
        <v>0</v>
      </c>
      <c r="T43" s="71">
        <f t="shared" si="59"/>
        <v>0</v>
      </c>
      <c r="U43" s="71">
        <f t="shared" si="59"/>
        <v>0</v>
      </c>
      <c r="V43" s="71">
        <f t="shared" si="59"/>
        <v>0</v>
      </c>
      <c r="W43" s="71">
        <f t="shared" si="59"/>
        <v>0</v>
      </c>
      <c r="X43" s="71">
        <f t="shared" si="59"/>
        <v>0</v>
      </c>
      <c r="Y43" s="71">
        <f t="shared" si="59"/>
        <v>0</v>
      </c>
      <c r="Z43" s="71">
        <f t="shared" si="59"/>
        <v>0</v>
      </c>
      <c r="AA43" s="71">
        <f t="shared" si="59"/>
        <v>0</v>
      </c>
      <c r="AB43" s="71">
        <f t="shared" si="59"/>
        <v>0</v>
      </c>
      <c r="AC43" s="71">
        <f t="shared" si="59"/>
        <v>0</v>
      </c>
      <c r="AD43" s="71">
        <f t="shared" si="59"/>
        <v>0</v>
      </c>
      <c r="AE43" s="71">
        <f t="shared" si="59"/>
        <v>0</v>
      </c>
      <c r="AF43" s="71">
        <f t="shared" si="59"/>
        <v>0</v>
      </c>
      <c r="AG43" s="71">
        <f t="shared" si="59"/>
        <v>0</v>
      </c>
      <c r="AH43" s="71">
        <f t="shared" si="59"/>
        <v>0</v>
      </c>
      <c r="AI43" s="71">
        <f t="shared" si="59"/>
        <v>0</v>
      </c>
      <c r="AJ43" s="71">
        <f t="shared" si="59"/>
        <v>0</v>
      </c>
      <c r="AK43" s="71">
        <f t="shared" si="59"/>
        <v>0</v>
      </c>
      <c r="AL43" s="71">
        <f t="shared" si="59"/>
        <v>0</v>
      </c>
      <c r="AM43" s="71">
        <f t="shared" si="59"/>
        <v>0</v>
      </c>
      <c r="AN43" s="71">
        <f t="shared" si="59"/>
        <v>0</v>
      </c>
      <c r="AO43" s="71">
        <f t="shared" si="59"/>
        <v>0</v>
      </c>
      <c r="AP43" s="71">
        <f t="shared" si="59"/>
        <v>0</v>
      </c>
      <c r="AQ43" s="71">
        <f t="shared" si="59"/>
        <v>0</v>
      </c>
      <c r="AR43" s="71">
        <f t="shared" si="59"/>
        <v>0</v>
      </c>
      <c r="AS43" s="71">
        <f t="shared" si="59"/>
        <v>0</v>
      </c>
      <c r="AT43" s="71">
        <f t="shared" si="59"/>
        <v>0</v>
      </c>
      <c r="AU43" s="71">
        <f t="shared" si="59"/>
        <v>0</v>
      </c>
      <c r="AV43" s="71">
        <f t="shared" si="59"/>
        <v>0</v>
      </c>
      <c r="AW43" s="71">
        <f t="shared" si="59"/>
        <v>0</v>
      </c>
      <c r="AX43" s="71">
        <f t="shared" si="59"/>
        <v>0</v>
      </c>
      <c r="AY43" s="71">
        <f t="shared" si="59"/>
        <v>0</v>
      </c>
      <c r="AZ43" s="71">
        <f t="shared" si="59"/>
        <v>0</v>
      </c>
      <c r="BA43" s="71">
        <f t="shared" si="59"/>
        <v>0</v>
      </c>
      <c r="BB43" s="71">
        <f t="shared" si="59"/>
        <v>0</v>
      </c>
      <c r="BC43" s="71">
        <f t="shared" si="59"/>
        <v>0</v>
      </c>
      <c r="BD43" s="71">
        <f t="shared" si="59"/>
        <v>0</v>
      </c>
      <c r="BE43" s="71">
        <f t="shared" si="59"/>
        <v>0</v>
      </c>
      <c r="BF43" s="71">
        <f t="shared" si="59"/>
        <v>0</v>
      </c>
      <c r="BG43" s="71">
        <f t="shared" si="59"/>
        <v>0</v>
      </c>
      <c r="BH43" s="71">
        <f t="shared" si="59"/>
        <v>0</v>
      </c>
      <c r="BI43" s="71">
        <f t="shared" si="59"/>
        <v>0</v>
      </c>
      <c r="BJ43" s="71">
        <f t="shared" si="59"/>
        <v>0</v>
      </c>
      <c r="BK43" s="71">
        <f t="shared" si="59"/>
        <v>0</v>
      </c>
      <c r="BL43" s="71">
        <f t="shared" si="60"/>
        <v>0</v>
      </c>
      <c r="BM43" s="71">
        <f t="shared" si="60"/>
        <v>0</v>
      </c>
      <c r="BN43" s="71">
        <f t="shared" si="60"/>
        <v>0</v>
      </c>
      <c r="BO43" s="71">
        <f t="shared" si="60"/>
        <v>0</v>
      </c>
      <c r="BP43" s="71">
        <f t="shared" si="60"/>
        <v>0</v>
      </c>
      <c r="BQ43" s="71">
        <f t="shared" si="60"/>
        <v>0</v>
      </c>
      <c r="BR43" s="71">
        <f t="shared" si="60"/>
        <v>0</v>
      </c>
      <c r="BS43" s="71">
        <f t="shared" si="60"/>
        <v>0</v>
      </c>
      <c r="BT43" s="71">
        <f t="shared" si="60"/>
        <v>0</v>
      </c>
      <c r="BU43" s="71">
        <f t="shared" si="60"/>
        <v>0</v>
      </c>
      <c r="BV43" s="71">
        <f t="shared" si="60"/>
        <v>0</v>
      </c>
      <c r="BW43" s="71">
        <f t="shared" si="60"/>
        <v>0</v>
      </c>
      <c r="BX43" s="71">
        <f t="shared" si="61"/>
        <v>0</v>
      </c>
      <c r="BY43" s="71">
        <f t="shared" si="61"/>
        <v>0</v>
      </c>
      <c r="BZ43" s="71">
        <f t="shared" si="61"/>
        <v>0</v>
      </c>
      <c r="CA43" s="71">
        <f t="shared" si="61"/>
        <v>0</v>
      </c>
      <c r="CB43" s="71">
        <f t="shared" si="61"/>
        <v>0</v>
      </c>
      <c r="CC43" s="71">
        <f t="shared" si="61"/>
        <v>0</v>
      </c>
      <c r="CD43" s="71">
        <f t="shared" si="61"/>
        <v>0</v>
      </c>
      <c r="CE43" s="71">
        <f t="shared" si="61"/>
        <v>0</v>
      </c>
      <c r="CF43" s="71">
        <f t="shared" si="61"/>
        <v>0</v>
      </c>
      <c r="CG43" s="71">
        <f t="shared" si="61"/>
        <v>0</v>
      </c>
      <c r="CH43" s="71">
        <f t="shared" si="61"/>
        <v>0</v>
      </c>
      <c r="CI43" s="71">
        <f t="shared" si="61"/>
        <v>0</v>
      </c>
    </row>
    <row r="44" spans="1:87" x14ac:dyDescent="0.2">
      <c r="A44" s="2">
        <v>32</v>
      </c>
      <c r="B44" s="33" t="s">
        <v>289</v>
      </c>
      <c r="C44" s="33"/>
      <c r="D44" s="32">
        <f t="shared" ref="D44:P44" si="62">D42+D43</f>
        <v>0</v>
      </c>
      <c r="E44" s="32">
        <f t="shared" si="62"/>
        <v>0</v>
      </c>
      <c r="F44" s="32">
        <f t="shared" si="62"/>
        <v>0</v>
      </c>
      <c r="G44" s="32">
        <f t="shared" si="62"/>
        <v>0</v>
      </c>
      <c r="H44" s="32">
        <f t="shared" si="62"/>
        <v>0</v>
      </c>
      <c r="I44" s="32">
        <f t="shared" si="62"/>
        <v>0</v>
      </c>
      <c r="J44" s="32">
        <f t="shared" si="62"/>
        <v>0</v>
      </c>
      <c r="K44" s="32">
        <f t="shared" si="62"/>
        <v>0</v>
      </c>
      <c r="L44" s="32">
        <f t="shared" si="62"/>
        <v>0</v>
      </c>
      <c r="M44" s="32">
        <f t="shared" si="62"/>
        <v>0</v>
      </c>
      <c r="N44" s="32">
        <f t="shared" si="62"/>
        <v>0</v>
      </c>
      <c r="O44" s="32">
        <f t="shared" si="62"/>
        <v>0</v>
      </c>
      <c r="P44" s="32">
        <f t="shared" si="62"/>
        <v>0</v>
      </c>
      <c r="Q44" s="32">
        <f t="shared" ref="Q44:BK44" si="63">Q42+Q43</f>
        <v>0</v>
      </c>
      <c r="R44" s="32">
        <f t="shared" si="63"/>
        <v>0</v>
      </c>
      <c r="S44" s="32">
        <f t="shared" si="63"/>
        <v>0</v>
      </c>
      <c r="T44" s="32">
        <f t="shared" si="63"/>
        <v>0</v>
      </c>
      <c r="U44" s="32">
        <f t="shared" si="63"/>
        <v>0</v>
      </c>
      <c r="V44" s="32">
        <f t="shared" si="63"/>
        <v>0</v>
      </c>
      <c r="W44" s="32">
        <f t="shared" si="63"/>
        <v>0</v>
      </c>
      <c r="X44" s="32">
        <f t="shared" si="63"/>
        <v>0</v>
      </c>
      <c r="Y44" s="32">
        <f t="shared" si="63"/>
        <v>0</v>
      </c>
      <c r="Z44" s="32">
        <f t="shared" si="63"/>
        <v>0</v>
      </c>
      <c r="AA44" s="32">
        <f t="shared" si="63"/>
        <v>0</v>
      </c>
      <c r="AB44" s="32">
        <f t="shared" si="63"/>
        <v>0</v>
      </c>
      <c r="AC44" s="32">
        <f t="shared" si="63"/>
        <v>0</v>
      </c>
      <c r="AD44" s="32">
        <f t="shared" si="63"/>
        <v>0</v>
      </c>
      <c r="AE44" s="32">
        <f t="shared" si="63"/>
        <v>0</v>
      </c>
      <c r="AF44" s="32">
        <f t="shared" si="63"/>
        <v>0</v>
      </c>
      <c r="AG44" s="32">
        <f t="shared" si="63"/>
        <v>0</v>
      </c>
      <c r="AH44" s="32">
        <f t="shared" si="63"/>
        <v>0</v>
      </c>
      <c r="AI44" s="32">
        <f t="shared" si="63"/>
        <v>0</v>
      </c>
      <c r="AJ44" s="32">
        <f t="shared" si="63"/>
        <v>0</v>
      </c>
      <c r="AK44" s="32">
        <f t="shared" si="63"/>
        <v>0</v>
      </c>
      <c r="AL44" s="32">
        <f t="shared" si="63"/>
        <v>0</v>
      </c>
      <c r="AM44" s="32">
        <f t="shared" si="63"/>
        <v>0</v>
      </c>
      <c r="AN44" s="32">
        <f t="shared" si="63"/>
        <v>0</v>
      </c>
      <c r="AO44" s="32">
        <f t="shared" si="63"/>
        <v>0</v>
      </c>
      <c r="AP44" s="32">
        <f t="shared" si="63"/>
        <v>0</v>
      </c>
      <c r="AQ44" s="32">
        <f t="shared" si="63"/>
        <v>0</v>
      </c>
      <c r="AR44" s="32">
        <f t="shared" si="63"/>
        <v>0</v>
      </c>
      <c r="AS44" s="32">
        <f t="shared" si="63"/>
        <v>0</v>
      </c>
      <c r="AT44" s="32">
        <f t="shared" si="63"/>
        <v>0</v>
      </c>
      <c r="AU44" s="32">
        <f t="shared" si="63"/>
        <v>0</v>
      </c>
      <c r="AV44" s="32">
        <f t="shared" si="63"/>
        <v>0</v>
      </c>
      <c r="AW44" s="32">
        <f t="shared" si="63"/>
        <v>0</v>
      </c>
      <c r="AX44" s="32">
        <f t="shared" si="63"/>
        <v>0</v>
      </c>
      <c r="AY44" s="32">
        <f t="shared" si="63"/>
        <v>0</v>
      </c>
      <c r="AZ44" s="32">
        <f t="shared" si="63"/>
        <v>0</v>
      </c>
      <c r="BA44" s="32">
        <f t="shared" si="63"/>
        <v>0</v>
      </c>
      <c r="BB44" s="32">
        <f t="shared" si="63"/>
        <v>0</v>
      </c>
      <c r="BC44" s="32">
        <f t="shared" si="63"/>
        <v>0</v>
      </c>
      <c r="BD44" s="32">
        <f t="shared" si="63"/>
        <v>0</v>
      </c>
      <c r="BE44" s="32">
        <f t="shared" si="63"/>
        <v>0</v>
      </c>
      <c r="BF44" s="32">
        <f t="shared" si="63"/>
        <v>0</v>
      </c>
      <c r="BG44" s="32">
        <f t="shared" si="63"/>
        <v>0</v>
      </c>
      <c r="BH44" s="32">
        <f t="shared" si="63"/>
        <v>0</v>
      </c>
      <c r="BI44" s="32">
        <f t="shared" si="63"/>
        <v>0</v>
      </c>
      <c r="BJ44" s="32">
        <f t="shared" si="63"/>
        <v>0</v>
      </c>
      <c r="BK44" s="32">
        <f t="shared" si="63"/>
        <v>0</v>
      </c>
      <c r="BL44" s="32">
        <f t="shared" ref="BL44:BW44" si="64">BL42+BL43</f>
        <v>0</v>
      </c>
      <c r="BM44" s="32">
        <f t="shared" si="64"/>
        <v>0</v>
      </c>
      <c r="BN44" s="32">
        <f t="shared" si="64"/>
        <v>0</v>
      </c>
      <c r="BO44" s="32">
        <f t="shared" si="64"/>
        <v>0</v>
      </c>
      <c r="BP44" s="32">
        <f t="shared" si="64"/>
        <v>0</v>
      </c>
      <c r="BQ44" s="32">
        <f t="shared" si="64"/>
        <v>0</v>
      </c>
      <c r="BR44" s="32">
        <f t="shared" si="64"/>
        <v>0</v>
      </c>
      <c r="BS44" s="32">
        <f t="shared" si="64"/>
        <v>0</v>
      </c>
      <c r="BT44" s="32">
        <f t="shared" si="64"/>
        <v>0</v>
      </c>
      <c r="BU44" s="32">
        <f t="shared" si="64"/>
        <v>0</v>
      </c>
      <c r="BV44" s="32">
        <f t="shared" si="64"/>
        <v>0</v>
      </c>
      <c r="BW44" s="32">
        <f t="shared" si="64"/>
        <v>0</v>
      </c>
      <c r="BX44" s="32">
        <f t="shared" ref="BX44:CI44" si="65">BX42+BX43</f>
        <v>0</v>
      </c>
      <c r="BY44" s="32">
        <f t="shared" si="65"/>
        <v>0</v>
      </c>
      <c r="BZ44" s="32">
        <f t="shared" si="65"/>
        <v>0</v>
      </c>
      <c r="CA44" s="32">
        <f t="shared" si="65"/>
        <v>0</v>
      </c>
      <c r="CB44" s="32">
        <f t="shared" si="65"/>
        <v>0</v>
      </c>
      <c r="CC44" s="32">
        <f t="shared" si="65"/>
        <v>0</v>
      </c>
      <c r="CD44" s="32">
        <f t="shared" si="65"/>
        <v>0</v>
      </c>
      <c r="CE44" s="32">
        <f t="shared" si="65"/>
        <v>0</v>
      </c>
      <c r="CF44" s="32">
        <f t="shared" si="65"/>
        <v>0</v>
      </c>
      <c r="CG44" s="32">
        <f t="shared" si="65"/>
        <v>0</v>
      </c>
      <c r="CH44" s="32">
        <f t="shared" si="65"/>
        <v>0</v>
      </c>
      <c r="CI44" s="32">
        <f t="shared" si="65"/>
        <v>0</v>
      </c>
    </row>
    <row r="45" spans="1:87" x14ac:dyDescent="0.2">
      <c r="A45" s="2">
        <v>33</v>
      </c>
      <c r="B45" s="33" t="s">
        <v>290</v>
      </c>
      <c r="C45" s="33"/>
      <c r="D45" s="99">
        <f>$C$42*D42+$C$43*D43</f>
        <v>0</v>
      </c>
      <c r="E45" s="99">
        <f t="shared" ref="E45:O45" si="66">$C$36*E42+$C$37*E43</f>
        <v>0</v>
      </c>
      <c r="F45" s="99">
        <f t="shared" si="66"/>
        <v>0</v>
      </c>
      <c r="G45" s="99">
        <f t="shared" si="66"/>
        <v>0</v>
      </c>
      <c r="H45" s="99">
        <f t="shared" si="66"/>
        <v>0</v>
      </c>
      <c r="I45" s="99">
        <f t="shared" si="66"/>
        <v>0</v>
      </c>
      <c r="J45" s="99">
        <f t="shared" si="66"/>
        <v>0</v>
      </c>
      <c r="K45" s="99">
        <f t="shared" si="66"/>
        <v>0</v>
      </c>
      <c r="L45" s="99">
        <f t="shared" si="66"/>
        <v>0</v>
      </c>
      <c r="M45" s="99">
        <f t="shared" si="66"/>
        <v>0</v>
      </c>
      <c r="N45" s="99">
        <f t="shared" si="66"/>
        <v>0</v>
      </c>
      <c r="O45" s="99">
        <f t="shared" si="66"/>
        <v>0</v>
      </c>
      <c r="P45" s="99">
        <f t="shared" ref="P45:BK45" si="67">$C$36*P42+$C$37*P43</f>
        <v>0</v>
      </c>
      <c r="Q45" s="99">
        <f t="shared" si="67"/>
        <v>0</v>
      </c>
      <c r="R45" s="99">
        <f t="shared" si="67"/>
        <v>0</v>
      </c>
      <c r="S45" s="99">
        <f t="shared" si="67"/>
        <v>0</v>
      </c>
      <c r="T45" s="99">
        <f t="shared" si="67"/>
        <v>0</v>
      </c>
      <c r="U45" s="99">
        <f t="shared" si="67"/>
        <v>0</v>
      </c>
      <c r="V45" s="99">
        <f t="shared" si="67"/>
        <v>0</v>
      </c>
      <c r="W45" s="99">
        <f t="shared" si="67"/>
        <v>0</v>
      </c>
      <c r="X45" s="99">
        <f t="shared" si="67"/>
        <v>0</v>
      </c>
      <c r="Y45" s="99">
        <f t="shared" si="67"/>
        <v>0</v>
      </c>
      <c r="Z45" s="99">
        <f t="shared" si="67"/>
        <v>0</v>
      </c>
      <c r="AA45" s="99">
        <f t="shared" si="67"/>
        <v>0</v>
      </c>
      <c r="AB45" s="99">
        <f t="shared" si="67"/>
        <v>0</v>
      </c>
      <c r="AC45" s="99">
        <f t="shared" si="67"/>
        <v>0</v>
      </c>
      <c r="AD45" s="99">
        <f t="shared" si="67"/>
        <v>0</v>
      </c>
      <c r="AE45" s="99">
        <f t="shared" si="67"/>
        <v>0</v>
      </c>
      <c r="AF45" s="99">
        <f t="shared" si="67"/>
        <v>0</v>
      </c>
      <c r="AG45" s="99">
        <f t="shared" si="67"/>
        <v>0</v>
      </c>
      <c r="AH45" s="99">
        <f t="shared" si="67"/>
        <v>0</v>
      </c>
      <c r="AI45" s="99">
        <f t="shared" si="67"/>
        <v>0</v>
      </c>
      <c r="AJ45" s="99">
        <f t="shared" si="67"/>
        <v>0</v>
      </c>
      <c r="AK45" s="99">
        <f t="shared" si="67"/>
        <v>0</v>
      </c>
      <c r="AL45" s="99">
        <f t="shared" si="67"/>
        <v>0</v>
      </c>
      <c r="AM45" s="99">
        <f t="shared" si="67"/>
        <v>0</v>
      </c>
      <c r="AN45" s="99">
        <f t="shared" si="67"/>
        <v>0</v>
      </c>
      <c r="AO45" s="99">
        <f t="shared" si="67"/>
        <v>0</v>
      </c>
      <c r="AP45" s="99">
        <f t="shared" si="67"/>
        <v>0</v>
      </c>
      <c r="AQ45" s="99">
        <f t="shared" si="67"/>
        <v>0</v>
      </c>
      <c r="AR45" s="99">
        <f t="shared" si="67"/>
        <v>0</v>
      </c>
      <c r="AS45" s="99">
        <f t="shared" si="67"/>
        <v>0</v>
      </c>
      <c r="AT45" s="99">
        <f t="shared" si="67"/>
        <v>0</v>
      </c>
      <c r="AU45" s="99">
        <f t="shared" si="67"/>
        <v>0</v>
      </c>
      <c r="AV45" s="99">
        <f t="shared" si="67"/>
        <v>0</v>
      </c>
      <c r="AW45" s="99">
        <f t="shared" si="67"/>
        <v>0</v>
      </c>
      <c r="AX45" s="99">
        <f t="shared" si="67"/>
        <v>0</v>
      </c>
      <c r="AY45" s="99">
        <f t="shared" si="67"/>
        <v>0</v>
      </c>
      <c r="AZ45" s="99">
        <f t="shared" si="67"/>
        <v>0</v>
      </c>
      <c r="BA45" s="99">
        <f t="shared" si="67"/>
        <v>0</v>
      </c>
      <c r="BB45" s="99">
        <f t="shared" si="67"/>
        <v>0</v>
      </c>
      <c r="BC45" s="99">
        <f t="shared" si="67"/>
        <v>0</v>
      </c>
      <c r="BD45" s="99">
        <f t="shared" si="67"/>
        <v>0</v>
      </c>
      <c r="BE45" s="99">
        <f t="shared" si="67"/>
        <v>0</v>
      </c>
      <c r="BF45" s="99">
        <f t="shared" si="67"/>
        <v>0</v>
      </c>
      <c r="BG45" s="99">
        <f t="shared" si="67"/>
        <v>0</v>
      </c>
      <c r="BH45" s="99">
        <f t="shared" si="67"/>
        <v>0</v>
      </c>
      <c r="BI45" s="99">
        <f t="shared" si="67"/>
        <v>0</v>
      </c>
      <c r="BJ45" s="99">
        <f t="shared" si="67"/>
        <v>0</v>
      </c>
      <c r="BK45" s="99">
        <f t="shared" si="67"/>
        <v>0</v>
      </c>
      <c r="BL45" s="99">
        <f t="shared" ref="BL45:BW45" si="68">$C$36*BL42+$C$37*BL43</f>
        <v>0</v>
      </c>
      <c r="BM45" s="99">
        <f t="shared" si="68"/>
        <v>0</v>
      </c>
      <c r="BN45" s="99">
        <f t="shared" si="68"/>
        <v>0</v>
      </c>
      <c r="BO45" s="99">
        <f t="shared" si="68"/>
        <v>0</v>
      </c>
      <c r="BP45" s="99">
        <f t="shared" si="68"/>
        <v>0</v>
      </c>
      <c r="BQ45" s="99">
        <f t="shared" si="68"/>
        <v>0</v>
      </c>
      <c r="BR45" s="99">
        <f t="shared" si="68"/>
        <v>0</v>
      </c>
      <c r="BS45" s="99">
        <f t="shared" si="68"/>
        <v>0</v>
      </c>
      <c r="BT45" s="99">
        <f t="shared" si="68"/>
        <v>0</v>
      </c>
      <c r="BU45" s="99">
        <f t="shared" si="68"/>
        <v>0</v>
      </c>
      <c r="BV45" s="99">
        <f t="shared" si="68"/>
        <v>0</v>
      </c>
      <c r="BW45" s="99">
        <f t="shared" si="68"/>
        <v>0</v>
      </c>
      <c r="BX45" s="99">
        <f t="shared" ref="BX45:CI45" si="69">$C$36*BX42+$C$37*BX43</f>
        <v>0</v>
      </c>
      <c r="BY45" s="99">
        <f t="shared" si="69"/>
        <v>0</v>
      </c>
      <c r="BZ45" s="99">
        <f t="shared" si="69"/>
        <v>0</v>
      </c>
      <c r="CA45" s="99">
        <f t="shared" si="69"/>
        <v>0</v>
      </c>
      <c r="CB45" s="99">
        <f t="shared" si="69"/>
        <v>0</v>
      </c>
      <c r="CC45" s="99">
        <f t="shared" si="69"/>
        <v>0</v>
      </c>
      <c r="CD45" s="99">
        <f t="shared" si="69"/>
        <v>0</v>
      </c>
      <c r="CE45" s="99">
        <f t="shared" si="69"/>
        <v>0</v>
      </c>
      <c r="CF45" s="99">
        <f t="shared" si="69"/>
        <v>0</v>
      </c>
      <c r="CG45" s="99">
        <f t="shared" si="69"/>
        <v>0</v>
      </c>
      <c r="CH45" s="99">
        <f t="shared" si="69"/>
        <v>0</v>
      </c>
      <c r="CI45" s="99">
        <f t="shared" si="69"/>
        <v>0</v>
      </c>
    </row>
    <row r="46" spans="1:87" x14ac:dyDescent="0.2">
      <c r="A46" s="2">
        <v>34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87" x14ac:dyDescent="0.2">
      <c r="A47" s="2">
        <v>35</v>
      </c>
      <c r="C47" s="15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</row>
    <row r="48" spans="1:87" x14ac:dyDescent="0.2">
      <c r="A48" s="2">
        <v>36</v>
      </c>
      <c r="B48" s="169" t="s">
        <v>287</v>
      </c>
      <c r="C48" s="17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</row>
    <row r="49" spans="1:97" x14ac:dyDescent="0.2">
      <c r="A49" s="2">
        <v>37</v>
      </c>
      <c r="B49" s="2" t="s">
        <v>284</v>
      </c>
      <c r="C49" s="12">
        <f>'Rate Design'!L19</f>
        <v>25</v>
      </c>
      <c r="D49" s="167">
        <v>177</v>
      </c>
      <c r="E49" s="167">
        <v>200</v>
      </c>
      <c r="F49" s="167">
        <v>193</v>
      </c>
      <c r="G49" s="167">
        <v>180</v>
      </c>
      <c r="H49" s="167">
        <v>192</v>
      </c>
      <c r="I49" s="167">
        <v>239</v>
      </c>
      <c r="J49" s="167">
        <v>276</v>
      </c>
      <c r="K49" s="167">
        <v>252</v>
      </c>
      <c r="L49" s="167">
        <v>353</v>
      </c>
      <c r="M49" s="167">
        <v>232</v>
      </c>
      <c r="N49" s="167">
        <v>266</v>
      </c>
      <c r="O49" s="167">
        <v>249</v>
      </c>
      <c r="P49" s="71">
        <f>D49</f>
        <v>177</v>
      </c>
      <c r="Q49" s="71">
        <f t="shared" ref="Q49:BK50" si="70">E49</f>
        <v>200</v>
      </c>
      <c r="R49" s="71">
        <f t="shared" si="70"/>
        <v>193</v>
      </c>
      <c r="S49" s="71">
        <f t="shared" si="70"/>
        <v>180</v>
      </c>
      <c r="T49" s="71">
        <f t="shared" si="70"/>
        <v>192</v>
      </c>
      <c r="U49" s="71">
        <f t="shared" si="70"/>
        <v>239</v>
      </c>
      <c r="V49" s="71">
        <f t="shared" si="70"/>
        <v>276</v>
      </c>
      <c r="W49" s="71">
        <f t="shared" si="70"/>
        <v>252</v>
      </c>
      <c r="X49" s="71">
        <f t="shared" si="70"/>
        <v>353</v>
      </c>
      <c r="Y49" s="71">
        <f t="shared" si="70"/>
        <v>232</v>
      </c>
      <c r="Z49" s="71">
        <f t="shared" si="70"/>
        <v>266</v>
      </c>
      <c r="AA49" s="71">
        <f t="shared" si="70"/>
        <v>249</v>
      </c>
      <c r="AB49" s="71">
        <f t="shared" si="70"/>
        <v>177</v>
      </c>
      <c r="AC49" s="71">
        <f t="shared" si="70"/>
        <v>200</v>
      </c>
      <c r="AD49" s="71">
        <f t="shared" si="70"/>
        <v>193</v>
      </c>
      <c r="AE49" s="71">
        <f t="shared" si="70"/>
        <v>180</v>
      </c>
      <c r="AF49" s="71">
        <f t="shared" si="70"/>
        <v>192</v>
      </c>
      <c r="AG49" s="71">
        <f t="shared" si="70"/>
        <v>239</v>
      </c>
      <c r="AH49" s="71">
        <f t="shared" si="70"/>
        <v>276</v>
      </c>
      <c r="AI49" s="71">
        <f t="shared" si="70"/>
        <v>252</v>
      </c>
      <c r="AJ49" s="71">
        <f t="shared" si="70"/>
        <v>353</v>
      </c>
      <c r="AK49" s="71">
        <f t="shared" si="70"/>
        <v>232</v>
      </c>
      <c r="AL49" s="71">
        <f t="shared" si="70"/>
        <v>266</v>
      </c>
      <c r="AM49" s="71">
        <f t="shared" si="70"/>
        <v>249</v>
      </c>
      <c r="AN49" s="71">
        <f t="shared" si="70"/>
        <v>177</v>
      </c>
      <c r="AO49" s="71">
        <f t="shared" si="70"/>
        <v>200</v>
      </c>
      <c r="AP49" s="71">
        <f t="shared" si="70"/>
        <v>193</v>
      </c>
      <c r="AQ49" s="71">
        <f t="shared" si="70"/>
        <v>180</v>
      </c>
      <c r="AR49" s="71">
        <f t="shared" si="70"/>
        <v>192</v>
      </c>
      <c r="AS49" s="71">
        <f t="shared" si="70"/>
        <v>239</v>
      </c>
      <c r="AT49" s="71">
        <f t="shared" si="70"/>
        <v>276</v>
      </c>
      <c r="AU49" s="71">
        <f t="shared" si="70"/>
        <v>252</v>
      </c>
      <c r="AV49" s="71">
        <f t="shared" si="70"/>
        <v>353</v>
      </c>
      <c r="AW49" s="71">
        <f t="shared" si="70"/>
        <v>232</v>
      </c>
      <c r="AX49" s="71">
        <f t="shared" si="70"/>
        <v>266</v>
      </c>
      <c r="AY49" s="71">
        <f t="shared" si="70"/>
        <v>249</v>
      </c>
      <c r="AZ49" s="71">
        <f t="shared" si="70"/>
        <v>177</v>
      </c>
      <c r="BA49" s="71">
        <f t="shared" si="70"/>
        <v>200</v>
      </c>
      <c r="BB49" s="71">
        <f t="shared" si="70"/>
        <v>193</v>
      </c>
      <c r="BC49" s="71">
        <f t="shared" si="70"/>
        <v>180</v>
      </c>
      <c r="BD49" s="71">
        <f t="shared" si="70"/>
        <v>192</v>
      </c>
      <c r="BE49" s="71">
        <f t="shared" si="70"/>
        <v>239</v>
      </c>
      <c r="BF49" s="71">
        <f t="shared" si="70"/>
        <v>276</v>
      </c>
      <c r="BG49" s="71">
        <f t="shared" si="70"/>
        <v>252</v>
      </c>
      <c r="BH49" s="71">
        <f t="shared" si="70"/>
        <v>353</v>
      </c>
      <c r="BI49" s="71">
        <f t="shared" si="70"/>
        <v>232</v>
      </c>
      <c r="BJ49" s="71">
        <f t="shared" si="70"/>
        <v>266</v>
      </c>
      <c r="BK49" s="71">
        <f t="shared" si="70"/>
        <v>249</v>
      </c>
      <c r="BL49" s="71">
        <f t="shared" ref="BL49:BW50" si="71">AZ49</f>
        <v>177</v>
      </c>
      <c r="BM49" s="71">
        <f t="shared" si="71"/>
        <v>200</v>
      </c>
      <c r="BN49" s="71">
        <f t="shared" si="71"/>
        <v>193</v>
      </c>
      <c r="BO49" s="71">
        <f t="shared" si="71"/>
        <v>180</v>
      </c>
      <c r="BP49" s="71">
        <f t="shared" si="71"/>
        <v>192</v>
      </c>
      <c r="BQ49" s="71">
        <f t="shared" si="71"/>
        <v>239</v>
      </c>
      <c r="BR49" s="71">
        <f t="shared" si="71"/>
        <v>276</v>
      </c>
      <c r="BS49" s="71">
        <f t="shared" si="71"/>
        <v>252</v>
      </c>
      <c r="BT49" s="71">
        <f t="shared" si="71"/>
        <v>353</v>
      </c>
      <c r="BU49" s="71">
        <f t="shared" si="71"/>
        <v>232</v>
      </c>
      <c r="BV49" s="71">
        <f t="shared" si="71"/>
        <v>266</v>
      </c>
      <c r="BW49" s="71">
        <f t="shared" si="71"/>
        <v>249</v>
      </c>
      <c r="BX49" s="71">
        <f t="shared" ref="BX49:CI50" si="72">BL49</f>
        <v>177</v>
      </c>
      <c r="BY49" s="71">
        <f t="shared" si="72"/>
        <v>200</v>
      </c>
      <c r="BZ49" s="71">
        <f t="shared" si="72"/>
        <v>193</v>
      </c>
      <c r="CA49" s="71">
        <f t="shared" si="72"/>
        <v>180</v>
      </c>
      <c r="CB49" s="71">
        <f t="shared" si="72"/>
        <v>192</v>
      </c>
      <c r="CC49" s="71">
        <f t="shared" si="72"/>
        <v>239</v>
      </c>
      <c r="CD49" s="71">
        <f t="shared" si="72"/>
        <v>276</v>
      </c>
      <c r="CE49" s="71">
        <f t="shared" si="72"/>
        <v>252</v>
      </c>
      <c r="CF49" s="71">
        <f t="shared" si="72"/>
        <v>353</v>
      </c>
      <c r="CG49" s="71">
        <f t="shared" si="72"/>
        <v>232</v>
      </c>
      <c r="CH49" s="71">
        <f t="shared" si="72"/>
        <v>266</v>
      </c>
      <c r="CI49" s="71">
        <f t="shared" si="72"/>
        <v>249</v>
      </c>
    </row>
    <row r="50" spans="1:97" x14ac:dyDescent="0.2">
      <c r="A50" s="2">
        <v>38</v>
      </c>
      <c r="B50" s="2" t="s">
        <v>285</v>
      </c>
      <c r="C50" s="193" t="s">
        <v>291</v>
      </c>
      <c r="D50" s="167">
        <v>0</v>
      </c>
      <c r="E50" s="167">
        <v>0</v>
      </c>
      <c r="F50" s="167">
        <v>0</v>
      </c>
      <c r="G50" s="167">
        <v>0</v>
      </c>
      <c r="H50" s="167">
        <v>0</v>
      </c>
      <c r="I50" s="167">
        <v>0</v>
      </c>
      <c r="J50" s="167">
        <v>0</v>
      </c>
      <c r="K50" s="167">
        <v>0</v>
      </c>
      <c r="L50" s="167">
        <v>0</v>
      </c>
      <c r="M50" s="167">
        <v>0</v>
      </c>
      <c r="N50" s="167">
        <v>0</v>
      </c>
      <c r="O50" s="167">
        <v>0</v>
      </c>
      <c r="P50" s="71">
        <f>D50</f>
        <v>0</v>
      </c>
      <c r="Q50" s="71">
        <f t="shared" si="70"/>
        <v>0</v>
      </c>
      <c r="R50" s="71">
        <f t="shared" si="70"/>
        <v>0</v>
      </c>
      <c r="S50" s="71">
        <f t="shared" si="70"/>
        <v>0</v>
      </c>
      <c r="T50" s="71">
        <f t="shared" si="70"/>
        <v>0</v>
      </c>
      <c r="U50" s="71">
        <f t="shared" si="70"/>
        <v>0</v>
      </c>
      <c r="V50" s="71">
        <f t="shared" si="70"/>
        <v>0</v>
      </c>
      <c r="W50" s="71">
        <f t="shared" si="70"/>
        <v>0</v>
      </c>
      <c r="X50" s="71">
        <f t="shared" si="70"/>
        <v>0</v>
      </c>
      <c r="Y50" s="71">
        <f t="shared" si="70"/>
        <v>0</v>
      </c>
      <c r="Z50" s="71">
        <f t="shared" si="70"/>
        <v>0</v>
      </c>
      <c r="AA50" s="71">
        <f t="shared" si="70"/>
        <v>0</v>
      </c>
      <c r="AB50" s="71">
        <f t="shared" si="70"/>
        <v>0</v>
      </c>
      <c r="AC50" s="71">
        <f t="shared" si="70"/>
        <v>0</v>
      </c>
      <c r="AD50" s="71">
        <f t="shared" si="70"/>
        <v>0</v>
      </c>
      <c r="AE50" s="71">
        <f t="shared" si="70"/>
        <v>0</v>
      </c>
      <c r="AF50" s="71">
        <f t="shared" si="70"/>
        <v>0</v>
      </c>
      <c r="AG50" s="71">
        <f t="shared" si="70"/>
        <v>0</v>
      </c>
      <c r="AH50" s="71">
        <f t="shared" si="70"/>
        <v>0</v>
      </c>
      <c r="AI50" s="71">
        <f t="shared" si="70"/>
        <v>0</v>
      </c>
      <c r="AJ50" s="71">
        <f t="shared" si="70"/>
        <v>0</v>
      </c>
      <c r="AK50" s="71">
        <f t="shared" si="70"/>
        <v>0</v>
      </c>
      <c r="AL50" s="71">
        <f t="shared" si="70"/>
        <v>0</v>
      </c>
      <c r="AM50" s="71">
        <f t="shared" si="70"/>
        <v>0</v>
      </c>
      <c r="AN50" s="71">
        <f t="shared" si="70"/>
        <v>0</v>
      </c>
      <c r="AO50" s="71">
        <f t="shared" si="70"/>
        <v>0</v>
      </c>
      <c r="AP50" s="71">
        <f t="shared" si="70"/>
        <v>0</v>
      </c>
      <c r="AQ50" s="71">
        <f t="shared" si="70"/>
        <v>0</v>
      </c>
      <c r="AR50" s="71">
        <f t="shared" si="70"/>
        <v>0</v>
      </c>
      <c r="AS50" s="71">
        <f t="shared" si="70"/>
        <v>0</v>
      </c>
      <c r="AT50" s="71">
        <f t="shared" si="70"/>
        <v>0</v>
      </c>
      <c r="AU50" s="71">
        <f t="shared" si="70"/>
        <v>0</v>
      </c>
      <c r="AV50" s="71">
        <f t="shared" si="70"/>
        <v>0</v>
      </c>
      <c r="AW50" s="71">
        <f t="shared" si="70"/>
        <v>0</v>
      </c>
      <c r="AX50" s="71">
        <f t="shared" si="70"/>
        <v>0</v>
      </c>
      <c r="AY50" s="71">
        <f t="shared" si="70"/>
        <v>0</v>
      </c>
      <c r="AZ50" s="71">
        <f t="shared" si="70"/>
        <v>0</v>
      </c>
      <c r="BA50" s="71">
        <f t="shared" si="70"/>
        <v>0</v>
      </c>
      <c r="BB50" s="71">
        <f t="shared" si="70"/>
        <v>0</v>
      </c>
      <c r="BC50" s="71">
        <f t="shared" si="70"/>
        <v>0</v>
      </c>
      <c r="BD50" s="71">
        <f t="shared" si="70"/>
        <v>0</v>
      </c>
      <c r="BE50" s="71">
        <f t="shared" si="70"/>
        <v>0</v>
      </c>
      <c r="BF50" s="71">
        <f t="shared" si="70"/>
        <v>0</v>
      </c>
      <c r="BG50" s="71">
        <f t="shared" si="70"/>
        <v>0</v>
      </c>
      <c r="BH50" s="71">
        <f t="shared" si="70"/>
        <v>0</v>
      </c>
      <c r="BI50" s="71">
        <f t="shared" si="70"/>
        <v>0</v>
      </c>
      <c r="BJ50" s="71">
        <f t="shared" si="70"/>
        <v>0</v>
      </c>
      <c r="BK50" s="71">
        <f t="shared" si="70"/>
        <v>0</v>
      </c>
      <c r="BL50" s="71">
        <f t="shared" si="71"/>
        <v>0</v>
      </c>
      <c r="BM50" s="71">
        <f t="shared" si="71"/>
        <v>0</v>
      </c>
      <c r="BN50" s="71">
        <f t="shared" si="71"/>
        <v>0</v>
      </c>
      <c r="BO50" s="71">
        <f t="shared" si="71"/>
        <v>0</v>
      </c>
      <c r="BP50" s="71">
        <f t="shared" si="71"/>
        <v>0</v>
      </c>
      <c r="BQ50" s="71">
        <f t="shared" si="71"/>
        <v>0</v>
      </c>
      <c r="BR50" s="71">
        <f t="shared" si="71"/>
        <v>0</v>
      </c>
      <c r="BS50" s="71">
        <f t="shared" si="71"/>
        <v>0</v>
      </c>
      <c r="BT50" s="71">
        <f t="shared" si="71"/>
        <v>0</v>
      </c>
      <c r="BU50" s="71">
        <f t="shared" si="71"/>
        <v>0</v>
      </c>
      <c r="BV50" s="71">
        <f t="shared" si="71"/>
        <v>0</v>
      </c>
      <c r="BW50" s="71">
        <f t="shared" si="71"/>
        <v>0</v>
      </c>
      <c r="BX50" s="71">
        <f t="shared" si="72"/>
        <v>0</v>
      </c>
      <c r="BY50" s="71">
        <f t="shared" si="72"/>
        <v>0</v>
      </c>
      <c r="BZ50" s="71">
        <f t="shared" si="72"/>
        <v>0</v>
      </c>
      <c r="CA50" s="71">
        <f t="shared" si="72"/>
        <v>0</v>
      </c>
      <c r="CB50" s="71">
        <f t="shared" si="72"/>
        <v>0</v>
      </c>
      <c r="CC50" s="71">
        <f t="shared" si="72"/>
        <v>0</v>
      </c>
      <c r="CD50" s="71">
        <f t="shared" si="72"/>
        <v>0</v>
      </c>
      <c r="CE50" s="71">
        <f t="shared" si="72"/>
        <v>0</v>
      </c>
      <c r="CF50" s="71">
        <f t="shared" si="72"/>
        <v>0</v>
      </c>
      <c r="CG50" s="71">
        <f t="shared" si="72"/>
        <v>0</v>
      </c>
      <c r="CH50" s="71">
        <f t="shared" si="72"/>
        <v>0</v>
      </c>
      <c r="CI50" s="71">
        <f t="shared" si="72"/>
        <v>0</v>
      </c>
    </row>
    <row r="51" spans="1:97" x14ac:dyDescent="0.2">
      <c r="A51" s="2">
        <v>39</v>
      </c>
      <c r="B51" s="33" t="s">
        <v>289</v>
      </c>
      <c r="C51" s="33"/>
      <c r="D51" s="32">
        <f t="shared" ref="D51:P51" si="73">D49+D50</f>
        <v>177</v>
      </c>
      <c r="E51" s="32">
        <f t="shared" si="73"/>
        <v>200</v>
      </c>
      <c r="F51" s="32">
        <f t="shared" si="73"/>
        <v>193</v>
      </c>
      <c r="G51" s="32">
        <f t="shared" si="73"/>
        <v>180</v>
      </c>
      <c r="H51" s="32">
        <f t="shared" si="73"/>
        <v>192</v>
      </c>
      <c r="I51" s="32">
        <f t="shared" si="73"/>
        <v>239</v>
      </c>
      <c r="J51" s="32">
        <f t="shared" si="73"/>
        <v>276</v>
      </c>
      <c r="K51" s="32">
        <f t="shared" si="73"/>
        <v>252</v>
      </c>
      <c r="L51" s="32">
        <f t="shared" si="73"/>
        <v>353</v>
      </c>
      <c r="M51" s="32">
        <f t="shared" si="73"/>
        <v>232</v>
      </c>
      <c r="N51" s="32">
        <f t="shared" si="73"/>
        <v>266</v>
      </c>
      <c r="O51" s="32">
        <f t="shared" si="73"/>
        <v>249</v>
      </c>
      <c r="P51" s="32">
        <f t="shared" si="73"/>
        <v>177</v>
      </c>
      <c r="Q51" s="32">
        <f t="shared" ref="Q51:BK51" si="74">Q49+Q50</f>
        <v>200</v>
      </c>
      <c r="R51" s="32">
        <f t="shared" si="74"/>
        <v>193</v>
      </c>
      <c r="S51" s="32">
        <f t="shared" si="74"/>
        <v>180</v>
      </c>
      <c r="T51" s="32">
        <f t="shared" si="74"/>
        <v>192</v>
      </c>
      <c r="U51" s="32">
        <f t="shared" si="74"/>
        <v>239</v>
      </c>
      <c r="V51" s="32">
        <f t="shared" si="74"/>
        <v>276</v>
      </c>
      <c r="W51" s="32">
        <f t="shared" si="74"/>
        <v>252</v>
      </c>
      <c r="X51" s="32">
        <f t="shared" si="74"/>
        <v>353</v>
      </c>
      <c r="Y51" s="32">
        <f t="shared" si="74"/>
        <v>232</v>
      </c>
      <c r="Z51" s="32">
        <f t="shared" si="74"/>
        <v>266</v>
      </c>
      <c r="AA51" s="32">
        <f t="shared" si="74"/>
        <v>249</v>
      </c>
      <c r="AB51" s="32">
        <f t="shared" si="74"/>
        <v>177</v>
      </c>
      <c r="AC51" s="32">
        <f t="shared" si="74"/>
        <v>200</v>
      </c>
      <c r="AD51" s="32">
        <f t="shared" si="74"/>
        <v>193</v>
      </c>
      <c r="AE51" s="32">
        <f t="shared" si="74"/>
        <v>180</v>
      </c>
      <c r="AF51" s="32">
        <f t="shared" si="74"/>
        <v>192</v>
      </c>
      <c r="AG51" s="32">
        <f t="shared" si="74"/>
        <v>239</v>
      </c>
      <c r="AH51" s="32">
        <f t="shared" si="74"/>
        <v>276</v>
      </c>
      <c r="AI51" s="32">
        <f t="shared" si="74"/>
        <v>252</v>
      </c>
      <c r="AJ51" s="32">
        <f t="shared" si="74"/>
        <v>353</v>
      </c>
      <c r="AK51" s="32">
        <f t="shared" si="74"/>
        <v>232</v>
      </c>
      <c r="AL51" s="32">
        <f t="shared" si="74"/>
        <v>266</v>
      </c>
      <c r="AM51" s="32">
        <f t="shared" si="74"/>
        <v>249</v>
      </c>
      <c r="AN51" s="32">
        <f t="shared" si="74"/>
        <v>177</v>
      </c>
      <c r="AO51" s="32">
        <f t="shared" si="74"/>
        <v>200</v>
      </c>
      <c r="AP51" s="32">
        <f t="shared" si="74"/>
        <v>193</v>
      </c>
      <c r="AQ51" s="32">
        <f t="shared" si="74"/>
        <v>180</v>
      </c>
      <c r="AR51" s="32">
        <f t="shared" si="74"/>
        <v>192</v>
      </c>
      <c r="AS51" s="32">
        <f t="shared" si="74"/>
        <v>239</v>
      </c>
      <c r="AT51" s="32">
        <f t="shared" si="74"/>
        <v>276</v>
      </c>
      <c r="AU51" s="32">
        <f t="shared" si="74"/>
        <v>252</v>
      </c>
      <c r="AV51" s="32">
        <f t="shared" si="74"/>
        <v>353</v>
      </c>
      <c r="AW51" s="32">
        <f t="shared" si="74"/>
        <v>232</v>
      </c>
      <c r="AX51" s="32">
        <f t="shared" si="74"/>
        <v>266</v>
      </c>
      <c r="AY51" s="32">
        <f t="shared" si="74"/>
        <v>249</v>
      </c>
      <c r="AZ51" s="32">
        <f t="shared" si="74"/>
        <v>177</v>
      </c>
      <c r="BA51" s="32">
        <f t="shared" si="74"/>
        <v>200</v>
      </c>
      <c r="BB51" s="32">
        <f t="shared" si="74"/>
        <v>193</v>
      </c>
      <c r="BC51" s="32">
        <f t="shared" si="74"/>
        <v>180</v>
      </c>
      <c r="BD51" s="32">
        <f t="shared" si="74"/>
        <v>192</v>
      </c>
      <c r="BE51" s="32">
        <f t="shared" si="74"/>
        <v>239</v>
      </c>
      <c r="BF51" s="32">
        <f t="shared" si="74"/>
        <v>276</v>
      </c>
      <c r="BG51" s="32">
        <f t="shared" si="74"/>
        <v>252</v>
      </c>
      <c r="BH51" s="32">
        <f t="shared" si="74"/>
        <v>353</v>
      </c>
      <c r="BI51" s="32">
        <f t="shared" si="74"/>
        <v>232</v>
      </c>
      <c r="BJ51" s="32">
        <f t="shared" si="74"/>
        <v>266</v>
      </c>
      <c r="BK51" s="32">
        <f t="shared" si="74"/>
        <v>249</v>
      </c>
      <c r="BL51" s="32">
        <f t="shared" ref="BL51:BW51" si="75">BL49+BL50</f>
        <v>177</v>
      </c>
      <c r="BM51" s="32">
        <f t="shared" si="75"/>
        <v>200</v>
      </c>
      <c r="BN51" s="32">
        <f t="shared" si="75"/>
        <v>193</v>
      </c>
      <c r="BO51" s="32">
        <f t="shared" si="75"/>
        <v>180</v>
      </c>
      <c r="BP51" s="32">
        <f t="shared" si="75"/>
        <v>192</v>
      </c>
      <c r="BQ51" s="32">
        <f t="shared" si="75"/>
        <v>239</v>
      </c>
      <c r="BR51" s="32">
        <f t="shared" si="75"/>
        <v>276</v>
      </c>
      <c r="BS51" s="32">
        <f t="shared" si="75"/>
        <v>252</v>
      </c>
      <c r="BT51" s="32">
        <f t="shared" si="75"/>
        <v>353</v>
      </c>
      <c r="BU51" s="32">
        <f t="shared" si="75"/>
        <v>232</v>
      </c>
      <c r="BV51" s="32">
        <f t="shared" si="75"/>
        <v>266</v>
      </c>
      <c r="BW51" s="32">
        <f t="shared" si="75"/>
        <v>249</v>
      </c>
      <c r="BX51" s="32">
        <f t="shared" ref="BX51:CI51" si="76">BX49+BX50</f>
        <v>177</v>
      </c>
      <c r="BY51" s="32">
        <f t="shared" si="76"/>
        <v>200</v>
      </c>
      <c r="BZ51" s="32">
        <f t="shared" si="76"/>
        <v>193</v>
      </c>
      <c r="CA51" s="32">
        <f t="shared" si="76"/>
        <v>180</v>
      </c>
      <c r="CB51" s="32">
        <f t="shared" si="76"/>
        <v>192</v>
      </c>
      <c r="CC51" s="32">
        <f t="shared" si="76"/>
        <v>239</v>
      </c>
      <c r="CD51" s="32">
        <f t="shared" si="76"/>
        <v>276</v>
      </c>
      <c r="CE51" s="32">
        <f t="shared" si="76"/>
        <v>252</v>
      </c>
      <c r="CF51" s="32">
        <f t="shared" si="76"/>
        <v>353</v>
      </c>
      <c r="CG51" s="32">
        <f t="shared" si="76"/>
        <v>232</v>
      </c>
      <c r="CH51" s="32">
        <f t="shared" si="76"/>
        <v>266</v>
      </c>
      <c r="CI51" s="32">
        <f t="shared" si="76"/>
        <v>249</v>
      </c>
    </row>
    <row r="52" spans="1:97" x14ac:dyDescent="0.2">
      <c r="A52" s="2">
        <v>40</v>
      </c>
      <c r="B52" s="33" t="s">
        <v>290</v>
      </c>
      <c r="C52" s="33"/>
      <c r="D52" s="99">
        <f t="shared" ref="D52:O52" si="77">$C$49*D49+$C$50*D50</f>
        <v>4425</v>
      </c>
      <c r="E52" s="99">
        <f t="shared" si="77"/>
        <v>5000</v>
      </c>
      <c r="F52" s="99">
        <f t="shared" si="77"/>
        <v>4825</v>
      </c>
      <c r="G52" s="99">
        <f t="shared" si="77"/>
        <v>4500</v>
      </c>
      <c r="H52" s="99">
        <f t="shared" si="77"/>
        <v>4800</v>
      </c>
      <c r="I52" s="99">
        <f t="shared" si="77"/>
        <v>5975</v>
      </c>
      <c r="J52" s="99">
        <f t="shared" si="77"/>
        <v>6900</v>
      </c>
      <c r="K52" s="99">
        <f t="shared" si="77"/>
        <v>6300</v>
      </c>
      <c r="L52" s="99">
        <f t="shared" si="77"/>
        <v>8825</v>
      </c>
      <c r="M52" s="99">
        <f t="shared" si="77"/>
        <v>5800</v>
      </c>
      <c r="N52" s="99">
        <f t="shared" si="77"/>
        <v>6650</v>
      </c>
      <c r="O52" s="99">
        <f t="shared" si="77"/>
        <v>6225</v>
      </c>
      <c r="P52" s="99">
        <f t="shared" ref="P52:BK52" si="78">$C$49*P49+$C$50*P50</f>
        <v>4425</v>
      </c>
      <c r="Q52" s="99">
        <f t="shared" si="78"/>
        <v>5000</v>
      </c>
      <c r="R52" s="99">
        <f t="shared" si="78"/>
        <v>4825</v>
      </c>
      <c r="S52" s="99">
        <f t="shared" si="78"/>
        <v>4500</v>
      </c>
      <c r="T52" s="99">
        <f t="shared" si="78"/>
        <v>4800</v>
      </c>
      <c r="U52" s="99">
        <f t="shared" si="78"/>
        <v>5975</v>
      </c>
      <c r="V52" s="99">
        <f t="shared" si="78"/>
        <v>6900</v>
      </c>
      <c r="W52" s="99">
        <f t="shared" si="78"/>
        <v>6300</v>
      </c>
      <c r="X52" s="99">
        <f t="shared" si="78"/>
        <v>8825</v>
      </c>
      <c r="Y52" s="99">
        <f t="shared" si="78"/>
        <v>5800</v>
      </c>
      <c r="Z52" s="99">
        <f t="shared" si="78"/>
        <v>6650</v>
      </c>
      <c r="AA52" s="99">
        <f t="shared" si="78"/>
        <v>6225</v>
      </c>
      <c r="AB52" s="99">
        <f t="shared" si="78"/>
        <v>4425</v>
      </c>
      <c r="AC52" s="99">
        <f t="shared" si="78"/>
        <v>5000</v>
      </c>
      <c r="AD52" s="99">
        <f t="shared" si="78"/>
        <v>4825</v>
      </c>
      <c r="AE52" s="99">
        <f t="shared" si="78"/>
        <v>4500</v>
      </c>
      <c r="AF52" s="99">
        <f t="shared" si="78"/>
        <v>4800</v>
      </c>
      <c r="AG52" s="99">
        <f t="shared" si="78"/>
        <v>5975</v>
      </c>
      <c r="AH52" s="99">
        <f t="shared" si="78"/>
        <v>6900</v>
      </c>
      <c r="AI52" s="99">
        <f t="shared" si="78"/>
        <v>6300</v>
      </c>
      <c r="AJ52" s="99">
        <f t="shared" si="78"/>
        <v>8825</v>
      </c>
      <c r="AK52" s="99">
        <f t="shared" si="78"/>
        <v>5800</v>
      </c>
      <c r="AL52" s="99">
        <f t="shared" si="78"/>
        <v>6650</v>
      </c>
      <c r="AM52" s="99">
        <f t="shared" si="78"/>
        <v>6225</v>
      </c>
      <c r="AN52" s="99">
        <f t="shared" si="78"/>
        <v>4425</v>
      </c>
      <c r="AO52" s="99">
        <f t="shared" si="78"/>
        <v>5000</v>
      </c>
      <c r="AP52" s="99">
        <f t="shared" si="78"/>
        <v>4825</v>
      </c>
      <c r="AQ52" s="99">
        <f t="shared" si="78"/>
        <v>4500</v>
      </c>
      <c r="AR52" s="99">
        <f t="shared" si="78"/>
        <v>4800</v>
      </c>
      <c r="AS52" s="99">
        <f t="shared" si="78"/>
        <v>5975</v>
      </c>
      <c r="AT52" s="99">
        <f t="shared" si="78"/>
        <v>6900</v>
      </c>
      <c r="AU52" s="99">
        <f t="shared" si="78"/>
        <v>6300</v>
      </c>
      <c r="AV52" s="99">
        <f t="shared" si="78"/>
        <v>8825</v>
      </c>
      <c r="AW52" s="99">
        <f t="shared" si="78"/>
        <v>5800</v>
      </c>
      <c r="AX52" s="99">
        <f t="shared" si="78"/>
        <v>6650</v>
      </c>
      <c r="AY52" s="99">
        <f t="shared" si="78"/>
        <v>6225</v>
      </c>
      <c r="AZ52" s="99">
        <f t="shared" si="78"/>
        <v>4425</v>
      </c>
      <c r="BA52" s="99">
        <f t="shared" si="78"/>
        <v>5000</v>
      </c>
      <c r="BB52" s="99">
        <f t="shared" si="78"/>
        <v>4825</v>
      </c>
      <c r="BC52" s="99">
        <f t="shared" si="78"/>
        <v>4500</v>
      </c>
      <c r="BD52" s="99">
        <f t="shared" si="78"/>
        <v>4800</v>
      </c>
      <c r="BE52" s="99">
        <f t="shared" si="78"/>
        <v>5975</v>
      </c>
      <c r="BF52" s="99">
        <f t="shared" si="78"/>
        <v>6900</v>
      </c>
      <c r="BG52" s="99">
        <f t="shared" si="78"/>
        <v>6300</v>
      </c>
      <c r="BH52" s="99">
        <f t="shared" si="78"/>
        <v>8825</v>
      </c>
      <c r="BI52" s="99">
        <f t="shared" si="78"/>
        <v>5800</v>
      </c>
      <c r="BJ52" s="99">
        <f t="shared" si="78"/>
        <v>6650</v>
      </c>
      <c r="BK52" s="99">
        <f t="shared" si="78"/>
        <v>6225</v>
      </c>
      <c r="BL52" s="99">
        <f t="shared" ref="BL52:BW52" si="79">$C$49*BL49+$C$50*BL50</f>
        <v>4425</v>
      </c>
      <c r="BM52" s="99">
        <f t="shared" si="79"/>
        <v>5000</v>
      </c>
      <c r="BN52" s="99">
        <f t="shared" si="79"/>
        <v>4825</v>
      </c>
      <c r="BO52" s="99">
        <f t="shared" si="79"/>
        <v>4500</v>
      </c>
      <c r="BP52" s="99">
        <f t="shared" si="79"/>
        <v>4800</v>
      </c>
      <c r="BQ52" s="99">
        <f t="shared" si="79"/>
        <v>5975</v>
      </c>
      <c r="BR52" s="99">
        <f t="shared" si="79"/>
        <v>6900</v>
      </c>
      <c r="BS52" s="99">
        <f t="shared" si="79"/>
        <v>6300</v>
      </c>
      <c r="BT52" s="99">
        <f t="shared" si="79"/>
        <v>8825</v>
      </c>
      <c r="BU52" s="99">
        <f t="shared" si="79"/>
        <v>5800</v>
      </c>
      <c r="BV52" s="99">
        <f t="shared" si="79"/>
        <v>6650</v>
      </c>
      <c r="BW52" s="99">
        <f t="shared" si="79"/>
        <v>6225</v>
      </c>
      <c r="BX52" s="99">
        <f t="shared" ref="BX52:CI52" si="80">$C$49*BX49+$C$50*BX50</f>
        <v>4425</v>
      </c>
      <c r="BY52" s="99">
        <f t="shared" si="80"/>
        <v>5000</v>
      </c>
      <c r="BZ52" s="99">
        <f t="shared" si="80"/>
        <v>4825</v>
      </c>
      <c r="CA52" s="99">
        <f t="shared" si="80"/>
        <v>4500</v>
      </c>
      <c r="CB52" s="99">
        <f t="shared" si="80"/>
        <v>4800</v>
      </c>
      <c r="CC52" s="99">
        <f t="shared" si="80"/>
        <v>5975</v>
      </c>
      <c r="CD52" s="99">
        <f t="shared" si="80"/>
        <v>6900</v>
      </c>
      <c r="CE52" s="99">
        <f t="shared" si="80"/>
        <v>6300</v>
      </c>
      <c r="CF52" s="99">
        <f t="shared" si="80"/>
        <v>8825</v>
      </c>
      <c r="CG52" s="99">
        <f t="shared" si="80"/>
        <v>5800</v>
      </c>
      <c r="CH52" s="99">
        <f t="shared" si="80"/>
        <v>6650</v>
      </c>
      <c r="CI52" s="99">
        <f t="shared" si="80"/>
        <v>6225</v>
      </c>
    </row>
    <row r="53" spans="1:97" x14ac:dyDescent="0.2">
      <c r="A53" s="2">
        <v>41</v>
      </c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97" x14ac:dyDescent="0.2">
      <c r="A54" s="2">
        <v>42</v>
      </c>
      <c r="B54" s="2" t="s">
        <v>288</v>
      </c>
      <c r="C54" s="17"/>
      <c r="D54" s="696">
        <f>D15+D21+D27+D33+D39+D45+D52</f>
        <v>45327</v>
      </c>
      <c r="E54" s="696">
        <f t="shared" ref="E54:P54" si="81">E15+E21+E27+E33+E39+E45+E52</f>
        <v>57173</v>
      </c>
      <c r="F54" s="696">
        <f t="shared" si="81"/>
        <v>55395</v>
      </c>
      <c r="G54" s="696">
        <f t="shared" si="81"/>
        <v>88176</v>
      </c>
      <c r="H54" s="696">
        <f t="shared" si="81"/>
        <v>126545</v>
      </c>
      <c r="I54" s="696">
        <f t="shared" si="81"/>
        <v>87101</v>
      </c>
      <c r="J54" s="696">
        <f t="shared" si="81"/>
        <v>58133</v>
      </c>
      <c r="K54" s="696">
        <f t="shared" si="81"/>
        <v>54439</v>
      </c>
      <c r="L54" s="696">
        <f t="shared" si="81"/>
        <v>74821</v>
      </c>
      <c r="M54" s="696">
        <f t="shared" si="81"/>
        <v>49919</v>
      </c>
      <c r="N54" s="696">
        <f t="shared" si="81"/>
        <v>53628</v>
      </c>
      <c r="O54" s="696">
        <f t="shared" si="81"/>
        <v>55397</v>
      </c>
      <c r="P54" s="39">
        <f t="shared" si="81"/>
        <v>45327</v>
      </c>
      <c r="Q54" s="39">
        <f t="shared" ref="Q54:BK54" si="82">Q15+Q21+Q27+Q33+Q39+Q45+Q52</f>
        <v>57173</v>
      </c>
      <c r="R54" s="39">
        <f t="shared" si="82"/>
        <v>55395</v>
      </c>
      <c r="S54" s="39">
        <f t="shared" si="82"/>
        <v>88176</v>
      </c>
      <c r="T54" s="39">
        <f t="shared" si="82"/>
        <v>126545</v>
      </c>
      <c r="U54" s="39">
        <f t="shared" si="82"/>
        <v>87101</v>
      </c>
      <c r="V54" s="39">
        <f t="shared" si="82"/>
        <v>58133</v>
      </c>
      <c r="W54" s="39">
        <f t="shared" si="82"/>
        <v>54439</v>
      </c>
      <c r="X54" s="39">
        <f t="shared" si="82"/>
        <v>74821</v>
      </c>
      <c r="Y54" s="39">
        <f t="shared" si="82"/>
        <v>49919</v>
      </c>
      <c r="Z54" s="39">
        <f t="shared" si="82"/>
        <v>53628</v>
      </c>
      <c r="AA54" s="39">
        <f t="shared" si="82"/>
        <v>55397</v>
      </c>
      <c r="AB54" s="39">
        <f t="shared" si="82"/>
        <v>45327</v>
      </c>
      <c r="AC54" s="39">
        <f t="shared" si="82"/>
        <v>57173</v>
      </c>
      <c r="AD54" s="39">
        <f t="shared" si="82"/>
        <v>55395</v>
      </c>
      <c r="AE54" s="39">
        <f t="shared" si="82"/>
        <v>88176</v>
      </c>
      <c r="AF54" s="39">
        <f t="shared" si="82"/>
        <v>126545</v>
      </c>
      <c r="AG54" s="39">
        <f t="shared" si="82"/>
        <v>87101</v>
      </c>
      <c r="AH54" s="39">
        <f t="shared" si="82"/>
        <v>58133</v>
      </c>
      <c r="AI54" s="39">
        <f t="shared" si="82"/>
        <v>54439</v>
      </c>
      <c r="AJ54" s="39">
        <f t="shared" si="82"/>
        <v>74821</v>
      </c>
      <c r="AK54" s="39">
        <f t="shared" si="82"/>
        <v>49919</v>
      </c>
      <c r="AL54" s="39">
        <f t="shared" si="82"/>
        <v>53628</v>
      </c>
      <c r="AM54" s="39">
        <f t="shared" si="82"/>
        <v>55397</v>
      </c>
      <c r="AN54" s="39">
        <f t="shared" si="82"/>
        <v>45327</v>
      </c>
      <c r="AO54" s="39">
        <f t="shared" si="82"/>
        <v>57173</v>
      </c>
      <c r="AP54" s="39">
        <f t="shared" si="82"/>
        <v>55395</v>
      </c>
      <c r="AQ54" s="39">
        <f t="shared" si="82"/>
        <v>88176</v>
      </c>
      <c r="AR54" s="39">
        <f t="shared" si="82"/>
        <v>126545</v>
      </c>
      <c r="AS54" s="39">
        <f t="shared" si="82"/>
        <v>87101</v>
      </c>
      <c r="AT54" s="39">
        <f t="shared" si="82"/>
        <v>58133</v>
      </c>
      <c r="AU54" s="39">
        <f t="shared" si="82"/>
        <v>54439</v>
      </c>
      <c r="AV54" s="39">
        <f t="shared" si="82"/>
        <v>74821</v>
      </c>
      <c r="AW54" s="39">
        <f t="shared" si="82"/>
        <v>49919</v>
      </c>
      <c r="AX54" s="39">
        <f t="shared" si="82"/>
        <v>53628</v>
      </c>
      <c r="AY54" s="39">
        <f t="shared" si="82"/>
        <v>55397</v>
      </c>
      <c r="AZ54" s="39">
        <f t="shared" si="82"/>
        <v>45327</v>
      </c>
      <c r="BA54" s="39">
        <f t="shared" si="82"/>
        <v>57173</v>
      </c>
      <c r="BB54" s="39">
        <f t="shared" si="82"/>
        <v>55395</v>
      </c>
      <c r="BC54" s="39">
        <f t="shared" si="82"/>
        <v>88176</v>
      </c>
      <c r="BD54" s="39">
        <f t="shared" si="82"/>
        <v>126545</v>
      </c>
      <c r="BE54" s="39">
        <f t="shared" si="82"/>
        <v>87101</v>
      </c>
      <c r="BF54" s="39">
        <f t="shared" si="82"/>
        <v>58133</v>
      </c>
      <c r="BG54" s="39">
        <f t="shared" si="82"/>
        <v>54439</v>
      </c>
      <c r="BH54" s="39">
        <f t="shared" si="82"/>
        <v>74821</v>
      </c>
      <c r="BI54" s="39">
        <f t="shared" si="82"/>
        <v>49919</v>
      </c>
      <c r="BJ54" s="39">
        <f t="shared" si="82"/>
        <v>53628</v>
      </c>
      <c r="BK54" s="39">
        <f t="shared" si="82"/>
        <v>55397</v>
      </c>
      <c r="BL54" s="39">
        <f t="shared" ref="BL54:BW54" si="83">BL15+BL21+BL27+BL33+BL39+BL45+BL52</f>
        <v>45327</v>
      </c>
      <c r="BM54" s="39">
        <f t="shared" si="83"/>
        <v>57173</v>
      </c>
      <c r="BN54" s="39">
        <f t="shared" si="83"/>
        <v>55395</v>
      </c>
      <c r="BO54" s="39">
        <f t="shared" si="83"/>
        <v>88176</v>
      </c>
      <c r="BP54" s="39">
        <f t="shared" si="83"/>
        <v>126545</v>
      </c>
      <c r="BQ54" s="39">
        <f t="shared" si="83"/>
        <v>87101</v>
      </c>
      <c r="BR54" s="39">
        <f t="shared" si="83"/>
        <v>58133</v>
      </c>
      <c r="BS54" s="39">
        <f t="shared" si="83"/>
        <v>54439</v>
      </c>
      <c r="BT54" s="39">
        <f t="shared" si="83"/>
        <v>74821</v>
      </c>
      <c r="BU54" s="39">
        <f t="shared" si="83"/>
        <v>49919</v>
      </c>
      <c r="BV54" s="39">
        <f t="shared" si="83"/>
        <v>53628</v>
      </c>
      <c r="BW54" s="39">
        <f t="shared" si="83"/>
        <v>55397</v>
      </c>
      <c r="BX54" s="39">
        <f t="shared" ref="BX54:CI54" si="84">BX15+BX21+BX27+BX33+BX39+BX45+BX52</f>
        <v>45327</v>
      </c>
      <c r="BY54" s="39">
        <f t="shared" si="84"/>
        <v>57173</v>
      </c>
      <c r="BZ54" s="39">
        <f t="shared" si="84"/>
        <v>55395</v>
      </c>
      <c r="CA54" s="39">
        <f t="shared" si="84"/>
        <v>88176</v>
      </c>
      <c r="CB54" s="39">
        <f t="shared" si="84"/>
        <v>126545</v>
      </c>
      <c r="CC54" s="39">
        <f t="shared" si="84"/>
        <v>87101</v>
      </c>
      <c r="CD54" s="39">
        <f t="shared" si="84"/>
        <v>58133</v>
      </c>
      <c r="CE54" s="39">
        <f t="shared" si="84"/>
        <v>54439</v>
      </c>
      <c r="CF54" s="39">
        <f t="shared" si="84"/>
        <v>74821</v>
      </c>
      <c r="CG54" s="39">
        <f t="shared" si="84"/>
        <v>49919</v>
      </c>
      <c r="CH54" s="39">
        <f t="shared" si="84"/>
        <v>53628</v>
      </c>
      <c r="CI54" s="39">
        <f t="shared" si="84"/>
        <v>55397</v>
      </c>
    </row>
    <row r="55" spans="1:97" x14ac:dyDescent="0.2">
      <c r="A55" s="2">
        <v>43</v>
      </c>
      <c r="B55" s="17"/>
      <c r="C55" s="1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</row>
    <row r="56" spans="1:97" x14ac:dyDescent="0.2">
      <c r="A56" s="17">
        <v>44</v>
      </c>
      <c r="B56" s="169" t="s">
        <v>352</v>
      </c>
      <c r="C56" s="17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</row>
    <row r="57" spans="1:97" x14ac:dyDescent="0.2">
      <c r="A57" s="2">
        <v>45</v>
      </c>
      <c r="B57" s="2" t="s">
        <v>6</v>
      </c>
      <c r="C57" s="217">
        <v>0.05</v>
      </c>
      <c r="D57" s="697">
        <v>49459.53</v>
      </c>
      <c r="E57" s="697">
        <f>$B$64*('Monthly Forecast'!D11+'Monthly Forecast'!D18+'Monthly Forecast'!D20+'Monthly Forecast'!D27+'Monthly Forecast'!D38+'Monthly Forecast'!D45)</f>
        <v>49975.730071234873</v>
      </c>
      <c r="F57" s="697">
        <f>$B$64*('Monthly Forecast'!E11+'Monthly Forecast'!E18+'Monthly Forecast'!E20+'Monthly Forecast'!E27+'Monthly Forecast'!E38+'Monthly Forecast'!E45)</f>
        <v>51586.706720066482</v>
      </c>
      <c r="G57" s="697">
        <f>$B$64*('Monthly Forecast'!F11+'Monthly Forecast'!F18+'Monthly Forecast'!F20+'Monthly Forecast'!F27+'Monthly Forecast'!F38+'Monthly Forecast'!F45)</f>
        <v>51014.741294705644</v>
      </c>
      <c r="H57" s="697">
        <f>$B$64*('Monthly Forecast'!G11+'Monthly Forecast'!G18+'Monthly Forecast'!G20+'Monthly Forecast'!G27+'Monthly Forecast'!G38+'Monthly Forecast'!G45)</f>
        <v>63268.391752900323</v>
      </c>
      <c r="I57" s="697">
        <f>$B$64*('Monthly Forecast'!H11+'Monthly Forecast'!H18+'Monthly Forecast'!H20+'Monthly Forecast'!H27+'Monthly Forecast'!H38+'Monthly Forecast'!H45)</f>
        <v>103770.88188085212</v>
      </c>
      <c r="J57" s="697">
        <f>$B$64*('Monthly Forecast'!I11+'Monthly Forecast'!I18+'Monthly Forecast'!I20+'Monthly Forecast'!I27+'Monthly Forecast'!I38+'Monthly Forecast'!I45)</f>
        <v>151121.56343666484</v>
      </c>
      <c r="K57" s="697">
        <f>$B$64*('Monthly Forecast'!J11+'Monthly Forecast'!J18+'Monthly Forecast'!J20+'Monthly Forecast'!J27+'Monthly Forecast'!J38+'Monthly Forecast'!J45)</f>
        <v>180239.63098269972</v>
      </c>
      <c r="L57" s="697">
        <f>$B$64*('Monthly Forecast'!K11+'Monthly Forecast'!K18+'Monthly Forecast'!K20+'Monthly Forecast'!K27+'Monthly Forecast'!K38+'Monthly Forecast'!K45)</f>
        <v>193132.30681991219</v>
      </c>
      <c r="M57" s="697">
        <f>$B$64*('Monthly Forecast'!L11+'Monthly Forecast'!L18+'Monthly Forecast'!L20+'Monthly Forecast'!L27+'Monthly Forecast'!L38+'Monthly Forecast'!L45)</f>
        <v>149417.73979407307</v>
      </c>
      <c r="N57" s="697">
        <f>$B$64*('Monthly Forecast'!M11+'Monthly Forecast'!M18+'Monthly Forecast'!M20+'Monthly Forecast'!M27+'Monthly Forecast'!M38+'Monthly Forecast'!M45)</f>
        <v>107763.92308803758</v>
      </c>
      <c r="O57" s="697">
        <f>$B$64*('Monthly Forecast'!N11+'Monthly Forecast'!N18+'Monthly Forecast'!N20+'Monthly Forecast'!N27+'Monthly Forecast'!N38+'Monthly Forecast'!N45)</f>
        <v>76678.702587672175</v>
      </c>
      <c r="P57" s="61">
        <f>$B$64*('Monthly Forecast'!O11+'Monthly Forecast'!O18+'Monthly Forecast'!O20+'Monthly Forecast'!O27+'Monthly Forecast'!O38+'Monthly Forecast'!O45)</f>
        <v>59150.040279274232</v>
      </c>
      <c r="Q57" s="61">
        <f>$B$64*('Monthly Forecast'!P11+'Monthly Forecast'!P18+'Monthly Forecast'!P20+'Monthly Forecast'!P27+'Monthly Forecast'!P38+'Monthly Forecast'!P45)</f>
        <v>54438.933654652523</v>
      </c>
      <c r="R57" s="61">
        <f>$B$64*('Monthly Forecast'!Q11+'Monthly Forecast'!Q18+'Monthly Forecast'!Q20+'Monthly Forecast'!Q27+'Monthly Forecast'!Q38+'Monthly Forecast'!Q45)</f>
        <v>54578.946435618629</v>
      </c>
      <c r="S57" s="61">
        <f>$B$64*('Monthly Forecast'!R11+'Monthly Forecast'!R18+'Monthly Forecast'!R20+'Monthly Forecast'!R27+'Monthly Forecast'!R38+'Monthly Forecast'!R45)</f>
        <v>54003.632288822264</v>
      </c>
      <c r="T57" s="61">
        <f>$B$64*('Monthly Forecast'!S11+'Monthly Forecast'!S18+'Monthly Forecast'!S20+'Monthly Forecast'!S27+'Monthly Forecast'!S38+'Monthly Forecast'!S45)</f>
        <v>68403.679396344829</v>
      </c>
      <c r="U57" s="61">
        <f>$B$64*('Monthly Forecast'!T11+'Monthly Forecast'!T18+'Monthly Forecast'!T20+'Monthly Forecast'!T27+'Monthly Forecast'!T38+'Monthly Forecast'!T45)</f>
        <v>111350.6264652091</v>
      </c>
      <c r="V57" s="61">
        <f>$B$64*('Monthly Forecast'!U11+'Monthly Forecast'!U18+'Monthly Forecast'!U20+'Monthly Forecast'!U27+'Monthly Forecast'!U38+'Monthly Forecast'!U45)</f>
        <v>163805.42211283173</v>
      </c>
      <c r="W57" s="61">
        <f>$B$64*('Monthly Forecast'!V11+'Monthly Forecast'!V18+'Monthly Forecast'!V20+'Monthly Forecast'!V27+'Monthly Forecast'!V38+'Monthly Forecast'!V45)</f>
        <v>196091.17369346175</v>
      </c>
      <c r="X57" s="61">
        <f>$B$64*('Monthly Forecast'!W11+'Monthly Forecast'!W18+'Monthly Forecast'!W20+'Monthly Forecast'!W27+'Monthly Forecast'!W38+'Monthly Forecast'!W45)</f>
        <v>200472.80135136913</v>
      </c>
      <c r="Y57" s="61">
        <f>$B$64*('Monthly Forecast'!X11+'Monthly Forecast'!X18+'Monthly Forecast'!X20+'Monthly Forecast'!X27+'Monthly Forecast'!X38+'Monthly Forecast'!X45)</f>
        <v>154727.82135485311</v>
      </c>
      <c r="Z57" s="61">
        <f>$B$64*('Monthly Forecast'!Y11+'Monthly Forecast'!Y18+'Monthly Forecast'!Y20+'Monthly Forecast'!Y27+'Monthly Forecast'!Y38+'Monthly Forecast'!Y45)</f>
        <v>111173.430378629</v>
      </c>
      <c r="AA57" s="61">
        <f>$B$64*('Monthly Forecast'!Z11+'Monthly Forecast'!Z18+'Monthly Forecast'!Z20+'Monthly Forecast'!Z27+'Monthly Forecast'!Z38+'Monthly Forecast'!Z45)</f>
        <v>76088.821679641362</v>
      </c>
      <c r="AB57" s="61">
        <f>$B$64*('Monthly Forecast'!AA11+'Monthly Forecast'!AA18+'Monthly Forecast'!AA20+'Monthly Forecast'!AA27+'Monthly Forecast'!AA38+'Monthly Forecast'!AA45)</f>
        <v>58230.972263950251</v>
      </c>
      <c r="AC57" s="61">
        <f>$B$64*('Monthly Forecast'!AB11+'Monthly Forecast'!AB18+'Monthly Forecast'!AB20+'Monthly Forecast'!AB27+'Monthly Forecast'!AB38+'Monthly Forecast'!AB45)</f>
        <v>53684.395756861937</v>
      </c>
      <c r="AD57" s="61">
        <f>$B$64*('Monthly Forecast'!AC11+'Monthly Forecast'!AC18+'Monthly Forecast'!AC20+'Monthly Forecast'!AC27+'Monthly Forecast'!AC38+'Monthly Forecast'!AC45)</f>
        <v>54034.705322374044</v>
      </c>
      <c r="AE57" s="61">
        <f>$B$64*('Monthly Forecast'!AD11+'Monthly Forecast'!AD18+'Monthly Forecast'!AD20+'Monthly Forecast'!AD27+'Monthly Forecast'!AD38+'Monthly Forecast'!AD45)</f>
        <v>53460.619677659743</v>
      </c>
      <c r="AF57" s="61">
        <f>$B$64*('Monthly Forecast'!AE11+'Monthly Forecast'!AE18+'Monthly Forecast'!AE20+'Monthly Forecast'!AE27+'Monthly Forecast'!AE38+'Monthly Forecast'!AE45)</f>
        <v>67434.49078735373</v>
      </c>
      <c r="AG57" s="61">
        <f>$B$64*('Monthly Forecast'!AF11+'Monthly Forecast'!AF18+'Monthly Forecast'!AF20+'Monthly Forecast'!AF27+'Monthly Forecast'!AF38+'Monthly Forecast'!AF45)</f>
        <v>110915.66308377551</v>
      </c>
      <c r="AH57" s="61">
        <f>$B$64*('Monthly Forecast'!AG11+'Monthly Forecast'!AG18+'Monthly Forecast'!AG20+'Monthly Forecast'!AG27+'Monthly Forecast'!AG38+'Monthly Forecast'!AG45)</f>
        <v>163043.36831648159</v>
      </c>
      <c r="AI57" s="61">
        <f>$B$64*('Monthly Forecast'!AH11+'Monthly Forecast'!AH18+'Monthly Forecast'!AH20+'Monthly Forecast'!AH27+'Monthly Forecast'!AH38+'Monthly Forecast'!AH45)</f>
        <v>195126.14829354855</v>
      </c>
      <c r="AJ57" s="61">
        <f>$B$64*('Monthly Forecast'!AI11+'Monthly Forecast'!AI18+'Monthly Forecast'!AI20+'Monthly Forecast'!AI27+'Monthly Forecast'!AI38+'Monthly Forecast'!AI45)</f>
        <v>200043.74278253785</v>
      </c>
      <c r="AK57" s="61">
        <f>$B$64*('Monthly Forecast'!AJ11+'Monthly Forecast'!AJ18+'Monthly Forecast'!AJ20+'Monthly Forecast'!AJ27+'Monthly Forecast'!AJ38+'Monthly Forecast'!AJ45)</f>
        <v>154428.44200440633</v>
      </c>
      <c r="AL57" s="61">
        <f>$B$64*('Monthly Forecast'!AK11+'Monthly Forecast'!AK18+'Monthly Forecast'!AK20+'Monthly Forecast'!AK27+'Monthly Forecast'!AK38+'Monthly Forecast'!AK45)</f>
        <v>110999.53750596465</v>
      </c>
      <c r="AM57" s="61">
        <f>$B$64*('Monthly Forecast'!AL11+'Monthly Forecast'!AL18+'Monthly Forecast'!AL20+'Monthly Forecast'!AL27+'Monthly Forecast'!AL38+'Monthly Forecast'!AL45)</f>
        <v>74985.196758521895</v>
      </c>
      <c r="AN57" s="61">
        <f>$B$64*('Monthly Forecast'!AM11+'Monthly Forecast'!AM18+'Monthly Forecast'!AM20+'Monthly Forecast'!AM27+'Monthly Forecast'!AM38+'Monthly Forecast'!AM45)</f>
        <v>57616.275991656643</v>
      </c>
      <c r="AO57" s="61">
        <f>$B$64*('Monthly Forecast'!AN11+'Monthly Forecast'!AN18+'Monthly Forecast'!AN20+'Monthly Forecast'!AN27+'Monthly Forecast'!AN38+'Monthly Forecast'!AN45)</f>
        <v>53182.308690454411</v>
      </c>
      <c r="AP57" s="61">
        <f>$B$64*('Monthly Forecast'!AO11+'Monthly Forecast'!AO18+'Monthly Forecast'!AO20+'Monthly Forecast'!AO27+'Monthly Forecast'!AO38+'Monthly Forecast'!AO45)</f>
        <v>53546.65325677146</v>
      </c>
      <c r="AQ57" s="61">
        <f>$B$64*('Monthly Forecast'!AP11+'Monthly Forecast'!AP18+'Monthly Forecast'!AP20+'Monthly Forecast'!AP27+'Monthly Forecast'!AP38+'Monthly Forecast'!AP45)</f>
        <v>52973.697395133197</v>
      </c>
      <c r="AR57" s="61">
        <f>$B$64*('Monthly Forecast'!AQ11+'Monthly Forecast'!AQ18+'Monthly Forecast'!AQ20+'Monthly Forecast'!AQ27+'Monthly Forecast'!AQ38+'Monthly Forecast'!AQ45)</f>
        <v>66561.886121911622</v>
      </c>
      <c r="AS57" s="61">
        <f>$B$64*('Monthly Forecast'!AR11+'Monthly Forecast'!AR18+'Monthly Forecast'!AR20+'Monthly Forecast'!AR27+'Monthly Forecast'!AR38+'Monthly Forecast'!AR45)</f>
        <v>109723.59721316928</v>
      </c>
      <c r="AT57" s="61">
        <f>$B$64*('Monthly Forecast'!AS11+'Monthly Forecast'!AS18+'Monthly Forecast'!AS20+'Monthly Forecast'!AS27+'Monthly Forecast'!AS38+'Monthly Forecast'!AS45)</f>
        <v>161012.00411466247</v>
      </c>
      <c r="AU57" s="61">
        <f>$B$64*('Monthly Forecast'!AT11+'Monthly Forecast'!AT18+'Monthly Forecast'!AT20+'Monthly Forecast'!AT27+'Monthly Forecast'!AT38+'Monthly Forecast'!AT45)</f>
        <v>192572.4077098587</v>
      </c>
      <c r="AV57" s="61">
        <f>$B$64*('Monthly Forecast'!AU11+'Monthly Forecast'!AU18+'Monthly Forecast'!AU20+'Monthly Forecast'!AU27+'Monthly Forecast'!AU38+'Monthly Forecast'!AU45)</f>
        <v>197978.1494110928</v>
      </c>
      <c r="AW57" s="61">
        <f>$B$64*('Monthly Forecast'!AV11+'Monthly Forecast'!AV18+'Monthly Forecast'!AV20+'Monthly Forecast'!AV27+'Monthly Forecast'!AV38+'Monthly Forecast'!AV45)</f>
        <v>152949.45042069748</v>
      </c>
      <c r="AX57" s="61">
        <f>$B$64*('Monthly Forecast'!AW11+'Monthly Forecast'!AW18+'Monthly Forecast'!AW20+'Monthly Forecast'!AW27+'Monthly Forecast'!AW38+'Monthly Forecast'!AW45)</f>
        <v>110071.46268319699</v>
      </c>
      <c r="AY57" s="61">
        <f>$B$64*('Monthly Forecast'!AX11+'Monthly Forecast'!AX18+'Monthly Forecast'!AX20+'Monthly Forecast'!AX27+'Monthly Forecast'!AX38+'Monthly Forecast'!AX45)</f>
        <v>74724.768255165181</v>
      </c>
      <c r="AZ57" s="61">
        <f>$B$64*('Monthly Forecast'!AY11+'Monthly Forecast'!AY18+'Monthly Forecast'!AY20+'Monthly Forecast'!AY27+'Monthly Forecast'!AY38+'Monthly Forecast'!AY45)</f>
        <v>57485.587636998142</v>
      </c>
      <c r="BA57" s="61">
        <f>$B$64*('Monthly Forecast'!AZ11+'Monthly Forecast'!AZ18+'Monthly Forecast'!AZ20+'Monthly Forecast'!AZ27+'Monthly Forecast'!AZ38+'Monthly Forecast'!AZ45)</f>
        <v>53081.558852141236</v>
      </c>
      <c r="BB57" s="61">
        <f>$B$64*('Monthly Forecast'!BA11+'Monthly Forecast'!BA18+'Monthly Forecast'!BA20+'Monthly Forecast'!BA27+'Monthly Forecast'!BA38+'Monthly Forecast'!BA45)</f>
        <v>53548.490122299198</v>
      </c>
      <c r="BC57" s="61">
        <f>$B$64*('Monthly Forecast'!BB11+'Monthly Forecast'!BB18+'Monthly Forecast'!BB20+'Monthly Forecast'!BB27+'Monthly Forecast'!BB38+'Monthly Forecast'!BB45)</f>
        <v>52976.042990075708</v>
      </c>
      <c r="BD57" s="61">
        <f>$B$64*('Monthly Forecast'!BC11+'Monthly Forecast'!BC18+'Monthly Forecast'!BC20+'Monthly Forecast'!BC27+'Monthly Forecast'!BC38+'Monthly Forecast'!BC45)</f>
        <v>66535.154275572568</v>
      </c>
      <c r="BE57" s="61">
        <f>$B$64*('Monthly Forecast'!BD11+'Monthly Forecast'!BD18+'Monthly Forecast'!BD20+'Monthly Forecast'!BD27+'Monthly Forecast'!BD38+'Monthly Forecast'!BD45)</f>
        <v>109615.91992456737</v>
      </c>
      <c r="BF57" s="61">
        <f>$B$64*('Monthly Forecast'!BE11+'Monthly Forecast'!BE18+'Monthly Forecast'!BE20+'Monthly Forecast'!BE27+'Monthly Forecast'!BE38+'Monthly Forecast'!BE45)</f>
        <v>160799.79938316593</v>
      </c>
      <c r="BG57" s="61">
        <f>$B$64*('Monthly Forecast'!BF11+'Monthly Forecast'!BF18+'Monthly Forecast'!BF20+'Monthly Forecast'!BF27+'Monthly Forecast'!BF38+'Monthly Forecast'!BF45)</f>
        <v>192294.88326888328</v>
      </c>
      <c r="BH57" s="61">
        <f>$B$64*('Monthly Forecast'!BG11+'Monthly Forecast'!BG18+'Monthly Forecast'!BG20+'Monthly Forecast'!BG27+'Monthly Forecast'!BG38+'Monthly Forecast'!BG45)</f>
        <v>197443.15926212809</v>
      </c>
      <c r="BI57" s="61">
        <f>$B$64*('Monthly Forecast'!BH11+'Monthly Forecast'!BH18+'Monthly Forecast'!BH20+'Monthly Forecast'!BH27+'Monthly Forecast'!BH38+'Monthly Forecast'!BH45)</f>
        <v>152574.33376792417</v>
      </c>
      <c r="BJ57" s="61">
        <f>$B$64*('Monthly Forecast'!BI11+'Monthly Forecast'!BI18+'Monthly Forecast'!BI20+'Monthly Forecast'!BI27+'Monthly Forecast'!BI38+'Monthly Forecast'!BI45)</f>
        <v>109849.21339105698</v>
      </c>
      <c r="BK57" s="61">
        <f>$B$64*('Monthly Forecast'!BJ11+'Monthly Forecast'!BJ18+'Monthly Forecast'!BJ20+'Monthly Forecast'!BJ27+'Monthly Forecast'!BJ38+'Monthly Forecast'!BJ45)</f>
        <v>74809.65141489821</v>
      </c>
      <c r="BL57" s="61">
        <f>$B$64*('Monthly Forecast'!BK11+'Monthly Forecast'!BK18+'Monthly Forecast'!BK20+'Monthly Forecast'!BK27+'Monthly Forecast'!BK38+'Monthly Forecast'!BK45)</f>
        <v>57552.850531080425</v>
      </c>
      <c r="BM57" s="61">
        <f>$B$64*('Monthly Forecast'!BL11+'Monthly Forecast'!BL18+'Monthly Forecast'!BL20+'Monthly Forecast'!BL27+'Monthly Forecast'!BL38+'Monthly Forecast'!BL45)</f>
        <v>53144.932033056175</v>
      </c>
      <c r="BN57" s="61">
        <f>$B$64*('Monthly Forecast'!BM11+'Monthly Forecast'!BM18+'Monthly Forecast'!BM20+'Monthly Forecast'!BM27+'Monthly Forecast'!BM38+'Monthly Forecast'!BM45)</f>
        <v>53633.683442902409</v>
      </c>
      <c r="BO57" s="61">
        <f>$B$64*('Monthly Forecast'!BN11+'Monthly Forecast'!BN18+'Monthly Forecast'!BN20+'Monthly Forecast'!BN27+'Monthly Forecast'!BN38+'Monthly Forecast'!BN45)</f>
        <v>53061.642730987551</v>
      </c>
      <c r="BP57" s="61">
        <f>$B$64*('Monthly Forecast'!BO11+'Monthly Forecast'!BO18+'Monthly Forecast'!BO20+'Monthly Forecast'!BO27+'Monthly Forecast'!BO38+'Monthly Forecast'!BO45)</f>
        <v>66653.256718804056</v>
      </c>
      <c r="BQ57" s="61">
        <f>$B$64*('Monthly Forecast'!BP11+'Monthly Forecast'!BP18+'Monthly Forecast'!BP20+'Monthly Forecast'!BP27+'Monthly Forecast'!BP38+'Monthly Forecast'!BP45)</f>
        <v>109887.81884821014</v>
      </c>
      <c r="BR57" s="61">
        <f>$B$64*('Monthly Forecast'!BQ11+'Monthly Forecast'!BQ18+'Monthly Forecast'!BQ20+'Monthly Forecast'!BQ27+'Monthly Forecast'!BQ38+'Monthly Forecast'!BQ45)</f>
        <v>161223.53311284693</v>
      </c>
      <c r="BS57" s="61">
        <f>$B$64*('Monthly Forecast'!BR11+'Monthly Forecast'!BR18+'Monthly Forecast'!BR20+'Monthly Forecast'!BR27+'Monthly Forecast'!BR38+'Monthly Forecast'!BR45)</f>
        <v>192812.98531358276</v>
      </c>
      <c r="BT57" s="61">
        <f>$B$64*('Monthly Forecast'!BS11+'Monthly Forecast'!BS18+'Monthly Forecast'!BS20+'Monthly Forecast'!BS27+'Monthly Forecast'!BS38+'Monthly Forecast'!BS45)</f>
        <v>197882.03020936865</v>
      </c>
      <c r="BU57" s="61">
        <f>$B$64*('Monthly Forecast'!BT11+'Monthly Forecast'!BT18+'Monthly Forecast'!BT20+'Monthly Forecast'!BT27+'Monthly Forecast'!BT38+'Monthly Forecast'!BT45)</f>
        <v>152902.94987962159</v>
      </c>
      <c r="BV57" s="61">
        <f>$B$64*('Monthly Forecast'!BU11+'Monthly Forecast'!BU18+'Monthly Forecast'!BU20+'Monthly Forecast'!BU27+'Monthly Forecast'!BU38+'Monthly Forecast'!BU45)</f>
        <v>110076.00918344934</v>
      </c>
      <c r="BW57" s="61">
        <f>$B$64*('Monthly Forecast'!BV11+'Monthly Forecast'!BV18+'Monthly Forecast'!BV20+'Monthly Forecast'!BV27+'Monthly Forecast'!BV38+'Monthly Forecast'!BV45)</f>
        <v>75088.100753312276</v>
      </c>
      <c r="BX57" s="61">
        <f>$B$64*('Monthly Forecast'!BW11+'Monthly Forecast'!BW18+'Monthly Forecast'!BW20+'Monthly Forecast'!BW27+'Monthly Forecast'!BW38+'Monthly Forecast'!BW45)</f>
        <v>57730.522757154016</v>
      </c>
      <c r="BY57" s="61">
        <f>$B$64*('Monthly Forecast'!BX11+'Monthly Forecast'!BX18+'Monthly Forecast'!BX20+'Monthly Forecast'!BX27+'Monthly Forecast'!BX38+'Monthly Forecast'!BX45)</f>
        <v>53299.83061191142</v>
      </c>
      <c r="BZ57" s="61">
        <f>$B$64*('Monthly Forecast'!BY11+'Monthly Forecast'!BY18+'Monthly Forecast'!BY20+'Monthly Forecast'!BY27+'Monthly Forecast'!BY38+'Monthly Forecast'!BY45)</f>
        <v>53806.490460364119</v>
      </c>
      <c r="CA57" s="61">
        <f>$B$64*('Monthly Forecast'!BZ11+'Monthly Forecast'!BZ18+'Monthly Forecast'!BZ20+'Monthly Forecast'!BZ27+'Monthly Forecast'!BZ38+'Monthly Forecast'!BZ45)</f>
        <v>53234.754827075754</v>
      </c>
      <c r="CB57" s="61">
        <f>$B$64*('Monthly Forecast'!CA11+'Monthly Forecast'!CA18+'Monthly Forecast'!CA20+'Monthly Forecast'!CA27+'Monthly Forecast'!CA38+'Monthly Forecast'!CA45)</f>
        <v>66921.946563779144</v>
      </c>
      <c r="CC57" s="61">
        <f>$B$64*('Monthly Forecast'!CB11+'Monthly Forecast'!CB18+'Monthly Forecast'!CB20+'Monthly Forecast'!CB27+'Monthly Forecast'!CB38+'Monthly Forecast'!CB45)</f>
        <v>111545.00346403169</v>
      </c>
      <c r="CD57" s="61">
        <f>$B$64*('Monthly Forecast'!CC11+'Monthly Forecast'!CC18+'Monthly Forecast'!CC20+'Monthly Forecast'!CC27+'Monthly Forecast'!CC38+'Monthly Forecast'!CC45)</f>
        <v>163972.30712695545</v>
      </c>
      <c r="CE57" s="61">
        <f>$B$64*('Monthly Forecast'!CD11+'Monthly Forecast'!CD18+'Monthly Forecast'!CD20+'Monthly Forecast'!CD27+'Monthly Forecast'!CD38+'Monthly Forecast'!CD45)</f>
        <v>196238.11095027009</v>
      </c>
      <c r="CF57" s="61">
        <f>$B$64*('Monthly Forecast'!CE11+'Monthly Forecast'!CE18+'Monthly Forecast'!CE20+'Monthly Forecast'!CE27+'Monthly Forecast'!CE38+'Monthly Forecast'!CE45)</f>
        <v>201364.95520661064</v>
      </c>
      <c r="CG57" s="61">
        <f>$B$64*('Monthly Forecast'!CF11+'Monthly Forecast'!CF18+'Monthly Forecast'!CF20+'Monthly Forecast'!CF27+'Monthly Forecast'!CF38+'Monthly Forecast'!CF45)</f>
        <v>155427.78897913938</v>
      </c>
      <c r="CH57" s="61">
        <f>$B$64*('Monthly Forecast'!CG11+'Monthly Forecast'!CG18+'Monthly Forecast'!CG20+'Monthly Forecast'!CG27+'Monthly Forecast'!CG38+'Monthly Forecast'!CG45)</f>
        <v>111705.84888080289</v>
      </c>
      <c r="CI57" s="61">
        <f>$B$64*('Monthly Forecast'!CH11+'Monthly Forecast'!CH18+'Monthly Forecast'!CH20+'Monthly Forecast'!CH27+'Monthly Forecast'!CH38+'Monthly Forecast'!CH45)</f>
        <v>76011.658179623206</v>
      </c>
      <c r="CJ57" s="61"/>
    </row>
    <row r="58" spans="1:97" x14ac:dyDescent="0.2">
      <c r="A58" s="2">
        <v>46</v>
      </c>
      <c r="B58" s="33" t="s">
        <v>290</v>
      </c>
      <c r="C58" s="33"/>
      <c r="D58" s="105">
        <f>D54+D57</f>
        <v>94786.53</v>
      </c>
      <c r="E58" s="105">
        <f t="shared" ref="E58:BP58" si="85">E54+E57</f>
        <v>107148.73007123487</v>
      </c>
      <c r="F58" s="105">
        <f t="shared" si="85"/>
        <v>106981.70672006649</v>
      </c>
      <c r="G58" s="105">
        <f t="shared" si="85"/>
        <v>139190.74129470566</v>
      </c>
      <c r="H58" s="105">
        <f t="shared" si="85"/>
        <v>189813.39175290032</v>
      </c>
      <c r="I58" s="105">
        <f t="shared" si="85"/>
        <v>190871.8818808521</v>
      </c>
      <c r="J58" s="105">
        <f t="shared" si="85"/>
        <v>209254.56343666484</v>
      </c>
      <c r="K58" s="105">
        <f t="shared" si="85"/>
        <v>234678.63098269972</v>
      </c>
      <c r="L58" s="105">
        <f t="shared" si="85"/>
        <v>267953.30681991216</v>
      </c>
      <c r="M58" s="105">
        <f t="shared" si="85"/>
        <v>199336.73979407307</v>
      </c>
      <c r="N58" s="105">
        <f t="shared" si="85"/>
        <v>161391.92308803758</v>
      </c>
      <c r="O58" s="105">
        <f t="shared" si="85"/>
        <v>132075.70258767216</v>
      </c>
      <c r="P58" s="105">
        <f t="shared" si="85"/>
        <v>104477.04027927422</v>
      </c>
      <c r="Q58" s="105">
        <f t="shared" si="85"/>
        <v>111611.93365465253</v>
      </c>
      <c r="R58" s="105">
        <f t="shared" si="85"/>
        <v>109973.94643561862</v>
      </c>
      <c r="S58" s="105">
        <f t="shared" si="85"/>
        <v>142179.63228882226</v>
      </c>
      <c r="T58" s="105">
        <f t="shared" si="85"/>
        <v>194948.67939634481</v>
      </c>
      <c r="U58" s="105">
        <f t="shared" si="85"/>
        <v>198451.62646520912</v>
      </c>
      <c r="V58" s="105">
        <f t="shared" si="85"/>
        <v>221938.42211283173</v>
      </c>
      <c r="W58" s="105">
        <f t="shared" si="85"/>
        <v>250530.17369346175</v>
      </c>
      <c r="X58" s="105">
        <f t="shared" si="85"/>
        <v>275293.80135136913</v>
      </c>
      <c r="Y58" s="105">
        <f t="shared" si="85"/>
        <v>204646.82135485311</v>
      </c>
      <c r="Z58" s="105">
        <f t="shared" si="85"/>
        <v>164801.43037862901</v>
      </c>
      <c r="AA58" s="105">
        <f t="shared" si="85"/>
        <v>131485.82167964138</v>
      </c>
      <c r="AB58" s="105">
        <f t="shared" si="85"/>
        <v>103557.97226395024</v>
      </c>
      <c r="AC58" s="105">
        <f t="shared" si="85"/>
        <v>110857.39575686194</v>
      </c>
      <c r="AD58" s="105">
        <f t="shared" si="85"/>
        <v>109429.70532237404</v>
      </c>
      <c r="AE58" s="105">
        <f t="shared" si="85"/>
        <v>141636.61967765974</v>
      </c>
      <c r="AF58" s="105">
        <f t="shared" si="85"/>
        <v>193979.49078735372</v>
      </c>
      <c r="AG58" s="105">
        <f t="shared" si="85"/>
        <v>198016.66308377549</v>
      </c>
      <c r="AH58" s="105">
        <f t="shared" si="85"/>
        <v>221176.36831648159</v>
      </c>
      <c r="AI58" s="105">
        <f t="shared" si="85"/>
        <v>249565.14829354855</v>
      </c>
      <c r="AJ58" s="105">
        <f t="shared" si="85"/>
        <v>274864.74278253783</v>
      </c>
      <c r="AK58" s="105">
        <f t="shared" si="85"/>
        <v>204347.44200440633</v>
      </c>
      <c r="AL58" s="105">
        <f t="shared" si="85"/>
        <v>164627.53750596463</v>
      </c>
      <c r="AM58" s="105">
        <f t="shared" si="85"/>
        <v>130382.1967585219</v>
      </c>
      <c r="AN58" s="105">
        <f t="shared" si="85"/>
        <v>102943.27599165664</v>
      </c>
      <c r="AO58" s="105">
        <f t="shared" si="85"/>
        <v>110355.3086904544</v>
      </c>
      <c r="AP58" s="105">
        <f t="shared" si="85"/>
        <v>108941.65325677146</v>
      </c>
      <c r="AQ58" s="105">
        <f t="shared" si="85"/>
        <v>141149.6973951332</v>
      </c>
      <c r="AR58" s="105">
        <f t="shared" si="85"/>
        <v>193106.88612191164</v>
      </c>
      <c r="AS58" s="105">
        <f t="shared" si="85"/>
        <v>196824.59721316927</v>
      </c>
      <c r="AT58" s="105">
        <f t="shared" si="85"/>
        <v>219145.00411466247</v>
      </c>
      <c r="AU58" s="105">
        <f t="shared" si="85"/>
        <v>247011.4077098587</v>
      </c>
      <c r="AV58" s="105">
        <f t="shared" si="85"/>
        <v>272799.1494110928</v>
      </c>
      <c r="AW58" s="105">
        <f t="shared" si="85"/>
        <v>202868.45042069748</v>
      </c>
      <c r="AX58" s="105">
        <f t="shared" si="85"/>
        <v>163699.46268319699</v>
      </c>
      <c r="AY58" s="105">
        <f t="shared" si="85"/>
        <v>130121.76825516518</v>
      </c>
      <c r="AZ58" s="105">
        <f t="shared" si="85"/>
        <v>102812.58763699814</v>
      </c>
      <c r="BA58" s="105">
        <f t="shared" si="85"/>
        <v>110254.55885214123</v>
      </c>
      <c r="BB58" s="105">
        <f t="shared" si="85"/>
        <v>108943.4901222992</v>
      </c>
      <c r="BC58" s="105">
        <f t="shared" si="85"/>
        <v>141152.04299007572</v>
      </c>
      <c r="BD58" s="105">
        <f t="shared" si="85"/>
        <v>193080.15427557257</v>
      </c>
      <c r="BE58" s="105">
        <f t="shared" si="85"/>
        <v>196716.91992456737</v>
      </c>
      <c r="BF58" s="105">
        <f t="shared" si="85"/>
        <v>218932.79938316593</v>
      </c>
      <c r="BG58" s="105">
        <f t="shared" si="85"/>
        <v>246733.88326888328</v>
      </c>
      <c r="BH58" s="105">
        <f t="shared" si="85"/>
        <v>272264.15926212806</v>
      </c>
      <c r="BI58" s="105">
        <f t="shared" si="85"/>
        <v>202493.33376792417</v>
      </c>
      <c r="BJ58" s="105">
        <f t="shared" si="85"/>
        <v>163477.21339105698</v>
      </c>
      <c r="BK58" s="105">
        <f t="shared" si="85"/>
        <v>130206.65141489821</v>
      </c>
      <c r="BL58" s="105">
        <f t="shared" si="85"/>
        <v>102879.85053108042</v>
      </c>
      <c r="BM58" s="105">
        <f t="shared" si="85"/>
        <v>110317.93203305617</v>
      </c>
      <c r="BN58" s="105">
        <f t="shared" si="85"/>
        <v>109028.6834429024</v>
      </c>
      <c r="BO58" s="105">
        <f t="shared" si="85"/>
        <v>141237.64273098754</v>
      </c>
      <c r="BP58" s="105">
        <f t="shared" si="85"/>
        <v>193198.25671880407</v>
      </c>
      <c r="BQ58" s="105">
        <f t="shared" ref="BQ58:CI58" si="86">BQ54+BQ57</f>
        <v>196988.81884821015</v>
      </c>
      <c r="BR58" s="105">
        <f t="shared" si="86"/>
        <v>219356.53311284693</v>
      </c>
      <c r="BS58" s="105">
        <f t="shared" si="86"/>
        <v>247251.98531358276</v>
      </c>
      <c r="BT58" s="105">
        <f t="shared" si="86"/>
        <v>272703.03020936868</v>
      </c>
      <c r="BU58" s="105">
        <f t="shared" si="86"/>
        <v>202821.94987962159</v>
      </c>
      <c r="BV58" s="105">
        <f t="shared" si="86"/>
        <v>163704.00918344932</v>
      </c>
      <c r="BW58" s="105">
        <f t="shared" si="86"/>
        <v>130485.10075331228</v>
      </c>
      <c r="BX58" s="105">
        <f t="shared" si="86"/>
        <v>103057.52275715402</v>
      </c>
      <c r="BY58" s="105">
        <f t="shared" si="86"/>
        <v>110472.83061191143</v>
      </c>
      <c r="BZ58" s="105">
        <f t="shared" si="86"/>
        <v>109201.49046036412</v>
      </c>
      <c r="CA58" s="105">
        <f t="shared" si="86"/>
        <v>141410.75482707575</v>
      </c>
      <c r="CB58" s="105">
        <f t="shared" si="86"/>
        <v>193466.94656377914</v>
      </c>
      <c r="CC58" s="105">
        <f t="shared" si="86"/>
        <v>198646.00346403167</v>
      </c>
      <c r="CD58" s="105">
        <f t="shared" si="86"/>
        <v>222105.30712695545</v>
      </c>
      <c r="CE58" s="105">
        <f t="shared" si="86"/>
        <v>250677.11095027009</v>
      </c>
      <c r="CF58" s="105">
        <f t="shared" si="86"/>
        <v>276185.95520661061</v>
      </c>
      <c r="CG58" s="105">
        <f t="shared" si="86"/>
        <v>205346.78897913938</v>
      </c>
      <c r="CH58" s="105">
        <f t="shared" si="86"/>
        <v>165333.84888080289</v>
      </c>
      <c r="CI58" s="105">
        <f t="shared" si="86"/>
        <v>131408.65817962319</v>
      </c>
    </row>
    <row r="59" spans="1:97" x14ac:dyDescent="0.2">
      <c r="B59" s="172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98"/>
      <c r="CG59" s="98"/>
      <c r="CH59" s="98"/>
      <c r="CI59" s="98"/>
    </row>
    <row r="60" spans="1:97" x14ac:dyDescent="0.2">
      <c r="B60" s="673"/>
      <c r="C60" s="17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  <c r="BO60" s="98"/>
      <c r="BP60" s="98"/>
      <c r="BQ60" s="98"/>
      <c r="BR60" s="98"/>
      <c r="BS60" s="98"/>
      <c r="BT60" s="98"/>
      <c r="BU60" s="98"/>
      <c r="BV60" s="98"/>
      <c r="BW60" s="98"/>
      <c r="BX60" s="98"/>
      <c r="BY60" s="98"/>
      <c r="BZ60" s="98"/>
      <c r="CA60" s="98"/>
      <c r="CB60" s="98"/>
      <c r="CC60" s="98"/>
      <c r="CD60" s="98"/>
      <c r="CE60" s="98"/>
      <c r="CF60" s="98"/>
      <c r="CG60" s="98"/>
      <c r="CH60" s="98"/>
      <c r="CI60" s="98"/>
      <c r="CJ60" s="17"/>
      <c r="CK60" s="17"/>
      <c r="CL60" s="17"/>
      <c r="CM60" s="17"/>
      <c r="CN60" s="17"/>
      <c r="CO60" s="17"/>
      <c r="CP60" s="17"/>
      <c r="CQ60" s="17"/>
      <c r="CR60" s="17"/>
      <c r="CS60" s="17"/>
    </row>
    <row r="61" spans="1:97" x14ac:dyDescent="0.2">
      <c r="B61" s="17"/>
      <c r="C61" s="142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17"/>
      <c r="CK61" s="17"/>
      <c r="CL61" s="17"/>
      <c r="CM61" s="17"/>
      <c r="CN61" s="17"/>
      <c r="CO61" s="17"/>
      <c r="CP61" s="17"/>
      <c r="CQ61" s="17"/>
      <c r="CR61" s="17"/>
      <c r="CS61" s="17"/>
    </row>
    <row r="62" spans="1:97" x14ac:dyDescent="0.2">
      <c r="B62" s="17"/>
      <c r="C62" s="17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W62" s="143"/>
      <c r="AX62" s="143"/>
      <c r="AY62" s="143"/>
      <c r="AZ62" s="143"/>
      <c r="BA62" s="143"/>
      <c r="BB62" s="143"/>
      <c r="BC62" s="143"/>
      <c r="BD62" s="143"/>
      <c r="BE62" s="143"/>
      <c r="BF62" s="143"/>
      <c r="BG62" s="143"/>
      <c r="BH62" s="143"/>
      <c r="BI62" s="143"/>
      <c r="BJ62" s="143"/>
      <c r="BK62" s="143"/>
      <c r="BL62" s="143"/>
      <c r="BM62" s="143"/>
      <c r="BN62" s="143"/>
      <c r="BO62" s="143"/>
      <c r="BP62" s="143"/>
      <c r="BQ62" s="143"/>
      <c r="BR62" s="143"/>
      <c r="BS62" s="143"/>
      <c r="BT62" s="143"/>
      <c r="BU62" s="143"/>
      <c r="BV62" s="143"/>
      <c r="BW62" s="143"/>
      <c r="BX62" s="143"/>
      <c r="BY62" s="143"/>
      <c r="BZ62" s="143"/>
      <c r="CA62" s="143"/>
      <c r="CB62" s="143"/>
      <c r="CC62" s="143"/>
      <c r="CD62" s="143"/>
      <c r="CE62" s="143"/>
      <c r="CF62" s="143"/>
      <c r="CG62" s="143"/>
      <c r="CH62" s="143"/>
      <c r="CI62" s="143"/>
      <c r="CJ62" s="17"/>
      <c r="CK62" s="17"/>
      <c r="CL62" s="17"/>
      <c r="CM62" s="17"/>
      <c r="CN62" s="17"/>
      <c r="CO62" s="17"/>
      <c r="CP62" s="17"/>
      <c r="CQ62" s="17"/>
      <c r="CR62" s="17"/>
      <c r="CS62" s="17"/>
    </row>
    <row r="63" spans="1:97" x14ac:dyDescent="0.2"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</row>
    <row r="64" spans="1:97" x14ac:dyDescent="0.2">
      <c r="B64" s="216">
        <v>8.8999999999999999E-3</v>
      </c>
      <c r="C64" s="15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</row>
    <row r="65" spans="1:87" s="17" customFormat="1" x14ac:dyDescent="0.2">
      <c r="A65" s="2"/>
      <c r="C65" s="24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</row>
    <row r="66" spans="1:87" s="17" customFormat="1" x14ac:dyDescent="0.2">
      <c r="A66" s="2"/>
      <c r="C66" s="24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</row>
    <row r="67" spans="1:87" s="17" customFormat="1" x14ac:dyDescent="0.2">
      <c r="A67" s="2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</row>
    <row r="68" spans="1:87" s="17" customFormat="1" x14ac:dyDescent="0.2">
      <c r="A68" s="2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</row>
    <row r="69" spans="1:87" s="17" customFormat="1" x14ac:dyDescent="0.2">
      <c r="A69" s="2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</row>
    <row r="70" spans="1:87" s="17" customFormat="1" x14ac:dyDescent="0.2">
      <c r="A70" s="2"/>
    </row>
    <row r="71" spans="1:87" s="17" customFormat="1" x14ac:dyDescent="0.2">
      <c r="A71" s="2"/>
      <c r="B71" s="36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</row>
    <row r="72" spans="1:87" s="17" customFormat="1" x14ac:dyDescent="0.2">
      <c r="A72" s="2"/>
      <c r="C72" s="56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</row>
    <row r="73" spans="1:87" s="17" customFormat="1" x14ac:dyDescent="0.2">
      <c r="A73" s="2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</row>
    <row r="74" spans="1:87" s="17" customFormat="1" x14ac:dyDescent="0.2">
      <c r="A74" s="2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</row>
    <row r="75" spans="1:87" s="17" customFormat="1" x14ac:dyDescent="0.2">
      <c r="A75" s="2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</row>
    <row r="76" spans="1:87" s="17" customFormat="1" x14ac:dyDescent="0.2">
      <c r="A76" s="2"/>
      <c r="C76" s="24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</row>
    <row r="77" spans="1:87" s="17" customFormat="1" x14ac:dyDescent="0.2">
      <c r="A77" s="2"/>
      <c r="C77" s="24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</row>
    <row r="78" spans="1:87" s="17" customFormat="1" x14ac:dyDescent="0.2">
      <c r="A78" s="2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</row>
    <row r="79" spans="1:87" s="17" customFormat="1" x14ac:dyDescent="0.2">
      <c r="A79" s="2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</row>
    <row r="80" spans="1:87" s="17" customFormat="1" x14ac:dyDescent="0.2">
      <c r="A80" s="2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</row>
    <row r="81" spans="1:63" s="17" customFormat="1" x14ac:dyDescent="0.2">
      <c r="A81" s="2"/>
    </row>
    <row r="82" spans="1:63" s="17" customFormat="1" x14ac:dyDescent="0.2">
      <c r="A82" s="2"/>
      <c r="B82" s="36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</row>
    <row r="83" spans="1:63" s="17" customFormat="1" x14ac:dyDescent="0.2">
      <c r="A83" s="2"/>
      <c r="C83" s="56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</row>
    <row r="84" spans="1:63" s="17" customFormat="1" x14ac:dyDescent="0.2">
      <c r="A84" s="2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</row>
    <row r="85" spans="1:63" s="17" customFormat="1" x14ac:dyDescent="0.2">
      <c r="A85" s="2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</row>
    <row r="86" spans="1:63" s="17" customFormat="1" x14ac:dyDescent="0.2">
      <c r="A86" s="2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</row>
    <row r="87" spans="1:63" s="17" customFormat="1" x14ac:dyDescent="0.2">
      <c r="A87" s="2"/>
      <c r="C87" s="24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</row>
    <row r="88" spans="1:63" s="17" customFormat="1" x14ac:dyDescent="0.2">
      <c r="A88" s="2"/>
      <c r="C88" s="24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</row>
    <row r="89" spans="1:63" s="17" customFormat="1" x14ac:dyDescent="0.2">
      <c r="A89" s="2"/>
      <c r="C89" s="24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</row>
    <row r="90" spans="1:63" s="17" customFormat="1" x14ac:dyDescent="0.2">
      <c r="A90" s="2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</row>
    <row r="91" spans="1:63" s="17" customFormat="1" x14ac:dyDescent="0.2">
      <c r="A91" s="2"/>
      <c r="Z91" s="24"/>
      <c r="AA91" s="23"/>
    </row>
    <row r="92" spans="1:63" s="17" customFormat="1" x14ac:dyDescent="0.2">
      <c r="A92" s="2"/>
      <c r="B92" s="36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</row>
    <row r="93" spans="1:63" s="17" customFormat="1" x14ac:dyDescent="0.2">
      <c r="A93" s="2"/>
      <c r="C93" s="56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</row>
    <row r="94" spans="1:63" s="17" customFormat="1" x14ac:dyDescent="0.2">
      <c r="A94" s="2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</row>
    <row r="95" spans="1:63" s="17" customFormat="1" x14ac:dyDescent="0.2">
      <c r="A95" s="2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</row>
    <row r="96" spans="1:63" s="17" customFormat="1" x14ac:dyDescent="0.2">
      <c r="A96" s="2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</row>
    <row r="97" spans="1:63" s="17" customFormat="1" x14ac:dyDescent="0.2">
      <c r="A97" s="2"/>
      <c r="C97" s="24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</row>
    <row r="98" spans="1:63" s="17" customFormat="1" x14ac:dyDescent="0.2">
      <c r="A98" s="2"/>
      <c r="C98" s="24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</row>
    <row r="99" spans="1:63" s="17" customFormat="1" x14ac:dyDescent="0.2">
      <c r="A99" s="2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</row>
    <row r="100" spans="1:63" s="17" customFormat="1" x14ac:dyDescent="0.2">
      <c r="A100" s="2"/>
    </row>
    <row r="101" spans="1:63" s="17" customFormat="1" x14ac:dyDescent="0.2">
      <c r="A101" s="2"/>
      <c r="B101" s="36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  <c r="BH101" s="98"/>
      <c r="BI101" s="98"/>
      <c r="BJ101" s="98"/>
      <c r="BK101" s="98"/>
    </row>
    <row r="102" spans="1:63" s="17" customFormat="1" x14ac:dyDescent="0.2">
      <c r="A102" s="2"/>
      <c r="C102" s="56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</row>
    <row r="103" spans="1:63" s="17" customFormat="1" x14ac:dyDescent="0.2">
      <c r="A103" s="2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</row>
    <row r="104" spans="1:63" s="17" customFormat="1" x14ac:dyDescent="0.2">
      <c r="A104" s="2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</row>
    <row r="105" spans="1:63" s="17" customFormat="1" x14ac:dyDescent="0.2">
      <c r="A105" s="2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</row>
    <row r="106" spans="1:63" s="17" customFormat="1" x14ac:dyDescent="0.2">
      <c r="A106" s="2"/>
      <c r="C106" s="100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</row>
    <row r="107" spans="1:63" s="17" customFormat="1" x14ac:dyDescent="0.2">
      <c r="C107" s="100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</row>
    <row r="108" spans="1:63" s="17" customFormat="1" x14ac:dyDescent="0.2"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</row>
    <row r="109" spans="1:63" s="17" customFormat="1" x14ac:dyDescent="0.2"/>
    <row r="110" spans="1:63" s="17" customFormat="1" x14ac:dyDescent="0.2"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</row>
    <row r="111" spans="1:63" s="17" customFormat="1" x14ac:dyDescent="0.2">
      <c r="C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</row>
    <row r="112" spans="1:63" s="17" customFormat="1" x14ac:dyDescent="0.2">
      <c r="C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</row>
    <row r="113" spans="1:63" s="17" customFormat="1" x14ac:dyDescent="0.2"/>
    <row r="114" spans="1:63" s="17" customFormat="1" x14ac:dyDescent="0.2"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</row>
    <row r="115" spans="1:63" s="17" customFormat="1" x14ac:dyDescent="0.2"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</row>
    <row r="116" spans="1:63" s="17" customFormat="1" x14ac:dyDescent="0.2"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</row>
    <row r="117" spans="1:63" s="17" customFormat="1" x14ac:dyDescent="0.2"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</row>
    <row r="118" spans="1:63" s="17" customFormat="1" x14ac:dyDescent="0.2"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</row>
    <row r="119" spans="1:63" s="17" customFormat="1" x14ac:dyDescent="0.2"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</row>
    <row r="120" spans="1:63" s="17" customFormat="1" x14ac:dyDescent="0.2"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</row>
    <row r="121" spans="1:63" s="17" customFormat="1" x14ac:dyDescent="0.2"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</row>
    <row r="122" spans="1:63" s="17" customFormat="1" x14ac:dyDescent="0.2"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</row>
    <row r="123" spans="1:63" s="17" customFormat="1" x14ac:dyDescent="0.2">
      <c r="B123" s="36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5"/>
      <c r="AA123" s="23"/>
    </row>
    <row r="124" spans="1:63" s="17" customFormat="1" x14ac:dyDescent="0.2">
      <c r="C124" s="56"/>
      <c r="P124" s="23"/>
      <c r="R124" s="56"/>
      <c r="S124" s="22"/>
      <c r="U124" s="38"/>
      <c r="Z124" s="24"/>
      <c r="AA124" s="23"/>
    </row>
    <row r="125" spans="1:63" s="17" customFormat="1" x14ac:dyDescent="0.2">
      <c r="C125" s="56"/>
      <c r="P125" s="23"/>
      <c r="R125" s="56"/>
      <c r="S125" s="23"/>
      <c r="U125" s="38"/>
      <c r="Z125" s="24"/>
      <c r="AA125" s="23"/>
    </row>
    <row r="126" spans="1:63" s="17" customFormat="1" x14ac:dyDescent="0.2">
      <c r="C126" s="16"/>
      <c r="R126" s="16"/>
      <c r="S126" s="38"/>
      <c r="U126" s="38"/>
      <c r="Z126" s="24"/>
      <c r="AA126" s="23"/>
    </row>
    <row r="127" spans="1:63" x14ac:dyDescent="0.2">
      <c r="A127" s="17"/>
      <c r="B127" s="17"/>
      <c r="C127" s="5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23"/>
      <c r="Q127" s="78"/>
      <c r="R127" s="57"/>
      <c r="S127" s="23"/>
      <c r="T127" s="17"/>
      <c r="U127" s="53"/>
      <c r="V127" s="77"/>
      <c r="Z127" s="24"/>
      <c r="AA127" s="23"/>
    </row>
    <row r="128" spans="1:63" x14ac:dyDescent="0.2">
      <c r="A128" s="17"/>
      <c r="B128" s="17"/>
      <c r="C128" s="24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23"/>
      <c r="R128" s="24"/>
      <c r="S128" s="23"/>
      <c r="T128" s="17"/>
      <c r="U128" s="53"/>
      <c r="V128" s="24"/>
      <c r="Y128" s="23"/>
      <c r="Z128" s="24"/>
      <c r="AA128" s="23"/>
    </row>
    <row r="129" spans="1:27" x14ac:dyDescent="0.2">
      <c r="A129" s="17"/>
      <c r="B129" s="17"/>
      <c r="C129" s="24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23"/>
      <c r="R129" s="24"/>
      <c r="S129" s="23"/>
      <c r="T129" s="17"/>
      <c r="U129" s="53"/>
      <c r="V129" s="24"/>
      <c r="Y129" s="23"/>
      <c r="Z129" s="24"/>
      <c r="AA129" s="23"/>
    </row>
    <row r="130" spans="1:27" x14ac:dyDescent="0.2">
      <c r="A130" s="17"/>
      <c r="B130" s="17"/>
      <c r="C130" s="24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23"/>
      <c r="R130" s="24"/>
      <c r="S130" s="23"/>
      <c r="T130" s="17"/>
      <c r="U130" s="53"/>
      <c r="V130" s="24"/>
      <c r="Y130" s="23"/>
      <c r="Z130" s="24"/>
      <c r="AA130" s="23"/>
    </row>
    <row r="131" spans="1:27" x14ac:dyDescent="0.2">
      <c r="A131" s="17"/>
      <c r="B131" s="17"/>
      <c r="C131" s="24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23"/>
      <c r="Q131" s="23"/>
      <c r="R131" s="24"/>
      <c r="S131" s="23"/>
      <c r="T131" s="17"/>
      <c r="U131" s="38"/>
      <c r="V131" s="23"/>
      <c r="W131" s="38"/>
      <c r="Y131" s="23"/>
      <c r="Z131" s="24"/>
      <c r="AA131" s="23"/>
    </row>
    <row r="132" spans="1:27" x14ac:dyDescent="0.2">
      <c r="A132" s="17"/>
      <c r="B132" s="17"/>
      <c r="C132" s="24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23"/>
      <c r="Q132" s="23"/>
      <c r="R132" s="24"/>
      <c r="S132" s="23"/>
      <c r="T132" s="17"/>
      <c r="U132" s="38"/>
      <c r="V132" s="23"/>
      <c r="W132" s="38"/>
      <c r="Y132" s="23"/>
      <c r="Z132" s="24"/>
      <c r="AA132" s="23"/>
    </row>
    <row r="133" spans="1:27" x14ac:dyDescent="0.2">
      <c r="A133" s="17"/>
      <c r="B133" s="17"/>
      <c r="C133" s="24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23"/>
      <c r="Q133" s="23"/>
      <c r="R133" s="24"/>
      <c r="S133" s="23"/>
      <c r="T133" s="17"/>
      <c r="U133" s="38"/>
      <c r="V133" s="24"/>
      <c r="W133" s="52"/>
      <c r="Y133" s="23"/>
      <c r="Z133" s="24"/>
      <c r="AA133" s="23"/>
    </row>
    <row r="134" spans="1:27" x14ac:dyDescent="0.2">
      <c r="A134" s="17"/>
      <c r="B134" s="17"/>
      <c r="C134" s="24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23"/>
      <c r="Q134" s="23"/>
      <c r="R134" s="24"/>
      <c r="S134" s="23"/>
      <c r="T134" s="17"/>
      <c r="U134" s="38"/>
      <c r="V134" s="24"/>
      <c r="Y134" s="23"/>
      <c r="Z134" s="24"/>
      <c r="AA134" s="23"/>
    </row>
    <row r="135" spans="1:27" x14ac:dyDescent="0.2">
      <c r="A135" s="17"/>
      <c r="B135" s="17"/>
      <c r="C135" s="24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23"/>
      <c r="Q135" s="23"/>
      <c r="R135" s="24"/>
      <c r="S135" s="23"/>
      <c r="T135" s="17"/>
      <c r="U135" s="38"/>
      <c r="V135" s="24"/>
      <c r="Y135" s="23"/>
      <c r="Z135" s="24"/>
      <c r="AA135" s="23"/>
    </row>
    <row r="136" spans="1:27" x14ac:dyDescent="0.2">
      <c r="A136" s="17"/>
      <c r="B136" s="17"/>
      <c r="C136" s="24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23"/>
      <c r="Q136" s="23"/>
      <c r="R136" s="24"/>
      <c r="S136" s="23"/>
      <c r="T136" s="17"/>
      <c r="U136" s="38"/>
      <c r="V136" s="24"/>
      <c r="Y136" s="23"/>
      <c r="Z136" s="24"/>
      <c r="AA136" s="23"/>
    </row>
    <row r="137" spans="1:27" x14ac:dyDescent="0.2">
      <c r="A137" s="17"/>
      <c r="B137" s="17"/>
      <c r="C137" s="24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23"/>
      <c r="R137" s="24"/>
      <c r="S137" s="23"/>
      <c r="T137" s="17"/>
      <c r="U137" s="53"/>
      <c r="V137" s="24"/>
      <c r="Y137" s="23"/>
      <c r="Z137" s="24"/>
      <c r="AA137" s="23"/>
    </row>
    <row r="138" spans="1:27" x14ac:dyDescent="0.2">
      <c r="A138" s="17"/>
      <c r="B138" s="17"/>
      <c r="C138" s="24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23"/>
      <c r="R138" s="24"/>
      <c r="S138" s="23"/>
      <c r="T138" s="17"/>
      <c r="U138" s="53"/>
      <c r="V138" s="24"/>
      <c r="Y138" s="23"/>
      <c r="Z138" s="24"/>
      <c r="AA138" s="23"/>
    </row>
    <row r="139" spans="1:27" x14ac:dyDescent="0.2">
      <c r="A139" s="17"/>
      <c r="B139" s="17"/>
      <c r="C139" s="24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23"/>
      <c r="R139" s="24"/>
      <c r="S139" s="23"/>
      <c r="T139" s="17"/>
      <c r="U139" s="53"/>
      <c r="Z139" s="24"/>
      <c r="AA139" s="23"/>
    </row>
    <row r="140" spans="1:27" x14ac:dyDescent="0.2">
      <c r="A140" s="17"/>
      <c r="B140" s="17"/>
      <c r="C140" s="24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23"/>
      <c r="R140" s="24"/>
      <c r="S140" s="23"/>
      <c r="T140" s="17"/>
      <c r="U140" s="53"/>
      <c r="Z140" s="24"/>
      <c r="AA140" s="23"/>
    </row>
    <row r="141" spans="1:27" x14ac:dyDescent="0.2">
      <c r="A141" s="17"/>
      <c r="B141" s="17"/>
      <c r="C141" s="79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77"/>
      <c r="R141" s="79"/>
      <c r="S141" s="23"/>
      <c r="T141" s="17"/>
      <c r="U141" s="53"/>
      <c r="Z141" s="24"/>
      <c r="AA141" s="23"/>
    </row>
    <row r="142" spans="1:27" x14ac:dyDescent="0.2">
      <c r="A142" s="17"/>
      <c r="B142" s="17"/>
      <c r="C142" s="24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45"/>
      <c r="R142" s="24"/>
      <c r="S142" s="23"/>
      <c r="T142" s="17"/>
      <c r="U142" s="38"/>
      <c r="V142" s="23"/>
      <c r="X142" s="52"/>
      <c r="Y142" s="23"/>
      <c r="Z142" s="24"/>
      <c r="AA142" s="23"/>
    </row>
    <row r="143" spans="1:27" x14ac:dyDescent="0.2">
      <c r="A143" s="17"/>
      <c r="B143" s="17"/>
      <c r="C143" s="79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45"/>
      <c r="R143" s="79"/>
      <c r="S143" s="23"/>
      <c r="T143" s="17"/>
      <c r="U143" s="38"/>
      <c r="V143" s="49"/>
      <c r="X143" s="52"/>
      <c r="Y143" s="23"/>
      <c r="Z143" s="24"/>
      <c r="AA143" s="23"/>
    </row>
    <row r="144" spans="1:27" x14ac:dyDescent="0.2">
      <c r="A144" s="17"/>
      <c r="B144" s="17"/>
      <c r="C144" s="24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23"/>
      <c r="Q144" s="23"/>
      <c r="R144" s="24"/>
      <c r="S144" s="23"/>
      <c r="T144" s="17"/>
      <c r="U144" s="38"/>
      <c r="V144" s="24"/>
      <c r="Y144" s="23"/>
      <c r="Z144" s="24"/>
      <c r="AA144" s="23"/>
    </row>
    <row r="145" spans="1:27" x14ac:dyDescent="0.2">
      <c r="A145" s="17"/>
      <c r="B145" s="17"/>
      <c r="C145" s="79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23"/>
      <c r="Q145" s="23"/>
      <c r="R145" s="79"/>
      <c r="S145" s="23"/>
      <c r="T145" s="17"/>
      <c r="U145" s="38"/>
      <c r="V145" s="24"/>
      <c r="Y145" s="23"/>
      <c r="Z145" s="24"/>
      <c r="AA145" s="23"/>
    </row>
    <row r="146" spans="1:27" x14ac:dyDescent="0.2">
      <c r="A146" s="17"/>
      <c r="B146" s="17"/>
      <c r="C146" s="24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23"/>
      <c r="R146" s="24"/>
      <c r="S146" s="23"/>
      <c r="T146" s="17"/>
      <c r="U146" s="38"/>
      <c r="V146" s="24"/>
      <c r="Y146" s="23"/>
      <c r="Z146" s="24"/>
      <c r="AA146" s="23"/>
    </row>
    <row r="147" spans="1:27" x14ac:dyDescent="0.2">
      <c r="A147" s="17"/>
      <c r="B147" s="17"/>
      <c r="C147" s="79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23"/>
      <c r="R147" s="79"/>
      <c r="S147" s="23"/>
      <c r="T147" s="17"/>
      <c r="U147" s="38"/>
      <c r="V147" s="23"/>
      <c r="Y147" s="23"/>
      <c r="Z147" s="24"/>
      <c r="AA147" s="23"/>
    </row>
    <row r="148" spans="1:27" x14ac:dyDescent="0.2">
      <c r="A148" s="17"/>
      <c r="B148" s="17"/>
      <c r="C148" s="24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24"/>
      <c r="S148" s="23"/>
      <c r="T148" s="17"/>
      <c r="U148" s="38"/>
      <c r="V148" s="24"/>
      <c r="Y148" s="23"/>
      <c r="Z148" s="24"/>
      <c r="AA148" s="23"/>
    </row>
    <row r="149" spans="1:27" x14ac:dyDescent="0.2">
      <c r="A149" s="17"/>
      <c r="B149" s="17"/>
      <c r="C149" s="24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77"/>
      <c r="Q149" s="17"/>
      <c r="R149" s="24"/>
      <c r="S149" s="23"/>
      <c r="T149" s="64"/>
      <c r="U149" s="38"/>
      <c r="V149" s="24"/>
      <c r="Y149" s="23"/>
      <c r="Z149" s="24"/>
      <c r="AA149" s="23"/>
    </row>
    <row r="150" spans="1:27" x14ac:dyDescent="0.2">
      <c r="A150" s="17"/>
      <c r="B150" s="17"/>
      <c r="C150" s="24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77"/>
      <c r="R150" s="24"/>
      <c r="S150" s="23"/>
      <c r="T150" s="17"/>
      <c r="U150" s="53"/>
      <c r="V150" s="24"/>
      <c r="Y150" s="23"/>
      <c r="Z150" s="24"/>
      <c r="AA150" s="23"/>
    </row>
    <row r="151" spans="1:27" x14ac:dyDescent="0.2">
      <c r="A151" s="17"/>
      <c r="B151" s="17"/>
      <c r="C151" s="80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23"/>
      <c r="Q151" s="45"/>
      <c r="R151" s="80"/>
      <c r="S151" s="23"/>
      <c r="T151" s="17"/>
      <c r="U151" s="38"/>
      <c r="V151" s="24"/>
      <c r="Y151" s="23"/>
      <c r="Z151" s="24"/>
      <c r="AA151" s="23"/>
    </row>
    <row r="152" spans="1:27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38"/>
      <c r="Q152" s="38"/>
      <c r="R152" s="17"/>
      <c r="S152" s="39"/>
      <c r="T152" s="17"/>
      <c r="U152" s="38"/>
      <c r="V152" s="49"/>
      <c r="Y152" s="23"/>
      <c r="Z152" s="24"/>
      <c r="AA152" s="23"/>
    </row>
    <row r="153" spans="1:27" x14ac:dyDescent="0.2">
      <c r="A153" s="17"/>
      <c r="B153" s="17"/>
      <c r="C153" s="24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23"/>
      <c r="Q153" s="23"/>
      <c r="R153" s="24"/>
      <c r="S153" s="23"/>
      <c r="T153" s="17"/>
      <c r="U153" s="45"/>
      <c r="V153" s="24"/>
      <c r="Y153" s="23"/>
      <c r="Z153" s="24"/>
      <c r="AA153" s="23"/>
    </row>
    <row r="154" spans="1:27" x14ac:dyDescent="0.2">
      <c r="A154" s="17"/>
      <c r="B154" s="17"/>
      <c r="C154" s="24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23"/>
      <c r="Q154" s="23"/>
      <c r="R154" s="24"/>
      <c r="S154" s="23"/>
      <c r="T154" s="17"/>
      <c r="U154" s="23"/>
      <c r="V154" s="24"/>
      <c r="Y154" s="23"/>
      <c r="Z154" s="24"/>
      <c r="AA154" s="23"/>
    </row>
    <row r="155" spans="1:27" x14ac:dyDescent="0.2">
      <c r="A155" s="17"/>
      <c r="B155" s="42"/>
      <c r="C155" s="24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23"/>
      <c r="Q155" s="23"/>
      <c r="R155" s="24"/>
      <c r="S155" s="23"/>
      <c r="T155" s="17"/>
      <c r="V155" s="24"/>
      <c r="Y155" s="23"/>
      <c r="Z155" s="24"/>
      <c r="AA155" s="23"/>
    </row>
    <row r="156" spans="1:27" x14ac:dyDescent="0.2">
      <c r="A156" s="17"/>
      <c r="B156" s="42"/>
      <c r="C156" s="56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23"/>
      <c r="Q156" s="23"/>
      <c r="R156" s="56"/>
      <c r="S156" s="23"/>
      <c r="T156" s="64"/>
      <c r="V156" s="49"/>
      <c r="Y156" s="23"/>
      <c r="Z156" s="24"/>
      <c r="AA156" s="23"/>
    </row>
    <row r="157" spans="1:27" x14ac:dyDescent="0.2">
      <c r="A157" s="17"/>
      <c r="B157" s="42"/>
      <c r="C157" s="4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23"/>
      <c r="Q157" s="23"/>
      <c r="R157" s="49"/>
      <c r="S157" s="17"/>
      <c r="T157" s="64"/>
      <c r="U157" s="38"/>
      <c r="V157" s="49"/>
      <c r="Y157" s="23"/>
      <c r="Z157" s="24"/>
      <c r="AA157" s="23"/>
    </row>
    <row r="158" spans="1:27" x14ac:dyDescent="0.2">
      <c r="A158" s="17"/>
      <c r="B158" s="42"/>
      <c r="C158" s="80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23"/>
      <c r="Q158" s="23"/>
      <c r="R158" s="80"/>
      <c r="S158" s="38"/>
      <c r="T158" s="64"/>
      <c r="U158" s="38"/>
      <c r="V158" s="64"/>
      <c r="Y158" s="23"/>
      <c r="Z158" s="24"/>
      <c r="AA158" s="23"/>
    </row>
    <row r="159" spans="1:27" x14ac:dyDescent="0.2">
      <c r="A159" s="17"/>
      <c r="B159" s="42"/>
      <c r="C159" s="24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23"/>
      <c r="Q159" s="23"/>
      <c r="R159" s="24"/>
      <c r="S159" s="23"/>
      <c r="T159" s="64"/>
      <c r="U159" s="38"/>
      <c r="V159" s="24"/>
      <c r="Y159" s="23"/>
      <c r="Z159" s="24"/>
      <c r="AA159" s="23"/>
    </row>
    <row r="160" spans="1:27" x14ac:dyDescent="0.2">
      <c r="A160" s="17"/>
      <c r="B160" s="42"/>
      <c r="C160" s="24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23"/>
      <c r="Q160" s="23"/>
      <c r="R160" s="24"/>
      <c r="S160" s="23"/>
      <c r="T160" s="17"/>
      <c r="U160" s="38"/>
      <c r="V160" s="24"/>
      <c r="Y160" s="23"/>
      <c r="Z160" s="24"/>
      <c r="AA160" s="23"/>
    </row>
    <row r="161" spans="1:27" x14ac:dyDescent="0.2">
      <c r="A161" s="17"/>
      <c r="B161" s="42"/>
      <c r="C161" s="24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23"/>
      <c r="Q161" s="23"/>
      <c r="R161" s="24"/>
      <c r="S161" s="23"/>
      <c r="T161" s="17"/>
      <c r="U161" s="38"/>
      <c r="V161" s="24"/>
      <c r="Y161" s="23"/>
      <c r="Z161" s="24"/>
      <c r="AA161" s="23"/>
    </row>
    <row r="162" spans="1:27" x14ac:dyDescent="0.2">
      <c r="A162" s="17"/>
      <c r="B162" s="42"/>
      <c r="C162" s="24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23"/>
      <c r="Q162" s="23"/>
      <c r="R162" s="24"/>
      <c r="S162" s="23"/>
      <c r="T162" s="17"/>
      <c r="U162" s="38"/>
      <c r="V162" s="24"/>
      <c r="Y162" s="23"/>
      <c r="Z162" s="24"/>
      <c r="AA162" s="23"/>
    </row>
    <row r="163" spans="1:27" x14ac:dyDescent="0.2">
      <c r="A163" s="17"/>
      <c r="B163" s="42"/>
      <c r="C163" s="24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23"/>
      <c r="Q163" s="23"/>
      <c r="R163" s="24"/>
      <c r="S163" s="23"/>
      <c r="T163" s="17"/>
      <c r="U163" s="38"/>
      <c r="V163" s="24"/>
      <c r="Y163" s="23"/>
      <c r="Z163" s="24"/>
      <c r="AA163" s="23"/>
    </row>
    <row r="164" spans="1:27" x14ac:dyDescent="0.2">
      <c r="A164" s="17"/>
      <c r="B164" s="42"/>
      <c r="C164" s="24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23"/>
      <c r="Q164" s="23"/>
      <c r="R164" s="24"/>
      <c r="S164" s="23"/>
      <c r="T164" s="17"/>
      <c r="U164" s="38"/>
      <c r="V164" s="24"/>
      <c r="Y164" s="23"/>
      <c r="Z164" s="24"/>
      <c r="AA164" s="23"/>
    </row>
    <row r="165" spans="1:27" x14ac:dyDescent="0.2">
      <c r="A165" s="17"/>
      <c r="B165" s="17"/>
      <c r="C165" s="24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23"/>
      <c r="Q165" s="23"/>
      <c r="R165" s="24"/>
      <c r="S165" s="23"/>
      <c r="T165" s="17"/>
      <c r="U165" s="38"/>
      <c r="V165" s="24"/>
      <c r="Y165" s="23"/>
      <c r="Z165" s="24"/>
      <c r="AA165" s="23"/>
    </row>
    <row r="166" spans="1:27" x14ac:dyDescent="0.2">
      <c r="A166" s="17"/>
      <c r="B166" s="17"/>
      <c r="C166" s="24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23"/>
      <c r="Q166" s="23"/>
      <c r="R166" s="24"/>
      <c r="S166" s="23"/>
      <c r="T166" s="17"/>
      <c r="U166" s="38"/>
      <c r="V166" s="24"/>
      <c r="Y166" s="23"/>
      <c r="Z166" s="24"/>
      <c r="AA166" s="23"/>
    </row>
    <row r="167" spans="1:27" x14ac:dyDescent="0.2">
      <c r="A167" s="17"/>
      <c r="B167" s="17"/>
      <c r="C167" s="24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23"/>
      <c r="Q167" s="23"/>
      <c r="R167" s="24"/>
      <c r="S167" s="23"/>
      <c r="T167" s="17"/>
      <c r="U167" s="38"/>
      <c r="V167" s="24"/>
      <c r="Y167" s="23"/>
      <c r="Z167" s="24"/>
      <c r="AA167" s="23"/>
    </row>
    <row r="168" spans="1:27" x14ac:dyDescent="0.2">
      <c r="A168" s="17"/>
      <c r="B168" s="17"/>
      <c r="C168" s="24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23"/>
      <c r="Q168" s="23"/>
      <c r="R168" s="24"/>
      <c r="S168" s="23"/>
      <c r="T168" s="17"/>
      <c r="U168" s="38"/>
      <c r="V168" s="24"/>
      <c r="Y168" s="23"/>
      <c r="Z168" s="24"/>
      <c r="AA168" s="23"/>
    </row>
    <row r="169" spans="1:27" x14ac:dyDescent="0.2">
      <c r="A169" s="17"/>
      <c r="B169" s="17"/>
      <c r="C169" s="24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23"/>
      <c r="Q169" s="23"/>
      <c r="R169" s="24"/>
      <c r="S169" s="23"/>
      <c r="T169" s="17"/>
      <c r="U169" s="38"/>
      <c r="V169" s="24"/>
      <c r="Y169" s="23"/>
      <c r="Z169" s="24"/>
      <c r="AA169" s="23"/>
    </row>
    <row r="170" spans="1:27" x14ac:dyDescent="0.2">
      <c r="A170" s="17"/>
      <c r="B170" s="17"/>
      <c r="C170" s="2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23"/>
      <c r="Q170" s="23"/>
      <c r="R170" s="24"/>
      <c r="S170" s="23"/>
      <c r="T170" s="17"/>
      <c r="U170" s="38"/>
      <c r="V170" s="24"/>
      <c r="Y170" s="23"/>
      <c r="Z170" s="24"/>
      <c r="AA170" s="23"/>
    </row>
    <row r="171" spans="1:27" x14ac:dyDescent="0.2">
      <c r="A171" s="17"/>
      <c r="B171" s="17"/>
      <c r="C171" s="24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23"/>
      <c r="Q171" s="23"/>
      <c r="R171" s="24"/>
      <c r="S171" s="23"/>
      <c r="T171" s="17"/>
      <c r="U171" s="38"/>
      <c r="V171" s="24"/>
      <c r="Y171" s="23"/>
      <c r="Z171" s="24"/>
      <c r="AA171" s="23"/>
    </row>
    <row r="172" spans="1:27" x14ac:dyDescent="0.2">
      <c r="A172" s="17"/>
      <c r="B172" s="17"/>
      <c r="C172" s="24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23"/>
      <c r="Q172" s="23"/>
      <c r="R172" s="24"/>
      <c r="S172" s="23"/>
      <c r="T172" s="17"/>
      <c r="U172" s="38"/>
      <c r="V172" s="24"/>
      <c r="Y172" s="23"/>
      <c r="Z172" s="24"/>
      <c r="AA172" s="23"/>
    </row>
    <row r="173" spans="1:27" x14ac:dyDescent="0.2">
      <c r="A173" s="17"/>
      <c r="B173" s="17"/>
      <c r="C173" s="7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23"/>
      <c r="Q173" s="23"/>
      <c r="R173" s="79"/>
      <c r="S173" s="23"/>
      <c r="T173" s="17"/>
      <c r="U173" s="38"/>
      <c r="V173" s="24"/>
      <c r="Y173" s="23"/>
      <c r="Z173" s="24"/>
      <c r="AA173" s="23"/>
    </row>
    <row r="174" spans="1:27" x14ac:dyDescent="0.2">
      <c r="A174" s="17"/>
      <c r="B174" s="17"/>
      <c r="C174" s="24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23"/>
      <c r="Q174" s="23"/>
      <c r="R174" s="24"/>
      <c r="S174" s="23"/>
      <c r="T174" s="17"/>
      <c r="U174" s="38"/>
      <c r="V174" s="23"/>
      <c r="W174" s="38"/>
      <c r="Y174" s="23"/>
      <c r="Z174" s="24"/>
      <c r="AA174" s="23"/>
    </row>
    <row r="175" spans="1:27" x14ac:dyDescent="0.2">
      <c r="A175" s="17"/>
      <c r="B175" s="17"/>
      <c r="C175" s="79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23"/>
      <c r="Q175" s="23"/>
      <c r="R175" s="79"/>
      <c r="S175" s="23"/>
      <c r="T175" s="17"/>
      <c r="U175" s="38"/>
      <c r="V175" s="23"/>
      <c r="W175" s="38"/>
      <c r="Y175" s="23"/>
      <c r="Z175" s="24"/>
      <c r="AA175" s="23"/>
    </row>
    <row r="176" spans="1:27" x14ac:dyDescent="0.2">
      <c r="A176" s="17"/>
      <c r="B176" s="17"/>
      <c r="C176" s="24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23"/>
      <c r="Q176" s="23"/>
      <c r="R176" s="24"/>
      <c r="S176" s="23"/>
      <c r="T176" s="17"/>
      <c r="U176" s="38"/>
      <c r="V176" s="24"/>
      <c r="Y176" s="23"/>
      <c r="Z176" s="24"/>
      <c r="AA176" s="23"/>
    </row>
    <row r="177" spans="1:27" x14ac:dyDescent="0.2">
      <c r="A177" s="17"/>
      <c r="B177" s="17"/>
      <c r="C177" s="79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23"/>
      <c r="Q177" s="23"/>
      <c r="R177" s="79"/>
      <c r="S177" s="23"/>
      <c r="T177" s="17"/>
      <c r="U177" s="38"/>
      <c r="V177" s="24"/>
      <c r="Y177" s="23"/>
      <c r="Z177" s="24"/>
      <c r="AA177" s="23"/>
    </row>
    <row r="178" spans="1:27" x14ac:dyDescent="0.2">
      <c r="A178" s="17"/>
      <c r="B178" s="17"/>
      <c r="C178" s="24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23"/>
      <c r="Q178" s="23"/>
      <c r="R178" s="24"/>
      <c r="S178" s="23"/>
      <c r="T178" s="17"/>
      <c r="U178" s="38"/>
      <c r="V178" s="24"/>
      <c r="Y178" s="23"/>
      <c r="Z178" s="24"/>
      <c r="AA178" s="23"/>
    </row>
    <row r="179" spans="1:27" x14ac:dyDescent="0.2">
      <c r="A179" s="17"/>
      <c r="B179" s="17"/>
      <c r="C179" s="79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23"/>
      <c r="Q179" s="23"/>
      <c r="R179" s="79"/>
      <c r="S179" s="23"/>
      <c r="T179" s="17"/>
      <c r="U179" s="38"/>
      <c r="V179" s="24"/>
      <c r="Y179" s="23"/>
      <c r="Z179" s="24"/>
      <c r="AA179" s="23"/>
    </row>
    <row r="180" spans="1:27" x14ac:dyDescent="0.2">
      <c r="A180" s="17"/>
      <c r="B180" s="17"/>
      <c r="C180" s="24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23"/>
      <c r="Q180" s="23"/>
      <c r="R180" s="24"/>
      <c r="S180" s="23"/>
      <c r="T180" s="17"/>
      <c r="U180" s="38"/>
      <c r="V180" s="24"/>
      <c r="Y180" s="23"/>
      <c r="Z180" s="24"/>
      <c r="AA180" s="23"/>
    </row>
    <row r="181" spans="1:27" x14ac:dyDescent="0.2">
      <c r="A181" s="17"/>
      <c r="B181" s="17"/>
      <c r="C181" s="24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23"/>
      <c r="Q181" s="23"/>
      <c r="R181" s="24"/>
      <c r="S181" s="23"/>
      <c r="T181" s="17"/>
      <c r="U181" s="38"/>
      <c r="V181" s="24"/>
      <c r="Y181" s="23"/>
      <c r="Z181" s="24"/>
      <c r="AA181" s="23"/>
    </row>
    <row r="182" spans="1:27" x14ac:dyDescent="0.2">
      <c r="A182" s="17"/>
      <c r="B182" s="17"/>
      <c r="C182" s="24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23"/>
      <c r="Q182" s="23"/>
      <c r="R182" s="24"/>
      <c r="S182" s="23"/>
      <c r="T182" s="17"/>
      <c r="U182" s="38"/>
      <c r="V182" s="24"/>
      <c r="Y182" s="23"/>
      <c r="Z182" s="24"/>
      <c r="AA182" s="23"/>
    </row>
    <row r="183" spans="1:27" x14ac:dyDescent="0.2">
      <c r="A183" s="17"/>
      <c r="B183" s="17"/>
      <c r="C183" s="80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23"/>
      <c r="Q183" s="23"/>
      <c r="R183" s="80"/>
      <c r="S183" s="23"/>
      <c r="T183" s="17"/>
      <c r="U183" s="38"/>
      <c r="V183" s="24"/>
      <c r="Y183" s="23"/>
      <c r="Z183" s="24"/>
      <c r="AA183" s="23"/>
    </row>
    <row r="184" spans="1:27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38"/>
      <c r="Q184" s="38"/>
      <c r="R184" s="17"/>
      <c r="S184" s="39"/>
      <c r="T184" s="17"/>
      <c r="U184" s="38"/>
      <c r="V184" s="24"/>
      <c r="Y184" s="23"/>
      <c r="Z184" s="24"/>
      <c r="AA184" s="23"/>
    </row>
    <row r="185" spans="1:27" x14ac:dyDescent="0.2">
      <c r="A185" s="17"/>
      <c r="B185" s="17"/>
      <c r="C185" s="56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23"/>
      <c r="Q185" s="23"/>
      <c r="R185" s="56"/>
      <c r="S185" s="23"/>
      <c r="T185" s="17"/>
      <c r="V185" s="24"/>
      <c r="Y185" s="23"/>
      <c r="Z185" s="25"/>
      <c r="AA185" s="22"/>
    </row>
    <row r="186" spans="1:27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38"/>
      <c r="R186" s="17"/>
      <c r="S186" s="17"/>
      <c r="T186" s="17"/>
      <c r="V186" s="24"/>
      <c r="Y186" s="23"/>
      <c r="Z186" s="24"/>
      <c r="AA186" s="23"/>
    </row>
    <row r="187" spans="1:27" x14ac:dyDescent="0.2">
      <c r="A187" s="17"/>
      <c r="B187" s="17"/>
      <c r="C187" s="24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23"/>
      <c r="Q187" s="23"/>
      <c r="R187" s="24"/>
      <c r="S187" s="23"/>
      <c r="T187" s="17"/>
      <c r="V187" s="24"/>
      <c r="Y187" s="23"/>
    </row>
    <row r="188" spans="1:27" x14ac:dyDescent="0.2">
      <c r="A188" s="17"/>
      <c r="B188" s="42"/>
      <c r="C188" s="24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23"/>
      <c r="Q188" s="23"/>
      <c r="R188" s="24"/>
      <c r="S188" s="22"/>
      <c r="T188" s="17"/>
      <c r="U188" s="23"/>
      <c r="V188" s="24"/>
      <c r="Y188" s="23"/>
      <c r="AA188" s="16"/>
    </row>
    <row r="189" spans="1:27" x14ac:dyDescent="0.2">
      <c r="A189" s="17"/>
      <c r="B189" s="17"/>
      <c r="C189" s="24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23"/>
      <c r="Q189" s="23"/>
      <c r="R189" s="24"/>
      <c r="S189" s="23"/>
      <c r="T189" s="17"/>
      <c r="V189" s="24"/>
      <c r="Y189" s="23"/>
      <c r="Z189" s="16"/>
      <c r="AA189" s="16"/>
    </row>
    <row r="190" spans="1:27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23"/>
      <c r="Q190" s="24"/>
      <c r="R190" s="17"/>
      <c r="S190" s="23"/>
      <c r="T190" s="17"/>
      <c r="U190" s="64"/>
      <c r="V190" s="24"/>
      <c r="Y190" s="23"/>
    </row>
    <row r="191" spans="1:27" x14ac:dyDescent="0.2">
      <c r="A191" s="17"/>
      <c r="B191" s="17"/>
      <c r="C191" s="24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23"/>
      <c r="Q191" s="23"/>
      <c r="R191" s="24"/>
      <c r="S191" s="23"/>
      <c r="T191" s="17"/>
      <c r="V191" s="24"/>
      <c r="Y191" s="23"/>
    </row>
    <row r="192" spans="1:27" x14ac:dyDescent="0.2">
      <c r="A192" s="17"/>
      <c r="B192" s="17"/>
      <c r="C192" s="49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81"/>
      <c r="Q192" s="23"/>
      <c r="R192" s="49"/>
      <c r="S192" s="23"/>
      <c r="T192" s="17"/>
      <c r="V192" s="24"/>
      <c r="Y192" s="23"/>
    </row>
    <row r="193" spans="1:28" x14ac:dyDescent="0.2">
      <c r="A193" s="17"/>
      <c r="B193" s="42"/>
      <c r="C193" s="17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23"/>
      <c r="Q193" s="17"/>
      <c r="R193" s="17"/>
      <c r="S193" s="23"/>
      <c r="T193" s="17"/>
      <c r="V193" s="24"/>
      <c r="Y193" s="23"/>
    </row>
    <row r="194" spans="1:28" x14ac:dyDescent="0.2">
      <c r="A194" s="17"/>
      <c r="B194" s="42"/>
      <c r="C194" s="17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23"/>
      <c r="Q194" s="23"/>
      <c r="R194" s="17"/>
      <c r="S194" s="23"/>
      <c r="T194" s="17"/>
      <c r="V194" s="24"/>
      <c r="Y194" s="23"/>
    </row>
    <row r="195" spans="1:28" x14ac:dyDescent="0.2">
      <c r="A195" s="17"/>
      <c r="B195" s="17"/>
      <c r="C195" s="24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23"/>
      <c r="Q195" s="23"/>
      <c r="R195" s="24"/>
      <c r="S195" s="23"/>
      <c r="T195" s="17"/>
      <c r="U195" s="23"/>
      <c r="V195" s="24"/>
      <c r="Y195" s="23"/>
    </row>
    <row r="196" spans="1:28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23"/>
      <c r="Q196" s="17"/>
      <c r="R196" s="17"/>
      <c r="S196" s="17"/>
      <c r="T196" s="17"/>
      <c r="U196" s="23"/>
      <c r="V196" s="24"/>
      <c r="Y196" s="23"/>
    </row>
    <row r="197" spans="1:28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23"/>
      <c r="Q197" s="17"/>
      <c r="R197" s="17"/>
      <c r="S197" s="38"/>
      <c r="T197" s="17"/>
      <c r="U197" s="23"/>
      <c r="V197" s="63"/>
      <c r="Y197" s="23"/>
    </row>
    <row r="198" spans="1:28" x14ac:dyDescent="0.2">
      <c r="A198" s="17"/>
      <c r="B198" s="17"/>
      <c r="C198" s="28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23"/>
      <c r="Q198" s="23"/>
      <c r="R198" s="28"/>
      <c r="S198" s="23"/>
      <c r="T198" s="17"/>
      <c r="V198" s="24"/>
      <c r="Y198" s="23"/>
    </row>
    <row r="199" spans="1:28" x14ac:dyDescent="0.2">
      <c r="A199" s="17"/>
      <c r="B199" s="17"/>
      <c r="C199" s="54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38"/>
      <c r="Q199" s="31"/>
      <c r="R199" s="54"/>
      <c r="S199" s="31"/>
      <c r="T199" s="17"/>
      <c r="V199" s="24"/>
      <c r="Y199" s="23"/>
      <c r="AB199" s="38"/>
    </row>
    <row r="200" spans="1:28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38"/>
      <c r="Q200" s="38"/>
      <c r="R200" s="17"/>
      <c r="S200" s="31"/>
      <c r="T200" s="17"/>
      <c r="U200" s="62"/>
      <c r="V200" s="24"/>
      <c r="Y200" s="23"/>
      <c r="AB200" s="38"/>
    </row>
    <row r="201" spans="1:28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23"/>
      <c r="R201" s="17"/>
      <c r="S201" s="31"/>
      <c r="T201" s="17"/>
      <c r="V201" s="24"/>
      <c r="Y201" s="23"/>
      <c r="AB201" s="38"/>
    </row>
    <row r="202" spans="1:28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23"/>
      <c r="Q202" s="23"/>
      <c r="R202" s="17"/>
      <c r="S202" s="31"/>
      <c r="T202" s="17"/>
      <c r="V202" s="24"/>
      <c r="Y202" s="23"/>
    </row>
    <row r="203" spans="1:28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23"/>
      <c r="Q203" s="23"/>
      <c r="R203" s="17"/>
      <c r="S203" s="31"/>
      <c r="T203" s="17"/>
      <c r="U203" s="38"/>
      <c r="V203" s="24"/>
      <c r="Y203" s="23"/>
    </row>
    <row r="204" spans="1:28" x14ac:dyDescent="0.2">
      <c r="A204" s="17"/>
      <c r="B204" s="55"/>
      <c r="C204" s="56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23"/>
      <c r="Q204" s="23"/>
      <c r="R204" s="56"/>
      <c r="S204" s="22"/>
      <c r="T204" s="17"/>
      <c r="V204" s="24"/>
      <c r="Y204" s="23"/>
    </row>
    <row r="205" spans="1:28" x14ac:dyDescent="0.2">
      <c r="A205" s="17"/>
      <c r="B205" s="17"/>
      <c r="C205" s="56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23"/>
      <c r="Q205" s="23"/>
      <c r="R205" s="56"/>
      <c r="S205" s="22"/>
      <c r="T205" s="17"/>
      <c r="U205" s="38"/>
      <c r="V205" s="24"/>
      <c r="Y205" s="23"/>
    </row>
    <row r="206" spans="1:28" x14ac:dyDescent="0.2">
      <c r="A206" s="17"/>
      <c r="B206" s="17"/>
      <c r="C206" s="5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23"/>
      <c r="Q206" s="23"/>
      <c r="R206" s="57"/>
      <c r="S206" s="23"/>
      <c r="T206" s="17"/>
      <c r="V206" s="24"/>
      <c r="Y206" s="23"/>
    </row>
    <row r="207" spans="1:28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23"/>
      <c r="R207" s="17"/>
      <c r="S207" s="23"/>
      <c r="T207" s="17"/>
      <c r="V207" s="24"/>
      <c r="Y207" s="23"/>
    </row>
    <row r="208" spans="1:28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23"/>
      <c r="R208" s="17"/>
      <c r="S208" s="23"/>
      <c r="T208" s="17"/>
      <c r="V208" s="24"/>
      <c r="Y208" s="23"/>
    </row>
    <row r="209" spans="1:25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23"/>
      <c r="R209" s="17"/>
      <c r="S209" s="23"/>
      <c r="T209" s="30"/>
      <c r="V209" s="24"/>
      <c r="Y209" s="23"/>
    </row>
    <row r="210" spans="1:25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23"/>
      <c r="R210" s="17"/>
      <c r="S210" s="23"/>
      <c r="T210" s="30"/>
      <c r="V210" s="24"/>
      <c r="Y210" s="23"/>
    </row>
    <row r="211" spans="1:25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23"/>
      <c r="R211" s="17"/>
      <c r="S211" s="23"/>
      <c r="T211" s="30"/>
      <c r="V211" s="24"/>
      <c r="Y211" s="23"/>
    </row>
    <row r="212" spans="1:25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23"/>
      <c r="R212" s="17"/>
      <c r="S212" s="23"/>
      <c r="T212" s="23"/>
      <c r="V212" s="24"/>
      <c r="Y212" s="23"/>
    </row>
    <row r="213" spans="1:25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23"/>
      <c r="R213" s="17"/>
      <c r="S213" s="23"/>
      <c r="T213" s="17"/>
      <c r="V213" s="24"/>
      <c r="Y213" s="23"/>
    </row>
    <row r="214" spans="1:25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23"/>
      <c r="R214" s="17"/>
      <c r="S214" s="23"/>
      <c r="T214" s="17"/>
      <c r="V214" s="24"/>
      <c r="Y214" s="23"/>
    </row>
    <row r="215" spans="1:25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23"/>
      <c r="R215" s="17"/>
      <c r="S215" s="23"/>
      <c r="T215" s="17"/>
      <c r="V215" s="24"/>
      <c r="Y215" s="23"/>
    </row>
    <row r="216" spans="1:25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23"/>
      <c r="R216" s="17"/>
      <c r="S216" s="23"/>
      <c r="T216" s="17"/>
      <c r="V216" s="24"/>
      <c r="Y216" s="23"/>
    </row>
    <row r="217" spans="1:25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38"/>
      <c r="Q217" s="38"/>
      <c r="R217" s="17"/>
      <c r="S217" s="39"/>
      <c r="T217" s="17"/>
      <c r="V217" s="24"/>
      <c r="Y217" s="23"/>
    </row>
    <row r="218" spans="1:25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</row>
    <row r="219" spans="1:25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</row>
    <row r="220" spans="1:25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</row>
    <row r="221" spans="1:25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</row>
    <row r="222" spans="1:25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</row>
    <row r="223" spans="1:25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</row>
    <row r="224" spans="1:25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</row>
    <row r="225" spans="1:20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</row>
    <row r="226" spans="1:20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</row>
    <row r="227" spans="1:20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</row>
    <row r="228" spans="1:20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</row>
    <row r="229" spans="1:20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</row>
    <row r="230" spans="1:20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</row>
    <row r="231" spans="1:20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</row>
    <row r="232" spans="1:20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</row>
    <row r="233" spans="1:20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</row>
    <row r="234" spans="1:20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</row>
    <row r="235" spans="1:20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</row>
    <row r="236" spans="1:20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</row>
    <row r="237" spans="1:20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</row>
    <row r="238" spans="1:20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</row>
    <row r="239" spans="1:20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</row>
    <row r="240" spans="1:20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</row>
    <row r="241" spans="1:20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</row>
    <row r="242" spans="1:20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</row>
    <row r="243" spans="1:20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</row>
    <row r="244" spans="1:20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</row>
    <row r="245" spans="1:20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</row>
    <row r="246" spans="1:20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</row>
    <row r="247" spans="1:20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</row>
    <row r="248" spans="1:20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</row>
    <row r="249" spans="1:20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</row>
    <row r="250" spans="1:20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</row>
    <row r="251" spans="1:20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</row>
    <row r="252" spans="1:20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</row>
    <row r="253" spans="1:20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</row>
    <row r="254" spans="1:20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</row>
    <row r="255" spans="1:20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</row>
    <row r="256" spans="1:20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</row>
    <row r="257" spans="1:20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</row>
    <row r="258" spans="1:20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</row>
    <row r="259" spans="1:20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</row>
    <row r="260" spans="1:20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</row>
    <row r="261" spans="1:20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</row>
    <row r="262" spans="1:20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</row>
    <row r="263" spans="1:20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</row>
    <row r="264" spans="1:20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</row>
    <row r="265" spans="1:20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</row>
    <row r="266" spans="1:20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</row>
    <row r="267" spans="1:20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</row>
    <row r="268" spans="1:20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</row>
    <row r="269" spans="1:20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</row>
    <row r="270" spans="1:20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</row>
    <row r="271" spans="1:20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</row>
    <row r="272" spans="1:20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</row>
    <row r="273" spans="1:20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</row>
    <row r="274" spans="1:20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</row>
    <row r="275" spans="1:20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</row>
    <row r="276" spans="1:20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</row>
    <row r="277" spans="1:20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</row>
    <row r="278" spans="1:20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</row>
    <row r="279" spans="1:20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</row>
    <row r="280" spans="1:20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</row>
    <row r="281" spans="1:20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</row>
    <row r="282" spans="1:20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</row>
    <row r="283" spans="1:20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</row>
    <row r="284" spans="1:20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</row>
    <row r="285" spans="1:20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</row>
    <row r="286" spans="1:20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</row>
    <row r="287" spans="1:20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</row>
    <row r="288" spans="1:20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</row>
    <row r="289" spans="1:20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</row>
    <row r="290" spans="1:20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</row>
    <row r="291" spans="1:20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</row>
    <row r="292" spans="1:20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</row>
    <row r="293" spans="1:20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</row>
    <row r="294" spans="1:20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</row>
    <row r="295" spans="1:20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</row>
    <row r="296" spans="1:20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</row>
    <row r="297" spans="1:20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</row>
    <row r="298" spans="1:20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</row>
    <row r="299" spans="1:20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</row>
    <row r="300" spans="1:20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</row>
    <row r="301" spans="1:20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</row>
    <row r="302" spans="1:20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</row>
    <row r="303" spans="1:20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</row>
    <row r="304" spans="1:20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</row>
    <row r="305" spans="1:20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</row>
    <row r="306" spans="1:20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</row>
    <row r="307" spans="1:20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</row>
    <row r="308" spans="1:20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</row>
    <row r="309" spans="1:20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</row>
    <row r="310" spans="1:20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</row>
    <row r="311" spans="1:20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</row>
    <row r="312" spans="1:20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</row>
    <row r="313" spans="1:20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</row>
    <row r="314" spans="1:20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</row>
    <row r="315" spans="1:20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</row>
    <row r="316" spans="1:20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</row>
    <row r="317" spans="1:20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</row>
    <row r="318" spans="1:20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</row>
    <row r="319" spans="1:20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</row>
    <row r="320" spans="1:20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</row>
    <row r="321" spans="1:20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</row>
    <row r="322" spans="1:20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</row>
    <row r="323" spans="1:20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</row>
    <row r="324" spans="1:20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</row>
    <row r="325" spans="1:20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</row>
    <row r="326" spans="1:20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</row>
    <row r="327" spans="1:20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</row>
    <row r="328" spans="1:20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</row>
    <row r="329" spans="1:20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</row>
    <row r="330" spans="1:20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</row>
    <row r="331" spans="1:20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</row>
    <row r="332" spans="1:20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</row>
    <row r="333" spans="1:20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</row>
    <row r="334" spans="1:20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</row>
    <row r="335" spans="1:20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</row>
    <row r="336" spans="1:20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</row>
    <row r="337" spans="1:20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</row>
    <row r="338" spans="1:20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</row>
    <row r="339" spans="1:20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</row>
    <row r="340" spans="1:20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</row>
    <row r="341" spans="1:20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</row>
    <row r="342" spans="1:20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</row>
    <row r="343" spans="1:20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</row>
    <row r="344" spans="1:20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</row>
    <row r="345" spans="1:20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</row>
    <row r="346" spans="1:20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</row>
    <row r="347" spans="1:20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</row>
    <row r="348" spans="1:20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</row>
    <row r="349" spans="1:20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</row>
    <row r="350" spans="1:20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</row>
    <row r="351" spans="1:20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</row>
    <row r="352" spans="1:20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</row>
    <row r="353" spans="1:20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</row>
    <row r="354" spans="1:20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</row>
    <row r="355" spans="1:20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</row>
    <row r="356" spans="1:20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</row>
    <row r="357" spans="1:20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</row>
    <row r="358" spans="1:20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</row>
    <row r="359" spans="1:20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</row>
    <row r="360" spans="1:20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</row>
    <row r="361" spans="1:20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</row>
    <row r="362" spans="1:20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</row>
    <row r="363" spans="1:20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</row>
    <row r="364" spans="1:20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</row>
    <row r="365" spans="1:20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</row>
    <row r="366" spans="1:20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</row>
    <row r="367" spans="1:20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</row>
    <row r="368" spans="1:20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</row>
    <row r="369" spans="1:20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</row>
    <row r="370" spans="1:20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</row>
    <row r="371" spans="1:20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</row>
    <row r="372" spans="1:20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</row>
    <row r="373" spans="1:20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</row>
    <row r="374" spans="1:20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</row>
    <row r="375" spans="1:20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</row>
    <row r="376" spans="1:20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</row>
    <row r="377" spans="1:20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</row>
    <row r="378" spans="1:20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</row>
    <row r="379" spans="1:20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</row>
    <row r="380" spans="1:20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</row>
    <row r="381" spans="1:20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</row>
    <row r="382" spans="1:20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</row>
    <row r="383" spans="1:20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</row>
    <row r="384" spans="1:20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</row>
    <row r="385" spans="1:20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</row>
    <row r="386" spans="1:20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</row>
    <row r="387" spans="1:20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</row>
    <row r="388" spans="1:20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</row>
    <row r="389" spans="1:20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</row>
    <row r="390" spans="1:20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</row>
    <row r="391" spans="1:20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</row>
    <row r="392" spans="1:20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</row>
    <row r="393" spans="1:20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</row>
    <row r="394" spans="1:20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</row>
    <row r="395" spans="1:20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</row>
    <row r="396" spans="1:20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</row>
    <row r="397" spans="1:20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</row>
    <row r="398" spans="1:20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</row>
    <row r="399" spans="1:20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</row>
    <row r="400" spans="1:20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</row>
    <row r="401" spans="1:20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</row>
    <row r="402" spans="1:20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</row>
    <row r="403" spans="1:20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</row>
    <row r="404" spans="1:20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</row>
    <row r="405" spans="1:20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</row>
    <row r="406" spans="1:20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</row>
    <row r="407" spans="1:20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</row>
    <row r="408" spans="1:20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</row>
    <row r="409" spans="1:20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</row>
    <row r="410" spans="1:20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</row>
    <row r="411" spans="1:20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</row>
    <row r="412" spans="1:20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</row>
    <row r="413" spans="1:20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</row>
    <row r="414" spans="1:20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</row>
    <row r="415" spans="1:20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</row>
    <row r="416" spans="1:20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</row>
    <row r="417" spans="1:20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</row>
    <row r="418" spans="1:20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</row>
    <row r="419" spans="1:20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</row>
    <row r="420" spans="1:20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</row>
    <row r="421" spans="1:20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</row>
    <row r="422" spans="1:20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</row>
    <row r="423" spans="1:20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</row>
    <row r="424" spans="1:20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</row>
    <row r="425" spans="1:20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</row>
    <row r="426" spans="1:20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</row>
    <row r="427" spans="1:20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</row>
    <row r="428" spans="1:20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</row>
    <row r="429" spans="1:20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</row>
    <row r="430" spans="1:20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</row>
    <row r="431" spans="1:20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</row>
    <row r="432" spans="1:20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</row>
    <row r="433" spans="1:20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</row>
    <row r="434" spans="1:20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</row>
    <row r="435" spans="1:20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</row>
    <row r="436" spans="1:20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</row>
    <row r="437" spans="1:20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</row>
    <row r="438" spans="1:20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</row>
    <row r="439" spans="1:20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</row>
    <row r="440" spans="1:20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</row>
    <row r="441" spans="1:20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</row>
    <row r="442" spans="1:20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</row>
    <row r="443" spans="1:20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</row>
    <row r="444" spans="1:20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</row>
    <row r="445" spans="1:20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</row>
    <row r="446" spans="1:20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</row>
    <row r="447" spans="1:20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</row>
    <row r="448" spans="1:20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</row>
    <row r="449" spans="1:20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</row>
    <row r="450" spans="1:20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</row>
    <row r="451" spans="1:20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</row>
    <row r="452" spans="1:20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</row>
    <row r="453" spans="1:20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</row>
    <row r="454" spans="1:20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</row>
    <row r="455" spans="1:20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</row>
    <row r="456" spans="1:20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</row>
    <row r="457" spans="1:20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</row>
    <row r="458" spans="1:20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</row>
    <row r="459" spans="1:20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</row>
    <row r="460" spans="1:20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</row>
    <row r="461" spans="1:20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</row>
    <row r="462" spans="1:20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</row>
    <row r="463" spans="1:20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</row>
    <row r="464" spans="1:20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</row>
    <row r="465" spans="1:20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</row>
    <row r="466" spans="1:20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</row>
    <row r="467" spans="1:20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</row>
    <row r="468" spans="1:20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</row>
    <row r="469" spans="1:20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</row>
    <row r="470" spans="1:20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</row>
    <row r="471" spans="1:20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</row>
    <row r="472" spans="1:20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</row>
    <row r="473" spans="1:20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</row>
    <row r="474" spans="1:20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</row>
    <row r="475" spans="1:20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</row>
    <row r="476" spans="1:20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</row>
    <row r="477" spans="1:20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</row>
    <row r="478" spans="1:20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</row>
    <row r="480" spans="1:20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</row>
    <row r="481" spans="1:20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</row>
    <row r="482" spans="1:20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</row>
    <row r="483" spans="1:20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</row>
    <row r="484" spans="1:20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</row>
    <row r="485" spans="1:20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</row>
    <row r="487" spans="1:20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  <row r="727" spans="1:20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</row>
    <row r="728" spans="1:20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</row>
    <row r="729" spans="1:20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</row>
    <row r="730" spans="1:20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</row>
    <row r="731" spans="1:20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</row>
    <row r="732" spans="1:20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</row>
    <row r="733" spans="1:20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</row>
    <row r="734" spans="1:20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</row>
    <row r="735" spans="1:20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</row>
    <row r="736" spans="1:20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</row>
    <row r="737" spans="1:20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</row>
    <row r="738" spans="1:20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</row>
    <row r="739" spans="1:20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</row>
    <row r="740" spans="1:20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</row>
    <row r="741" spans="1:20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</row>
    <row r="742" spans="1:20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</row>
    <row r="743" spans="1:20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</row>
    <row r="744" spans="1:20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</row>
    <row r="745" spans="1:20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</row>
    <row r="746" spans="1:20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</row>
    <row r="747" spans="1:20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</row>
    <row r="748" spans="1:20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</row>
    <row r="749" spans="1:20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</row>
    <row r="750" spans="1:20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</row>
    <row r="751" spans="1:20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</row>
    <row r="752" spans="1:20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</row>
    <row r="753" spans="1:20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</row>
    <row r="754" spans="1:20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</row>
    <row r="755" spans="1:20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</row>
    <row r="756" spans="1:20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</row>
    <row r="757" spans="1:20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</row>
    <row r="758" spans="1:20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</row>
    <row r="759" spans="1:20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</row>
    <row r="760" spans="1:20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</row>
    <row r="761" spans="1:20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</row>
    <row r="762" spans="1:20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</row>
    <row r="763" spans="1:20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</row>
    <row r="764" spans="1:20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</row>
    <row r="765" spans="1:20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</row>
    <row r="766" spans="1:20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</row>
    <row r="767" spans="1:20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</row>
    <row r="768" spans="1:20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</row>
    <row r="769" spans="1:20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</row>
    <row r="770" spans="1:20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</row>
    <row r="771" spans="1:20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</row>
    <row r="772" spans="1:20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</row>
    <row r="773" spans="1:20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</row>
    <row r="774" spans="1:20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</row>
    <row r="775" spans="1:20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</row>
    <row r="776" spans="1:20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</row>
    <row r="777" spans="1:20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</row>
    <row r="778" spans="1:20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</row>
    <row r="779" spans="1:20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</row>
    <row r="780" spans="1:20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</row>
    <row r="781" spans="1:20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</row>
    <row r="782" spans="1:20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</row>
    <row r="783" spans="1:20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</row>
    <row r="784" spans="1:20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</row>
    <row r="785" spans="1:20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</row>
    <row r="786" spans="1:20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</row>
    <row r="787" spans="1:20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</row>
    <row r="788" spans="1:20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</row>
    <row r="789" spans="1:20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</row>
    <row r="790" spans="1:20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</row>
    <row r="791" spans="1:20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</row>
    <row r="792" spans="1:20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</row>
    <row r="793" spans="1:20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</row>
    <row r="794" spans="1:20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</row>
    <row r="795" spans="1:20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</row>
    <row r="796" spans="1:20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</row>
    <row r="797" spans="1:20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</row>
    <row r="798" spans="1:20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</row>
    <row r="799" spans="1:20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</row>
    <row r="800" spans="1:20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</row>
    <row r="801" spans="1:20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</row>
    <row r="802" spans="1:20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</row>
    <row r="803" spans="1:20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</row>
    <row r="804" spans="1:20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</row>
    <row r="805" spans="1:20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</row>
    <row r="806" spans="1:20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</row>
    <row r="807" spans="1:20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</row>
    <row r="808" spans="1:20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</row>
    <row r="809" spans="1:20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</row>
    <row r="810" spans="1:20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</row>
    <row r="811" spans="1:20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</row>
    <row r="812" spans="1:20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</row>
    <row r="813" spans="1:20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</row>
    <row r="814" spans="1:20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</row>
    <row r="815" spans="1:20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</row>
    <row r="816" spans="1:20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</row>
    <row r="817" spans="1:20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</row>
    <row r="818" spans="1:20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</row>
    <row r="819" spans="1:20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</row>
    <row r="820" spans="1:20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</row>
    <row r="821" spans="1:20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</row>
    <row r="822" spans="1:20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</row>
    <row r="823" spans="1:20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</row>
    <row r="824" spans="1:20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</row>
    <row r="825" spans="1:20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</row>
    <row r="826" spans="1:20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</row>
    <row r="827" spans="1:20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</row>
    <row r="828" spans="1:20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</row>
    <row r="829" spans="1:20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</row>
    <row r="830" spans="1:20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</row>
    <row r="831" spans="1:20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</row>
    <row r="832" spans="1:20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</row>
    <row r="833" spans="1:20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</row>
    <row r="834" spans="1:20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</row>
    <row r="835" spans="1:20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</row>
    <row r="836" spans="1:20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</row>
    <row r="837" spans="1:20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</row>
    <row r="838" spans="1:20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</row>
    <row r="839" spans="1:20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</row>
    <row r="840" spans="1:20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</row>
    <row r="841" spans="1:20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</row>
    <row r="842" spans="1:20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</row>
    <row r="843" spans="1:20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</row>
    <row r="844" spans="1:20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</row>
    <row r="845" spans="1:20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</row>
    <row r="846" spans="1:20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</row>
    <row r="847" spans="1:20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</row>
    <row r="848" spans="1:20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</row>
    <row r="849" spans="1:20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</row>
    <row r="850" spans="1:20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</row>
    <row r="851" spans="1:20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</row>
    <row r="852" spans="1:20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</row>
    <row r="853" spans="1:20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</row>
    <row r="854" spans="1:20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</row>
    <row r="855" spans="1:20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</row>
    <row r="856" spans="1:20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</row>
    <row r="857" spans="1:20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</row>
    <row r="858" spans="1:20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</row>
    <row r="859" spans="1:20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</row>
    <row r="860" spans="1:20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</row>
    <row r="861" spans="1:20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</row>
    <row r="862" spans="1:20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</row>
    <row r="863" spans="1:20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</row>
    <row r="864" spans="1:20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</row>
    <row r="865" spans="1:20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</row>
    <row r="866" spans="1:20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</row>
    <row r="867" spans="1:20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</row>
    <row r="868" spans="1:20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</row>
    <row r="869" spans="1:20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</row>
    <row r="870" spans="1:20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</row>
    <row r="871" spans="1:20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</row>
    <row r="872" spans="1:20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</row>
    <row r="873" spans="1:20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</row>
    <row r="874" spans="1:20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</row>
    <row r="875" spans="1:20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</row>
    <row r="876" spans="1:20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</row>
    <row r="877" spans="1:20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</row>
    <row r="878" spans="1:20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</row>
    <row r="879" spans="1:20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</row>
    <row r="880" spans="1:20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</row>
    <row r="881" spans="1:20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</row>
    <row r="882" spans="1:20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</row>
    <row r="883" spans="1:20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</row>
    <row r="884" spans="1:20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</row>
    <row r="885" spans="1:20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</row>
    <row r="886" spans="1:20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</row>
    <row r="887" spans="1:20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</row>
    <row r="888" spans="1:20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</row>
    <row r="889" spans="1:20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</row>
    <row r="890" spans="1:20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</row>
    <row r="891" spans="1:20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</row>
    <row r="892" spans="1:20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</row>
    <row r="893" spans="1:20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</row>
    <row r="894" spans="1:20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</row>
    <row r="895" spans="1:20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</row>
    <row r="896" spans="1:20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</row>
    <row r="897" spans="1:20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</row>
    <row r="898" spans="1:20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</row>
    <row r="899" spans="1:20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</row>
    <row r="900" spans="1:20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</row>
    <row r="901" spans="1:20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</row>
    <row r="902" spans="1:20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</row>
    <row r="903" spans="1:20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</row>
    <row r="904" spans="1:20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</row>
    <row r="905" spans="1:20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</row>
    <row r="906" spans="1:20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</row>
    <row r="907" spans="1:20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</row>
    <row r="908" spans="1:20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</row>
    <row r="909" spans="1:20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</row>
    <row r="910" spans="1:20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</row>
    <row r="911" spans="1:20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</row>
    <row r="912" spans="1:20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</row>
    <row r="913" spans="1:20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</row>
    <row r="914" spans="1:20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</row>
    <row r="915" spans="1:20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</row>
    <row r="916" spans="1:20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</row>
    <row r="917" spans="1:20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</row>
    <row r="918" spans="1:20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</row>
    <row r="919" spans="1:20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</row>
    <row r="920" spans="1:20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</row>
    <row r="921" spans="1:20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</row>
    <row r="922" spans="1:20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</row>
    <row r="923" spans="1:20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</row>
    <row r="924" spans="1:20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</row>
    <row r="925" spans="1:20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</row>
    <row r="926" spans="1:20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</row>
    <row r="927" spans="1:20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</row>
    <row r="928" spans="1:20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</row>
    <row r="929" spans="1:2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</row>
    <row r="930" spans="1:2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</row>
    <row r="931" spans="1:2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</row>
    <row r="932" spans="1:2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</row>
    <row r="933" spans="1:2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</row>
    <row r="934" spans="1:2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</row>
    <row r="935" spans="1:2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</row>
    <row r="936" spans="1:2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</row>
    <row r="937" spans="1:2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</row>
    <row r="938" spans="1:2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</row>
    <row r="939" spans="1:2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</row>
    <row r="940" spans="1:2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</row>
    <row r="941" spans="1:2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</row>
    <row r="942" spans="1:2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</row>
    <row r="943" spans="1:2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</row>
    <row r="944" spans="1:2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</row>
    <row r="945" spans="1:2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</row>
    <row r="946" spans="1:2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</row>
    <row r="947" spans="1:2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</row>
    <row r="948" spans="1:2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</row>
    <row r="949" spans="1:2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</row>
    <row r="950" spans="1:2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</row>
    <row r="951" spans="1:2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</row>
    <row r="952" spans="1:2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</row>
    <row r="953" spans="1:2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</row>
    <row r="954" spans="1:2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</row>
    <row r="955" spans="1:2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</row>
    <row r="956" spans="1:2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</row>
    <row r="957" spans="1:2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</row>
    <row r="958" spans="1:2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</row>
    <row r="959" spans="1:2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</row>
    <row r="960" spans="1:2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</row>
    <row r="961" spans="1:2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</row>
    <row r="962" spans="1:2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</row>
    <row r="963" spans="1:2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</row>
    <row r="964" spans="1:2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</row>
    <row r="965" spans="1:2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</row>
    <row r="966" spans="1:2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</row>
    <row r="967" spans="1:2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</row>
    <row r="968" spans="1:2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</row>
    <row r="969" spans="1:2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</row>
    <row r="970" spans="1:2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</row>
    <row r="971" spans="1:2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</row>
    <row r="972" spans="1:2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</row>
    <row r="973" spans="1:2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</row>
    <row r="974" spans="1:2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</row>
    <row r="975" spans="1:2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</row>
    <row r="976" spans="1:2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</row>
    <row r="977" spans="1:2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</row>
    <row r="978" spans="1:2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</row>
    <row r="979" spans="1:2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</row>
    <row r="980" spans="1:2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</row>
    <row r="981" spans="1:2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</row>
    <row r="982" spans="1:2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</row>
    <row r="983" spans="1:2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</row>
    <row r="984" spans="1:2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</row>
    <row r="985" spans="1:2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</row>
    <row r="986" spans="1:2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</row>
    <row r="987" spans="1:2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</row>
    <row r="988" spans="1:2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</row>
    <row r="989" spans="1:2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</row>
    <row r="990" spans="1:2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</row>
    <row r="991" spans="1:2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</row>
    <row r="992" spans="1:2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</row>
    <row r="993" spans="1:2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</row>
    <row r="994" spans="1:2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</row>
    <row r="995" spans="1:2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</row>
    <row r="996" spans="1:2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</row>
    <row r="997" spans="1:2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</row>
    <row r="998" spans="1:2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</row>
    <row r="999" spans="1:2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</row>
    <row r="1000" spans="1:2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</row>
    <row r="1001" spans="1:2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</row>
    <row r="1002" spans="1:2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</row>
    <row r="1003" spans="1:2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</row>
    <row r="1004" spans="1:2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</row>
    <row r="1005" spans="1:2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</row>
    <row r="1006" spans="1:2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</row>
    <row r="1007" spans="1:2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</row>
    <row r="1008" spans="1:2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</row>
    <row r="1009" spans="1:2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</row>
    <row r="1010" spans="1:2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</row>
    <row r="1011" spans="1:2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</row>
    <row r="1012" spans="1:2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</row>
    <row r="1013" spans="1:2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</row>
    <row r="1014" spans="1:2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</row>
    <row r="1015" spans="1:2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</row>
    <row r="1016" spans="1:2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</row>
    <row r="1017" spans="1:2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</row>
    <row r="1018" spans="1:2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</row>
    <row r="1019" spans="1:2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</row>
    <row r="1020" spans="1:2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</row>
    <row r="1021" spans="1:2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</row>
    <row r="1022" spans="1:2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</row>
    <row r="1023" spans="1:2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</row>
    <row r="1024" spans="1:2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</row>
    <row r="1025" spans="1:2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</row>
    <row r="1026" spans="1:2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</row>
    <row r="1027" spans="1:2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</row>
    <row r="1028" spans="1:2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</row>
    <row r="1029" spans="1:2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</row>
    <row r="1030" spans="1:2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</row>
    <row r="1031" spans="1:2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</row>
    <row r="1032" spans="1:2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</row>
    <row r="1033" spans="1:2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</row>
    <row r="1034" spans="1:2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</row>
    <row r="1035" spans="1:2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</row>
    <row r="1036" spans="1:2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</row>
    <row r="1037" spans="1:2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</row>
    <row r="1038" spans="1:2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</row>
    <row r="1039" spans="1:2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</row>
    <row r="1040" spans="1:2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</row>
    <row r="1041" spans="1:2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</row>
    <row r="1042" spans="1:2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</row>
    <row r="1043" spans="1:2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</row>
    <row r="1044" spans="1:2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</row>
    <row r="1045" spans="1:2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</row>
    <row r="1046" spans="1:2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</row>
    <row r="1047" spans="1:2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</row>
    <row r="1048" spans="1:2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</row>
    <row r="1049" spans="1:2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</row>
    <row r="1050" spans="1:2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</row>
    <row r="1051" spans="1:2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</row>
    <row r="1052" spans="1:2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</row>
    <row r="1053" spans="1:2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</row>
    <row r="1054" spans="1:2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</row>
    <row r="1055" spans="1:2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</row>
    <row r="1056" spans="1:2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</row>
    <row r="1057" spans="1:2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</row>
    <row r="1058" spans="1:2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</row>
    <row r="1059" spans="1:2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</row>
    <row r="1060" spans="1:2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</row>
    <row r="1061" spans="1:2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</row>
    <row r="1062" spans="1:2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</row>
    <row r="1063" spans="1:2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</row>
    <row r="1064" spans="1:2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</row>
    <row r="1065" spans="1:2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</row>
    <row r="1066" spans="1:2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</row>
    <row r="1067" spans="1:2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</row>
    <row r="1068" spans="1:2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</row>
    <row r="1069" spans="1:2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</row>
    <row r="1070" spans="1:2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</row>
    <row r="1071" spans="1:2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</row>
    <row r="1072" spans="1:2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</row>
    <row r="1073" spans="1:2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</row>
    <row r="1074" spans="1:2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</row>
    <row r="1075" spans="1:2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</row>
    <row r="1076" spans="1:2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</row>
    <row r="1077" spans="1:2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</row>
    <row r="1078" spans="1:2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</row>
    <row r="1079" spans="1:2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</row>
    <row r="1080" spans="1:2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</row>
    <row r="1081" spans="1:2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</row>
    <row r="1082" spans="1:2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</row>
    <row r="1083" spans="1:2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</row>
    <row r="1084" spans="1:2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</row>
    <row r="1085" spans="1:2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</row>
    <row r="1086" spans="1:2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</row>
    <row r="1087" spans="1:2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</row>
    <row r="1088" spans="1:2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</row>
    <row r="1089" spans="1:2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</row>
    <row r="1090" spans="1:2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</row>
    <row r="1091" spans="1:2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</row>
    <row r="1092" spans="1:2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</row>
    <row r="1093" spans="1:2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</row>
    <row r="1094" spans="1:2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</row>
    <row r="1095" spans="1:2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</row>
    <row r="1096" spans="1:2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</row>
    <row r="1097" spans="1:2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</row>
    <row r="1098" spans="1:2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</row>
    <row r="1099" spans="1:2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</row>
    <row r="1100" spans="1:2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</row>
    <row r="1101" spans="1:2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</row>
    <row r="1102" spans="1:2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</row>
    <row r="1103" spans="1:2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</row>
    <row r="1104" spans="1:2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</row>
    <row r="1105" spans="1:2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</row>
    <row r="1106" spans="1:2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</row>
    <row r="1107" spans="1:2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</row>
    <row r="1108" spans="1:2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</row>
    <row r="1109" spans="1:2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</row>
    <row r="1110" spans="1:2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</row>
    <row r="1111" spans="1:2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</row>
    <row r="1112" spans="1:2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</row>
    <row r="1113" spans="1:2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</row>
    <row r="1114" spans="1:2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</row>
    <row r="1115" spans="1:2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</row>
    <row r="1116" spans="1:2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</row>
    <row r="1117" spans="1:2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</row>
    <row r="1118" spans="1:2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</row>
    <row r="1119" spans="1:2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</row>
    <row r="1120" spans="1:2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</row>
    <row r="1121" spans="1:2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</row>
    <row r="1122" spans="1:2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</row>
    <row r="1123" spans="1:2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</row>
    <row r="1124" spans="1:2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</row>
    <row r="1125" spans="1:2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</row>
    <row r="1126" spans="1:2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</row>
    <row r="1127" spans="1:2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</row>
    <row r="1128" spans="1:2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</row>
    <row r="1129" spans="1:2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</row>
    <row r="1130" spans="1:2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</row>
    <row r="1131" spans="1:2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</row>
    <row r="1132" spans="1:2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</row>
    <row r="1133" spans="1:2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</row>
    <row r="1134" spans="1:2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</row>
    <row r="1135" spans="1:2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</row>
    <row r="1136" spans="1:2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</row>
    <row r="1137" spans="1:2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</row>
    <row r="1138" spans="1:2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</row>
    <row r="1139" spans="1:2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</row>
    <row r="1140" spans="1:2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</row>
    <row r="1141" spans="1:2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</row>
    <row r="1142" spans="1:2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</row>
    <row r="1143" spans="1:2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</row>
    <row r="1144" spans="1:2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</row>
    <row r="1145" spans="1:2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</row>
    <row r="1146" spans="1:2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</row>
    <row r="1147" spans="1:2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</row>
    <row r="1148" spans="1:2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</row>
    <row r="1149" spans="1:2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</row>
    <row r="1150" spans="1:2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</row>
    <row r="1151" spans="1:2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</row>
    <row r="1152" spans="1:2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</row>
    <row r="1153" spans="1:2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</row>
    <row r="1154" spans="1:2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</row>
    <row r="1155" spans="1:2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</row>
    <row r="1156" spans="1:2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</row>
    <row r="1157" spans="1:2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</row>
    <row r="1158" spans="1:2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</row>
    <row r="1159" spans="1:2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</row>
    <row r="1160" spans="1:2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</row>
    <row r="1161" spans="1:2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</row>
    <row r="1162" spans="1:2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</row>
    <row r="1163" spans="1:2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</row>
    <row r="1164" spans="1:2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</row>
    <row r="1165" spans="1:2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</row>
    <row r="1166" spans="1:2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</row>
    <row r="1167" spans="1:2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</row>
    <row r="1168" spans="1:2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</row>
    <row r="1169" spans="1:2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</row>
    <row r="1170" spans="1:2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</row>
    <row r="1171" spans="1:2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</row>
    <row r="1172" spans="1:2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</row>
    <row r="1173" spans="1:2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</row>
    <row r="1174" spans="1:2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</row>
    <row r="1175" spans="1:2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</row>
    <row r="1176" spans="1:2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</row>
    <row r="1177" spans="1:2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</row>
    <row r="1178" spans="1:2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</row>
    <row r="1179" spans="1:2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</row>
    <row r="1180" spans="1:2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</row>
    <row r="1181" spans="1:2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</row>
    <row r="1182" spans="1:2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</row>
    <row r="1183" spans="1:2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</row>
    <row r="1184" spans="1:2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</row>
    <row r="1185" spans="1:2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</row>
    <row r="1186" spans="1:2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</row>
    <row r="1187" spans="1:2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</row>
    <row r="1188" spans="1:2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</row>
    <row r="1189" spans="1:2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</row>
    <row r="1190" spans="1:2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</row>
    <row r="1191" spans="1:2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</row>
    <row r="1192" spans="1:2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</row>
    <row r="1193" spans="1:2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</row>
    <row r="1194" spans="1:2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</row>
    <row r="1195" spans="1:2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</row>
    <row r="1196" spans="1:2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</row>
    <row r="1197" spans="1:2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</row>
    <row r="1198" spans="1:2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</row>
    <row r="1199" spans="1:2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</row>
    <row r="1200" spans="1:2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</row>
    <row r="1201" spans="1:2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</row>
    <row r="1202" spans="1:2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</row>
    <row r="1203" spans="1:2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</row>
    <row r="1204" spans="1:2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</row>
    <row r="1205" spans="1:2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</row>
    <row r="1206" spans="1:2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</row>
    <row r="1207" spans="1:2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</row>
    <row r="1208" spans="1:2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</row>
    <row r="1209" spans="1:2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</row>
    <row r="1210" spans="1:2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</row>
    <row r="1211" spans="1:2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</row>
    <row r="1212" spans="1:2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</row>
    <row r="1213" spans="1:2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</row>
    <row r="1214" spans="1:2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</row>
    <row r="1215" spans="1:2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</row>
    <row r="1216" spans="1:2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</row>
    <row r="1217" spans="1:2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</row>
    <row r="1218" spans="1:2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</row>
    <row r="1219" spans="1:2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</row>
    <row r="1220" spans="1:2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</row>
    <row r="1221" spans="1:2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</row>
    <row r="1222" spans="1:2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</row>
    <row r="1223" spans="1:2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</row>
    <row r="1224" spans="1:2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</row>
    <row r="1225" spans="1:2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</row>
    <row r="1226" spans="1:2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</row>
    <row r="1227" spans="1:2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</row>
    <row r="1228" spans="1:2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</row>
    <row r="1229" spans="1:2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</row>
    <row r="1230" spans="1:2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</row>
    <row r="1231" spans="1:2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</row>
    <row r="1232" spans="1:2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</row>
    <row r="1233" spans="1:2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</row>
    <row r="1234" spans="1:2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</row>
    <row r="1235" spans="1:2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</row>
    <row r="1236" spans="1:2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</row>
    <row r="1237" spans="1:2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</row>
    <row r="1238" spans="1:2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</row>
    <row r="1239" spans="1:2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</row>
    <row r="1240" spans="1:2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</row>
    <row r="1241" spans="1:2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</row>
    <row r="1242" spans="1:2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</row>
    <row r="1243" spans="1:2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</row>
    <row r="1244" spans="1:2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</row>
    <row r="1245" spans="1:2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</row>
    <row r="1246" spans="1:2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</row>
    <row r="1247" spans="1:2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</row>
    <row r="1248" spans="1:2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</row>
    <row r="1249" spans="1:2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</row>
    <row r="1250" spans="1:2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</row>
    <row r="1251" spans="1:2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</row>
    <row r="1252" spans="1:2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</row>
    <row r="1253" spans="1:2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</row>
    <row r="1254" spans="1:2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</row>
    <row r="1255" spans="1:2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</row>
    <row r="1256" spans="1:2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</row>
    <row r="1257" spans="1:2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</row>
    <row r="1258" spans="1:2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</row>
    <row r="1259" spans="1:2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</row>
    <row r="1260" spans="1:2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</row>
    <row r="1261" spans="1:2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</row>
    <row r="1262" spans="1:2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</row>
    <row r="1263" spans="1:2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</row>
    <row r="1264" spans="1:2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</row>
    <row r="1265" spans="1:2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</row>
    <row r="1266" spans="1:2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</row>
    <row r="1267" spans="1:2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</row>
    <row r="1268" spans="1:2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</row>
    <row r="1269" spans="1:2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</row>
    <row r="1270" spans="1:2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</row>
    <row r="1271" spans="1:2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</row>
    <row r="1272" spans="1:2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</row>
    <row r="1273" spans="1:2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</row>
    <row r="1274" spans="1:2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</row>
    <row r="1275" spans="1:2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</row>
    <row r="1276" spans="1:2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</row>
    <row r="1277" spans="1:2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</row>
    <row r="1278" spans="1:2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</row>
    <row r="1279" spans="1:2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</row>
    <row r="1280" spans="1:2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</row>
    <row r="1281" spans="1:2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</row>
    <row r="1282" spans="1:2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</row>
    <row r="1283" spans="1:2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</row>
    <row r="1284" spans="1:2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</row>
    <row r="1285" spans="1:2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</row>
    <row r="1286" spans="1:2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</row>
    <row r="1287" spans="1:2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</row>
    <row r="1288" spans="1:2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</row>
    <row r="1289" spans="1:2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</row>
    <row r="1290" spans="1:2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</row>
    <row r="1291" spans="1:2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</row>
    <row r="1292" spans="1:2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</row>
    <row r="1293" spans="1:2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</row>
    <row r="1294" spans="1:2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</row>
    <row r="1295" spans="1:2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</row>
    <row r="1296" spans="1:2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</row>
    <row r="1297" spans="1:2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</row>
    <row r="1298" spans="1:2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</row>
    <row r="1299" spans="1:2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</row>
    <row r="1300" spans="1:2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</row>
    <row r="1301" spans="1:2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</row>
    <row r="1302" spans="1:2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</row>
    <row r="1303" spans="1:2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</row>
    <row r="1304" spans="1:2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</row>
    <row r="1305" spans="1:2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</row>
    <row r="1306" spans="1:2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</row>
    <row r="1307" spans="1:2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</row>
    <row r="1308" spans="1:2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</row>
    <row r="1309" spans="1:2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</row>
    <row r="1310" spans="1:2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</row>
    <row r="1311" spans="1:2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</row>
    <row r="1312" spans="1:2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</row>
    <row r="1313" spans="1:2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</row>
    <row r="1314" spans="1:2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</row>
    <row r="1315" spans="1:2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</row>
    <row r="1316" spans="1:2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</row>
    <row r="1317" spans="1:2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</row>
    <row r="1318" spans="1:2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</row>
    <row r="1319" spans="1:2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</row>
    <row r="1320" spans="1:2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</row>
    <row r="1321" spans="1:2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</row>
    <row r="1322" spans="1:2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</row>
    <row r="1323" spans="1:2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</row>
    <row r="1324" spans="1:2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</row>
    <row r="1325" spans="1:2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</row>
    <row r="1326" spans="1:2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</row>
    <row r="1327" spans="1:2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</row>
    <row r="1328" spans="1:2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</row>
    <row r="1329" spans="1:2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</row>
    <row r="1330" spans="1:2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</row>
    <row r="1331" spans="1:2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</row>
    <row r="1332" spans="1:2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</row>
    <row r="1333" spans="1:2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</row>
    <row r="1334" spans="1:2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</row>
    <row r="1335" spans="1:2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</row>
    <row r="1336" spans="1:2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</row>
    <row r="1337" spans="1:2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</row>
    <row r="1338" spans="1:2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</row>
    <row r="1339" spans="1:2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</row>
    <row r="1340" spans="1:2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</row>
    <row r="1341" spans="1:2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</row>
    <row r="1342" spans="1:2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</row>
    <row r="1343" spans="1:2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</row>
    <row r="1344" spans="1:2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</row>
    <row r="1345" spans="1:2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</row>
    <row r="1346" spans="1:2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</row>
    <row r="1347" spans="1:2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</row>
    <row r="1348" spans="1:2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</row>
    <row r="1349" spans="1:2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</row>
    <row r="1350" spans="1:2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</row>
    <row r="1351" spans="1:2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</row>
    <row r="1352" spans="1:2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</row>
    <row r="1353" spans="1:2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</row>
    <row r="1354" spans="1:2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</row>
    <row r="1355" spans="1:2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</row>
    <row r="1356" spans="1:2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</row>
    <row r="1357" spans="1:2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</row>
    <row r="1358" spans="1:2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</row>
    <row r="1359" spans="1:2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</row>
    <row r="1360" spans="1:2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</row>
    <row r="1361" spans="1:2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</row>
    <row r="1362" spans="1:2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</row>
    <row r="1363" spans="1:2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</row>
    <row r="1364" spans="1:2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</row>
    <row r="1365" spans="1:2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</row>
    <row r="1366" spans="1:2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</row>
    <row r="1367" spans="1:2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</row>
    <row r="1368" spans="1:2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</row>
    <row r="1369" spans="1:2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</row>
    <row r="1370" spans="1:2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</row>
    <row r="1371" spans="1:2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</row>
    <row r="1372" spans="1:2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</row>
    <row r="1373" spans="1:2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</row>
    <row r="1374" spans="1:2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</row>
    <row r="1375" spans="1:2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</row>
    <row r="1376" spans="1:2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</row>
    <row r="1377" spans="1:2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</row>
    <row r="1378" spans="1:2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</row>
    <row r="1379" spans="1:2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</row>
    <row r="1380" spans="1:2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</row>
    <row r="1381" spans="1:2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</row>
    <row r="1382" spans="1:2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</row>
    <row r="1383" spans="1:2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</row>
    <row r="1384" spans="1:2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</row>
    <row r="1385" spans="1:2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</row>
    <row r="1386" spans="1:2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</row>
    <row r="1387" spans="1:2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</row>
    <row r="1388" spans="1:2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</row>
    <row r="1389" spans="1:2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</row>
    <row r="1390" spans="1:2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</row>
    <row r="1391" spans="1:2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</row>
    <row r="1392" spans="1:2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</row>
    <row r="1393" spans="1:2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</row>
    <row r="1394" spans="1:2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</row>
    <row r="1395" spans="1:2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</row>
    <row r="1396" spans="1:2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</row>
    <row r="1397" spans="1:2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</row>
    <row r="1398" spans="1:2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</row>
    <row r="1399" spans="1:2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</row>
    <row r="1400" spans="1:2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</row>
    <row r="1401" spans="1:2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</row>
    <row r="1402" spans="1:2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</row>
    <row r="1403" spans="1:2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</row>
    <row r="1404" spans="1:2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</row>
    <row r="1405" spans="1:2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</row>
    <row r="1406" spans="1:2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</row>
    <row r="1407" spans="1:2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</row>
    <row r="1408" spans="1:2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</row>
    <row r="1409" spans="1:2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</row>
    <row r="1410" spans="1:2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</row>
    <row r="1411" spans="1:2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</row>
    <row r="1412" spans="1:2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</row>
    <row r="1413" spans="1:2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</row>
    <row r="1414" spans="1:2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</row>
    <row r="1415" spans="1:2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</row>
    <row r="1416" spans="1:2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</row>
    <row r="1417" spans="1:2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</row>
    <row r="1418" spans="1:2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</row>
    <row r="1419" spans="1:2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</row>
    <row r="1420" spans="1:2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</row>
    <row r="1421" spans="1:2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</row>
    <row r="1422" spans="1:2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</row>
    <row r="1423" spans="1:2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</row>
    <row r="1424" spans="1:2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</row>
    <row r="1425" spans="1:2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</row>
    <row r="1426" spans="1:2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</row>
    <row r="1427" spans="1:2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</row>
    <row r="1428" spans="1:2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</row>
    <row r="1429" spans="1:2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</row>
    <row r="1430" spans="1:2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</row>
    <row r="1431" spans="1:2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</row>
    <row r="1432" spans="1:2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</row>
    <row r="1433" spans="1:2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</row>
    <row r="1434" spans="1:2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</row>
    <row r="1435" spans="1:2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</row>
    <row r="1436" spans="1:2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</row>
    <row r="1437" spans="1:2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</row>
    <row r="1438" spans="1:2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</row>
    <row r="1439" spans="1:2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</row>
    <row r="1440" spans="1:2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</row>
    <row r="1441" spans="1:2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</row>
    <row r="1442" spans="1:2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</row>
    <row r="1443" spans="1:2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</row>
    <row r="1444" spans="1:2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</row>
    <row r="1445" spans="1:2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</row>
    <row r="1446" spans="1:2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</row>
    <row r="1447" spans="1:2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</row>
    <row r="1448" spans="1:2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</row>
    <row r="1449" spans="1:2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</row>
    <row r="1450" spans="1:2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</row>
    <row r="1451" spans="1:2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</row>
    <row r="1452" spans="1:2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</row>
    <row r="1453" spans="1:2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</row>
    <row r="1454" spans="1:2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</row>
    <row r="1455" spans="1:2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</row>
    <row r="1456" spans="1:2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</row>
    <row r="1457" spans="1:2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</row>
    <row r="1458" spans="1:2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</row>
    <row r="1459" spans="1:2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</row>
    <row r="1460" spans="1:2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</row>
    <row r="1461" spans="1:2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</row>
    <row r="1462" spans="1:2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</row>
    <row r="1463" spans="1:2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</row>
    <row r="1464" spans="1:2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</row>
    <row r="1465" spans="1:2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</row>
    <row r="1466" spans="1:2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</row>
    <row r="1467" spans="1:2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</row>
    <row r="1468" spans="1:2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</row>
    <row r="1469" spans="1:2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</row>
    <row r="1470" spans="1:2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</row>
    <row r="1471" spans="1:2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</row>
    <row r="1472" spans="1:2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</row>
    <row r="1473" spans="1:2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</row>
    <row r="1474" spans="1:2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</row>
    <row r="1475" spans="1:2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</row>
    <row r="1476" spans="1:2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</row>
    <row r="1477" spans="1:2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</row>
    <row r="1478" spans="1:2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</row>
    <row r="1479" spans="1:2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</row>
    <row r="1480" spans="1:2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</row>
    <row r="1481" spans="1:2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</row>
    <row r="1482" spans="1:2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</row>
    <row r="1483" spans="1:2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</row>
    <row r="1484" spans="1:2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</row>
    <row r="1485" spans="1:2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</row>
    <row r="1486" spans="1:2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</row>
    <row r="1487" spans="1:2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</row>
    <row r="1488" spans="1:2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</row>
    <row r="1489" spans="1:2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</row>
    <row r="1490" spans="1:2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</row>
    <row r="1491" spans="1:2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</row>
    <row r="1492" spans="1:2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</row>
    <row r="1493" spans="1:2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</row>
    <row r="1494" spans="1:2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</row>
    <row r="1495" spans="1:2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</row>
    <row r="1496" spans="1:2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</row>
    <row r="1497" spans="1:2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</row>
    <row r="1498" spans="1:2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</row>
    <row r="1499" spans="1:2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</row>
    <row r="1500" spans="1:2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</row>
    <row r="1501" spans="1:2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</row>
    <row r="1502" spans="1:2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</row>
    <row r="1503" spans="1:2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</row>
    <row r="1504" spans="1:2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</row>
    <row r="1505" spans="1:2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</row>
    <row r="1506" spans="1:2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</row>
    <row r="1507" spans="1:2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</row>
    <row r="1508" spans="1:2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</row>
    <row r="1509" spans="1:2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</row>
    <row r="1510" spans="1:2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</row>
    <row r="1511" spans="1:2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</row>
    <row r="1512" spans="1:2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</row>
    <row r="1513" spans="1:2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</row>
    <row r="1514" spans="1:2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</row>
    <row r="1515" spans="1:2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</row>
    <row r="1516" spans="1:2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</row>
    <row r="1517" spans="1:2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</row>
    <row r="1518" spans="1:2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</row>
    <row r="1519" spans="1:2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</row>
    <row r="1520" spans="1:2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</row>
    <row r="1521" spans="1:2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</row>
    <row r="1522" spans="1:2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</row>
    <row r="1523" spans="1:2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</row>
    <row r="1524" spans="1:2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</row>
    <row r="1525" spans="1:2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</row>
    <row r="1526" spans="1:2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</row>
    <row r="1527" spans="1:2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</row>
    <row r="1528" spans="1:2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</row>
    <row r="1529" spans="1:2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</row>
    <row r="1530" spans="1:2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</row>
    <row r="1531" spans="1:2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</row>
    <row r="1532" spans="1:2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</row>
    <row r="1533" spans="1:2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</row>
    <row r="1534" spans="1:2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</row>
    <row r="1535" spans="1:2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</row>
    <row r="1536" spans="1:2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</row>
    <row r="1537" spans="1:2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</row>
    <row r="1538" spans="1:2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</row>
    <row r="1539" spans="1:2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</row>
    <row r="1540" spans="1:2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</row>
    <row r="1541" spans="1:2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</row>
    <row r="1542" spans="1:2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</row>
    <row r="1543" spans="1:2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</row>
    <row r="1544" spans="1:2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</row>
    <row r="1545" spans="1:2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</row>
    <row r="1546" spans="1:2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</row>
    <row r="1547" spans="1:2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</row>
    <row r="1548" spans="1:2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</row>
    <row r="1549" spans="1:2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</row>
    <row r="1550" spans="1:2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</row>
    <row r="1551" spans="1:2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</row>
    <row r="1552" spans="1:2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</row>
    <row r="1553" spans="1:2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</row>
    <row r="1554" spans="1:2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</row>
    <row r="1555" spans="1:2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</row>
    <row r="1556" spans="1:2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</row>
    <row r="1557" spans="1:2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</row>
    <row r="1558" spans="1:2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</row>
    <row r="1559" spans="1:2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</row>
    <row r="1560" spans="1:2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</row>
    <row r="1561" spans="1:2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</row>
    <row r="1562" spans="1:2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</row>
    <row r="1563" spans="1:2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</row>
    <row r="1564" spans="1:2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</row>
    <row r="1565" spans="1:2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</row>
    <row r="1566" spans="1:2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</row>
    <row r="1567" spans="1:2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</row>
    <row r="1568" spans="1:2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</row>
    <row r="1569" spans="1:2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</row>
    <row r="1570" spans="1:2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</row>
    <row r="1571" spans="1:2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</row>
    <row r="1572" spans="1:2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</row>
    <row r="1573" spans="1:2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</row>
    <row r="1574" spans="1:2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</row>
    <row r="1575" spans="1:2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</row>
    <row r="1576" spans="1:2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</row>
    <row r="1577" spans="1:2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</row>
    <row r="1578" spans="1:2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</row>
    <row r="1579" spans="1:2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</row>
    <row r="1580" spans="1:2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</row>
    <row r="1581" spans="1:2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</row>
    <row r="1582" spans="1:2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</row>
    <row r="1583" spans="1:2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</row>
    <row r="1584" spans="1:2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</row>
    <row r="1585" spans="1:2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</row>
    <row r="1586" spans="1:2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</row>
    <row r="1587" spans="1:2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</row>
    <row r="1588" spans="1:2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</row>
    <row r="1589" spans="1:2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</row>
    <row r="1590" spans="1:2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</row>
    <row r="1591" spans="1:2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</row>
    <row r="1592" spans="1:2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</row>
    <row r="1593" spans="1:2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</row>
    <row r="1594" spans="1:2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</row>
    <row r="1595" spans="1:2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</row>
    <row r="1596" spans="1:2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</row>
    <row r="1597" spans="1:2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</row>
    <row r="1598" spans="1:2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</row>
    <row r="1599" spans="1:2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</row>
    <row r="1600" spans="1:2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</row>
    <row r="1601" spans="1:2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</row>
    <row r="1602" spans="1:2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</row>
    <row r="1603" spans="1:2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</row>
    <row r="1604" spans="1:2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</row>
    <row r="1605" spans="1:2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</row>
    <row r="1606" spans="1:2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</row>
    <row r="1607" spans="1:2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</row>
    <row r="1608" spans="1:2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</row>
    <row r="1609" spans="1:2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</row>
    <row r="1610" spans="1:2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</row>
    <row r="1611" spans="1:2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</row>
    <row r="1612" spans="1:2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</row>
    <row r="1613" spans="1:2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</row>
    <row r="1614" spans="1:2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</row>
    <row r="1615" spans="1:2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</row>
    <row r="1616" spans="1:2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</row>
    <row r="1617" spans="1:2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</row>
    <row r="1618" spans="1:2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</row>
    <row r="1619" spans="1:2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</row>
    <row r="1620" spans="1:2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</row>
    <row r="1621" spans="1:2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</row>
    <row r="1622" spans="1:2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</row>
    <row r="1623" spans="1:2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</row>
    <row r="1624" spans="1:2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</row>
    <row r="1625" spans="1:2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</row>
    <row r="1626" spans="1:2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</row>
    <row r="1627" spans="1:2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</row>
    <row r="1628" spans="1:2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</row>
    <row r="1629" spans="1:2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</row>
    <row r="1630" spans="1:2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</row>
    <row r="1631" spans="1:2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</row>
    <row r="1632" spans="1:2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</row>
    <row r="1633" spans="1:2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</row>
    <row r="1634" spans="1:2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</row>
    <row r="1635" spans="1:2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</row>
    <row r="1636" spans="1:2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</row>
    <row r="1637" spans="1:2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</row>
    <row r="1638" spans="1:2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</row>
    <row r="1639" spans="1:2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</row>
    <row r="1640" spans="1:2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</row>
    <row r="1641" spans="1:2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</row>
    <row r="1642" spans="1:2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</row>
    <row r="1643" spans="1:2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</row>
    <row r="1644" spans="1:2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</row>
    <row r="1645" spans="1:2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</row>
    <row r="1646" spans="1:2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</row>
    <row r="1647" spans="1:2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</row>
    <row r="1648" spans="1:2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</row>
    <row r="1649" spans="1:2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</row>
    <row r="1650" spans="1:2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</row>
    <row r="1651" spans="1:2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</row>
    <row r="1652" spans="1:2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</row>
    <row r="1653" spans="1:2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</row>
    <row r="1654" spans="1:2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</row>
    <row r="1655" spans="1:2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</row>
    <row r="1656" spans="1:2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</row>
    <row r="1657" spans="1:2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</row>
    <row r="1658" spans="1:2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</row>
    <row r="1659" spans="1:2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</row>
    <row r="1660" spans="1:2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</row>
    <row r="1661" spans="1:2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</row>
    <row r="1662" spans="1:2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</row>
    <row r="1663" spans="1:2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</row>
    <row r="1664" spans="1:2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</row>
    <row r="1665" spans="1:2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</row>
    <row r="1666" spans="1:2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</row>
    <row r="1667" spans="1:2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</row>
    <row r="1668" spans="1:2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</row>
    <row r="1669" spans="1:2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</row>
    <row r="1670" spans="1:2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</row>
    <row r="1671" spans="1:2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</row>
    <row r="1672" spans="1:2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</row>
    <row r="1673" spans="1:2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</row>
    <row r="1674" spans="1:2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</row>
    <row r="1675" spans="1:2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</row>
    <row r="1676" spans="1:2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</row>
    <row r="1677" spans="1:2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</row>
    <row r="1678" spans="1:2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</row>
    <row r="1679" spans="1:2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</row>
    <row r="1680" spans="1:2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</row>
    <row r="1681" spans="1:2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</row>
    <row r="1682" spans="1:2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</row>
    <row r="1683" spans="1:2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</row>
    <row r="1684" spans="1:2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</row>
    <row r="1685" spans="1:2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</row>
    <row r="1686" spans="1:2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</row>
    <row r="1687" spans="1:2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</row>
    <row r="1688" spans="1:2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</row>
    <row r="1689" spans="1:2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</row>
    <row r="1690" spans="1:2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</row>
    <row r="1691" spans="1:2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</row>
    <row r="1692" spans="1:2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</row>
    <row r="1693" spans="1:2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</row>
    <row r="1694" spans="1:2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</row>
    <row r="1695" spans="1:2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</row>
    <row r="1696" spans="1:2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</row>
    <row r="1697" spans="1:2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</row>
    <row r="1698" spans="1:2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</row>
    <row r="1699" spans="1:2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</row>
    <row r="1700" spans="1:2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</row>
    <row r="1701" spans="1:2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</row>
    <row r="1702" spans="1:2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</row>
    <row r="1703" spans="1:2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</row>
    <row r="1704" spans="1:2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</row>
    <row r="1705" spans="1:2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</row>
    <row r="1706" spans="1:2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</row>
    <row r="1707" spans="1:2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</row>
    <row r="1708" spans="1:2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</row>
    <row r="1709" spans="1:2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</row>
    <row r="1710" spans="1:2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</row>
    <row r="1711" spans="1:2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</row>
    <row r="1712" spans="1:2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</row>
    <row r="1713" spans="1:2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</row>
    <row r="1714" spans="1:2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</row>
    <row r="1715" spans="1:2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</row>
    <row r="1716" spans="1:2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</row>
    <row r="1717" spans="1:2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</row>
    <row r="1718" spans="1:2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</row>
    <row r="1719" spans="1:2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</row>
    <row r="1720" spans="1:2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</row>
    <row r="1721" spans="1:2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</row>
    <row r="1722" spans="1:2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</row>
    <row r="1723" spans="1:2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</row>
    <row r="1724" spans="1:2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</row>
    <row r="1725" spans="1:2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</row>
    <row r="1726" spans="1:2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</row>
    <row r="1727" spans="1:2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</row>
    <row r="1728" spans="1:2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</row>
    <row r="1729" spans="1:2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</row>
    <row r="1730" spans="1:2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</row>
    <row r="1731" spans="1:2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</row>
    <row r="1732" spans="1:2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</row>
    <row r="1733" spans="1:2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</row>
    <row r="1734" spans="1:2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</row>
    <row r="1735" spans="1:2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</row>
    <row r="1736" spans="1:2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</row>
    <row r="1737" spans="1:2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</row>
    <row r="1738" spans="1:2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</row>
    <row r="1739" spans="1:2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</row>
    <row r="1740" spans="1:2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</row>
    <row r="1741" spans="1:2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</row>
    <row r="1742" spans="1:2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</row>
    <row r="1743" spans="1:2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</row>
    <row r="1744" spans="1:2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</row>
    <row r="1745" spans="1:2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</row>
    <row r="1746" spans="1:2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</row>
    <row r="1747" spans="1:2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</row>
    <row r="1748" spans="1:2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</row>
    <row r="1749" spans="1:2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</row>
    <row r="1750" spans="1:2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</row>
    <row r="1751" spans="1:2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</row>
    <row r="1752" spans="1:2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</row>
    <row r="1753" spans="1:2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</row>
    <row r="1754" spans="1:2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</row>
    <row r="1755" spans="1:2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</row>
    <row r="1756" spans="1:2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</row>
    <row r="1757" spans="1:2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</row>
    <row r="1758" spans="1:2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</row>
    <row r="1759" spans="1:2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</row>
    <row r="1760" spans="1:2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</row>
    <row r="1761" spans="1:2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</row>
    <row r="1762" spans="1:2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</row>
    <row r="1763" spans="1:2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</row>
    <row r="1764" spans="1:2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</row>
    <row r="1765" spans="1:2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</row>
    <row r="1766" spans="1:2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</row>
    <row r="1767" spans="1:2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</row>
    <row r="1768" spans="1:2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</row>
    <row r="1769" spans="1:2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</row>
    <row r="1770" spans="1:2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</row>
    <row r="1771" spans="1:2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</row>
    <row r="1772" spans="1:2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</row>
    <row r="1773" spans="1:2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</row>
    <row r="1774" spans="1:2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</row>
    <row r="1775" spans="1:2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</row>
    <row r="1776" spans="1:2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</row>
    <row r="1777" spans="1:2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</row>
    <row r="1778" spans="1:2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</row>
    <row r="1779" spans="1:2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</row>
    <row r="1780" spans="1:2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</row>
    <row r="1781" spans="1:2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</row>
    <row r="1782" spans="1:2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</row>
    <row r="1783" spans="1:2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</row>
    <row r="1784" spans="1:2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</row>
    <row r="1785" spans="1:2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</row>
    <row r="1786" spans="1:2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</row>
    <row r="1787" spans="1:2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</row>
    <row r="1788" spans="1:2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</row>
    <row r="1789" spans="1:2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</row>
    <row r="1790" spans="1:2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</row>
    <row r="1791" spans="1:2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</row>
    <row r="1792" spans="1:2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</row>
    <row r="1793" spans="1:2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</row>
    <row r="1794" spans="1:2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</row>
    <row r="1795" spans="1:2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</row>
    <row r="1796" spans="1:2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</row>
    <row r="1797" spans="1:2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</row>
    <row r="1798" spans="1:2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</row>
    <row r="1799" spans="1:2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</row>
    <row r="1800" spans="1:2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</row>
    <row r="1801" spans="1:2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</row>
    <row r="1802" spans="1:2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</row>
    <row r="1803" spans="1:2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</row>
    <row r="1804" spans="1:2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</row>
    <row r="1805" spans="1:2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</row>
    <row r="1806" spans="1:2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</row>
    <row r="1807" spans="1:2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</row>
    <row r="1808" spans="1:2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</row>
    <row r="1809" spans="1:2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</row>
    <row r="1810" spans="1:2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</row>
    <row r="1811" spans="1:2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</row>
    <row r="1812" spans="1:2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</row>
    <row r="1813" spans="1:2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</row>
    <row r="1814" spans="1:2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</row>
    <row r="1815" spans="1:2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</row>
    <row r="1816" spans="1:2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</row>
    <row r="1817" spans="1:2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</row>
    <row r="1818" spans="1:2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</row>
    <row r="1819" spans="1:2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</row>
    <row r="1820" spans="1:2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</row>
    <row r="1821" spans="1:2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</row>
    <row r="1822" spans="1:2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</row>
    <row r="1823" spans="1:2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</row>
    <row r="1824" spans="1:2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</row>
    <row r="1825" spans="1:2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</row>
    <row r="1826" spans="1:2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</row>
    <row r="1827" spans="1:2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</row>
    <row r="1828" spans="1:2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</row>
    <row r="1829" spans="1:2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</row>
    <row r="1830" spans="1:2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</row>
    <row r="1831" spans="1:2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</row>
    <row r="1832" spans="1:2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</row>
    <row r="1833" spans="1:2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</row>
    <row r="1834" spans="1:2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</row>
    <row r="1835" spans="1:2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</row>
    <row r="1836" spans="1:2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</row>
    <row r="1837" spans="1:2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</row>
    <row r="1838" spans="1:2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</row>
    <row r="1839" spans="1:2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</row>
    <row r="1840" spans="1:2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</row>
    <row r="1841" spans="1:2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</row>
    <row r="1842" spans="1:2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</row>
    <row r="1843" spans="1:2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</row>
    <row r="1844" spans="1:2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</row>
    <row r="1845" spans="1:2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</row>
    <row r="1846" spans="1:2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</row>
    <row r="1847" spans="1:2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</row>
    <row r="1848" spans="1:2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</row>
    <row r="1849" spans="1:2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</row>
    <row r="1850" spans="1:2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</row>
    <row r="1851" spans="1:2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</row>
    <row r="1852" spans="1:2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</row>
    <row r="1853" spans="1:2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</row>
    <row r="1854" spans="1:2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</row>
    <row r="1855" spans="1:2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</row>
    <row r="1856" spans="1:2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</row>
    <row r="1857" spans="1:2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</row>
    <row r="1858" spans="1:2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</row>
    <row r="1859" spans="1:2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</row>
    <row r="1860" spans="1:2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</row>
    <row r="1861" spans="1:2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</row>
    <row r="1862" spans="1:2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</row>
    <row r="1863" spans="1:2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</row>
    <row r="1864" spans="1:2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</row>
    <row r="1865" spans="1:2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</row>
    <row r="1866" spans="1:2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</row>
    <row r="1867" spans="1:2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</row>
    <row r="1868" spans="1:2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</row>
    <row r="1869" spans="1:2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</row>
    <row r="1870" spans="1:2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</row>
    <row r="1871" spans="1:2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</row>
    <row r="1872" spans="1:2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</row>
    <row r="1873" spans="1:2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</row>
    <row r="1874" spans="1:2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</row>
    <row r="1875" spans="1:2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</row>
    <row r="1876" spans="1:2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</row>
    <row r="1877" spans="1:2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</row>
    <row r="1878" spans="1:2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</row>
    <row r="1879" spans="1:2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</row>
    <row r="1880" spans="1:2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</row>
    <row r="1881" spans="1:2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</row>
    <row r="1882" spans="1:2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</row>
    <row r="1883" spans="1:2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</row>
    <row r="1884" spans="1:2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</row>
    <row r="1885" spans="1:2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</row>
    <row r="1886" spans="1:2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</row>
    <row r="1887" spans="1:2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</row>
    <row r="1888" spans="1:2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</row>
    <row r="1889" spans="1:2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</row>
    <row r="1890" spans="1:2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</row>
    <row r="1891" spans="1:2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</row>
    <row r="1892" spans="1:2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</row>
    <row r="1893" spans="1:2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</row>
    <row r="1894" spans="1:2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</row>
    <row r="1895" spans="1:2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</row>
    <row r="1896" spans="1:2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</row>
    <row r="1897" spans="1:2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</row>
    <row r="1898" spans="1:2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</row>
    <row r="1899" spans="1:2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</row>
    <row r="1900" spans="1:2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</row>
    <row r="1901" spans="1:2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</row>
    <row r="1902" spans="1:2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</row>
    <row r="1903" spans="1:2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</row>
    <row r="1904" spans="1:2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</row>
    <row r="1905" spans="1:2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</row>
    <row r="1906" spans="1:2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</row>
    <row r="1907" spans="1:2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</row>
    <row r="1908" spans="1:2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</row>
    <row r="1909" spans="1:2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</row>
    <row r="1910" spans="1:2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</row>
    <row r="1911" spans="1:2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</row>
    <row r="1912" spans="1:2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</row>
    <row r="1913" spans="1:2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</row>
    <row r="1914" spans="1:2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</row>
    <row r="1915" spans="1:2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</row>
    <row r="1916" spans="1:2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</row>
    <row r="1917" spans="1:2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</row>
    <row r="1918" spans="1:2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</row>
    <row r="1919" spans="1:2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</row>
    <row r="1920" spans="1:2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</row>
    <row r="1921" spans="1:2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</row>
    <row r="1922" spans="1:2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</row>
    <row r="1923" spans="1:2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</row>
    <row r="1924" spans="1:2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</row>
    <row r="1925" spans="1:2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</row>
    <row r="1926" spans="1:2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</row>
    <row r="1927" spans="1:2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</row>
    <row r="1928" spans="1:2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</row>
    <row r="1929" spans="1:2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</row>
    <row r="1930" spans="1:2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</row>
    <row r="1931" spans="1:2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</row>
    <row r="1932" spans="1:2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</row>
    <row r="1933" spans="1:2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</row>
    <row r="1934" spans="1:2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</row>
    <row r="1935" spans="1:2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</row>
    <row r="1936" spans="1:2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</row>
    <row r="1937" spans="1:2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</row>
    <row r="1938" spans="1:2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</row>
    <row r="1939" spans="1:2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</row>
    <row r="1940" spans="1:2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</row>
    <row r="1941" spans="1:2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</row>
    <row r="1942" spans="1:2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</row>
    <row r="1943" spans="1:2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</row>
    <row r="1944" spans="1:2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</row>
    <row r="1945" spans="1:2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</row>
    <row r="1946" spans="1:2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</row>
    <row r="1947" spans="1:2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</row>
    <row r="1948" spans="1:2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</row>
    <row r="1949" spans="1:2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</row>
    <row r="1950" spans="1:2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</row>
    <row r="1951" spans="1:2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</row>
    <row r="1952" spans="1:2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</row>
    <row r="1953" spans="1:2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</row>
    <row r="1954" spans="1:2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</row>
    <row r="1955" spans="1:2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</row>
    <row r="1956" spans="1:2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</row>
    <row r="1957" spans="1:2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</row>
    <row r="1958" spans="1:2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</row>
    <row r="1959" spans="1:2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</row>
    <row r="1960" spans="1:2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</row>
    <row r="1961" spans="1:2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</row>
    <row r="1962" spans="1:2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</row>
    <row r="1963" spans="1:2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</row>
    <row r="1964" spans="1:2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</row>
    <row r="1965" spans="1:2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</row>
    <row r="1966" spans="1:2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</row>
    <row r="1967" spans="1:2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</row>
    <row r="1968" spans="1:2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</row>
    <row r="1969" spans="1:2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</row>
    <row r="1970" spans="1:2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</row>
    <row r="1971" spans="1:2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</row>
    <row r="1972" spans="1:2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</row>
    <row r="1973" spans="1:2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</row>
    <row r="1974" spans="1:2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</row>
    <row r="1975" spans="1:2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</row>
    <row r="1976" spans="1:2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</row>
    <row r="1977" spans="1:2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</row>
    <row r="1978" spans="1:2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</row>
    <row r="1979" spans="1:2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</row>
    <row r="1980" spans="1:2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</row>
    <row r="1981" spans="1:2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</row>
    <row r="1982" spans="1:2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</row>
    <row r="1983" spans="1:2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</row>
    <row r="1984" spans="1:2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</row>
    <row r="1985" spans="1:2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</row>
    <row r="1986" spans="1:2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</row>
    <row r="1987" spans="1:2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</row>
    <row r="1988" spans="1:2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</row>
    <row r="1989" spans="1:2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</row>
    <row r="1990" spans="1:2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</row>
    <row r="1991" spans="1:2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</row>
    <row r="1992" spans="1:2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</row>
    <row r="1993" spans="1:2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</row>
    <row r="1994" spans="1:2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</row>
    <row r="1995" spans="1:2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</row>
    <row r="1996" spans="1:2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</row>
    <row r="1997" spans="1:2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</row>
    <row r="1998" spans="1:2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</row>
    <row r="1999" spans="1:2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</row>
    <row r="2000" spans="1:2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</row>
    <row r="2001" spans="1:2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</row>
    <row r="2002" spans="1:2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</row>
    <row r="2003" spans="1:2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</row>
    <row r="2004" spans="1:2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</row>
    <row r="2005" spans="1:2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</row>
    <row r="2006" spans="1:2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</row>
    <row r="2007" spans="1:2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</row>
    <row r="2008" spans="1:2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</row>
    <row r="2009" spans="1:2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</row>
    <row r="2010" spans="1:2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</row>
    <row r="2011" spans="1:2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</row>
    <row r="2012" spans="1:2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</row>
    <row r="2013" spans="1:2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</row>
    <row r="2014" spans="1:2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</row>
    <row r="2015" spans="1:2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</row>
    <row r="2016" spans="1:2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</row>
    <row r="2017" spans="1:2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</row>
    <row r="2018" spans="1:2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</row>
    <row r="2019" spans="1:2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</row>
    <row r="2020" spans="1:2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</row>
    <row r="2021" spans="1:2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</row>
    <row r="2022" spans="1:2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</row>
    <row r="2023" spans="1:2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</row>
    <row r="2024" spans="1:2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</row>
    <row r="2025" spans="1:2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</row>
    <row r="2026" spans="1:2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</row>
    <row r="2027" spans="1:2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</row>
    <row r="2028" spans="1:2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</row>
    <row r="2029" spans="1:2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</row>
    <row r="2030" spans="1:2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</row>
    <row r="2031" spans="1:2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</row>
    <row r="2032" spans="1:2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</row>
    <row r="2033" spans="1:2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</row>
    <row r="2034" spans="1:2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</row>
    <row r="2035" spans="1:2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</row>
    <row r="2036" spans="1:2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</row>
    <row r="2037" spans="1:2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</row>
    <row r="2038" spans="1:2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</row>
    <row r="2039" spans="1:2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</row>
    <row r="2040" spans="1:2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</row>
    <row r="2041" spans="1:2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</row>
    <row r="2042" spans="1:2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</row>
    <row r="2043" spans="1:2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</row>
    <row r="2044" spans="1:2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</row>
    <row r="2045" spans="1:2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</row>
    <row r="2046" spans="1:2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</row>
    <row r="2047" spans="1:2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</row>
    <row r="2048" spans="1:2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</row>
    <row r="2049" spans="1:2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</row>
    <row r="2050" spans="1:2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</row>
    <row r="2051" spans="1:2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</row>
    <row r="2052" spans="1:2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</row>
    <row r="2053" spans="1:2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</row>
    <row r="2054" spans="1:2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</row>
    <row r="2055" spans="1:2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</row>
    <row r="2056" spans="1:2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</row>
    <row r="2057" spans="1:2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</row>
    <row r="2058" spans="1:2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</row>
    <row r="2059" spans="1:2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</row>
    <row r="2060" spans="1:2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</row>
    <row r="2061" spans="1:2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</row>
    <row r="2062" spans="1:2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</row>
    <row r="2063" spans="1:2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</row>
    <row r="2064" spans="1:2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</row>
    <row r="2065" spans="1:2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</row>
    <row r="2066" spans="1:2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</row>
    <row r="2067" spans="1:2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</row>
    <row r="2068" spans="1:2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</row>
    <row r="2069" spans="1:2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</row>
    <row r="2070" spans="1:2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</row>
    <row r="2071" spans="1:2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</row>
    <row r="2072" spans="1:2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</row>
    <row r="2073" spans="1:2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</row>
    <row r="2074" spans="1:2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</row>
    <row r="2075" spans="1:2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</row>
    <row r="2076" spans="1:2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</row>
    <row r="2077" spans="1:2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</row>
    <row r="2078" spans="1:2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</row>
    <row r="2079" spans="1:2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</row>
    <row r="2080" spans="1:2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</row>
    <row r="2081" spans="1:2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</row>
    <row r="2082" spans="1:2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</row>
    <row r="2083" spans="1:2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</row>
    <row r="2084" spans="1:2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</row>
    <row r="2085" spans="1:2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</row>
    <row r="2086" spans="1:2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</row>
    <row r="2087" spans="1:2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</row>
    <row r="2088" spans="1:2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</row>
    <row r="2089" spans="1:2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</row>
    <row r="2090" spans="1:2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</row>
    <row r="2091" spans="1:2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</row>
    <row r="2092" spans="1:2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</row>
    <row r="2093" spans="1:2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</row>
    <row r="2094" spans="1:2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</row>
    <row r="2095" spans="1:2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</row>
    <row r="2096" spans="1:2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</row>
    <row r="2097" spans="1:2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</row>
    <row r="2098" spans="1:2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</row>
    <row r="2099" spans="1:2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</row>
    <row r="2100" spans="1:2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</row>
    <row r="2101" spans="1:2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</row>
    <row r="2102" spans="1:2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</row>
    <row r="2103" spans="1:2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</row>
    <row r="2104" spans="1:2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</row>
    <row r="2105" spans="1:2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</row>
    <row r="2106" spans="1:2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</row>
    <row r="2107" spans="1:2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</row>
    <row r="2108" spans="1:2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</row>
    <row r="2109" spans="1:2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</row>
    <row r="2110" spans="1:2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</row>
    <row r="2111" spans="1:2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</row>
    <row r="2112" spans="1:2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</row>
    <row r="2113" spans="1:2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</row>
    <row r="2114" spans="1:2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</row>
    <row r="2115" spans="1:2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</row>
    <row r="2116" spans="1:2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</row>
    <row r="2117" spans="1:2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</row>
    <row r="2118" spans="1:2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</row>
    <row r="2119" spans="1:2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</row>
    <row r="2120" spans="1:2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</row>
    <row r="2121" spans="1:2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</row>
    <row r="2122" spans="1:2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</row>
    <row r="2123" spans="1:2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</row>
    <row r="2124" spans="1:2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</row>
    <row r="2125" spans="1:2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</row>
    <row r="2126" spans="1:2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</row>
    <row r="2127" spans="1:2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</row>
    <row r="2128" spans="1:2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</row>
    <row r="2129" spans="1:2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</row>
    <row r="2130" spans="1:2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</row>
    <row r="2131" spans="1:2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</row>
    <row r="2132" spans="1:2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</row>
    <row r="2133" spans="1:2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</row>
    <row r="2134" spans="1:2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</row>
    <row r="2135" spans="1:2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</row>
    <row r="2136" spans="1:2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</row>
    <row r="2137" spans="1:2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</row>
    <row r="2138" spans="1:2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</row>
    <row r="2139" spans="1:2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</row>
    <row r="2140" spans="1:2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</row>
    <row r="2141" spans="1:2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</row>
    <row r="2142" spans="1:2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</row>
    <row r="2143" spans="1:2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</row>
    <row r="2144" spans="1:2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</row>
    <row r="2145" spans="1:2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</row>
    <row r="2146" spans="1:2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</row>
    <row r="2147" spans="1:2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</row>
    <row r="2148" spans="1:2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</row>
    <row r="2149" spans="1:2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</row>
    <row r="2150" spans="1:2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</row>
    <row r="2151" spans="1:2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</row>
    <row r="2152" spans="1:2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</row>
    <row r="2153" spans="1:2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</row>
    <row r="2154" spans="1:2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</row>
    <row r="2155" spans="1:2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</row>
    <row r="2156" spans="1:2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</row>
    <row r="2157" spans="1:2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</row>
    <row r="2158" spans="1:2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</row>
    <row r="2159" spans="1:2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</row>
    <row r="2160" spans="1:2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</row>
    <row r="2161" spans="1:2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</row>
    <row r="2162" spans="1:2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</row>
    <row r="2163" spans="1:2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</row>
    <row r="2164" spans="1:2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</row>
    <row r="2165" spans="1:2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</row>
    <row r="2166" spans="1:2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</row>
    <row r="2167" spans="1:2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</row>
    <row r="2168" spans="1:2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</row>
    <row r="2169" spans="1:2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</row>
    <row r="2170" spans="1:2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</row>
    <row r="2171" spans="1:2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</row>
    <row r="2172" spans="1:2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</row>
    <row r="2173" spans="1:2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</row>
    <row r="2174" spans="1:2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</row>
    <row r="2175" spans="1:2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</row>
    <row r="2176" spans="1:2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</row>
    <row r="2177" spans="1:2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</row>
    <row r="2178" spans="1:2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</row>
    <row r="2179" spans="1:2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</row>
    <row r="2180" spans="1:2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</row>
    <row r="2181" spans="1:2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</row>
    <row r="2182" spans="1:2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</row>
    <row r="2183" spans="1:2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</row>
    <row r="2184" spans="1:2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</row>
    <row r="2185" spans="1:2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</row>
    <row r="2186" spans="1:2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</row>
    <row r="2187" spans="1:2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</row>
    <row r="2188" spans="1:2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</row>
    <row r="2189" spans="1:2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</row>
    <row r="2190" spans="1:2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</row>
    <row r="2191" spans="1:2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</row>
    <row r="2192" spans="1:2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</row>
    <row r="2193" spans="1:2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</row>
    <row r="2194" spans="1:2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</row>
    <row r="2195" spans="1:2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</row>
    <row r="2196" spans="1:2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</row>
    <row r="2197" spans="1:2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</row>
    <row r="2198" spans="1:2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</row>
    <row r="2199" spans="1:2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</row>
    <row r="2200" spans="1:2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</row>
    <row r="2201" spans="1:2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</row>
    <row r="2202" spans="1:2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</row>
    <row r="2203" spans="1:2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</row>
    <row r="2204" spans="1:2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</row>
    <row r="2205" spans="1:2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</row>
    <row r="2206" spans="1:2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</row>
    <row r="2207" spans="1:2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</row>
    <row r="2208" spans="1:2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</row>
    <row r="2209" spans="1:2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</row>
    <row r="2210" spans="1:2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</row>
    <row r="2211" spans="1:2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</row>
    <row r="2212" spans="1:2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</row>
    <row r="2213" spans="1:2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</row>
    <row r="2214" spans="1:2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</row>
    <row r="2215" spans="1:2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</row>
    <row r="2216" spans="1:2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</row>
    <row r="2217" spans="1:2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</row>
    <row r="2218" spans="1:2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</row>
    <row r="2219" spans="1:2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</row>
    <row r="2220" spans="1:2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</row>
    <row r="2221" spans="1:2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</row>
    <row r="2222" spans="1:2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</row>
    <row r="2223" spans="1:2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</row>
    <row r="2224" spans="1:2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</row>
    <row r="2225" spans="1:2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</row>
    <row r="2226" spans="1:2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</row>
    <row r="2227" spans="1:2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</row>
    <row r="2228" spans="1:2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</row>
    <row r="2229" spans="1:2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</row>
    <row r="2230" spans="1:2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</row>
    <row r="2231" spans="1:2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</row>
    <row r="2232" spans="1:2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</row>
    <row r="2233" spans="1:2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</row>
    <row r="2234" spans="1:2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</row>
    <row r="2235" spans="1:2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</row>
    <row r="2236" spans="1:2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</row>
    <row r="2237" spans="1:2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</row>
    <row r="2238" spans="1:2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</row>
    <row r="2239" spans="1:2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</row>
    <row r="2240" spans="1:2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</row>
    <row r="2241" spans="1:2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</row>
    <row r="2242" spans="1:2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</row>
    <row r="2243" spans="1:2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</row>
    <row r="2244" spans="1:2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</row>
    <row r="2245" spans="1:2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</row>
    <row r="2246" spans="1:2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</row>
    <row r="2247" spans="1:2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</row>
    <row r="2248" spans="1:2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</row>
    <row r="2249" spans="1:2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</row>
    <row r="2250" spans="1:2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</row>
    <row r="2251" spans="1:2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</row>
    <row r="2252" spans="1:2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</row>
    <row r="2253" spans="1:2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</row>
    <row r="2254" spans="1:2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</row>
    <row r="2255" spans="1:2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</row>
    <row r="2256" spans="1:2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</row>
    <row r="2257" spans="1:2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</row>
    <row r="2258" spans="1:2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</row>
    <row r="2259" spans="1:2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</row>
    <row r="2260" spans="1:2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</row>
    <row r="2261" spans="1:2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</row>
    <row r="2262" spans="1:2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</row>
    <row r="2263" spans="1:2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</row>
    <row r="2264" spans="1:2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</row>
    <row r="2265" spans="1:2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</row>
    <row r="2266" spans="1:2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</row>
    <row r="2267" spans="1:2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</row>
    <row r="2268" spans="1:2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</row>
    <row r="2269" spans="1:2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</row>
    <row r="2270" spans="1:2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</row>
    <row r="2271" spans="1:2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</row>
    <row r="2272" spans="1:2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</row>
    <row r="2273" spans="1:2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</row>
    <row r="2274" spans="1:2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</row>
    <row r="2275" spans="1:2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</row>
    <row r="2276" spans="1:2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</row>
    <row r="2277" spans="1:2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</row>
    <row r="2278" spans="1:2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</row>
    <row r="2279" spans="1:2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</row>
    <row r="2280" spans="1:2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</row>
    <row r="2281" spans="1:2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</row>
    <row r="2282" spans="1:2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</row>
    <row r="2283" spans="1:2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</row>
    <row r="2284" spans="1:2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</row>
    <row r="2285" spans="1:2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</row>
    <row r="2286" spans="1:2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</row>
    <row r="2287" spans="1:2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</row>
    <row r="2288" spans="1:2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</row>
    <row r="2289" spans="1:2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</row>
    <row r="2290" spans="1:2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</row>
    <row r="2291" spans="1:2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</row>
    <row r="2292" spans="1:2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</row>
    <row r="2293" spans="1:2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</row>
    <row r="2294" spans="1:2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</row>
    <row r="2295" spans="1:2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</row>
    <row r="2296" spans="1:2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</row>
    <row r="2297" spans="1:2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</row>
    <row r="2298" spans="1:2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</row>
    <row r="2299" spans="1:2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</row>
    <row r="2300" spans="1:2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</row>
    <row r="2301" spans="1:2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</row>
    <row r="2302" spans="1:2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</row>
    <row r="2303" spans="1:2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</row>
    <row r="2304" spans="1:2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</row>
    <row r="2305" spans="1:2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</row>
    <row r="2306" spans="1:2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</row>
    <row r="2307" spans="1:2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</row>
    <row r="2308" spans="1:2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</row>
    <row r="2309" spans="1:2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</row>
    <row r="2310" spans="1:2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</row>
    <row r="2311" spans="1:2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</row>
    <row r="2312" spans="1:2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</row>
    <row r="2313" spans="1:2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</row>
    <row r="2314" spans="1:2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</row>
    <row r="2315" spans="1:2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</row>
    <row r="2316" spans="1:2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</row>
    <row r="2317" spans="1:2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</row>
    <row r="2318" spans="1:2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</row>
    <row r="2319" spans="1:2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</row>
    <row r="2320" spans="1:2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</row>
    <row r="2321" spans="1:2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</row>
    <row r="2322" spans="1:2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</row>
    <row r="2323" spans="1:2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</row>
    <row r="2324" spans="1:2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</row>
    <row r="2325" spans="1:2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</row>
    <row r="2326" spans="1:2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</row>
    <row r="2327" spans="1:2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</row>
    <row r="2328" spans="1:2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</row>
    <row r="2329" spans="1:2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</row>
    <row r="2330" spans="1:2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</row>
    <row r="2331" spans="1:2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</row>
    <row r="2332" spans="1:2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</row>
    <row r="2333" spans="1:2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</row>
    <row r="2334" spans="1:2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</row>
    <row r="2335" spans="1:2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</row>
    <row r="2336" spans="1:2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</row>
    <row r="2337" spans="1:2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</row>
    <row r="2338" spans="1:2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</row>
    <row r="2339" spans="1:2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</row>
    <row r="2340" spans="1:2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</row>
    <row r="2341" spans="1:2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</row>
    <row r="2342" spans="1:2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  <c r="T2342" s="17"/>
    </row>
    <row r="2343" spans="1:2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</row>
    <row r="2344" spans="1:2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  <c r="T2344" s="17"/>
    </row>
    <row r="2345" spans="1:2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  <c r="T2345" s="17"/>
    </row>
    <row r="2346" spans="1:2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  <c r="T2346" s="17"/>
    </row>
    <row r="2347" spans="1:2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</row>
    <row r="2348" spans="1:2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  <c r="T2348" s="17"/>
    </row>
    <row r="2349" spans="1:2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</row>
    <row r="2350" spans="1:2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  <c r="T2350" s="17"/>
    </row>
    <row r="2351" spans="1:2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</row>
    <row r="2352" spans="1:2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  <c r="T2352" s="17"/>
    </row>
    <row r="2353" spans="1:2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</row>
    <row r="2354" spans="1:2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  <c r="T2354" s="17"/>
    </row>
    <row r="2355" spans="1:2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</row>
    <row r="2356" spans="1:2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  <c r="T2356" s="17"/>
    </row>
    <row r="2357" spans="1:2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</row>
    <row r="2358" spans="1:2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  <c r="T2358" s="17"/>
    </row>
    <row r="2359" spans="1:2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</row>
    <row r="2360" spans="1:2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  <c r="T2360" s="17"/>
    </row>
    <row r="2361" spans="1:2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</row>
    <row r="2362" spans="1:2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  <c r="T2362" s="17"/>
    </row>
    <row r="2363" spans="1:2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</row>
    <row r="2364" spans="1:2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</row>
    <row r="2365" spans="1:2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</row>
    <row r="2366" spans="1:2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  <c r="T2366" s="17"/>
    </row>
    <row r="2367" spans="1:2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  <c r="T2367" s="17"/>
    </row>
    <row r="2368" spans="1:2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  <c r="T2368" s="17"/>
    </row>
    <row r="2369" spans="1:2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</row>
    <row r="2370" spans="1:2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</row>
    <row r="2371" spans="1:2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</row>
    <row r="2372" spans="1:2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</row>
    <row r="2373" spans="1:2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</row>
    <row r="2374" spans="1:2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  <c r="T2374" s="17"/>
    </row>
    <row r="2375" spans="1:2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</row>
    <row r="2376" spans="1:2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</row>
    <row r="2377" spans="1:2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</row>
    <row r="2378" spans="1:2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</row>
    <row r="2379" spans="1:2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</row>
    <row r="2380" spans="1:2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  <c r="T2380" s="17"/>
    </row>
    <row r="2381" spans="1:2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</row>
    <row r="2382" spans="1:2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/>
      <c r="T2382" s="17"/>
    </row>
    <row r="2383" spans="1:2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  <c r="T2383" s="17"/>
    </row>
    <row r="2384" spans="1:2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  <c r="T2384" s="17"/>
    </row>
    <row r="2385" spans="1:2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</row>
    <row r="2386" spans="1:2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  <c r="T2386" s="17"/>
    </row>
    <row r="2387" spans="1:2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</row>
    <row r="2388" spans="1:2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  <c r="T2388" s="17"/>
    </row>
    <row r="2389" spans="1:2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</row>
    <row r="2390" spans="1:2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  <c r="T2390" s="17"/>
    </row>
    <row r="2391" spans="1:2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</row>
    <row r="2392" spans="1:2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</row>
    <row r="2393" spans="1:2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  <c r="T2393" s="17"/>
    </row>
    <row r="2394" spans="1:2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</row>
    <row r="2395" spans="1:2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</row>
    <row r="2396" spans="1:2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  <c r="T2396" s="17"/>
    </row>
    <row r="2397" spans="1:2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</row>
    <row r="2398" spans="1:2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  <c r="T2398" s="17"/>
    </row>
    <row r="2399" spans="1:2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</row>
    <row r="2400" spans="1:2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  <c r="T2400" s="17"/>
    </row>
    <row r="2401" spans="1:2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  <c r="T2401" s="17"/>
    </row>
    <row r="2402" spans="1:2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  <c r="T2402" s="17"/>
    </row>
    <row r="2403" spans="1:2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</row>
    <row r="2404" spans="1:2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  <c r="T2404" s="17"/>
    </row>
    <row r="2405" spans="1:2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</row>
    <row r="2406" spans="1:2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  <c r="T2406" s="17"/>
    </row>
    <row r="2407" spans="1:2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</row>
    <row r="2408" spans="1:2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  <c r="T2408" s="17"/>
    </row>
    <row r="2409" spans="1:2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</row>
    <row r="2410" spans="1:2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17"/>
    </row>
    <row r="2411" spans="1:2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</row>
    <row r="2412" spans="1:2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  <c r="T2412" s="17"/>
    </row>
    <row r="2413" spans="1:2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</row>
    <row r="2414" spans="1:2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  <c r="T2414" s="17"/>
    </row>
    <row r="2415" spans="1:2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</row>
    <row r="2416" spans="1:2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  <c r="T2416" s="17"/>
    </row>
    <row r="2417" spans="1:2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</row>
    <row r="2418" spans="1:2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  <c r="T2418" s="17"/>
    </row>
    <row r="2419" spans="1:2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</row>
    <row r="2420" spans="1:2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  <c r="T2420" s="17"/>
    </row>
    <row r="2421" spans="1:2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</row>
    <row r="2422" spans="1:2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  <c r="T2422" s="17"/>
    </row>
    <row r="2423" spans="1:2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</row>
    <row r="2424" spans="1:2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  <c r="T2424" s="17"/>
    </row>
    <row r="2425" spans="1:2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</row>
    <row r="2426" spans="1:2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  <c r="T2426" s="17"/>
    </row>
    <row r="2427" spans="1:2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</row>
    <row r="2428" spans="1:2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  <c r="T2428" s="17"/>
    </row>
    <row r="2429" spans="1:2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</row>
    <row r="2430" spans="1:2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  <c r="T2430" s="17"/>
    </row>
    <row r="2431" spans="1:2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</row>
    <row r="2432" spans="1:2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  <c r="T2432" s="17"/>
    </row>
    <row r="2433" spans="1:2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</row>
    <row r="2434" spans="1:2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  <c r="T2434" s="17"/>
    </row>
    <row r="2435" spans="1:2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</row>
    <row r="2436" spans="1:2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  <c r="T2436" s="17"/>
    </row>
    <row r="2437" spans="1:2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</row>
    <row r="2438" spans="1:2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  <c r="T2438" s="17"/>
    </row>
    <row r="2439" spans="1:2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</row>
    <row r="2440" spans="1:2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  <c r="T2440" s="17"/>
    </row>
    <row r="2441" spans="1:2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</row>
    <row r="2442" spans="1:2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  <c r="T2442" s="17"/>
    </row>
    <row r="2443" spans="1:2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</row>
    <row r="2444" spans="1:2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  <c r="T2444" s="17"/>
    </row>
    <row r="2445" spans="1:2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</row>
    <row r="2446" spans="1:2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  <c r="T2446" s="17"/>
    </row>
    <row r="2447" spans="1:2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</row>
    <row r="2448" spans="1:2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  <c r="T2448" s="17"/>
    </row>
    <row r="2449" spans="1:2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</row>
    <row r="2450" spans="1:2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  <c r="T2450" s="17"/>
    </row>
    <row r="2451" spans="1:2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</row>
    <row r="2452" spans="1:2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  <c r="T2452" s="17"/>
    </row>
    <row r="2453" spans="1:2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  <c r="T2453" s="17"/>
    </row>
    <row r="2454" spans="1:2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  <c r="T2454" s="17"/>
    </row>
    <row r="2455" spans="1:2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</row>
    <row r="2456" spans="1:2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  <c r="T2456" s="17"/>
    </row>
    <row r="2457" spans="1:2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</row>
    <row r="2458" spans="1:2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</row>
    <row r="2459" spans="1:2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</row>
    <row r="2460" spans="1:2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  <c r="T2460" s="17"/>
    </row>
    <row r="2461" spans="1:2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  <c r="T2461" s="17"/>
    </row>
    <row r="2462" spans="1:2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  <c r="T2462" s="17"/>
    </row>
    <row r="2463" spans="1:2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</row>
    <row r="2464" spans="1:2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  <c r="T2464" s="17"/>
    </row>
    <row r="2465" spans="1:2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</row>
    <row r="2466" spans="1:2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  <c r="T2466" s="17"/>
    </row>
    <row r="2467" spans="1:2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</row>
    <row r="2468" spans="1:2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  <c r="T2468" s="17"/>
    </row>
    <row r="2469" spans="1:2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</row>
    <row r="2470" spans="1:2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  <c r="T2470" s="17"/>
    </row>
    <row r="2471" spans="1:2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</row>
    <row r="2472" spans="1:2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  <c r="T2472" s="17"/>
    </row>
    <row r="2473" spans="1:2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</row>
    <row r="2474" spans="1:2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  <c r="T2474" s="17"/>
    </row>
    <row r="2475" spans="1:2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</row>
    <row r="2476" spans="1:2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  <c r="T2476" s="17"/>
    </row>
    <row r="2477" spans="1:2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</row>
    <row r="2478" spans="1:2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  <c r="T2478" s="17"/>
    </row>
    <row r="2479" spans="1:2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</row>
    <row r="2480" spans="1:2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  <c r="T2480" s="17"/>
    </row>
    <row r="2481" spans="1:2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</row>
    <row r="2482" spans="1:2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  <c r="T2482" s="17"/>
    </row>
    <row r="2483" spans="1:2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</row>
    <row r="2484" spans="1:2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  <c r="T2484" s="17"/>
    </row>
    <row r="2485" spans="1:2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</row>
    <row r="2486" spans="1:2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  <c r="T2486" s="17"/>
    </row>
    <row r="2487" spans="1:2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  <c r="T2487" s="17"/>
    </row>
    <row r="2488" spans="1:2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  <c r="T2488" s="17"/>
    </row>
    <row r="2489" spans="1:2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</row>
    <row r="2490" spans="1:2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</row>
    <row r="2491" spans="1:2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</row>
    <row r="2492" spans="1:2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</row>
    <row r="2493" spans="1:2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</row>
    <row r="2494" spans="1:2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</row>
    <row r="2495" spans="1:2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</row>
    <row r="2496" spans="1:2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</row>
    <row r="2497" spans="1:2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</row>
    <row r="2498" spans="1:2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</row>
    <row r="2499" spans="1:2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</row>
    <row r="2500" spans="1:2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  <c r="T2500" s="17"/>
    </row>
    <row r="2501" spans="1:2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</row>
    <row r="2502" spans="1:2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  <c r="T2502" s="17"/>
    </row>
    <row r="2503" spans="1:2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</row>
    <row r="2504" spans="1:2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  <c r="T2504" s="17"/>
    </row>
    <row r="2505" spans="1:2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  <c r="T2505" s="17"/>
    </row>
    <row r="2506" spans="1:2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  <c r="T2506" s="17"/>
    </row>
    <row r="2507" spans="1:2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</row>
    <row r="2508" spans="1:2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  <c r="T2508" s="17"/>
    </row>
    <row r="2509" spans="1:2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  <c r="T2509" s="17"/>
    </row>
    <row r="2510" spans="1:2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  <c r="T2510" s="17"/>
    </row>
    <row r="2511" spans="1:2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</row>
    <row r="2512" spans="1:2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  <c r="T2512" s="17"/>
    </row>
    <row r="2513" spans="1:2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</row>
    <row r="2514" spans="1:2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  <c r="T2514" s="17"/>
    </row>
    <row r="2515" spans="1:2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</row>
    <row r="2516" spans="1:2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</row>
    <row r="2517" spans="1:2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  <c r="T2517" s="17"/>
    </row>
    <row r="2518" spans="1:2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  <c r="T2518" s="17"/>
    </row>
    <row r="2519" spans="1:2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  <c r="T2519" s="17"/>
    </row>
    <row r="2520" spans="1:2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  <c r="T2520" s="17"/>
    </row>
    <row r="2521" spans="1:2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</row>
    <row r="2522" spans="1:2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</row>
    <row r="2523" spans="1:2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</row>
    <row r="2524" spans="1:2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</row>
    <row r="2525" spans="1:2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</row>
    <row r="2526" spans="1:2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  <c r="T2526" s="17"/>
    </row>
    <row r="2527" spans="1:2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  <c r="T2527" s="17"/>
    </row>
    <row r="2528" spans="1:2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</row>
    <row r="2529" spans="1:2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</row>
    <row r="2530" spans="1:2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</row>
    <row r="2531" spans="1:2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</row>
    <row r="2532" spans="1:2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  <c r="T2532" s="17"/>
    </row>
    <row r="2533" spans="1:2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  <c r="T2533" s="17"/>
    </row>
    <row r="2534" spans="1:2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17"/>
    </row>
    <row r="2535" spans="1:2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</row>
    <row r="2536" spans="1:2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  <c r="T2536" s="17"/>
    </row>
    <row r="2537" spans="1:2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  <c r="T2537" s="17"/>
    </row>
    <row r="2538" spans="1:2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  <c r="T2538" s="17"/>
    </row>
    <row r="2539" spans="1:2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</row>
    <row r="2540" spans="1:2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</row>
    <row r="2541" spans="1:2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</row>
    <row r="2542" spans="1:2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  <c r="T2542" s="17"/>
    </row>
    <row r="2543" spans="1:2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</row>
    <row r="2544" spans="1:2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</row>
    <row r="2545" spans="1:2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</row>
    <row r="2546" spans="1:2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</row>
    <row r="2547" spans="1:2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</row>
    <row r="2548" spans="1:2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  <c r="T2548" s="17"/>
    </row>
    <row r="2549" spans="1:2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</row>
    <row r="2550" spans="1:2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  <c r="T2550" s="17"/>
    </row>
    <row r="2551" spans="1:2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  <c r="T2551" s="17"/>
    </row>
    <row r="2552" spans="1:2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  <c r="T2552" s="17"/>
    </row>
    <row r="2553" spans="1:2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</row>
    <row r="2554" spans="1:2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  <c r="T2554" s="17"/>
    </row>
    <row r="2555" spans="1:2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</row>
    <row r="2556" spans="1:2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  <c r="T2556" s="17"/>
    </row>
    <row r="2557" spans="1:2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</row>
    <row r="2558" spans="1:2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  <c r="T2558" s="17"/>
    </row>
    <row r="2559" spans="1:2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</row>
    <row r="2560" spans="1:2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</row>
    <row r="2561" spans="1:2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</row>
    <row r="2562" spans="1:2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</row>
    <row r="2563" spans="1:2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</row>
    <row r="2564" spans="1:2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</row>
    <row r="2565" spans="1:2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</row>
    <row r="2566" spans="1:2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</row>
    <row r="2567" spans="1:2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</row>
    <row r="2568" spans="1:2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</row>
    <row r="2569" spans="1:2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</row>
    <row r="2570" spans="1:2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</row>
    <row r="2571" spans="1:2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</row>
    <row r="2572" spans="1:2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</row>
    <row r="2573" spans="1:2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</row>
    <row r="2574" spans="1:2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</row>
    <row r="2575" spans="1:2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</row>
    <row r="2576" spans="1:2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</row>
    <row r="2577" spans="1:2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</row>
    <row r="2578" spans="1:2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  <c r="T2578" s="17"/>
    </row>
    <row r="2579" spans="1:2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</row>
    <row r="2580" spans="1:2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  <c r="T2580" s="17"/>
    </row>
    <row r="2581" spans="1:2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</row>
    <row r="2582" spans="1:2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  <c r="T2582" s="17"/>
    </row>
    <row r="2583" spans="1:2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</row>
    <row r="2584" spans="1:2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</row>
    <row r="2585" spans="1:2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</row>
    <row r="2586" spans="1:2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</row>
    <row r="2587" spans="1:2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</row>
    <row r="2588" spans="1:2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</row>
    <row r="2589" spans="1:2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</row>
    <row r="2590" spans="1:2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</row>
    <row r="2591" spans="1:2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</row>
    <row r="2592" spans="1:2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</row>
    <row r="2593" spans="1:2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</row>
    <row r="2594" spans="1:2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</row>
    <row r="2595" spans="1:2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</row>
    <row r="2596" spans="1:2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</row>
    <row r="2597" spans="1:2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</row>
    <row r="2598" spans="1:2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  <c r="T2598" s="17"/>
    </row>
    <row r="2599" spans="1:2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</row>
    <row r="2600" spans="1:2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  <c r="T2600" s="17"/>
    </row>
    <row r="2601" spans="1:2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  <c r="T2601" s="17"/>
    </row>
    <row r="2602" spans="1:2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  <c r="T2602" s="17"/>
    </row>
    <row r="2603" spans="1:2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</row>
    <row r="2604" spans="1:2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</row>
    <row r="2605" spans="1:2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</row>
    <row r="2606" spans="1:2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  <c r="T2606" s="17"/>
    </row>
    <row r="2607" spans="1:2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  <c r="T2607" s="17"/>
    </row>
    <row r="2608" spans="1:2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</row>
    <row r="2609" spans="1:2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</row>
    <row r="2610" spans="1:2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</row>
    <row r="2611" spans="1:2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</row>
    <row r="2612" spans="1:2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</row>
    <row r="2613" spans="1:2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</row>
    <row r="2614" spans="1:2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</row>
    <row r="2615" spans="1:2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</row>
    <row r="2616" spans="1:2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</row>
    <row r="2617" spans="1:2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</row>
    <row r="2618" spans="1:2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</row>
    <row r="2619" spans="1:2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</row>
    <row r="2620" spans="1:2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</row>
    <row r="2621" spans="1:2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</row>
    <row r="2622" spans="1:2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  <c r="T2622" s="17"/>
    </row>
    <row r="2623" spans="1:2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</row>
    <row r="2624" spans="1:2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  <c r="T2624" s="17"/>
    </row>
    <row r="2625" spans="1:2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</row>
    <row r="2626" spans="1:2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  <c r="T2626" s="17"/>
    </row>
    <row r="2627" spans="1:2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</row>
    <row r="2628" spans="1:2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  <c r="T2628" s="17"/>
    </row>
    <row r="2629" spans="1:2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</row>
    <row r="2630" spans="1:2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</row>
    <row r="2631" spans="1:2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</row>
    <row r="2632" spans="1:2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  <c r="T2632" s="17"/>
    </row>
    <row r="2633" spans="1:2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</row>
    <row r="2634" spans="1:2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  <c r="T2634" s="17"/>
    </row>
    <row r="2635" spans="1:2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</row>
    <row r="2636" spans="1:2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  <c r="T2636" s="17"/>
    </row>
    <row r="2637" spans="1:2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</row>
    <row r="2638" spans="1:2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  <c r="T2638" s="17"/>
    </row>
    <row r="2639" spans="1:2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  <c r="T2639" s="17"/>
    </row>
    <row r="2640" spans="1:2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  <c r="T2640" s="17"/>
    </row>
    <row r="2641" spans="1:2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</row>
    <row r="2642" spans="1:2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  <c r="T2642" s="17"/>
    </row>
    <row r="2643" spans="1:2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</row>
    <row r="2644" spans="1:2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  <c r="T2644" s="17"/>
    </row>
    <row r="2645" spans="1:2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  <c r="T2645" s="17"/>
    </row>
    <row r="2646" spans="1:2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  <c r="T2646" s="17"/>
    </row>
    <row r="2647" spans="1:2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</row>
    <row r="2648" spans="1:2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  <c r="T2648" s="17"/>
    </row>
    <row r="2649" spans="1:2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</row>
    <row r="2650" spans="1:2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  <c r="T2650" s="17"/>
    </row>
    <row r="2651" spans="1:2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</row>
    <row r="2652" spans="1:2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  <c r="T2652" s="17"/>
    </row>
    <row r="2653" spans="1:2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  <c r="T2653" s="17"/>
    </row>
    <row r="2654" spans="1:2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  <c r="T2654" s="17"/>
    </row>
    <row r="2655" spans="1:2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17"/>
    </row>
    <row r="2656" spans="1:2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  <c r="T2656" s="17"/>
    </row>
    <row r="2657" spans="1:2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  <c r="T2657" s="17"/>
    </row>
    <row r="2658" spans="1:2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  <c r="T2658" s="17"/>
    </row>
    <row r="2659" spans="1:2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</row>
    <row r="2660" spans="1:2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  <c r="T2660" s="17"/>
    </row>
    <row r="2661" spans="1:2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</row>
    <row r="2662" spans="1:2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</row>
    <row r="2663" spans="1:2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</row>
    <row r="2664" spans="1:2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</row>
    <row r="2665" spans="1:2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</row>
    <row r="2666" spans="1:2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</row>
    <row r="2667" spans="1:2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</row>
    <row r="2668" spans="1:2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</row>
    <row r="2669" spans="1:2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</row>
    <row r="2670" spans="1:2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</row>
    <row r="2671" spans="1:2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</row>
    <row r="2672" spans="1:2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</row>
    <row r="2673" spans="1:2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</row>
    <row r="2674" spans="1:2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</row>
    <row r="2675" spans="1:2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</row>
    <row r="2676" spans="1:2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</row>
    <row r="2677" spans="1:2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</row>
    <row r="2678" spans="1:2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</row>
    <row r="2679" spans="1:2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</row>
    <row r="2680" spans="1:2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</row>
    <row r="2681" spans="1:2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</row>
    <row r="2682" spans="1:2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</row>
    <row r="2683" spans="1:2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</row>
    <row r="2684" spans="1:2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</row>
    <row r="2685" spans="1:2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</row>
    <row r="2686" spans="1:2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</row>
    <row r="2687" spans="1:2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</row>
    <row r="2688" spans="1:2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</row>
    <row r="2689" spans="1:2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</row>
    <row r="2690" spans="1:2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</row>
    <row r="2691" spans="1:2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</row>
    <row r="2692" spans="1:2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</row>
    <row r="2693" spans="1:2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</row>
    <row r="2694" spans="1:2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</row>
    <row r="2695" spans="1:2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</row>
    <row r="2696" spans="1:2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</row>
    <row r="2697" spans="1:2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</row>
    <row r="2698" spans="1:2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</row>
    <row r="2699" spans="1:2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</row>
    <row r="2700" spans="1:2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</row>
    <row r="2701" spans="1:2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</row>
    <row r="2702" spans="1:2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</row>
    <row r="2703" spans="1:2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</row>
    <row r="2704" spans="1:2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</row>
    <row r="2705" spans="1:2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</row>
    <row r="2706" spans="1:2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</row>
    <row r="2707" spans="1:2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</row>
    <row r="2708" spans="1:2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</row>
    <row r="2709" spans="1:2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</row>
    <row r="2710" spans="1:2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</row>
    <row r="2711" spans="1:2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</row>
    <row r="2712" spans="1:2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</row>
    <row r="2713" spans="1:2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</row>
    <row r="2714" spans="1:2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</row>
    <row r="2715" spans="1:2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</row>
    <row r="2716" spans="1:2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</row>
    <row r="2717" spans="1:2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</row>
    <row r="2718" spans="1:2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</row>
    <row r="2719" spans="1:2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</row>
    <row r="2720" spans="1:2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</row>
    <row r="2721" spans="1:2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</row>
    <row r="2722" spans="1:2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</row>
    <row r="2723" spans="1:2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</row>
    <row r="2724" spans="1:2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</row>
    <row r="2725" spans="1:2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</row>
    <row r="2726" spans="1:2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</row>
    <row r="2727" spans="1:2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</row>
    <row r="2728" spans="1:2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</row>
    <row r="2729" spans="1:2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</row>
    <row r="2730" spans="1:2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</row>
    <row r="2731" spans="1:2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</row>
    <row r="2732" spans="1:2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</row>
    <row r="2733" spans="1:2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</row>
    <row r="2734" spans="1:2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</row>
    <row r="2735" spans="1:2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</row>
    <row r="2736" spans="1:2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</row>
    <row r="2737" spans="1:2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</row>
    <row r="2738" spans="1:2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</row>
    <row r="2739" spans="1:2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</row>
    <row r="2740" spans="1:2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</row>
    <row r="2741" spans="1:2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</row>
    <row r="2742" spans="1:2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</row>
    <row r="2743" spans="1:2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</row>
    <row r="2744" spans="1:2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</row>
    <row r="2745" spans="1:2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</row>
    <row r="2746" spans="1:2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</row>
    <row r="2747" spans="1:2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</row>
    <row r="2748" spans="1:2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</row>
    <row r="2749" spans="1:2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</row>
    <row r="2750" spans="1:2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</row>
    <row r="2751" spans="1:2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</row>
    <row r="2752" spans="1:2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</row>
    <row r="2753" spans="1:2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</row>
    <row r="2754" spans="1:2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</row>
    <row r="2755" spans="1:2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</row>
    <row r="2756" spans="1:2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</row>
    <row r="2757" spans="1:2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</row>
    <row r="2758" spans="1:2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</row>
    <row r="2759" spans="1:2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</row>
    <row r="2760" spans="1:2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</row>
    <row r="2761" spans="1:2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</row>
    <row r="2762" spans="1:2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</row>
    <row r="2763" spans="1:2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</row>
    <row r="2764" spans="1:2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</row>
    <row r="2765" spans="1:2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</row>
    <row r="2766" spans="1:2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</row>
    <row r="2767" spans="1:2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</row>
    <row r="2768" spans="1:2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</row>
    <row r="2769" spans="1:2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</row>
    <row r="2770" spans="1:2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</row>
    <row r="2771" spans="1:2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</row>
    <row r="2772" spans="1:2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</row>
    <row r="2773" spans="1:2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</row>
    <row r="2774" spans="1:2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</row>
    <row r="2775" spans="1:2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  <c r="T2775" s="17"/>
    </row>
    <row r="2776" spans="1:2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  <c r="T2776" s="17"/>
    </row>
    <row r="2777" spans="1:2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</row>
    <row r="2778" spans="1:2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  <c r="T2778" s="17"/>
    </row>
    <row r="2779" spans="1:2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</row>
    <row r="2780" spans="1:2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  <c r="T2780" s="17"/>
    </row>
    <row r="2781" spans="1:2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</row>
    <row r="2782" spans="1:2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  <c r="T2782" s="17"/>
    </row>
    <row r="2783" spans="1:2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  <c r="T2783" s="17"/>
    </row>
    <row r="2784" spans="1:2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  <c r="T2784" s="17"/>
    </row>
    <row r="2785" spans="1:2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</row>
    <row r="2786" spans="1:2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  <c r="T2786" s="17"/>
    </row>
    <row r="2787" spans="1:2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</row>
    <row r="2788" spans="1:2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  <c r="T2788" s="17"/>
    </row>
    <row r="2789" spans="1:2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</row>
    <row r="2790" spans="1:2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  <c r="T2790" s="17"/>
    </row>
    <row r="2791" spans="1:2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</row>
    <row r="2792" spans="1:2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  <c r="T2792" s="17"/>
    </row>
    <row r="2793" spans="1:2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</row>
    <row r="2794" spans="1:2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  <c r="T2794" s="17"/>
    </row>
    <row r="2795" spans="1:2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</row>
    <row r="2796" spans="1:2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  <c r="T2796" s="17"/>
    </row>
    <row r="2797" spans="1:2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</row>
    <row r="2798" spans="1:2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  <c r="T2798" s="17"/>
    </row>
    <row r="2799" spans="1:2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</row>
    <row r="2800" spans="1:2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  <c r="T2800" s="17"/>
    </row>
    <row r="2801" spans="1:2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</row>
    <row r="2802" spans="1:2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  <c r="T2802" s="17"/>
    </row>
    <row r="2803" spans="1:2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</row>
    <row r="2804" spans="1:2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  <c r="T2804" s="17"/>
    </row>
    <row r="2805" spans="1:2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</row>
    <row r="2806" spans="1:2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  <c r="T2806" s="17"/>
    </row>
    <row r="2807" spans="1:2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</row>
    <row r="2808" spans="1:2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  <c r="T2808" s="17"/>
    </row>
    <row r="2809" spans="1:2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</row>
    <row r="2810" spans="1:2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  <c r="T2810" s="17"/>
    </row>
    <row r="2811" spans="1:2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</row>
    <row r="2812" spans="1:2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  <c r="T2812" s="17"/>
    </row>
    <row r="2813" spans="1:2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</row>
    <row r="2814" spans="1:2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  <c r="T2814" s="17"/>
    </row>
    <row r="2815" spans="1:2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</row>
    <row r="2816" spans="1:2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  <c r="T2816" s="17"/>
    </row>
    <row r="2817" spans="1:2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</row>
    <row r="2818" spans="1:2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  <c r="T2818" s="17"/>
    </row>
    <row r="2819" spans="1:2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</row>
    <row r="2820" spans="1:2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  <c r="T2820" s="17"/>
    </row>
    <row r="2821" spans="1:2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</row>
    <row r="2822" spans="1:2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  <c r="T2822" s="17"/>
    </row>
    <row r="2823" spans="1:2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</row>
    <row r="2824" spans="1:2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  <c r="T2824" s="17"/>
    </row>
    <row r="2825" spans="1:2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</row>
    <row r="2826" spans="1:2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  <c r="T2826" s="17"/>
    </row>
    <row r="2827" spans="1:2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</row>
    <row r="2828" spans="1:2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  <c r="T2828" s="17"/>
    </row>
    <row r="2829" spans="1:2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</row>
    <row r="2830" spans="1:2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  <c r="T2830" s="17"/>
    </row>
    <row r="2831" spans="1:2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</row>
    <row r="2832" spans="1:2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  <c r="T2832" s="17"/>
    </row>
    <row r="2833" spans="1:2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  <c r="T2833" s="17"/>
    </row>
    <row r="2834" spans="1:2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  <c r="T2834" s="17"/>
    </row>
    <row r="2835" spans="1:2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</row>
    <row r="2836" spans="1:2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  <c r="T2836" s="17"/>
    </row>
    <row r="2837" spans="1:2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</row>
    <row r="2838" spans="1:2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  <c r="T2838" s="17"/>
    </row>
    <row r="2839" spans="1:2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</row>
    <row r="2840" spans="1:2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  <c r="T2840" s="17"/>
    </row>
    <row r="2841" spans="1:2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</row>
    <row r="2842" spans="1:2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  <c r="T2842" s="17"/>
    </row>
    <row r="2843" spans="1:2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</row>
    <row r="2844" spans="1:2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  <c r="T2844" s="17"/>
    </row>
    <row r="2845" spans="1:2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</row>
    <row r="2846" spans="1:2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  <c r="T2846" s="17"/>
    </row>
    <row r="2847" spans="1:2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</row>
    <row r="2848" spans="1:2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  <c r="T2848" s="17"/>
    </row>
    <row r="2849" spans="1:2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</row>
    <row r="2850" spans="1:2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  <c r="T2850" s="17"/>
    </row>
    <row r="2851" spans="1:2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</row>
    <row r="2852" spans="1:2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</row>
    <row r="2853" spans="1:2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</row>
    <row r="2854" spans="1:2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  <c r="T2854" s="17"/>
    </row>
    <row r="2855" spans="1:2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</row>
    <row r="2856" spans="1:2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  <c r="T2856" s="17"/>
    </row>
    <row r="2857" spans="1:2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</row>
    <row r="2858" spans="1:2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  <c r="T2858" s="17"/>
    </row>
    <row r="2859" spans="1:2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</row>
    <row r="2860" spans="1:2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  <c r="T2860" s="17"/>
    </row>
    <row r="2861" spans="1:2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/>
    </row>
    <row r="2862" spans="1:2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</row>
    <row r="2863" spans="1:2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</row>
    <row r="2864" spans="1:2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</row>
    <row r="2865" spans="1:2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</row>
    <row r="2866" spans="1:2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  <c r="T2866" s="17"/>
    </row>
    <row r="2867" spans="1:2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</row>
    <row r="2868" spans="1:2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</row>
    <row r="2869" spans="1:2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</row>
    <row r="2870" spans="1:2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</row>
    <row r="2871" spans="1:2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</row>
    <row r="2872" spans="1:2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  <c r="T2872" s="17"/>
    </row>
    <row r="2873" spans="1:2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</row>
    <row r="2874" spans="1:2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  <c r="T2874" s="17"/>
    </row>
    <row r="2875" spans="1:2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</row>
    <row r="2876" spans="1:2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  <c r="T2876" s="17"/>
    </row>
    <row r="2877" spans="1:2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</row>
    <row r="2878" spans="1:2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  <c r="T2878" s="17"/>
    </row>
    <row r="2879" spans="1:2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</row>
    <row r="2880" spans="1:2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  <c r="T2880" s="17"/>
    </row>
    <row r="2881" spans="1:2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</row>
    <row r="2882" spans="1:2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  <c r="T2882" s="17"/>
    </row>
    <row r="2883" spans="1:2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</row>
    <row r="2884" spans="1:2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  <c r="T2884" s="17"/>
    </row>
    <row r="2885" spans="1:2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</row>
    <row r="2886" spans="1:2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  <c r="T2886" s="17"/>
    </row>
    <row r="2887" spans="1:2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</row>
    <row r="2888" spans="1:2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</row>
    <row r="2889" spans="1:2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</row>
    <row r="2890" spans="1:2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  <c r="T2890" s="17"/>
    </row>
    <row r="2891" spans="1:2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</row>
    <row r="2892" spans="1:2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  <c r="T2892" s="17"/>
    </row>
    <row r="2893" spans="1:2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</row>
    <row r="2894" spans="1:2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  <c r="T2894" s="17"/>
    </row>
    <row r="2895" spans="1:2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  <c r="T2895" s="17"/>
    </row>
    <row r="2896" spans="1:2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  <c r="T2896" s="17"/>
    </row>
    <row r="2897" spans="1:2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</row>
    <row r="2898" spans="1:2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17"/>
    </row>
    <row r="2899" spans="1:2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</row>
    <row r="2900" spans="1:2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  <c r="T2900" s="17"/>
    </row>
    <row r="2901" spans="1:2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</row>
    <row r="2902" spans="1:2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  <c r="T2902" s="17"/>
    </row>
    <row r="2903" spans="1:2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</row>
    <row r="2904" spans="1:2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  <c r="T2904" s="17"/>
    </row>
    <row r="2905" spans="1:2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</row>
    <row r="2906" spans="1:2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  <c r="T2906" s="17"/>
    </row>
    <row r="2907" spans="1:2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</row>
    <row r="2908" spans="1:2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  <c r="T2908" s="17"/>
    </row>
    <row r="2909" spans="1:2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</row>
    <row r="2910" spans="1:2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  <c r="T2910" s="17"/>
    </row>
    <row r="2911" spans="1:2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  <c r="T2911" s="17"/>
    </row>
    <row r="2912" spans="1:2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  <c r="T2912" s="17"/>
    </row>
    <row r="2913" spans="1:2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</row>
    <row r="2914" spans="1:2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  <c r="T2914" s="17"/>
    </row>
    <row r="2915" spans="1:2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</row>
    <row r="2916" spans="1:2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  <c r="T2916" s="17"/>
    </row>
    <row r="2917" spans="1:2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  <c r="T2917" s="17"/>
    </row>
    <row r="2918" spans="1:2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  <c r="T2918" s="17"/>
    </row>
    <row r="2919" spans="1:2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</row>
    <row r="2920" spans="1:2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  <c r="T2920" s="17"/>
    </row>
    <row r="2921" spans="1:2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  <c r="T2921" s="17"/>
    </row>
    <row r="2922" spans="1:2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  <c r="T2922" s="17"/>
    </row>
    <row r="2923" spans="1:2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</row>
    <row r="2924" spans="1:2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  <c r="T2924" s="17"/>
    </row>
    <row r="2925" spans="1:2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</row>
    <row r="2926" spans="1:2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  <c r="T2926" s="17"/>
    </row>
    <row r="2927" spans="1:2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</row>
    <row r="2928" spans="1:2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  <c r="T2928" s="17"/>
    </row>
    <row r="2929" spans="1:2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</row>
    <row r="2930" spans="1:2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  <c r="T2930" s="17"/>
    </row>
    <row r="2931" spans="1:2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</row>
    <row r="2932" spans="1:2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  <c r="T2932" s="17"/>
    </row>
    <row r="2933" spans="1:2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  <c r="T2933" s="17"/>
    </row>
    <row r="2934" spans="1:2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  <c r="T2934" s="17"/>
    </row>
    <row r="2935" spans="1:2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</row>
    <row r="2936" spans="1:2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  <c r="T2936" s="17"/>
    </row>
    <row r="2937" spans="1:2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  <c r="T2937" s="17"/>
    </row>
    <row r="2938" spans="1:2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  <c r="T2938" s="17"/>
    </row>
    <row r="2939" spans="1:2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</row>
    <row r="2940" spans="1:2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  <c r="T2940" s="17"/>
    </row>
    <row r="2941" spans="1:2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</row>
    <row r="2942" spans="1:2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  <c r="T2942" s="17"/>
    </row>
    <row r="2943" spans="1:2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</row>
    <row r="2944" spans="1:2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  <c r="T2944" s="17"/>
    </row>
    <row r="2945" spans="1:2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</row>
    <row r="2946" spans="1:2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  <c r="T2946" s="17"/>
    </row>
    <row r="2947" spans="1:2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</row>
    <row r="2948" spans="1:2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  <c r="T2948" s="17"/>
    </row>
    <row r="2949" spans="1:2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</row>
    <row r="2950" spans="1:2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17"/>
    </row>
    <row r="2951" spans="1:2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</row>
    <row r="2952" spans="1:2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</row>
    <row r="2953" spans="1:2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</row>
    <row r="2954" spans="1:2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  <c r="T2954" s="17"/>
    </row>
    <row r="2955" spans="1:2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</row>
    <row r="2956" spans="1:2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  <c r="T2956" s="17"/>
    </row>
    <row r="2957" spans="1:2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</row>
    <row r="2958" spans="1:2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  <c r="T2958" s="17"/>
    </row>
    <row r="2959" spans="1:2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</row>
    <row r="2960" spans="1:2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  <c r="T2960" s="17"/>
    </row>
    <row r="2961" spans="1:2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</row>
    <row r="2962" spans="1:2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  <c r="T2962" s="17"/>
    </row>
    <row r="2963" spans="1:2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</row>
    <row r="2964" spans="1:2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  <c r="T2964" s="17"/>
    </row>
    <row r="2965" spans="1:2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  <c r="T2965" s="17"/>
    </row>
    <row r="2966" spans="1:2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  <c r="T2966" s="17"/>
    </row>
    <row r="2967" spans="1:2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</row>
    <row r="2968" spans="1:2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  <c r="T2968" s="17"/>
    </row>
    <row r="2969" spans="1:2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</row>
    <row r="2970" spans="1:2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  <c r="T2970" s="17"/>
    </row>
    <row r="2971" spans="1:2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</row>
    <row r="2972" spans="1:2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  <c r="T2972" s="17"/>
    </row>
    <row r="2973" spans="1:2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</row>
    <row r="2974" spans="1:2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  <c r="T2974" s="17"/>
    </row>
    <row r="2975" spans="1:2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</row>
    <row r="2976" spans="1:2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  <c r="T2976" s="17"/>
    </row>
    <row r="2977" spans="1:2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</row>
    <row r="2978" spans="1:2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  <c r="T2978" s="17"/>
    </row>
    <row r="2979" spans="1:2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</row>
    <row r="2980" spans="1:2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  <c r="T2980" s="17"/>
    </row>
    <row r="2981" spans="1:2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</row>
    <row r="2982" spans="1:2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  <c r="T2982" s="17"/>
    </row>
    <row r="2983" spans="1:2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</row>
    <row r="2984" spans="1:2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  <c r="T2984" s="17"/>
    </row>
    <row r="2985" spans="1:2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</row>
    <row r="2986" spans="1:2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  <c r="T2986" s="17"/>
    </row>
    <row r="2987" spans="1:2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</row>
    <row r="2988" spans="1:2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  <c r="T2988" s="17"/>
    </row>
    <row r="2989" spans="1:2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</row>
    <row r="2990" spans="1:2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  <c r="T2990" s="17"/>
    </row>
    <row r="2991" spans="1:2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  <c r="T2991" s="17"/>
    </row>
    <row r="2992" spans="1:2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  <c r="T2992" s="17"/>
    </row>
    <row r="2993" spans="1:2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</row>
    <row r="2994" spans="1:2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/>
      <c r="T2994" s="17"/>
    </row>
    <row r="2995" spans="1:2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</row>
    <row r="2996" spans="1:2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/>
      <c r="T2996" s="17"/>
    </row>
    <row r="2997" spans="1:2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</row>
    <row r="2998" spans="1:2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7"/>
      <c r="T2998" s="17"/>
    </row>
    <row r="2999" spans="1:2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7"/>
      <c r="T2999" s="17"/>
    </row>
    <row r="3000" spans="1:2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7"/>
      <c r="T3000" s="17"/>
    </row>
    <row r="3001" spans="1:2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</row>
    <row r="3002" spans="1:2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7"/>
      <c r="T3002" s="17"/>
    </row>
    <row r="3003" spans="1:2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  <c r="T3003" s="17"/>
    </row>
    <row r="3004" spans="1:2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7"/>
      <c r="T3004" s="17"/>
    </row>
    <row r="3005" spans="1:2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</row>
    <row r="3006" spans="1:2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7"/>
      <c r="T3006" s="17"/>
    </row>
    <row r="3007" spans="1:2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</row>
    <row r="3008" spans="1:2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7"/>
      <c r="T3008" s="17"/>
    </row>
    <row r="3009" spans="1:2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</row>
    <row r="3010" spans="1:2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7"/>
      <c r="T3010" s="17"/>
    </row>
    <row r="3011" spans="1:2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</row>
    <row r="3012" spans="1:2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7"/>
      <c r="T3012" s="17"/>
    </row>
    <row r="3013" spans="1:2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</row>
    <row r="3014" spans="1:2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7"/>
      <c r="T3014" s="17"/>
    </row>
    <row r="3015" spans="1:2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</row>
    <row r="3016" spans="1:2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7"/>
      <c r="T3016" s="17"/>
    </row>
    <row r="3017" spans="1:2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</row>
    <row r="3018" spans="1:2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7"/>
      <c r="T3018" s="17"/>
    </row>
    <row r="3019" spans="1:2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  <c r="T3019" s="17"/>
    </row>
    <row r="3020" spans="1:2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7"/>
      <c r="T3020" s="17"/>
    </row>
    <row r="3021" spans="1:2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</row>
    <row r="3022" spans="1:2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7"/>
      <c r="T3022" s="17"/>
    </row>
    <row r="3023" spans="1:2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</row>
    <row r="3024" spans="1:2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7"/>
      <c r="T3024" s="17"/>
    </row>
    <row r="3025" spans="1:2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7"/>
      <c r="T3025" s="17"/>
    </row>
    <row r="3026" spans="1:2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7"/>
      <c r="T3026" s="17"/>
    </row>
    <row r="3027" spans="1:2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</row>
    <row r="3028" spans="1:2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7"/>
      <c r="T3028" s="17"/>
    </row>
    <row r="3029" spans="1:2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</row>
    <row r="3030" spans="1:2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7"/>
      <c r="T3030" s="17"/>
    </row>
    <row r="3031" spans="1:2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7"/>
      <c r="T3031" s="17"/>
    </row>
    <row r="3032" spans="1:2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  <c r="T3032" s="17"/>
    </row>
    <row r="3033" spans="1:2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</row>
    <row r="3034" spans="1:2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7"/>
      <c r="T3034" s="17"/>
    </row>
    <row r="3035" spans="1:2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  <c r="T3035" s="17"/>
    </row>
    <row r="3036" spans="1:2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7"/>
      <c r="T3036" s="17"/>
    </row>
    <row r="3037" spans="1:2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</row>
    <row r="3038" spans="1:2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  <c r="T3038" s="17"/>
    </row>
    <row r="3039" spans="1:2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</row>
    <row r="3040" spans="1:2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7"/>
      <c r="T3040" s="17"/>
    </row>
    <row r="3041" spans="1:2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</row>
    <row r="3042" spans="1:2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7"/>
      <c r="T3042" s="17"/>
    </row>
    <row r="3043" spans="1:2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  <c r="T3043" s="17"/>
    </row>
    <row r="3044" spans="1:2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7"/>
      <c r="T3044" s="17"/>
    </row>
    <row r="3045" spans="1:2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</row>
    <row r="3046" spans="1:2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7"/>
      <c r="T3046" s="17"/>
    </row>
    <row r="3047" spans="1:2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</row>
    <row r="3048" spans="1:2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7"/>
      <c r="T3048" s="17"/>
    </row>
    <row r="3049" spans="1:2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</row>
    <row r="3050" spans="1:2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7"/>
      <c r="T3050" s="17"/>
    </row>
    <row r="3051" spans="1:2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</row>
    <row r="3052" spans="1:2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7"/>
      <c r="T3052" s="17"/>
    </row>
    <row r="3053" spans="1:2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</row>
    <row r="3054" spans="1:2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  <c r="T3054" s="17"/>
    </row>
    <row r="3055" spans="1:2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</row>
    <row r="3056" spans="1:2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7"/>
      <c r="T3056" s="17"/>
    </row>
    <row r="3057" spans="1:2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7"/>
      <c r="T3057" s="17"/>
    </row>
    <row r="3058" spans="1:2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7"/>
      <c r="T3058" s="17"/>
    </row>
    <row r="3059" spans="1:2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</row>
    <row r="3060" spans="1:2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7"/>
      <c r="T3060" s="17"/>
    </row>
    <row r="3061" spans="1:2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7"/>
      <c r="T3061" s="17"/>
    </row>
    <row r="3062" spans="1:2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7"/>
      <c r="T3062" s="17"/>
    </row>
    <row r="3063" spans="1:2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</row>
    <row r="3064" spans="1:2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/>
      <c r="T3064" s="17"/>
    </row>
    <row r="3065" spans="1:2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/>
      <c r="T3065" s="17"/>
    </row>
    <row r="3066" spans="1:2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  <c r="T3066" s="17"/>
    </row>
    <row r="3067" spans="1:2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  <c r="T3067" s="17"/>
    </row>
    <row r="3068" spans="1:2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7"/>
      <c r="T3068" s="17"/>
    </row>
    <row r="3069" spans="1:2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7"/>
      <c r="T3069" s="17"/>
    </row>
    <row r="3070" spans="1:2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7"/>
      <c r="T3070" s="17"/>
    </row>
    <row r="3071" spans="1:2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7"/>
      <c r="T3071" s="17"/>
    </row>
    <row r="3072" spans="1:2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  <c r="T3072" s="17"/>
    </row>
    <row r="3073" spans="1:2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7"/>
      <c r="T3073" s="17"/>
    </row>
    <row r="3074" spans="1:2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7"/>
      <c r="T3074" s="17"/>
    </row>
    <row r="3075" spans="1:2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  <c r="T3075" s="17"/>
    </row>
    <row r="3076" spans="1:2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7"/>
      <c r="T3076" s="17"/>
    </row>
    <row r="3077" spans="1:2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7"/>
      <c r="T3077" s="17"/>
    </row>
    <row r="3078" spans="1:2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7"/>
      <c r="T3078" s="17"/>
    </row>
    <row r="3079" spans="1:2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7"/>
      <c r="T3079" s="17"/>
    </row>
    <row r="3080" spans="1:2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7"/>
      <c r="T3080" s="17"/>
    </row>
    <row r="3081" spans="1:2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7"/>
      <c r="T3081" s="17"/>
    </row>
    <row r="3082" spans="1:2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7"/>
      <c r="T3082" s="17"/>
    </row>
    <row r="3083" spans="1:2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/>
      <c r="T3083" s="17"/>
    </row>
    <row r="3084" spans="1:2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7"/>
      <c r="T3084" s="17"/>
    </row>
    <row r="3085" spans="1:2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7"/>
      <c r="T3085" s="17"/>
    </row>
    <row r="3086" spans="1:2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7"/>
      <c r="T3086" s="17"/>
    </row>
    <row r="3087" spans="1:2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/>
      <c r="T3087" s="17"/>
    </row>
    <row r="3088" spans="1:2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7"/>
      <c r="T3088" s="17"/>
    </row>
    <row r="3089" spans="1:2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/>
      <c r="T3089" s="17"/>
    </row>
    <row r="3090" spans="1:2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/>
      <c r="T3090" s="17"/>
    </row>
    <row r="3091" spans="1:2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7"/>
      <c r="T3091" s="17"/>
    </row>
    <row r="3092" spans="1:2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7"/>
      <c r="T3092" s="17"/>
    </row>
    <row r="3093" spans="1:2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7"/>
      <c r="T3093" s="17"/>
    </row>
    <row r="3094" spans="1:2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7"/>
      <c r="T3094" s="17"/>
    </row>
    <row r="3095" spans="1:2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7"/>
      <c r="T3095" s="17"/>
    </row>
    <row r="3096" spans="1:2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7"/>
      <c r="T3096" s="17"/>
    </row>
    <row r="3097" spans="1:2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7"/>
      <c r="T3097" s="17"/>
    </row>
    <row r="3098" spans="1:2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7"/>
      <c r="T3098" s="17"/>
    </row>
    <row r="3099" spans="1:2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7"/>
      <c r="T3099" s="17"/>
    </row>
    <row r="3100" spans="1:2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7"/>
      <c r="T3100" s="17"/>
    </row>
    <row r="3101" spans="1:2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7"/>
      <c r="T3101" s="17"/>
    </row>
    <row r="3102" spans="1:2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7"/>
      <c r="T3102" s="17"/>
    </row>
    <row r="3103" spans="1:2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7"/>
      <c r="T3103" s="17"/>
    </row>
    <row r="3104" spans="1:2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7"/>
      <c r="T3104" s="17"/>
    </row>
    <row r="3105" spans="1:2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  <c r="T3105" s="17"/>
    </row>
    <row r="3106" spans="1:2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/>
      <c r="T3106" s="17"/>
    </row>
    <row r="3107" spans="1:2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7"/>
      <c r="T3107" s="17"/>
    </row>
    <row r="3108" spans="1:2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7"/>
      <c r="T3108" s="17"/>
    </row>
    <row r="3109" spans="1:2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/>
      <c r="T3109" s="17"/>
    </row>
    <row r="3110" spans="1:2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7"/>
      <c r="T3110" s="17"/>
    </row>
    <row r="3111" spans="1:2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7"/>
      <c r="T3111" s="17"/>
    </row>
    <row r="3112" spans="1:2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7"/>
      <c r="T3112" s="17"/>
    </row>
    <row r="3113" spans="1:2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7"/>
      <c r="T3113" s="17"/>
    </row>
    <row r="3114" spans="1:2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/>
      <c r="T3114" s="17"/>
    </row>
    <row r="3115" spans="1:2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7"/>
      <c r="T3115" s="17"/>
    </row>
    <row r="3116" spans="1:2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7"/>
      <c r="T3116" s="17"/>
    </row>
    <row r="3117" spans="1:2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7"/>
      <c r="T3117" s="17"/>
    </row>
    <row r="3118" spans="1:2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7"/>
      <c r="T3118" s="17"/>
    </row>
    <row r="3119" spans="1:2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7"/>
      <c r="T3119" s="17"/>
    </row>
    <row r="3120" spans="1:2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7"/>
      <c r="T3120" s="17"/>
    </row>
    <row r="3121" spans="1:2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7"/>
      <c r="T3121" s="17"/>
    </row>
    <row r="3122" spans="1:2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7"/>
      <c r="T3122" s="17"/>
    </row>
    <row r="3123" spans="1:2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7"/>
      <c r="T3123" s="17"/>
    </row>
    <row r="3124" spans="1:2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7"/>
      <c r="T3124" s="17"/>
    </row>
    <row r="3125" spans="1:2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7"/>
      <c r="T3125" s="17"/>
    </row>
    <row r="3126" spans="1:2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7"/>
      <c r="T3126" s="17"/>
    </row>
    <row r="3127" spans="1:2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7"/>
      <c r="T3127" s="17"/>
    </row>
    <row r="3128" spans="1:2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/>
      <c r="T3128" s="17"/>
    </row>
    <row r="3129" spans="1:2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7"/>
      <c r="T3129" s="17"/>
    </row>
    <row r="3130" spans="1:2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7"/>
      <c r="T3130" s="17"/>
    </row>
    <row r="3131" spans="1:2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7"/>
      <c r="T3131" s="17"/>
    </row>
    <row r="3132" spans="1:2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  <c r="Q3132" s="17"/>
      <c r="R3132" s="17"/>
      <c r="S3132" s="17"/>
      <c r="T3132" s="17"/>
    </row>
    <row r="3133" spans="1:2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  <c r="Q3133" s="17"/>
      <c r="R3133" s="17"/>
      <c r="S3133" s="17"/>
      <c r="T3133" s="17"/>
    </row>
    <row r="3134" spans="1:2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7"/>
      <c r="T3134" s="17"/>
    </row>
    <row r="3135" spans="1:2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7"/>
      <c r="T3135" s="17"/>
    </row>
    <row r="3136" spans="1:2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7"/>
      <c r="T3136" s="17"/>
    </row>
    <row r="3137" spans="1:2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7"/>
      <c r="T3137" s="17"/>
    </row>
    <row r="3138" spans="1:2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7"/>
      <c r="T3138" s="17"/>
    </row>
    <row r="3139" spans="1:2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7"/>
      <c r="T3139" s="17"/>
    </row>
    <row r="3140" spans="1:2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7"/>
      <c r="T3140" s="17"/>
    </row>
    <row r="3141" spans="1:2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7"/>
      <c r="T3141" s="17"/>
    </row>
    <row r="3142" spans="1:2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7"/>
      <c r="T3142" s="17"/>
    </row>
    <row r="3143" spans="1:2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7"/>
      <c r="T3143" s="17"/>
    </row>
    <row r="3144" spans="1:2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7"/>
      <c r="T3144" s="17"/>
    </row>
    <row r="3145" spans="1:2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7"/>
      <c r="T3145" s="17"/>
    </row>
    <row r="3146" spans="1:2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7"/>
      <c r="T3146" s="17"/>
    </row>
    <row r="3147" spans="1:2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7"/>
      <c r="T3147" s="17"/>
    </row>
    <row r="3148" spans="1:2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/>
      <c r="T3148" s="17"/>
    </row>
    <row r="3149" spans="1:2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/>
      <c r="T3149" s="17"/>
    </row>
    <row r="3150" spans="1:2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/>
      <c r="T3150" s="17"/>
    </row>
    <row r="3151" spans="1:2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/>
      <c r="T3151" s="17"/>
    </row>
    <row r="3152" spans="1:2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7"/>
      <c r="T3152" s="17"/>
    </row>
    <row r="3153" spans="1:2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7"/>
      <c r="T3153" s="17"/>
    </row>
    <row r="3154" spans="1:2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7"/>
      <c r="T3154" s="17"/>
    </row>
    <row r="3155" spans="1:2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7"/>
      <c r="T3155" s="17"/>
    </row>
    <row r="3156" spans="1:2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7"/>
      <c r="T3156" s="17"/>
    </row>
    <row r="3157" spans="1:2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7"/>
      <c r="T3157" s="17"/>
    </row>
    <row r="3158" spans="1:2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  <c r="T3158" s="17"/>
    </row>
    <row r="3159" spans="1:2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7"/>
      <c r="T3159" s="17"/>
    </row>
    <row r="3160" spans="1:2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7"/>
      <c r="T3160" s="17"/>
    </row>
    <row r="3161" spans="1:2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7"/>
      <c r="T3161" s="17"/>
    </row>
    <row r="3162" spans="1:2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</row>
    <row r="3163" spans="1:2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7"/>
      <c r="T3163" s="17"/>
    </row>
    <row r="3164" spans="1:2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7"/>
      <c r="T3164" s="17"/>
    </row>
    <row r="3165" spans="1:2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  <c r="T3165" s="17"/>
    </row>
    <row r="3166" spans="1:2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  <c r="T3166" s="17"/>
    </row>
    <row r="3167" spans="1:2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  <c r="T3167" s="17"/>
    </row>
    <row r="3168" spans="1:2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  <c r="T3168" s="17"/>
    </row>
    <row r="3169" spans="1:2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  <c r="T3169" s="17"/>
    </row>
    <row r="3170" spans="1:2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  <c r="T3170" s="17"/>
    </row>
    <row r="3171" spans="1:2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  <c r="T3171" s="17"/>
    </row>
    <row r="3172" spans="1:2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  <c r="T3172" s="17"/>
    </row>
    <row r="3173" spans="1:2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  <c r="T3173" s="17"/>
    </row>
    <row r="3174" spans="1:2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  <c r="T3174" s="17"/>
    </row>
    <row r="3175" spans="1:2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  <c r="T3175" s="17"/>
    </row>
    <row r="3176" spans="1:2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  <c r="T3176" s="17"/>
    </row>
    <row r="3177" spans="1:2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  <c r="T3177" s="17"/>
    </row>
    <row r="3178" spans="1:2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  <c r="T3178" s="17"/>
    </row>
    <row r="3179" spans="1:2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  <c r="T3179" s="17"/>
    </row>
    <row r="3180" spans="1:2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  <c r="T3180" s="17"/>
    </row>
    <row r="3181" spans="1:2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  <c r="T3181" s="17"/>
    </row>
    <row r="3182" spans="1:2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  <c r="T3182" s="17"/>
    </row>
    <row r="3183" spans="1:2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  <c r="T3183" s="17"/>
    </row>
    <row r="3184" spans="1:2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</row>
    <row r="3185" spans="1:2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  <c r="T3185" s="17"/>
    </row>
    <row r="3186" spans="1:2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  <c r="T3186" s="17"/>
    </row>
    <row r="3187" spans="1:2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  <c r="T3187" s="17"/>
    </row>
    <row r="3188" spans="1:2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  <c r="T3188" s="17"/>
    </row>
    <row r="3189" spans="1:2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  <c r="T3189" s="17"/>
    </row>
    <row r="3190" spans="1:2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  <c r="T3190" s="17"/>
    </row>
    <row r="3191" spans="1:2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  <c r="T3191" s="17"/>
    </row>
    <row r="3192" spans="1:2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  <c r="T3192" s="17"/>
    </row>
    <row r="3193" spans="1:2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  <c r="T3193" s="17"/>
    </row>
    <row r="3194" spans="1:2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  <c r="T3194" s="17"/>
    </row>
    <row r="3195" spans="1:2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  <c r="T3195" s="17"/>
    </row>
    <row r="3196" spans="1:2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  <c r="T3196" s="17"/>
    </row>
    <row r="3197" spans="1:2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  <c r="T3197" s="17"/>
    </row>
    <row r="3198" spans="1:2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  <c r="T3198" s="17"/>
    </row>
    <row r="3199" spans="1:2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  <c r="T3199" s="17"/>
    </row>
    <row r="3200" spans="1:2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  <c r="T3200" s="17"/>
    </row>
    <row r="3201" spans="1:2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  <c r="T3201" s="17"/>
    </row>
    <row r="3202" spans="1:2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  <c r="T3202" s="17"/>
    </row>
    <row r="3203" spans="1:2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  <c r="T3203" s="17"/>
    </row>
    <row r="3204" spans="1:2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  <c r="T3204" s="17"/>
    </row>
    <row r="3205" spans="1:2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  <c r="T3205" s="17"/>
    </row>
    <row r="3206" spans="1:2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  <c r="T3206" s="17"/>
    </row>
    <row r="3207" spans="1:2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  <c r="T3207" s="17"/>
    </row>
    <row r="3208" spans="1:2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17"/>
    </row>
    <row r="3209" spans="1:2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  <c r="T3209" s="17"/>
    </row>
    <row r="3210" spans="1:2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  <c r="T3210" s="17"/>
    </row>
    <row r="3211" spans="1:2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  <c r="T3211" s="17"/>
    </row>
    <row r="3212" spans="1:2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  <c r="T3212" s="17"/>
    </row>
    <row r="3213" spans="1:2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  <c r="T3213" s="17"/>
    </row>
    <row r="3214" spans="1:2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  <c r="T3214" s="17"/>
    </row>
    <row r="3215" spans="1:2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  <c r="T3215" s="17"/>
    </row>
    <row r="3216" spans="1:2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  <c r="T3216" s="17"/>
    </row>
    <row r="3217" spans="1:2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  <c r="T3217" s="17"/>
    </row>
    <row r="3218" spans="1:2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  <c r="T3218" s="17"/>
    </row>
    <row r="3219" spans="1:2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  <c r="T3219" s="17"/>
    </row>
    <row r="3220" spans="1:2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  <c r="T3220" s="17"/>
    </row>
    <row r="3221" spans="1:2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  <c r="T3221" s="17"/>
    </row>
    <row r="3222" spans="1:2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  <c r="T3222" s="17"/>
    </row>
    <row r="3223" spans="1:2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  <c r="T3223" s="17"/>
    </row>
    <row r="3224" spans="1:2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  <c r="T3224" s="17"/>
    </row>
    <row r="3225" spans="1:2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  <c r="T3225" s="17"/>
    </row>
    <row r="3226" spans="1:2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  <c r="T3226" s="17"/>
    </row>
    <row r="3227" spans="1:2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  <c r="T3227" s="17"/>
    </row>
    <row r="3228" spans="1:2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  <c r="T3228" s="17"/>
    </row>
    <row r="3229" spans="1:2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  <c r="T3229" s="17"/>
    </row>
    <row r="3230" spans="1:2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  <c r="T3230" s="17"/>
    </row>
    <row r="3231" spans="1:2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  <c r="T3231" s="17"/>
    </row>
    <row r="3232" spans="1:2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  <c r="T3232" s="17"/>
    </row>
    <row r="3233" spans="1:2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  <c r="T3233" s="17"/>
    </row>
    <row r="3234" spans="1:2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  <c r="T3234" s="17"/>
    </row>
    <row r="3235" spans="1:2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  <c r="T3235" s="17"/>
    </row>
    <row r="3236" spans="1:2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  <c r="T3236" s="17"/>
    </row>
    <row r="3237" spans="1:2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  <c r="T3237" s="17"/>
    </row>
    <row r="3238" spans="1:2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  <c r="T3238" s="17"/>
    </row>
    <row r="3239" spans="1:2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  <c r="T3239" s="17"/>
    </row>
    <row r="3240" spans="1:2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  <c r="T3240" s="17"/>
    </row>
    <row r="3241" spans="1:2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  <c r="T3241" s="17"/>
    </row>
    <row r="3242" spans="1:2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  <c r="T3242" s="17"/>
    </row>
    <row r="3243" spans="1:2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  <c r="T3243" s="17"/>
    </row>
    <row r="3244" spans="1:2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  <c r="T3244" s="17"/>
    </row>
    <row r="3245" spans="1:2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  <c r="T3245" s="17"/>
    </row>
    <row r="3246" spans="1:2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  <c r="T3246" s="17"/>
    </row>
    <row r="3247" spans="1:2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  <c r="T3247" s="17"/>
    </row>
    <row r="3248" spans="1:2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  <c r="T3248" s="17"/>
    </row>
    <row r="3249" spans="1:2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  <c r="T3249" s="17"/>
    </row>
    <row r="3250" spans="1:2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  <c r="T3250" s="17"/>
    </row>
    <row r="3251" spans="1:2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  <c r="T3251" s="17"/>
    </row>
    <row r="3252" spans="1:2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  <c r="T3252" s="17"/>
    </row>
    <row r="3253" spans="1:2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  <c r="T3253" s="17"/>
    </row>
    <row r="3254" spans="1:2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  <c r="T3254" s="17"/>
    </row>
    <row r="3255" spans="1:2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  <c r="T3255" s="17"/>
    </row>
    <row r="3256" spans="1:2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  <c r="T3256" s="17"/>
    </row>
    <row r="3257" spans="1:2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  <c r="T3257" s="17"/>
    </row>
    <row r="3258" spans="1:2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  <c r="T3258" s="17"/>
    </row>
    <row r="3259" spans="1:2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  <c r="T3259" s="17"/>
    </row>
    <row r="3260" spans="1:2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  <c r="T3260" s="17"/>
    </row>
    <row r="3261" spans="1:2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  <c r="T3261" s="17"/>
    </row>
    <row r="3262" spans="1:2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</row>
    <row r="3263" spans="1:2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  <c r="T3263" s="17"/>
    </row>
    <row r="3264" spans="1:2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7"/>
      <c r="T3264" s="17"/>
    </row>
    <row r="3265" spans="1:2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7"/>
      <c r="T3265" s="17"/>
    </row>
    <row r="3266" spans="1:2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7"/>
      <c r="T3266" s="17"/>
    </row>
    <row r="3267" spans="1:2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7"/>
      <c r="T3267" s="17"/>
    </row>
    <row r="3268" spans="1:2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7"/>
      <c r="T3268" s="17"/>
    </row>
    <row r="3269" spans="1:2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7"/>
      <c r="T3269" s="17"/>
    </row>
    <row r="3270" spans="1:2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7"/>
      <c r="T3270" s="17"/>
    </row>
    <row r="3271" spans="1:2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7"/>
      <c r="T3271" s="17"/>
    </row>
    <row r="3272" spans="1:2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7"/>
      <c r="T3272" s="17"/>
    </row>
    <row r="3273" spans="1:2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7"/>
      <c r="T3273" s="17"/>
    </row>
    <row r="3274" spans="1:2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7"/>
      <c r="T3274" s="17"/>
    </row>
    <row r="3275" spans="1:2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7"/>
      <c r="T3275" s="17"/>
    </row>
    <row r="3276" spans="1:2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7"/>
      <c r="T3276" s="17"/>
    </row>
    <row r="3277" spans="1:2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7"/>
      <c r="T3277" s="17"/>
    </row>
    <row r="3278" spans="1:2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7"/>
      <c r="T3278" s="17"/>
    </row>
    <row r="3279" spans="1:2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7"/>
      <c r="T3279" s="17"/>
    </row>
    <row r="3280" spans="1:2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7"/>
      <c r="T3280" s="17"/>
    </row>
    <row r="3281" spans="1:2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7"/>
      <c r="T3281" s="17"/>
    </row>
    <row r="3282" spans="1:2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7"/>
      <c r="T3282" s="17"/>
    </row>
    <row r="3283" spans="1:2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7"/>
      <c r="T3283" s="17"/>
    </row>
    <row r="3284" spans="1:2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7"/>
      <c r="T3284" s="17"/>
    </row>
    <row r="3285" spans="1:2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7"/>
      <c r="T3285" s="17"/>
    </row>
    <row r="3286" spans="1:2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7"/>
      <c r="T3286" s="17"/>
    </row>
    <row r="3287" spans="1:2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7"/>
      <c r="T3287" s="17"/>
    </row>
    <row r="3288" spans="1:2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7"/>
      <c r="T3288" s="17"/>
    </row>
    <row r="3289" spans="1:2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7"/>
      <c r="T3289" s="17"/>
    </row>
    <row r="3290" spans="1:2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7"/>
      <c r="T3290" s="17"/>
    </row>
    <row r="3291" spans="1:2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  <c r="T3291" s="17"/>
    </row>
    <row r="3292" spans="1:2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7"/>
      <c r="T3292" s="17"/>
    </row>
    <row r="3293" spans="1:2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7"/>
      <c r="T3293" s="17"/>
    </row>
    <row r="3294" spans="1:2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7"/>
      <c r="T3294" s="17"/>
    </row>
    <row r="3295" spans="1:2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7"/>
      <c r="T3295" s="17"/>
    </row>
    <row r="3296" spans="1:2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7"/>
      <c r="T3296" s="17"/>
    </row>
    <row r="3297" spans="1:2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7"/>
      <c r="T3297" s="17"/>
    </row>
    <row r="3298" spans="1:2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7"/>
      <c r="T3298" s="17"/>
    </row>
    <row r="3299" spans="1:2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7"/>
      <c r="T3299" s="17"/>
    </row>
    <row r="3300" spans="1:2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7"/>
      <c r="T3300" s="17"/>
    </row>
    <row r="3301" spans="1:2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7"/>
      <c r="T3301" s="17"/>
    </row>
    <row r="3302" spans="1:2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7"/>
      <c r="T3302" s="17"/>
    </row>
    <row r="3303" spans="1:2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7"/>
      <c r="T3303" s="17"/>
    </row>
    <row r="3304" spans="1:2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7"/>
      <c r="T3304" s="17"/>
    </row>
    <row r="3305" spans="1:2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7"/>
      <c r="T3305" s="17"/>
    </row>
    <row r="3306" spans="1:2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7"/>
      <c r="T3306" s="17"/>
    </row>
    <row r="3307" spans="1:2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7"/>
      <c r="T3307" s="17"/>
    </row>
    <row r="3308" spans="1:2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7"/>
      <c r="T3308" s="17"/>
    </row>
    <row r="3309" spans="1:2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7"/>
      <c r="T3309" s="17"/>
    </row>
    <row r="3310" spans="1:2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7"/>
      <c r="T3310" s="17"/>
    </row>
    <row r="3311" spans="1:2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7"/>
      <c r="T3311" s="17"/>
    </row>
    <row r="3312" spans="1:2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7"/>
      <c r="T3312" s="17"/>
    </row>
    <row r="3313" spans="1:2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7"/>
      <c r="T3313" s="17"/>
    </row>
    <row r="3314" spans="1:2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7"/>
      <c r="T3314" s="17"/>
    </row>
    <row r="3315" spans="1:2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/>
      <c r="T3315" s="17"/>
    </row>
    <row r="3316" spans="1:2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/>
      <c r="T3316" s="17"/>
    </row>
    <row r="3317" spans="1:2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7"/>
      <c r="T3317" s="17"/>
    </row>
    <row r="3318" spans="1:2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7"/>
      <c r="T3318" s="17"/>
    </row>
    <row r="3319" spans="1:2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7"/>
      <c r="T3319" s="17"/>
    </row>
    <row r="3320" spans="1:2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7"/>
      <c r="T3320" s="17"/>
    </row>
    <row r="3321" spans="1:2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/>
      <c r="T3321" s="17"/>
    </row>
    <row r="3322" spans="1:2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/>
      <c r="T3322" s="17"/>
    </row>
    <row r="3323" spans="1:2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/>
      <c r="T3323" s="17"/>
    </row>
    <row r="3324" spans="1:2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7"/>
      <c r="T3324" s="17"/>
    </row>
    <row r="3325" spans="1:2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7"/>
      <c r="T3325" s="17"/>
    </row>
    <row r="3326" spans="1:2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7"/>
      <c r="T3326" s="17"/>
    </row>
    <row r="3327" spans="1:2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/>
      <c r="T3327" s="17"/>
    </row>
    <row r="3328" spans="1:2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7"/>
      <c r="T3328" s="17"/>
    </row>
    <row r="3329" spans="1:2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7"/>
      <c r="T3329" s="17"/>
    </row>
    <row r="3330" spans="1:2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7"/>
      <c r="T3330" s="17"/>
    </row>
    <row r="3331" spans="1:2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7"/>
      <c r="T3331" s="17"/>
    </row>
    <row r="3332" spans="1:2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7"/>
      <c r="T3332" s="17"/>
    </row>
    <row r="3333" spans="1:2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7"/>
      <c r="T3333" s="17"/>
    </row>
    <row r="3334" spans="1:2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7"/>
      <c r="T3334" s="17"/>
    </row>
    <row r="3335" spans="1:2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7"/>
      <c r="T3335" s="17"/>
    </row>
    <row r="3336" spans="1:2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7"/>
      <c r="T3336" s="17"/>
    </row>
    <row r="3337" spans="1:2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7"/>
      <c r="T3337" s="17"/>
    </row>
    <row r="3338" spans="1:2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7"/>
      <c r="T3338" s="17"/>
    </row>
    <row r="3339" spans="1:2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7"/>
      <c r="T3339" s="17"/>
    </row>
    <row r="3340" spans="1:2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7"/>
      <c r="T3340" s="17"/>
    </row>
    <row r="3341" spans="1:2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7"/>
      <c r="T3341" s="17"/>
    </row>
    <row r="3342" spans="1:2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7"/>
      <c r="T3342" s="17"/>
    </row>
    <row r="3343" spans="1:2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7"/>
      <c r="T3343" s="17"/>
    </row>
    <row r="3344" spans="1:2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7"/>
      <c r="T3344" s="17"/>
    </row>
    <row r="3345" spans="1:2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7"/>
      <c r="T3345" s="17"/>
    </row>
    <row r="3346" spans="1:2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7"/>
      <c r="T3346" s="17"/>
    </row>
    <row r="3347" spans="1:2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7"/>
      <c r="T3347" s="17"/>
    </row>
    <row r="3348" spans="1:2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7"/>
      <c r="T3348" s="17"/>
    </row>
    <row r="3349" spans="1:2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7"/>
      <c r="T3349" s="17"/>
    </row>
    <row r="3350" spans="1:2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7"/>
      <c r="T3350" s="17"/>
    </row>
    <row r="3351" spans="1:2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7"/>
      <c r="T3351" s="17"/>
    </row>
    <row r="3352" spans="1:2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7"/>
      <c r="T3352" s="17"/>
    </row>
    <row r="3353" spans="1:2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/>
      <c r="T3353" s="17"/>
    </row>
    <row r="3354" spans="1:2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7"/>
      <c r="T3354" s="17"/>
    </row>
    <row r="3355" spans="1:2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7"/>
      <c r="T3355" s="17"/>
    </row>
    <row r="3356" spans="1:2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/>
      <c r="T3356" s="17"/>
    </row>
    <row r="3357" spans="1:2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7"/>
      <c r="T3357" s="17"/>
    </row>
    <row r="3358" spans="1:2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7"/>
      <c r="T3358" s="17"/>
    </row>
    <row r="3359" spans="1:2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7"/>
      <c r="T3359" s="17"/>
    </row>
    <row r="3360" spans="1:2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7"/>
      <c r="T3360" s="17"/>
    </row>
    <row r="3361" spans="1:2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7"/>
      <c r="T3361" s="17"/>
    </row>
    <row r="3362" spans="1:2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7"/>
      <c r="T3362" s="17"/>
    </row>
    <row r="3363" spans="1:2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7"/>
      <c r="T3363" s="17"/>
    </row>
    <row r="3364" spans="1:2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  <c r="T3364" s="17"/>
    </row>
    <row r="3365" spans="1:2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  <c r="T3365" s="17"/>
    </row>
    <row r="3366" spans="1:2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  <c r="T3366" s="17"/>
    </row>
    <row r="3367" spans="1:2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  <c r="T3367" s="17"/>
    </row>
    <row r="3368" spans="1:2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  <c r="T3368" s="17"/>
    </row>
    <row r="3369" spans="1:2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  <c r="T3369" s="17"/>
    </row>
    <row r="3370" spans="1:2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  <c r="T3370" s="17"/>
    </row>
    <row r="3371" spans="1:2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  <c r="T3371" s="17"/>
    </row>
    <row r="3372" spans="1:2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  <c r="T3372" s="17"/>
    </row>
    <row r="3373" spans="1:2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  <c r="T3373" s="17"/>
    </row>
    <row r="3374" spans="1:2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  <c r="T3374" s="17"/>
    </row>
    <row r="3375" spans="1:2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  <c r="T3375" s="17"/>
    </row>
    <row r="3376" spans="1:2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  <c r="T3376" s="17"/>
    </row>
    <row r="3377" spans="1:2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  <c r="T3377" s="17"/>
    </row>
    <row r="3378" spans="1:2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  <c r="T3378" s="17"/>
    </row>
    <row r="3379" spans="1:2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  <c r="T3379" s="17"/>
    </row>
    <row r="3380" spans="1:2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  <c r="T3380" s="17"/>
    </row>
    <row r="3381" spans="1:2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  <c r="T3381" s="17"/>
    </row>
    <row r="3382" spans="1:2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  <c r="T3382" s="17"/>
    </row>
    <row r="3383" spans="1:2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  <c r="T3383" s="17"/>
    </row>
    <row r="3384" spans="1:2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  <c r="T3384" s="17"/>
    </row>
    <row r="3385" spans="1:2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  <c r="T3385" s="17"/>
    </row>
    <row r="3386" spans="1:2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  <c r="T3386" s="17"/>
    </row>
    <row r="3387" spans="1:2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  <c r="T3387" s="17"/>
    </row>
    <row r="3388" spans="1:2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  <c r="T3388" s="17"/>
    </row>
    <row r="3389" spans="1:2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  <c r="T3389" s="17"/>
    </row>
    <row r="3390" spans="1:2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  <c r="T3390" s="17"/>
    </row>
    <row r="3391" spans="1:2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  <c r="T3391" s="17"/>
    </row>
    <row r="3392" spans="1:2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  <c r="T3392" s="17"/>
    </row>
    <row r="3393" spans="1:2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  <c r="T3393" s="17"/>
    </row>
    <row r="3394" spans="1:2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  <c r="T3394" s="17"/>
    </row>
    <row r="3395" spans="1:2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  <c r="T3395" s="17"/>
    </row>
    <row r="3396" spans="1:2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  <c r="T3396" s="17"/>
    </row>
    <row r="3397" spans="1:2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  <c r="S3397" s="17"/>
      <c r="T3397" s="17"/>
    </row>
    <row r="3398" spans="1:2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  <c r="S3398" s="17"/>
      <c r="T3398" s="17"/>
    </row>
    <row r="3399" spans="1:2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  <c r="S3399" s="17"/>
      <c r="T3399" s="17"/>
    </row>
    <row r="3400" spans="1:2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  <c r="S3400" s="17"/>
      <c r="T3400" s="17"/>
    </row>
    <row r="3401" spans="1:2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  <c r="S3401" s="17"/>
      <c r="T3401" s="17"/>
    </row>
    <row r="3402" spans="1:2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  <c r="S3402" s="17"/>
      <c r="T3402" s="17"/>
    </row>
    <row r="3403" spans="1:2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  <c r="S3403" s="17"/>
      <c r="T3403" s="17"/>
    </row>
    <row r="3404" spans="1:2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  <c r="S3404" s="17"/>
      <c r="T3404" s="17"/>
    </row>
    <row r="3405" spans="1:2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  <c r="S3405" s="17"/>
      <c r="T3405" s="17"/>
    </row>
    <row r="3406" spans="1:2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  <c r="S3406" s="17"/>
      <c r="T3406" s="17"/>
    </row>
    <row r="3407" spans="1:2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  <c r="S3407" s="17"/>
      <c r="T3407" s="17"/>
    </row>
    <row r="3408" spans="1:2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7"/>
      <c r="T3408" s="17"/>
    </row>
    <row r="3409" spans="1:2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  <c r="S3409" s="17"/>
      <c r="T3409" s="17"/>
    </row>
    <row r="3410" spans="1:2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  <c r="S3410" s="17"/>
      <c r="T3410" s="17"/>
    </row>
    <row r="3411" spans="1:2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  <c r="S3411" s="17"/>
      <c r="T3411" s="17"/>
    </row>
    <row r="3412" spans="1:2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  <c r="S3412" s="17"/>
      <c r="T3412" s="17"/>
    </row>
    <row r="3413" spans="1:2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  <c r="S3413" s="17"/>
      <c r="T3413" s="17"/>
    </row>
    <row r="3414" spans="1:2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  <c r="S3414" s="17"/>
      <c r="T3414" s="17"/>
    </row>
    <row r="3415" spans="1:2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  <c r="S3415" s="17"/>
      <c r="T3415" s="17"/>
    </row>
    <row r="3416" spans="1:2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  <c r="S3416" s="17"/>
      <c r="T3416" s="17"/>
    </row>
    <row r="3417" spans="1:2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  <c r="S3417" s="17"/>
      <c r="T3417" s="17"/>
    </row>
    <row r="3418" spans="1:2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  <c r="S3418" s="17"/>
      <c r="T3418" s="17"/>
    </row>
    <row r="3419" spans="1:2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  <c r="S3419" s="17"/>
      <c r="T3419" s="17"/>
    </row>
    <row r="3420" spans="1:2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  <c r="S3420" s="17"/>
      <c r="T3420" s="17"/>
    </row>
    <row r="3421" spans="1:2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  <c r="S3421" s="17"/>
      <c r="T3421" s="17"/>
    </row>
    <row r="3422" spans="1:2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  <c r="S3422" s="17"/>
      <c r="T3422" s="17"/>
    </row>
    <row r="3423" spans="1:2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  <c r="S3423" s="17"/>
      <c r="T3423" s="17"/>
    </row>
    <row r="3424" spans="1:2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  <c r="S3424" s="17"/>
      <c r="T3424" s="17"/>
    </row>
    <row r="3425" spans="1:2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  <c r="S3425" s="17"/>
      <c r="T3425" s="17"/>
    </row>
    <row r="3426" spans="1:2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  <c r="S3426" s="17"/>
      <c r="T3426" s="17"/>
    </row>
    <row r="3427" spans="1:2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  <c r="S3427" s="17"/>
      <c r="T3427" s="17"/>
    </row>
    <row r="3428" spans="1:2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7"/>
      <c r="T3428" s="17"/>
    </row>
    <row r="3429" spans="1:2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  <c r="S3429" s="17"/>
      <c r="T3429" s="17"/>
    </row>
    <row r="3430" spans="1:2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  <c r="S3430" s="17"/>
      <c r="T3430" s="17"/>
    </row>
    <row r="3431" spans="1:2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  <c r="S3431" s="17"/>
      <c r="T3431" s="17"/>
    </row>
    <row r="3432" spans="1:2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7"/>
      <c r="T3432" s="17"/>
    </row>
    <row r="3433" spans="1:2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  <c r="S3433" s="17"/>
      <c r="T3433" s="17"/>
    </row>
    <row r="3434" spans="1:2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  <c r="S3434" s="17"/>
      <c r="T3434" s="17"/>
    </row>
    <row r="3435" spans="1:2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  <c r="S3435" s="17"/>
      <c r="T3435" s="17"/>
    </row>
    <row r="3436" spans="1:2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  <c r="S3436" s="17"/>
      <c r="T3436" s="17"/>
    </row>
    <row r="3437" spans="1:2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  <c r="S3437" s="17"/>
      <c r="T3437" s="17"/>
    </row>
    <row r="3438" spans="1:2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7"/>
      <c r="K3438" s="17"/>
      <c r="L3438" s="17"/>
      <c r="M3438" s="17"/>
      <c r="N3438" s="17"/>
      <c r="O3438" s="17"/>
      <c r="P3438" s="17"/>
      <c r="Q3438" s="17"/>
      <c r="R3438" s="17"/>
      <c r="S3438" s="17"/>
      <c r="T3438" s="17"/>
    </row>
    <row r="3439" spans="1:2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  <c r="S3439" s="17"/>
      <c r="T3439" s="17"/>
    </row>
    <row r="3440" spans="1:2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  <c r="S3440" s="17"/>
      <c r="T3440" s="17"/>
    </row>
    <row r="3441" spans="1:2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  <c r="S3441" s="17"/>
      <c r="T3441" s="17"/>
    </row>
    <row r="3442" spans="1:2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  <c r="S3442" s="17"/>
      <c r="T3442" s="17"/>
    </row>
    <row r="3443" spans="1:2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  <c r="S3443" s="17"/>
      <c r="T3443" s="17"/>
    </row>
    <row r="3444" spans="1:2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  <c r="S3444" s="17"/>
      <c r="T3444" s="17"/>
    </row>
    <row r="3445" spans="1:2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7"/>
      <c r="T3445" s="17"/>
    </row>
    <row r="3446" spans="1:2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  <c r="S3446" s="17"/>
      <c r="T3446" s="17"/>
    </row>
    <row r="3447" spans="1:2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7"/>
      <c r="T3447" s="17"/>
    </row>
    <row r="3448" spans="1:2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7"/>
      <c r="T3448" s="17"/>
    </row>
    <row r="3449" spans="1:2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  <c r="S3449" s="17"/>
      <c r="T3449" s="17"/>
    </row>
    <row r="3450" spans="1:2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  <c r="S3450" s="17"/>
      <c r="T3450" s="17"/>
    </row>
    <row r="3451" spans="1:2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  <c r="S3451" s="17"/>
      <c r="T3451" s="17"/>
    </row>
    <row r="3452" spans="1:2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  <c r="S3452" s="17"/>
      <c r="T3452" s="17"/>
    </row>
    <row r="3453" spans="1:2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  <c r="S3453" s="17"/>
      <c r="T3453" s="17"/>
    </row>
    <row r="3454" spans="1:2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  <c r="S3454" s="17"/>
      <c r="T3454" s="17"/>
    </row>
    <row r="3455" spans="1:2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  <c r="S3455" s="17"/>
      <c r="T3455" s="17"/>
    </row>
    <row r="3456" spans="1:2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  <c r="S3456" s="17"/>
      <c r="T3456" s="17"/>
    </row>
    <row r="3457" spans="1:2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  <c r="S3457" s="17"/>
      <c r="T3457" s="17"/>
    </row>
    <row r="3458" spans="1:2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  <c r="S3458" s="17"/>
      <c r="T3458" s="17"/>
    </row>
    <row r="3459" spans="1:2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  <c r="S3459" s="17"/>
      <c r="T3459" s="17"/>
    </row>
    <row r="3460" spans="1:2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7"/>
      <c r="T3460" s="17"/>
    </row>
    <row r="3461" spans="1:2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  <c r="S3461" s="17"/>
      <c r="T3461" s="17"/>
    </row>
    <row r="3462" spans="1:2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  <c r="S3462" s="17"/>
      <c r="T3462" s="17"/>
    </row>
    <row r="3463" spans="1:2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  <c r="S3463" s="17"/>
      <c r="T3463" s="17"/>
    </row>
    <row r="3464" spans="1:2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  <c r="S3464" s="17"/>
      <c r="T3464" s="17"/>
    </row>
    <row r="3465" spans="1:2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7"/>
      <c r="T3465" s="17"/>
    </row>
    <row r="3466" spans="1:2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  <c r="S3466" s="17"/>
      <c r="T3466" s="17"/>
    </row>
    <row r="3467" spans="1:2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  <c r="S3467" s="17"/>
      <c r="T3467" s="17"/>
    </row>
    <row r="3468" spans="1:2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  <c r="S3468" s="17"/>
      <c r="T3468" s="17"/>
    </row>
    <row r="3469" spans="1:2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  <c r="S3469" s="17"/>
      <c r="T3469" s="17"/>
    </row>
    <row r="3470" spans="1:2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  <c r="S3470" s="17"/>
      <c r="T3470" s="17"/>
    </row>
    <row r="3471" spans="1:2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  <c r="S3471" s="17"/>
      <c r="T3471" s="17"/>
    </row>
    <row r="3472" spans="1:2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  <c r="S3472" s="17"/>
      <c r="T3472" s="17"/>
    </row>
    <row r="3473" spans="1:2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  <c r="S3473" s="17"/>
      <c r="T3473" s="17"/>
    </row>
    <row r="3474" spans="1:2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  <c r="S3474" s="17"/>
      <c r="T3474" s="17"/>
    </row>
    <row r="3475" spans="1:2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  <c r="S3475" s="17"/>
      <c r="T3475" s="17"/>
    </row>
    <row r="3476" spans="1:2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  <c r="S3476" s="17"/>
      <c r="T3476" s="17"/>
    </row>
    <row r="3477" spans="1:2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  <c r="S3477" s="17"/>
      <c r="T3477" s="17"/>
    </row>
    <row r="3478" spans="1:2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  <c r="S3478" s="17"/>
      <c r="T3478" s="17"/>
    </row>
    <row r="3479" spans="1:2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  <c r="S3479" s="17"/>
      <c r="T3479" s="17"/>
    </row>
    <row r="3480" spans="1:2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  <c r="S3480" s="17"/>
      <c r="T3480" s="17"/>
    </row>
    <row r="3481" spans="1:2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  <c r="S3481" s="17"/>
      <c r="T3481" s="17"/>
    </row>
    <row r="3482" spans="1:2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  <c r="T3482" s="17"/>
    </row>
    <row r="3483" spans="1:2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  <c r="S3483" s="17"/>
      <c r="T3483" s="17"/>
    </row>
    <row r="3484" spans="1:2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  <c r="S3484" s="17"/>
      <c r="T3484" s="17"/>
    </row>
    <row r="3485" spans="1:2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  <c r="S3485" s="17"/>
      <c r="T3485" s="17"/>
    </row>
    <row r="3486" spans="1:2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  <c r="S3486" s="17"/>
      <c r="T3486" s="17"/>
    </row>
    <row r="3487" spans="1:2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  <c r="S3487" s="17"/>
      <c r="T3487" s="17"/>
    </row>
    <row r="3488" spans="1:2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7"/>
      <c r="T3488" s="17"/>
    </row>
    <row r="3489" spans="1:2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  <c r="S3489" s="17"/>
      <c r="T3489" s="17"/>
    </row>
    <row r="3490" spans="1:2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  <c r="S3490" s="17"/>
      <c r="T3490" s="17"/>
    </row>
    <row r="3491" spans="1:2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  <c r="S3491" s="17"/>
      <c r="T3491" s="17"/>
    </row>
    <row r="3492" spans="1:2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  <c r="S3492" s="17"/>
      <c r="T3492" s="17"/>
    </row>
    <row r="3493" spans="1:2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  <c r="S3493" s="17"/>
      <c r="T3493" s="17"/>
    </row>
    <row r="3494" spans="1:2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  <c r="S3494" s="17"/>
      <c r="T3494" s="17"/>
    </row>
    <row r="3495" spans="1:2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  <c r="S3495" s="17"/>
      <c r="T3495" s="17"/>
    </row>
    <row r="3496" spans="1:2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  <c r="S3496" s="17"/>
      <c r="T3496" s="17"/>
    </row>
    <row r="3497" spans="1:2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  <c r="S3497" s="17"/>
      <c r="T3497" s="17"/>
    </row>
    <row r="3498" spans="1:2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  <c r="S3498" s="17"/>
      <c r="T3498" s="17"/>
    </row>
    <row r="3499" spans="1:2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  <c r="S3499" s="17"/>
      <c r="T3499" s="17"/>
    </row>
    <row r="3500" spans="1:2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7"/>
      <c r="T3500" s="17"/>
    </row>
    <row r="3501" spans="1:2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  <c r="S3501" s="17"/>
      <c r="T3501" s="17"/>
    </row>
    <row r="3502" spans="1:2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  <c r="S3502" s="17"/>
      <c r="T3502" s="17"/>
    </row>
    <row r="3503" spans="1:2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  <c r="S3503" s="17"/>
      <c r="T3503" s="17"/>
    </row>
    <row r="3504" spans="1:2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  <c r="S3504" s="17"/>
      <c r="T3504" s="17"/>
    </row>
    <row r="3505" spans="1:2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  <c r="S3505" s="17"/>
      <c r="T3505" s="17"/>
    </row>
    <row r="3506" spans="1:2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  <c r="S3506" s="17"/>
      <c r="T3506" s="17"/>
    </row>
    <row r="3507" spans="1:2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  <c r="S3507" s="17"/>
      <c r="T3507" s="17"/>
    </row>
    <row r="3508" spans="1:2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  <c r="S3508" s="17"/>
      <c r="T3508" s="17"/>
    </row>
    <row r="3509" spans="1:2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  <c r="S3509" s="17"/>
      <c r="T3509" s="17"/>
    </row>
    <row r="3510" spans="1:2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  <c r="S3510" s="17"/>
      <c r="T3510" s="17"/>
    </row>
    <row r="3511" spans="1:2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  <c r="S3511" s="17"/>
      <c r="T3511" s="17"/>
    </row>
    <row r="3512" spans="1:2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  <c r="S3512" s="17"/>
      <c r="T3512" s="17"/>
    </row>
    <row r="3513" spans="1:2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  <c r="S3513" s="17"/>
      <c r="T3513" s="17"/>
    </row>
    <row r="3514" spans="1:2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  <c r="S3514" s="17"/>
      <c r="T3514" s="17"/>
    </row>
    <row r="3515" spans="1:2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  <c r="S3515" s="17"/>
      <c r="T3515" s="17"/>
    </row>
    <row r="3516" spans="1:2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7"/>
      <c r="T3516" s="17"/>
    </row>
    <row r="3517" spans="1:2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7"/>
      <c r="T3517" s="17"/>
    </row>
    <row r="3518" spans="1:2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7"/>
      <c r="T3518" s="17"/>
    </row>
    <row r="3519" spans="1:2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7"/>
      <c r="T3519" s="17"/>
    </row>
    <row r="3520" spans="1:2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7"/>
      <c r="T3520" s="17"/>
    </row>
    <row r="3521" spans="1:2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/>
      <c r="T3521" s="17"/>
    </row>
    <row r="3522" spans="1:2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7"/>
      <c r="T3522" s="17"/>
    </row>
    <row r="3523" spans="1:2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7"/>
      <c r="T3523" s="17"/>
    </row>
    <row r="3524" spans="1:2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7"/>
      <c r="T3524" s="17"/>
    </row>
    <row r="3525" spans="1:2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7"/>
      <c r="T3525" s="17"/>
    </row>
    <row r="3526" spans="1:2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7"/>
      <c r="T3526" s="17"/>
    </row>
    <row r="3527" spans="1:2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7"/>
      <c r="T3527" s="17"/>
    </row>
    <row r="3528" spans="1:2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7"/>
      <c r="T3528" s="17"/>
    </row>
    <row r="3529" spans="1:2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7"/>
      <c r="T3529" s="17"/>
    </row>
    <row r="3530" spans="1:2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7"/>
      <c r="T3530" s="17"/>
    </row>
    <row r="3531" spans="1:2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7"/>
      <c r="T3531" s="17"/>
    </row>
    <row r="3532" spans="1:2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7"/>
      <c r="T3532" s="17"/>
    </row>
    <row r="3533" spans="1:2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7"/>
      <c r="T3533" s="17"/>
    </row>
    <row r="3534" spans="1:2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7"/>
      <c r="T3534" s="17"/>
    </row>
    <row r="3535" spans="1:2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7"/>
      <c r="T3535" s="17"/>
    </row>
    <row r="3536" spans="1:2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7"/>
      <c r="T3536" s="17"/>
    </row>
    <row r="3537" spans="1:2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7"/>
      <c r="T3537" s="17"/>
    </row>
    <row r="3538" spans="1:2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7"/>
      <c r="T3538" s="17"/>
    </row>
    <row r="3539" spans="1:2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7"/>
      <c r="T3539" s="17"/>
    </row>
    <row r="3540" spans="1:2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7"/>
      <c r="T3540" s="17"/>
    </row>
    <row r="3541" spans="1:2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7"/>
      <c r="T3541" s="17"/>
    </row>
    <row r="3542" spans="1:2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7"/>
      <c r="T3542" s="17"/>
    </row>
    <row r="3543" spans="1:2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7"/>
      <c r="T3543" s="17"/>
    </row>
    <row r="3544" spans="1:2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  <c r="S3544" s="17"/>
      <c r="T3544" s="17"/>
    </row>
    <row r="3545" spans="1:2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  <c r="S3545" s="17"/>
      <c r="T3545" s="17"/>
    </row>
    <row r="3546" spans="1:2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  <c r="S3546" s="17"/>
      <c r="T3546" s="17"/>
    </row>
    <row r="3547" spans="1:2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  <c r="S3547" s="17"/>
      <c r="T3547" s="17"/>
    </row>
    <row r="3548" spans="1:2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7"/>
      <c r="T3548" s="17"/>
    </row>
    <row r="3549" spans="1:2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  <c r="S3549" s="17"/>
      <c r="T3549" s="17"/>
    </row>
    <row r="3550" spans="1:2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  <c r="S3550" s="17"/>
      <c r="T3550" s="17"/>
    </row>
    <row r="3551" spans="1:2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  <c r="S3551" s="17"/>
      <c r="T3551" s="17"/>
    </row>
    <row r="3552" spans="1:2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7"/>
      <c r="T3552" s="17"/>
    </row>
    <row r="3553" spans="1:2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7"/>
      <c r="T3553" s="17"/>
    </row>
    <row r="3554" spans="1:2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  <c r="S3554" s="17"/>
      <c r="T3554" s="17"/>
    </row>
    <row r="3555" spans="1:2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7"/>
      <c r="T3555" s="17"/>
    </row>
    <row r="3556" spans="1:2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  <c r="S3556" s="17"/>
      <c r="T3556" s="17"/>
    </row>
    <row r="3557" spans="1:2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/>
      <c r="T3557" s="17"/>
    </row>
    <row r="3558" spans="1:2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  <c r="S3558" s="17"/>
      <c r="T3558" s="17"/>
    </row>
    <row r="3559" spans="1:2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7"/>
      <c r="T3559" s="17"/>
    </row>
    <row r="3560" spans="1:2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7"/>
      <c r="T3560" s="17"/>
    </row>
    <row r="3561" spans="1:2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  <c r="S3561" s="17"/>
      <c r="T3561" s="17"/>
    </row>
    <row r="3562" spans="1:2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  <c r="S3562" s="17"/>
      <c r="T3562" s="17"/>
    </row>
    <row r="3563" spans="1:2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7"/>
      <c r="T3563" s="17"/>
    </row>
    <row r="3564" spans="1:2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  <c r="S3564" s="17"/>
      <c r="T3564" s="17"/>
    </row>
    <row r="3565" spans="1:2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7"/>
      <c r="T3565" s="17"/>
    </row>
    <row r="3566" spans="1:2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7"/>
      <c r="T3566" s="17"/>
    </row>
    <row r="3567" spans="1:2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  <c r="S3567" s="17"/>
      <c r="T3567" s="17"/>
    </row>
    <row r="3568" spans="1:2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7"/>
      <c r="T3568" s="17"/>
    </row>
    <row r="3569" spans="1:2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7"/>
      <c r="T3569" s="17"/>
    </row>
    <row r="3570" spans="1:2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  <c r="S3570" s="17"/>
      <c r="T3570" s="17"/>
    </row>
    <row r="3571" spans="1:2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  <c r="S3571" s="17"/>
      <c r="T3571" s="17"/>
    </row>
    <row r="3572" spans="1:2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  <c r="S3572" s="17"/>
      <c r="T3572" s="17"/>
    </row>
    <row r="3573" spans="1:2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  <c r="S3573" s="17"/>
      <c r="T3573" s="17"/>
    </row>
    <row r="3574" spans="1:2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7"/>
      <c r="T3574" s="17"/>
    </row>
    <row r="3575" spans="1:2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  <c r="S3575" s="17"/>
      <c r="T3575" s="17"/>
    </row>
    <row r="3576" spans="1:2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  <c r="S3576" s="17"/>
      <c r="T3576" s="17"/>
    </row>
    <row r="3577" spans="1:2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  <c r="S3577" s="17"/>
      <c r="T3577" s="17"/>
    </row>
    <row r="3578" spans="1:2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  <c r="S3578" s="17"/>
      <c r="T3578" s="17"/>
    </row>
    <row r="3579" spans="1:2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  <c r="S3579" s="17"/>
      <c r="T3579" s="17"/>
    </row>
    <row r="3580" spans="1:2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  <c r="S3580" s="17"/>
      <c r="T3580" s="17"/>
    </row>
    <row r="3581" spans="1:2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  <c r="S3581" s="17"/>
      <c r="T3581" s="17"/>
    </row>
    <row r="3582" spans="1:2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  <c r="S3582" s="17"/>
      <c r="T3582" s="17"/>
    </row>
    <row r="3583" spans="1:2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  <c r="S3583" s="17"/>
      <c r="T3583" s="17"/>
    </row>
    <row r="3584" spans="1:2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  <c r="S3584" s="17"/>
      <c r="T3584" s="17"/>
    </row>
    <row r="3585" spans="1:2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7"/>
      <c r="T3585" s="17"/>
    </row>
    <row r="3586" spans="1:2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  <c r="S3586" s="17"/>
      <c r="T3586" s="17"/>
    </row>
    <row r="3587" spans="1:2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  <c r="S3587" s="17"/>
      <c r="T3587" s="17"/>
    </row>
    <row r="3588" spans="1:2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  <c r="S3588" s="17"/>
      <c r="T3588" s="17"/>
    </row>
    <row r="3589" spans="1:2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  <c r="S3589" s="17"/>
      <c r="T3589" s="17"/>
    </row>
    <row r="3590" spans="1:2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  <c r="S3590" s="17"/>
      <c r="T3590" s="17"/>
    </row>
    <row r="3591" spans="1:2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  <c r="S3591" s="17"/>
      <c r="T3591" s="17"/>
    </row>
    <row r="3592" spans="1:2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  <c r="S3592" s="17"/>
      <c r="T3592" s="17"/>
    </row>
    <row r="3593" spans="1:2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  <c r="S3593" s="17"/>
      <c r="T3593" s="17"/>
    </row>
    <row r="3594" spans="1:2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  <c r="S3594" s="17"/>
      <c r="T3594" s="17"/>
    </row>
    <row r="3595" spans="1:2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  <c r="S3595" s="17"/>
      <c r="T3595" s="17"/>
    </row>
    <row r="3596" spans="1:2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  <c r="S3596" s="17"/>
      <c r="T3596" s="17"/>
    </row>
    <row r="3597" spans="1:2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  <c r="S3597" s="17"/>
      <c r="T3597" s="17"/>
    </row>
    <row r="3598" spans="1:2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  <c r="S3598" s="17"/>
      <c r="T3598" s="17"/>
    </row>
    <row r="3599" spans="1:2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  <c r="S3599" s="17"/>
      <c r="T3599" s="17"/>
    </row>
    <row r="3600" spans="1:2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  <c r="S3600" s="17"/>
      <c r="T3600" s="17"/>
    </row>
    <row r="3601" spans="1:2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  <c r="S3601" s="17"/>
      <c r="T3601" s="17"/>
    </row>
    <row r="3602" spans="1:2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  <c r="S3602" s="17"/>
      <c r="T3602" s="17"/>
    </row>
    <row r="3603" spans="1:2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  <c r="S3603" s="17"/>
      <c r="T3603" s="17"/>
    </row>
    <row r="3604" spans="1:2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  <c r="S3604" s="17"/>
      <c r="T3604" s="17"/>
    </row>
    <row r="3605" spans="1:2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  <c r="S3605" s="17"/>
      <c r="T3605" s="17"/>
    </row>
    <row r="3606" spans="1:2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  <c r="S3606" s="17"/>
      <c r="T3606" s="17"/>
    </row>
    <row r="3607" spans="1:2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  <c r="S3607" s="17"/>
      <c r="T3607" s="17"/>
    </row>
    <row r="3608" spans="1:2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  <c r="S3608" s="17"/>
      <c r="T3608" s="17"/>
    </row>
    <row r="3609" spans="1:2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  <c r="S3609" s="17"/>
      <c r="T3609" s="17"/>
    </row>
    <row r="3610" spans="1:2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  <c r="S3610" s="17"/>
      <c r="T3610" s="17"/>
    </row>
    <row r="3611" spans="1:2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  <c r="S3611" s="17"/>
      <c r="T3611" s="17"/>
    </row>
    <row r="3612" spans="1:2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  <c r="S3612" s="17"/>
      <c r="T3612" s="17"/>
    </row>
    <row r="3613" spans="1:2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  <c r="S3613" s="17"/>
      <c r="T3613" s="17"/>
    </row>
    <row r="3614" spans="1:2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  <c r="S3614" s="17"/>
      <c r="T3614" s="17"/>
    </row>
    <row r="3615" spans="1:2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  <c r="S3615" s="17"/>
      <c r="T3615" s="17"/>
    </row>
    <row r="3616" spans="1:2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  <c r="S3616" s="17"/>
      <c r="T3616" s="17"/>
    </row>
    <row r="3617" spans="1:2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  <c r="S3617" s="17"/>
      <c r="T3617" s="17"/>
    </row>
    <row r="3618" spans="1:2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  <c r="S3618" s="17"/>
      <c r="T3618" s="17"/>
    </row>
    <row r="3619" spans="1:2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  <c r="S3619" s="17"/>
      <c r="T3619" s="17"/>
    </row>
    <row r="3620" spans="1:2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  <c r="S3620" s="17"/>
      <c r="T3620" s="17"/>
    </row>
    <row r="3621" spans="1:2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  <c r="S3621" s="17"/>
      <c r="T3621" s="17"/>
    </row>
    <row r="3622" spans="1:2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  <c r="S3622" s="17"/>
      <c r="T3622" s="17"/>
    </row>
    <row r="3623" spans="1:2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  <c r="S3623" s="17"/>
      <c r="T3623" s="17"/>
    </row>
    <row r="3624" spans="1:2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  <c r="S3624" s="17"/>
      <c r="T3624" s="17"/>
    </row>
    <row r="3625" spans="1:2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  <c r="S3625" s="17"/>
      <c r="T3625" s="17"/>
    </row>
    <row r="3626" spans="1:2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  <c r="S3626" s="17"/>
      <c r="T3626" s="17"/>
    </row>
    <row r="3627" spans="1:2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  <c r="S3627" s="17"/>
      <c r="T3627" s="17"/>
    </row>
    <row r="3628" spans="1:2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  <c r="S3628" s="17"/>
      <c r="T3628" s="17"/>
    </row>
    <row r="3629" spans="1:2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  <c r="S3629" s="17"/>
      <c r="T3629" s="17"/>
    </row>
    <row r="3630" spans="1:2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  <c r="S3630" s="17"/>
      <c r="T3630" s="17"/>
    </row>
    <row r="3631" spans="1:2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  <c r="S3631" s="17"/>
      <c r="T3631" s="17"/>
    </row>
    <row r="3632" spans="1:2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  <c r="S3632" s="17"/>
      <c r="T3632" s="17"/>
    </row>
    <row r="3633" spans="1:2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  <c r="S3633" s="17"/>
      <c r="T3633" s="17"/>
    </row>
    <row r="3634" spans="1:2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  <c r="S3634" s="17"/>
      <c r="T3634" s="17"/>
    </row>
    <row r="3635" spans="1:2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  <c r="S3635" s="17"/>
      <c r="T3635" s="17"/>
    </row>
    <row r="3636" spans="1:2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  <c r="S3636" s="17"/>
      <c r="T3636" s="17"/>
    </row>
    <row r="3637" spans="1:2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  <c r="S3637" s="17"/>
      <c r="T3637" s="17"/>
    </row>
    <row r="3638" spans="1:2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  <c r="S3638" s="17"/>
      <c r="T3638" s="17"/>
    </row>
    <row r="3639" spans="1:2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  <c r="S3639" s="17"/>
      <c r="T3639" s="17"/>
    </row>
    <row r="3640" spans="1:2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  <c r="S3640" s="17"/>
      <c r="T3640" s="17"/>
    </row>
    <row r="3641" spans="1:2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  <c r="S3641" s="17"/>
      <c r="T3641" s="17"/>
    </row>
    <row r="3642" spans="1:2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  <c r="S3642" s="17"/>
      <c r="T3642" s="17"/>
    </row>
    <row r="3643" spans="1:2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  <c r="S3643" s="17"/>
      <c r="T3643" s="17"/>
    </row>
    <row r="3644" spans="1:2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  <c r="S3644" s="17"/>
      <c r="T3644" s="17"/>
    </row>
    <row r="3645" spans="1:2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  <c r="S3645" s="17"/>
      <c r="T3645" s="17"/>
    </row>
    <row r="3646" spans="1:2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  <c r="S3646" s="17"/>
      <c r="T3646" s="17"/>
    </row>
    <row r="3647" spans="1:2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  <c r="S3647" s="17"/>
      <c r="T3647" s="17"/>
    </row>
    <row r="3648" spans="1:2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  <c r="S3648" s="17"/>
      <c r="T3648" s="17"/>
    </row>
    <row r="3649" spans="1:2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  <c r="S3649" s="17"/>
      <c r="T3649" s="17"/>
    </row>
    <row r="3650" spans="1:2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  <c r="S3650" s="17"/>
      <c r="T3650" s="17"/>
    </row>
    <row r="3651" spans="1:2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  <c r="S3651" s="17"/>
      <c r="T3651" s="17"/>
    </row>
    <row r="3652" spans="1:2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  <c r="S3652" s="17"/>
      <c r="T3652" s="17"/>
    </row>
    <row r="3653" spans="1:2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  <c r="S3653" s="17"/>
      <c r="T3653" s="17"/>
    </row>
    <row r="3654" spans="1:2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  <c r="S3654" s="17"/>
      <c r="T3654" s="17"/>
    </row>
    <row r="3655" spans="1:2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  <c r="S3655" s="17"/>
      <c r="T3655" s="17"/>
    </row>
    <row r="3656" spans="1:2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  <c r="S3656" s="17"/>
      <c r="T3656" s="17"/>
    </row>
    <row r="3657" spans="1:2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  <c r="S3657" s="17"/>
      <c r="T3657" s="17"/>
    </row>
    <row r="3658" spans="1:2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  <c r="S3658" s="17"/>
      <c r="T3658" s="17"/>
    </row>
    <row r="3659" spans="1:2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  <c r="S3659" s="17"/>
      <c r="T3659" s="17"/>
    </row>
    <row r="3660" spans="1:2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  <c r="S3660" s="17"/>
      <c r="T3660" s="17"/>
    </row>
    <row r="3661" spans="1:2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  <c r="S3661" s="17"/>
      <c r="T3661" s="17"/>
    </row>
    <row r="3662" spans="1:2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  <c r="S3662" s="17"/>
      <c r="T3662" s="17"/>
    </row>
    <row r="3663" spans="1:2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  <c r="S3663" s="17"/>
      <c r="T3663" s="17"/>
    </row>
    <row r="3664" spans="1:2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  <c r="S3664" s="17"/>
      <c r="T3664" s="17"/>
    </row>
    <row r="3665" spans="1:2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  <c r="S3665" s="17"/>
      <c r="T3665" s="17"/>
    </row>
    <row r="3666" spans="1:2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  <c r="S3666" s="17"/>
      <c r="T3666" s="17"/>
    </row>
    <row r="3667" spans="1:2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  <c r="S3667" s="17"/>
      <c r="T3667" s="17"/>
    </row>
    <row r="3668" spans="1:2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  <c r="S3668" s="17"/>
      <c r="T3668" s="17"/>
    </row>
    <row r="3669" spans="1:2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  <c r="S3669" s="17"/>
      <c r="T3669" s="17"/>
    </row>
    <row r="3670" spans="1:2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  <c r="S3670" s="17"/>
      <c r="T3670" s="17"/>
    </row>
    <row r="3671" spans="1:2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  <c r="S3671" s="17"/>
      <c r="T3671" s="17"/>
    </row>
    <row r="3672" spans="1:2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  <c r="S3672" s="17"/>
      <c r="T3672" s="17"/>
    </row>
    <row r="3673" spans="1:2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  <c r="S3673" s="17"/>
      <c r="T3673" s="17"/>
    </row>
    <row r="3674" spans="1:2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  <c r="S3674" s="17"/>
      <c r="T3674" s="17"/>
    </row>
    <row r="3675" spans="1:2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  <c r="S3675" s="17"/>
      <c r="T3675" s="17"/>
    </row>
    <row r="3676" spans="1:2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  <c r="S3676" s="17"/>
      <c r="T3676" s="17"/>
    </row>
    <row r="3677" spans="1:2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  <c r="S3677" s="17"/>
      <c r="T3677" s="17"/>
    </row>
    <row r="3678" spans="1:2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  <c r="S3678" s="17"/>
      <c r="T3678" s="17"/>
    </row>
    <row r="3679" spans="1:2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  <c r="S3679" s="17"/>
      <c r="T3679" s="17"/>
    </row>
    <row r="3680" spans="1:2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  <c r="S3680" s="17"/>
      <c r="T3680" s="17"/>
    </row>
    <row r="3681" spans="1:2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  <c r="S3681" s="17"/>
      <c r="T3681" s="17"/>
    </row>
    <row r="3682" spans="1:2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  <c r="S3682" s="17"/>
      <c r="T3682" s="17"/>
    </row>
    <row r="3683" spans="1:2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  <c r="S3683" s="17"/>
      <c r="T3683" s="17"/>
    </row>
    <row r="3684" spans="1:2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  <c r="S3684" s="17"/>
      <c r="T3684" s="17"/>
    </row>
    <row r="3685" spans="1:2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  <c r="S3685" s="17"/>
      <c r="T3685" s="17"/>
    </row>
    <row r="3686" spans="1:2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  <c r="S3686" s="17"/>
      <c r="T3686" s="17"/>
    </row>
    <row r="3687" spans="1:2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  <c r="S3687" s="17"/>
      <c r="T3687" s="17"/>
    </row>
    <row r="3688" spans="1:2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  <c r="S3688" s="17"/>
      <c r="T3688" s="17"/>
    </row>
    <row r="3689" spans="1:2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  <c r="S3689" s="17"/>
      <c r="T3689" s="17"/>
    </row>
    <row r="3690" spans="1:2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  <c r="S3690" s="17"/>
      <c r="T3690" s="17"/>
    </row>
    <row r="3691" spans="1:2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  <c r="S3691" s="17"/>
      <c r="T3691" s="17"/>
    </row>
    <row r="3692" spans="1:2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  <c r="S3692" s="17"/>
      <c r="T3692" s="17"/>
    </row>
    <row r="3693" spans="1:2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  <c r="S3693" s="17"/>
      <c r="T3693" s="17"/>
    </row>
    <row r="3694" spans="1:2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  <c r="S3694" s="17"/>
      <c r="T3694" s="17"/>
    </row>
    <row r="3695" spans="1:2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  <c r="S3695" s="17"/>
      <c r="T3695" s="17"/>
    </row>
    <row r="3696" spans="1:2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  <c r="S3696" s="17"/>
      <c r="T3696" s="17"/>
    </row>
    <row r="3697" spans="1:2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  <c r="S3697" s="17"/>
      <c r="T3697" s="17"/>
    </row>
    <row r="3698" spans="1:2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  <c r="S3698" s="17"/>
      <c r="T3698" s="17"/>
    </row>
    <row r="3699" spans="1:2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  <c r="S3699" s="17"/>
      <c r="T3699" s="17"/>
    </row>
    <row r="3700" spans="1:2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  <c r="S3700" s="17"/>
      <c r="T3700" s="17"/>
    </row>
    <row r="3701" spans="1:2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  <c r="S3701" s="17"/>
      <c r="T3701" s="17"/>
    </row>
    <row r="3702" spans="1:2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  <c r="S3702" s="17"/>
      <c r="T3702" s="17"/>
    </row>
    <row r="3703" spans="1:2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  <c r="S3703" s="17"/>
      <c r="T3703" s="17"/>
    </row>
    <row r="3704" spans="1:2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  <c r="S3704" s="17"/>
      <c r="T3704" s="17"/>
    </row>
    <row r="3705" spans="1:2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  <c r="S3705" s="17"/>
      <c r="T3705" s="17"/>
    </row>
    <row r="3706" spans="1:2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  <c r="S3706" s="17"/>
      <c r="T3706" s="17"/>
    </row>
    <row r="3707" spans="1:2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  <c r="S3707" s="17"/>
      <c r="T3707" s="17"/>
    </row>
    <row r="3708" spans="1:2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  <c r="S3708" s="17"/>
      <c r="T3708" s="17"/>
    </row>
    <row r="3709" spans="1:2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  <c r="S3709" s="17"/>
      <c r="T3709" s="17"/>
    </row>
    <row r="3710" spans="1:2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  <c r="S3710" s="17"/>
      <c r="T3710" s="17"/>
    </row>
    <row r="3711" spans="1:2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  <c r="S3711" s="17"/>
      <c r="T3711" s="17"/>
    </row>
    <row r="3712" spans="1:2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  <c r="S3712" s="17"/>
      <c r="T3712" s="17"/>
    </row>
    <row r="3713" spans="1:2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  <c r="S3713" s="17"/>
      <c r="T3713" s="17"/>
    </row>
    <row r="3714" spans="1:2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  <c r="S3714" s="17"/>
      <c r="T3714" s="17"/>
    </row>
    <row r="3715" spans="1:2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  <c r="S3715" s="17"/>
      <c r="T3715" s="17"/>
    </row>
    <row r="3716" spans="1:2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  <c r="S3716" s="17"/>
      <c r="T3716" s="17"/>
    </row>
    <row r="3717" spans="1:2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  <c r="S3717" s="17"/>
      <c r="T3717" s="17"/>
    </row>
    <row r="3718" spans="1:2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  <c r="S3718" s="17"/>
      <c r="T3718" s="17"/>
    </row>
    <row r="3719" spans="1:2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  <c r="S3719" s="17"/>
      <c r="T3719" s="17"/>
    </row>
    <row r="3720" spans="1:2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  <c r="S3720" s="17"/>
      <c r="T3720" s="17"/>
    </row>
    <row r="3721" spans="1:2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  <c r="S3721" s="17"/>
      <c r="T3721" s="17"/>
    </row>
    <row r="3722" spans="1:2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  <c r="S3722" s="17"/>
      <c r="T3722" s="17"/>
    </row>
    <row r="3723" spans="1:2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  <c r="S3723" s="17"/>
      <c r="T3723" s="17"/>
    </row>
    <row r="3724" spans="1:2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  <c r="S3724" s="17"/>
      <c r="T3724" s="17"/>
    </row>
    <row r="3725" spans="1:2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  <c r="S3725" s="17"/>
      <c r="T3725" s="17"/>
    </row>
    <row r="3726" spans="1:2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  <c r="S3726" s="17"/>
      <c r="T3726" s="17"/>
    </row>
    <row r="3727" spans="1:2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  <c r="S3727" s="17"/>
      <c r="T3727" s="17"/>
    </row>
    <row r="3728" spans="1:2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  <c r="S3728" s="17"/>
      <c r="T3728" s="17"/>
    </row>
    <row r="3729" spans="1:2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  <c r="S3729" s="17"/>
      <c r="T3729" s="17"/>
    </row>
    <row r="3730" spans="1:2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  <c r="S3730" s="17"/>
      <c r="T3730" s="17"/>
    </row>
    <row r="3731" spans="1:2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  <c r="S3731" s="17"/>
      <c r="T3731" s="17"/>
    </row>
    <row r="3732" spans="1:2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  <c r="S3732" s="17"/>
      <c r="T3732" s="17"/>
    </row>
    <row r="3733" spans="1:2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  <c r="S3733" s="17"/>
      <c r="T3733" s="17"/>
    </row>
    <row r="3734" spans="1:2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  <c r="S3734" s="17"/>
      <c r="T3734" s="17"/>
    </row>
    <row r="3735" spans="1:2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  <c r="S3735" s="17"/>
      <c r="T3735" s="17"/>
    </row>
    <row r="3736" spans="1:2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  <c r="S3736" s="17"/>
      <c r="T3736" s="17"/>
    </row>
    <row r="3737" spans="1:2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  <c r="S3737" s="17"/>
      <c r="T3737" s="17"/>
    </row>
    <row r="3738" spans="1:2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  <c r="S3738" s="17"/>
      <c r="T3738" s="17"/>
    </row>
    <row r="3739" spans="1:2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  <c r="S3739" s="17"/>
      <c r="T3739" s="17"/>
    </row>
    <row r="3740" spans="1:2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  <c r="S3740" s="17"/>
      <c r="T3740" s="17"/>
    </row>
    <row r="3741" spans="1:2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  <c r="S3741" s="17"/>
      <c r="T3741" s="17"/>
    </row>
    <row r="3742" spans="1:2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  <c r="S3742" s="17"/>
      <c r="T3742" s="17"/>
    </row>
    <row r="3743" spans="1:2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  <c r="S3743" s="17"/>
      <c r="T3743" s="17"/>
    </row>
    <row r="3744" spans="1:2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7"/>
      <c r="R3744" s="17"/>
      <c r="S3744" s="17"/>
      <c r="T3744" s="17"/>
    </row>
    <row r="3745" spans="1:2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  <c r="Q3745" s="17"/>
      <c r="R3745" s="17"/>
      <c r="S3745" s="17"/>
      <c r="T3745" s="17"/>
    </row>
    <row r="3746" spans="1:2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  <c r="Q3746" s="17"/>
      <c r="R3746" s="17"/>
      <c r="S3746" s="17"/>
      <c r="T3746" s="17"/>
    </row>
    <row r="3747" spans="1:2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7"/>
      <c r="R3747" s="17"/>
      <c r="S3747" s="17"/>
      <c r="T3747" s="17"/>
    </row>
    <row r="3748" spans="1:2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  <c r="Q3748" s="17"/>
      <c r="R3748" s="17"/>
      <c r="S3748" s="17"/>
      <c r="T3748" s="17"/>
    </row>
    <row r="3749" spans="1:2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  <c r="Q3749" s="17"/>
      <c r="R3749" s="17"/>
      <c r="S3749" s="17"/>
      <c r="T3749" s="17"/>
    </row>
    <row r="3750" spans="1:2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  <c r="Q3750" s="17"/>
      <c r="R3750" s="17"/>
      <c r="S3750" s="17"/>
      <c r="T3750" s="17"/>
    </row>
    <row r="3751" spans="1:2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  <c r="Q3751" s="17"/>
      <c r="R3751" s="17"/>
      <c r="S3751" s="17"/>
      <c r="T3751" s="17"/>
    </row>
    <row r="3752" spans="1:2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  <c r="Q3752" s="17"/>
      <c r="R3752" s="17"/>
      <c r="S3752" s="17"/>
      <c r="T3752" s="17"/>
    </row>
    <row r="3753" spans="1:2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  <c r="Q3753" s="17"/>
      <c r="R3753" s="17"/>
      <c r="S3753" s="17"/>
      <c r="T3753" s="17"/>
    </row>
    <row r="3754" spans="1:2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  <c r="Q3754" s="17"/>
      <c r="R3754" s="17"/>
      <c r="S3754" s="17"/>
      <c r="T3754" s="17"/>
    </row>
    <row r="3755" spans="1:2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7"/>
      <c r="R3755" s="17"/>
      <c r="S3755" s="17"/>
      <c r="T3755" s="17"/>
    </row>
    <row r="3756" spans="1:2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7"/>
      <c r="R3756" s="17"/>
      <c r="S3756" s="17"/>
      <c r="T3756" s="17"/>
    </row>
    <row r="3757" spans="1:2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  <c r="Q3757" s="17"/>
      <c r="R3757" s="17"/>
      <c r="S3757" s="17"/>
      <c r="T3757" s="17"/>
    </row>
    <row r="3758" spans="1:2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  <c r="Q3758" s="17"/>
      <c r="R3758" s="17"/>
      <c r="S3758" s="17"/>
      <c r="T3758" s="17"/>
    </row>
    <row r="3759" spans="1:2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  <c r="Q3759" s="17"/>
      <c r="R3759" s="17"/>
      <c r="S3759" s="17"/>
      <c r="T3759" s="17"/>
    </row>
    <row r="3760" spans="1:2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  <c r="Q3760" s="17"/>
      <c r="R3760" s="17"/>
      <c r="S3760" s="17"/>
      <c r="T3760" s="17"/>
    </row>
    <row r="3761" spans="1:2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  <c r="Q3761" s="17"/>
      <c r="R3761" s="17"/>
      <c r="S3761" s="17"/>
      <c r="T3761" s="17"/>
    </row>
    <row r="3762" spans="1:2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  <c r="Q3762" s="17"/>
      <c r="R3762" s="17"/>
      <c r="S3762" s="17"/>
      <c r="T3762" s="17"/>
    </row>
    <row r="3763" spans="1:2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  <c r="Q3763" s="17"/>
      <c r="R3763" s="17"/>
      <c r="S3763" s="17"/>
      <c r="T3763" s="17"/>
    </row>
    <row r="3764" spans="1:2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  <c r="Q3764" s="17"/>
      <c r="R3764" s="17"/>
      <c r="S3764" s="17"/>
      <c r="T3764" s="17"/>
    </row>
    <row r="3765" spans="1:2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  <c r="Q3765" s="17"/>
      <c r="R3765" s="17"/>
      <c r="S3765" s="17"/>
      <c r="T3765" s="17"/>
    </row>
    <row r="3766" spans="1:2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  <c r="Q3766" s="17"/>
      <c r="R3766" s="17"/>
      <c r="S3766" s="17"/>
      <c r="T3766" s="17"/>
    </row>
    <row r="3767" spans="1:2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  <c r="Q3767" s="17"/>
      <c r="R3767" s="17"/>
      <c r="S3767" s="17"/>
      <c r="T3767" s="17"/>
    </row>
    <row r="3768" spans="1:2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  <c r="Q3768" s="17"/>
      <c r="R3768" s="17"/>
      <c r="S3768" s="17"/>
      <c r="T3768" s="17"/>
    </row>
    <row r="3769" spans="1:2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  <c r="Q3769" s="17"/>
      <c r="R3769" s="17"/>
      <c r="S3769" s="17"/>
      <c r="T3769" s="17"/>
    </row>
    <row r="3770" spans="1:2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  <c r="Q3770" s="17"/>
      <c r="R3770" s="17"/>
      <c r="S3770" s="17"/>
      <c r="T3770" s="17"/>
    </row>
    <row r="3771" spans="1:2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  <c r="Q3771" s="17"/>
      <c r="R3771" s="17"/>
      <c r="S3771" s="17"/>
      <c r="T3771" s="17"/>
    </row>
    <row r="3772" spans="1:2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  <c r="Q3772" s="17"/>
      <c r="R3772" s="17"/>
      <c r="S3772" s="17"/>
      <c r="T3772" s="17"/>
    </row>
    <row r="3773" spans="1:2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7"/>
      <c r="R3773" s="17"/>
      <c r="S3773" s="17"/>
      <c r="T3773" s="17"/>
    </row>
    <row r="3774" spans="1:2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  <c r="Q3774" s="17"/>
      <c r="R3774" s="17"/>
      <c r="S3774" s="17"/>
      <c r="T3774" s="17"/>
    </row>
    <row r="3775" spans="1:2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  <c r="Q3775" s="17"/>
      <c r="R3775" s="17"/>
      <c r="S3775" s="17"/>
      <c r="T3775" s="17"/>
    </row>
    <row r="3776" spans="1:2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  <c r="Q3776" s="17"/>
      <c r="R3776" s="17"/>
      <c r="S3776" s="17"/>
      <c r="T3776" s="17"/>
    </row>
    <row r="3777" spans="1:2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  <c r="Q3777" s="17"/>
      <c r="R3777" s="17"/>
      <c r="S3777" s="17"/>
      <c r="T3777" s="17"/>
    </row>
    <row r="3778" spans="1:2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  <c r="Q3778" s="17"/>
      <c r="R3778" s="17"/>
      <c r="S3778" s="17"/>
      <c r="T3778" s="17"/>
    </row>
    <row r="3779" spans="1:2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  <c r="Q3779" s="17"/>
      <c r="R3779" s="17"/>
      <c r="S3779" s="17"/>
      <c r="T3779" s="17"/>
    </row>
    <row r="3780" spans="1:2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  <c r="Q3780" s="17"/>
      <c r="R3780" s="17"/>
      <c r="S3780" s="17"/>
      <c r="T3780" s="17"/>
    </row>
    <row r="3781" spans="1:2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  <c r="Q3781" s="17"/>
      <c r="R3781" s="17"/>
      <c r="S3781" s="17"/>
      <c r="T3781" s="17"/>
    </row>
    <row r="3782" spans="1:2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  <c r="Q3782" s="17"/>
      <c r="R3782" s="17"/>
      <c r="S3782" s="17"/>
      <c r="T3782" s="17"/>
    </row>
    <row r="3783" spans="1:2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  <c r="Q3783" s="17"/>
      <c r="R3783" s="17"/>
      <c r="S3783" s="17"/>
      <c r="T3783" s="17"/>
    </row>
    <row r="3784" spans="1:2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  <c r="Q3784" s="17"/>
      <c r="R3784" s="17"/>
      <c r="S3784" s="17"/>
      <c r="T3784" s="17"/>
    </row>
    <row r="3785" spans="1:2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  <c r="Q3785" s="17"/>
      <c r="R3785" s="17"/>
      <c r="S3785" s="17"/>
      <c r="T3785" s="17"/>
    </row>
    <row r="3786" spans="1:2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  <c r="S3786" s="17"/>
      <c r="T3786" s="17"/>
    </row>
    <row r="3787" spans="1:2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  <c r="S3787" s="17"/>
      <c r="T3787" s="17"/>
    </row>
    <row r="3788" spans="1:2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  <c r="Q3788" s="17"/>
      <c r="R3788" s="17"/>
      <c r="S3788" s="17"/>
      <c r="T3788" s="17"/>
    </row>
    <row r="3789" spans="1:2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  <c r="Q3789" s="17"/>
      <c r="R3789" s="17"/>
      <c r="S3789" s="17"/>
      <c r="T3789" s="17"/>
    </row>
    <row r="3790" spans="1:2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  <c r="Q3790" s="17"/>
      <c r="R3790" s="17"/>
      <c r="S3790" s="17"/>
      <c r="T3790" s="17"/>
    </row>
    <row r="3791" spans="1:2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  <c r="Q3791" s="17"/>
      <c r="R3791" s="17"/>
      <c r="S3791" s="17"/>
      <c r="T3791" s="17"/>
    </row>
    <row r="3792" spans="1:2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  <c r="Q3792" s="17"/>
      <c r="R3792" s="17"/>
      <c r="S3792" s="17"/>
      <c r="T3792" s="17"/>
    </row>
    <row r="3793" spans="1:2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  <c r="Q3793" s="17"/>
      <c r="R3793" s="17"/>
      <c r="S3793" s="17"/>
      <c r="T3793" s="17"/>
    </row>
    <row r="3794" spans="1:2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  <c r="Q3794" s="17"/>
      <c r="R3794" s="17"/>
      <c r="S3794" s="17"/>
      <c r="T3794" s="17"/>
    </row>
    <row r="3795" spans="1:2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  <c r="Q3795" s="17"/>
      <c r="R3795" s="17"/>
      <c r="S3795" s="17"/>
      <c r="T3795" s="17"/>
    </row>
    <row r="3796" spans="1:2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  <c r="Q3796" s="17"/>
      <c r="R3796" s="17"/>
      <c r="S3796" s="17"/>
      <c r="T3796" s="17"/>
    </row>
    <row r="3797" spans="1:2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  <c r="Q3797" s="17"/>
      <c r="R3797" s="17"/>
      <c r="S3797" s="17"/>
      <c r="T3797" s="17"/>
    </row>
    <row r="3798" spans="1:2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  <c r="Q3798" s="17"/>
      <c r="R3798" s="17"/>
      <c r="S3798" s="17"/>
      <c r="T3798" s="17"/>
    </row>
    <row r="3799" spans="1:2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  <c r="Q3799" s="17"/>
      <c r="R3799" s="17"/>
      <c r="S3799" s="17"/>
      <c r="T3799" s="17"/>
    </row>
    <row r="3800" spans="1:2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  <c r="Q3800" s="17"/>
      <c r="R3800" s="17"/>
      <c r="S3800" s="17"/>
      <c r="T3800" s="17"/>
    </row>
    <row r="3801" spans="1:2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  <c r="Q3801" s="17"/>
      <c r="R3801" s="17"/>
      <c r="S3801" s="17"/>
      <c r="T3801" s="17"/>
    </row>
    <row r="3802" spans="1:2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  <c r="Q3802" s="17"/>
      <c r="R3802" s="17"/>
      <c r="S3802" s="17"/>
      <c r="T3802" s="17"/>
    </row>
    <row r="3803" spans="1:2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  <c r="Q3803" s="17"/>
      <c r="R3803" s="17"/>
      <c r="S3803" s="17"/>
      <c r="T3803" s="17"/>
    </row>
    <row r="3804" spans="1:2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  <c r="Q3804" s="17"/>
      <c r="R3804" s="17"/>
      <c r="S3804" s="17"/>
      <c r="T3804" s="17"/>
    </row>
    <row r="3805" spans="1:2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  <c r="Q3805" s="17"/>
      <c r="R3805" s="17"/>
      <c r="S3805" s="17"/>
      <c r="T3805" s="17"/>
    </row>
    <row r="3806" spans="1:2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  <c r="Q3806" s="17"/>
      <c r="R3806" s="17"/>
      <c r="S3806" s="17"/>
      <c r="T3806" s="17"/>
    </row>
    <row r="3807" spans="1:2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  <c r="Q3807" s="17"/>
      <c r="R3807" s="17"/>
      <c r="S3807" s="17"/>
      <c r="T3807" s="17"/>
    </row>
    <row r="3808" spans="1:2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  <c r="Q3808" s="17"/>
      <c r="R3808" s="17"/>
      <c r="S3808" s="17"/>
      <c r="T3808" s="17"/>
    </row>
    <row r="3809" spans="1:2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  <c r="Q3809" s="17"/>
      <c r="R3809" s="17"/>
      <c r="S3809" s="17"/>
      <c r="T3809" s="17"/>
    </row>
    <row r="3810" spans="1:2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  <c r="Q3810" s="17"/>
      <c r="R3810" s="17"/>
      <c r="S3810" s="17"/>
      <c r="T3810" s="17"/>
    </row>
    <row r="3811" spans="1:2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  <c r="S3811" s="17"/>
      <c r="T3811" s="17"/>
    </row>
    <row r="3812" spans="1:2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  <c r="Q3812" s="17"/>
      <c r="R3812" s="17"/>
      <c r="S3812" s="17"/>
      <c r="T3812" s="17"/>
    </row>
    <row r="3813" spans="1:2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  <c r="Q3813" s="17"/>
      <c r="R3813" s="17"/>
      <c r="S3813" s="17"/>
      <c r="T3813" s="17"/>
    </row>
    <row r="3814" spans="1:2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  <c r="Q3814" s="17"/>
      <c r="R3814" s="17"/>
      <c r="S3814" s="17"/>
      <c r="T3814" s="17"/>
    </row>
    <row r="3815" spans="1:2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  <c r="Q3815" s="17"/>
      <c r="R3815" s="17"/>
      <c r="S3815" s="17"/>
      <c r="T3815" s="17"/>
    </row>
    <row r="3816" spans="1:2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  <c r="S3816" s="17"/>
      <c r="T3816" s="17"/>
    </row>
    <row r="3817" spans="1:2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  <c r="Q3817" s="17"/>
      <c r="R3817" s="17"/>
      <c r="S3817" s="17"/>
      <c r="T3817" s="17"/>
    </row>
    <row r="3818" spans="1:2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  <c r="Q3818" s="17"/>
      <c r="R3818" s="17"/>
      <c r="S3818" s="17"/>
      <c r="T3818" s="17"/>
    </row>
    <row r="3819" spans="1:2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  <c r="S3819" s="17"/>
      <c r="T3819" s="17"/>
    </row>
    <row r="3820" spans="1:2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  <c r="Q3820" s="17"/>
      <c r="R3820" s="17"/>
      <c r="S3820" s="17"/>
      <c r="T3820" s="17"/>
    </row>
    <row r="3821" spans="1:2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  <c r="S3821" s="17"/>
      <c r="T3821" s="17"/>
    </row>
    <row r="3822" spans="1:2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  <c r="Q3822" s="17"/>
      <c r="R3822" s="17"/>
      <c r="S3822" s="17"/>
      <c r="T3822" s="17"/>
    </row>
    <row r="3823" spans="1:2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  <c r="S3823" s="17"/>
      <c r="T3823" s="17"/>
    </row>
    <row r="3824" spans="1:2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  <c r="S3824" s="17"/>
      <c r="T3824" s="17"/>
    </row>
    <row r="3825" spans="1:2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  <c r="Q3825" s="17"/>
      <c r="R3825" s="17"/>
      <c r="S3825" s="17"/>
      <c r="T3825" s="17"/>
    </row>
    <row r="3826" spans="1:2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  <c r="Q3826" s="17"/>
      <c r="R3826" s="17"/>
      <c r="S3826" s="17"/>
      <c r="T3826" s="17"/>
    </row>
    <row r="3827" spans="1:2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  <c r="Q3827" s="17"/>
      <c r="R3827" s="17"/>
      <c r="S3827" s="17"/>
      <c r="T3827" s="17"/>
    </row>
    <row r="3828" spans="1:2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  <c r="S3828" s="17"/>
      <c r="T3828" s="17"/>
    </row>
    <row r="3829" spans="1:2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  <c r="Q3829" s="17"/>
      <c r="R3829" s="17"/>
      <c r="S3829" s="17"/>
      <c r="T3829" s="17"/>
    </row>
    <row r="3830" spans="1:2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  <c r="Q3830" s="17"/>
      <c r="R3830" s="17"/>
      <c r="S3830" s="17"/>
      <c r="T3830" s="17"/>
    </row>
    <row r="3831" spans="1:2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  <c r="Q3831" s="17"/>
      <c r="R3831" s="17"/>
      <c r="S3831" s="17"/>
      <c r="T3831" s="17"/>
    </row>
    <row r="3832" spans="1:2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  <c r="Q3832" s="17"/>
      <c r="R3832" s="17"/>
      <c r="S3832" s="17"/>
      <c r="T3832" s="17"/>
    </row>
    <row r="3833" spans="1:2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  <c r="S3833" s="17"/>
      <c r="T3833" s="17"/>
    </row>
    <row r="3834" spans="1:2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  <c r="Q3834" s="17"/>
      <c r="R3834" s="17"/>
      <c r="S3834" s="17"/>
      <c r="T3834" s="17"/>
    </row>
    <row r="3835" spans="1:2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  <c r="Q3835" s="17"/>
      <c r="R3835" s="17"/>
      <c r="S3835" s="17"/>
      <c r="T3835" s="17"/>
    </row>
    <row r="3836" spans="1:2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  <c r="Q3836" s="17"/>
      <c r="R3836" s="17"/>
      <c r="S3836" s="17"/>
      <c r="T3836" s="17"/>
    </row>
    <row r="3837" spans="1:2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  <c r="Q3837" s="17"/>
      <c r="R3837" s="17"/>
      <c r="S3837" s="17"/>
      <c r="T3837" s="17"/>
    </row>
    <row r="3838" spans="1:2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  <c r="Q3838" s="17"/>
      <c r="R3838" s="17"/>
      <c r="S3838" s="17"/>
      <c r="T3838" s="17"/>
    </row>
    <row r="3839" spans="1:2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  <c r="Q3839" s="17"/>
      <c r="R3839" s="17"/>
      <c r="S3839" s="17"/>
      <c r="T3839" s="17"/>
    </row>
    <row r="3840" spans="1:2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  <c r="Q3840" s="17"/>
      <c r="R3840" s="17"/>
      <c r="S3840" s="17"/>
      <c r="T3840" s="17"/>
    </row>
    <row r="3841" spans="1:2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  <c r="Q3841" s="17"/>
      <c r="R3841" s="17"/>
      <c r="S3841" s="17"/>
      <c r="T3841" s="17"/>
    </row>
    <row r="3842" spans="1:2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  <c r="Q3842" s="17"/>
      <c r="R3842" s="17"/>
      <c r="S3842" s="17"/>
      <c r="T3842" s="17"/>
    </row>
    <row r="3843" spans="1:2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  <c r="S3843" s="17"/>
      <c r="T3843" s="17"/>
    </row>
    <row r="3844" spans="1:2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  <c r="S3844" s="17"/>
      <c r="T3844" s="17"/>
    </row>
    <row r="3845" spans="1:2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  <c r="Q3845" s="17"/>
      <c r="R3845" s="17"/>
      <c r="S3845" s="17"/>
      <c r="T3845" s="17"/>
    </row>
    <row r="3846" spans="1:2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  <c r="Q3846" s="17"/>
      <c r="R3846" s="17"/>
      <c r="S3846" s="17"/>
      <c r="T3846" s="17"/>
    </row>
    <row r="3847" spans="1:2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  <c r="Q3847" s="17"/>
      <c r="R3847" s="17"/>
      <c r="S3847" s="17"/>
      <c r="T3847" s="17"/>
    </row>
    <row r="3848" spans="1:2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  <c r="Q3848" s="17"/>
      <c r="R3848" s="17"/>
      <c r="S3848" s="17"/>
      <c r="T3848" s="17"/>
    </row>
    <row r="3849" spans="1:2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  <c r="Q3849" s="17"/>
      <c r="R3849" s="17"/>
      <c r="S3849" s="17"/>
      <c r="T3849" s="17"/>
    </row>
    <row r="3850" spans="1:2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  <c r="Q3850" s="17"/>
      <c r="R3850" s="17"/>
      <c r="S3850" s="17"/>
      <c r="T3850" s="17"/>
    </row>
    <row r="3851" spans="1:2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  <c r="Q3851" s="17"/>
      <c r="R3851" s="17"/>
      <c r="S3851" s="17"/>
      <c r="T3851" s="17"/>
    </row>
    <row r="3852" spans="1:2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  <c r="Q3852" s="17"/>
      <c r="R3852" s="17"/>
      <c r="S3852" s="17"/>
      <c r="T3852" s="17"/>
    </row>
    <row r="3853" spans="1:2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  <c r="Q3853" s="17"/>
      <c r="R3853" s="17"/>
      <c r="S3853" s="17"/>
      <c r="T3853" s="17"/>
    </row>
    <row r="3854" spans="1:2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  <c r="S3854" s="17"/>
      <c r="T3854" s="17"/>
    </row>
    <row r="3855" spans="1:2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  <c r="S3855" s="17"/>
      <c r="T3855" s="17"/>
    </row>
    <row r="3856" spans="1:2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  <c r="S3856" s="17"/>
      <c r="T3856" s="17"/>
    </row>
    <row r="3857" spans="1:2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  <c r="Q3857" s="17"/>
      <c r="R3857" s="17"/>
      <c r="S3857" s="17"/>
      <c r="T3857" s="17"/>
    </row>
    <row r="3858" spans="1:2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  <c r="Q3858" s="17"/>
      <c r="R3858" s="17"/>
      <c r="S3858" s="17"/>
      <c r="T3858" s="17"/>
    </row>
    <row r="3859" spans="1:2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  <c r="Q3859" s="17"/>
      <c r="R3859" s="17"/>
      <c r="S3859" s="17"/>
      <c r="T3859" s="17"/>
    </row>
    <row r="3860" spans="1:2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  <c r="Q3860" s="17"/>
      <c r="R3860" s="17"/>
      <c r="S3860" s="17"/>
      <c r="T3860" s="17"/>
    </row>
    <row r="3861" spans="1:2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  <c r="S3861" s="17"/>
      <c r="T3861" s="17"/>
    </row>
    <row r="3862" spans="1:2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  <c r="Q3862" s="17"/>
      <c r="R3862" s="17"/>
      <c r="S3862" s="17"/>
      <c r="T3862" s="17"/>
    </row>
    <row r="3863" spans="1:2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  <c r="Q3863" s="17"/>
      <c r="R3863" s="17"/>
      <c r="S3863" s="17"/>
      <c r="T3863" s="17"/>
    </row>
    <row r="3864" spans="1:2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  <c r="S3864" s="17"/>
      <c r="T3864" s="17"/>
    </row>
    <row r="3865" spans="1:2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  <c r="Q3865" s="17"/>
      <c r="R3865" s="17"/>
      <c r="S3865" s="17"/>
      <c r="T3865" s="17"/>
    </row>
    <row r="3866" spans="1:2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  <c r="Q3866" s="17"/>
      <c r="R3866" s="17"/>
      <c r="S3866" s="17"/>
      <c r="T3866" s="17"/>
    </row>
    <row r="3867" spans="1:2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  <c r="Q3867" s="17"/>
      <c r="R3867" s="17"/>
      <c r="S3867" s="17"/>
      <c r="T3867" s="17"/>
    </row>
    <row r="3868" spans="1:2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  <c r="Q3868" s="17"/>
      <c r="R3868" s="17"/>
      <c r="S3868" s="17"/>
      <c r="T3868" s="17"/>
    </row>
    <row r="3869" spans="1:2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  <c r="Q3869" s="17"/>
      <c r="R3869" s="17"/>
      <c r="S3869" s="17"/>
      <c r="T3869" s="17"/>
    </row>
    <row r="3870" spans="1:2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  <c r="Q3870" s="17"/>
      <c r="R3870" s="17"/>
      <c r="S3870" s="17"/>
      <c r="T3870" s="17"/>
    </row>
    <row r="3871" spans="1:2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  <c r="Q3871" s="17"/>
      <c r="R3871" s="17"/>
      <c r="S3871" s="17"/>
      <c r="T3871" s="17"/>
    </row>
    <row r="3872" spans="1:2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  <c r="Q3872" s="17"/>
      <c r="R3872" s="17"/>
      <c r="S3872" s="17"/>
      <c r="T3872" s="17"/>
    </row>
    <row r="3873" spans="1:2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  <c r="Q3873" s="17"/>
      <c r="R3873" s="17"/>
      <c r="S3873" s="17"/>
      <c r="T3873" s="17"/>
    </row>
    <row r="3874" spans="1:2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  <c r="Q3874" s="17"/>
      <c r="R3874" s="17"/>
      <c r="S3874" s="17"/>
      <c r="T3874" s="17"/>
    </row>
    <row r="3875" spans="1:2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  <c r="Q3875" s="17"/>
      <c r="R3875" s="17"/>
      <c r="S3875" s="17"/>
      <c r="T3875" s="17"/>
    </row>
    <row r="3876" spans="1:2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  <c r="Q3876" s="17"/>
      <c r="R3876" s="17"/>
      <c r="S3876" s="17"/>
      <c r="T3876" s="17"/>
    </row>
    <row r="3877" spans="1:2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  <c r="Q3877" s="17"/>
      <c r="R3877" s="17"/>
      <c r="S3877" s="17"/>
      <c r="T3877" s="17"/>
    </row>
    <row r="3878" spans="1:2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  <c r="Q3878" s="17"/>
      <c r="R3878" s="17"/>
      <c r="S3878" s="17"/>
      <c r="T3878" s="17"/>
    </row>
    <row r="3879" spans="1:2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  <c r="Q3879" s="17"/>
      <c r="R3879" s="17"/>
      <c r="S3879" s="17"/>
      <c r="T3879" s="17"/>
    </row>
    <row r="3880" spans="1:2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  <c r="Q3880" s="17"/>
      <c r="R3880" s="17"/>
      <c r="S3880" s="17"/>
      <c r="T3880" s="17"/>
    </row>
    <row r="3881" spans="1:2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  <c r="Q3881" s="17"/>
      <c r="R3881" s="17"/>
      <c r="S3881" s="17"/>
      <c r="T3881" s="17"/>
    </row>
    <row r="3882" spans="1:2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  <c r="Q3882" s="17"/>
      <c r="R3882" s="17"/>
      <c r="S3882" s="17"/>
      <c r="T3882" s="17"/>
    </row>
    <row r="3883" spans="1:2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  <c r="Q3883" s="17"/>
      <c r="R3883" s="17"/>
      <c r="S3883" s="17"/>
      <c r="T3883" s="17"/>
    </row>
    <row r="3884" spans="1:2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  <c r="Q3884" s="17"/>
      <c r="R3884" s="17"/>
      <c r="S3884" s="17"/>
      <c r="T3884" s="17"/>
    </row>
    <row r="3885" spans="1:2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  <c r="Q3885" s="17"/>
      <c r="R3885" s="17"/>
      <c r="S3885" s="17"/>
      <c r="T3885" s="17"/>
    </row>
    <row r="3886" spans="1:2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  <c r="Q3886" s="17"/>
      <c r="R3886" s="17"/>
      <c r="S3886" s="17"/>
      <c r="T3886" s="17"/>
    </row>
    <row r="3887" spans="1:2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  <c r="Q3887" s="17"/>
      <c r="R3887" s="17"/>
      <c r="S3887" s="17"/>
      <c r="T3887" s="17"/>
    </row>
    <row r="3888" spans="1:2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  <c r="Q3888" s="17"/>
      <c r="R3888" s="17"/>
      <c r="S3888" s="17"/>
      <c r="T3888" s="17"/>
    </row>
    <row r="3889" spans="1:2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  <c r="Q3889" s="17"/>
      <c r="R3889" s="17"/>
      <c r="S3889" s="17"/>
      <c r="T3889" s="17"/>
    </row>
    <row r="3890" spans="1:2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  <c r="Q3890" s="17"/>
      <c r="R3890" s="17"/>
      <c r="S3890" s="17"/>
      <c r="T3890" s="17"/>
    </row>
    <row r="3891" spans="1:2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  <c r="S3891" s="17"/>
      <c r="T3891" s="17"/>
    </row>
    <row r="3892" spans="1:2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  <c r="Q3892" s="17"/>
      <c r="R3892" s="17"/>
      <c r="S3892" s="17"/>
      <c r="T3892" s="17"/>
    </row>
    <row r="3893" spans="1:2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  <c r="S3893" s="17"/>
      <c r="T3893" s="17"/>
    </row>
    <row r="3894" spans="1:2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  <c r="Q3894" s="17"/>
      <c r="R3894" s="17"/>
      <c r="S3894" s="17"/>
      <c r="T3894" s="17"/>
    </row>
    <row r="3895" spans="1:2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  <c r="S3895" s="17"/>
      <c r="T3895" s="17"/>
    </row>
    <row r="3896" spans="1:2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  <c r="S3896" s="17"/>
      <c r="T3896" s="17"/>
    </row>
    <row r="3897" spans="1:2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  <c r="Q3897" s="17"/>
      <c r="R3897" s="17"/>
      <c r="S3897" s="17"/>
      <c r="T3897" s="17"/>
    </row>
    <row r="3898" spans="1:2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  <c r="Q3898" s="17"/>
      <c r="R3898" s="17"/>
      <c r="S3898" s="17"/>
      <c r="T3898" s="17"/>
    </row>
    <row r="3899" spans="1:2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  <c r="Q3899" s="17"/>
      <c r="R3899" s="17"/>
      <c r="S3899" s="17"/>
      <c r="T3899" s="17"/>
    </row>
    <row r="3900" spans="1:2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  <c r="Q3900" s="17"/>
      <c r="R3900" s="17"/>
      <c r="S3900" s="17"/>
      <c r="T3900" s="17"/>
    </row>
    <row r="3901" spans="1:2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  <c r="Q3901" s="17"/>
      <c r="R3901" s="17"/>
      <c r="S3901" s="17"/>
      <c r="T3901" s="17"/>
    </row>
    <row r="3902" spans="1:2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  <c r="Q3902" s="17"/>
      <c r="R3902" s="17"/>
      <c r="S3902" s="17"/>
      <c r="T3902" s="17"/>
    </row>
    <row r="3903" spans="1:2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  <c r="Q3903" s="17"/>
      <c r="R3903" s="17"/>
      <c r="S3903" s="17"/>
      <c r="T3903" s="17"/>
    </row>
    <row r="3904" spans="1:2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  <c r="Q3904" s="17"/>
      <c r="R3904" s="17"/>
      <c r="S3904" s="17"/>
      <c r="T3904" s="17"/>
    </row>
    <row r="3905" spans="1:2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  <c r="Q3905" s="17"/>
      <c r="R3905" s="17"/>
      <c r="S3905" s="17"/>
      <c r="T3905" s="17"/>
    </row>
    <row r="3906" spans="1:2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  <c r="Q3906" s="17"/>
      <c r="R3906" s="17"/>
      <c r="S3906" s="17"/>
      <c r="T3906" s="17"/>
    </row>
    <row r="3907" spans="1:2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  <c r="Q3907" s="17"/>
      <c r="R3907" s="17"/>
      <c r="S3907" s="17"/>
      <c r="T3907" s="17"/>
    </row>
    <row r="3908" spans="1:2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  <c r="Q3908" s="17"/>
      <c r="R3908" s="17"/>
      <c r="S3908" s="17"/>
      <c r="T3908" s="17"/>
    </row>
    <row r="3909" spans="1:2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  <c r="Q3909" s="17"/>
      <c r="R3909" s="17"/>
      <c r="S3909" s="17"/>
      <c r="T3909" s="17"/>
    </row>
    <row r="3910" spans="1:2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  <c r="Q3910" s="17"/>
      <c r="R3910" s="17"/>
      <c r="S3910" s="17"/>
      <c r="T3910" s="17"/>
    </row>
    <row r="3911" spans="1:2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  <c r="Q3911" s="17"/>
      <c r="R3911" s="17"/>
      <c r="S3911" s="17"/>
      <c r="T3911" s="17"/>
    </row>
    <row r="3912" spans="1:2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  <c r="Q3912" s="17"/>
      <c r="R3912" s="17"/>
      <c r="S3912" s="17"/>
      <c r="T3912" s="17"/>
    </row>
    <row r="3913" spans="1:2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  <c r="Q3913" s="17"/>
      <c r="R3913" s="17"/>
      <c r="S3913" s="17"/>
      <c r="T3913" s="17"/>
    </row>
    <row r="3914" spans="1:2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  <c r="S3914" s="17"/>
      <c r="T3914" s="17"/>
    </row>
    <row r="3915" spans="1:2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  <c r="S3915" s="17"/>
      <c r="T3915" s="17"/>
    </row>
    <row r="3916" spans="1:2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  <c r="S3916" s="17"/>
      <c r="T3916" s="17"/>
    </row>
    <row r="3917" spans="1:2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  <c r="Q3917" s="17"/>
      <c r="R3917" s="17"/>
      <c r="S3917" s="17"/>
      <c r="T3917" s="17"/>
    </row>
    <row r="3918" spans="1:2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  <c r="S3918" s="17"/>
      <c r="T3918" s="17"/>
    </row>
    <row r="3919" spans="1:2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  <c r="S3919" s="17"/>
      <c r="T3919" s="17"/>
    </row>
    <row r="3920" spans="1:2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  <c r="Q3920" s="17"/>
      <c r="R3920" s="17"/>
      <c r="S3920" s="17"/>
      <c r="T3920" s="17"/>
    </row>
    <row r="3921" spans="1:2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  <c r="Q3921" s="17"/>
      <c r="R3921" s="17"/>
      <c r="S3921" s="17"/>
      <c r="T3921" s="17"/>
    </row>
    <row r="3922" spans="1:2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  <c r="S3922" s="17"/>
      <c r="T3922" s="17"/>
    </row>
    <row r="3923" spans="1:2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  <c r="S3923" s="17"/>
      <c r="T3923" s="17"/>
    </row>
    <row r="3924" spans="1:2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  <c r="S3924" s="17"/>
      <c r="T3924" s="17"/>
    </row>
    <row r="3925" spans="1:2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  <c r="S3925" s="17"/>
      <c r="T3925" s="17"/>
    </row>
    <row r="3926" spans="1:2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  <c r="Q3926" s="17"/>
      <c r="R3926" s="17"/>
      <c r="S3926" s="17"/>
      <c r="T3926" s="17"/>
    </row>
    <row r="3927" spans="1:2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  <c r="Q3927" s="17"/>
      <c r="R3927" s="17"/>
      <c r="S3927" s="17"/>
      <c r="T3927" s="17"/>
    </row>
    <row r="3928" spans="1:2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  <c r="Q3928" s="17"/>
      <c r="R3928" s="17"/>
      <c r="S3928" s="17"/>
      <c r="T3928" s="17"/>
    </row>
    <row r="3929" spans="1:2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  <c r="Q3929" s="17"/>
      <c r="R3929" s="17"/>
      <c r="S3929" s="17"/>
      <c r="T3929" s="17"/>
    </row>
    <row r="3930" spans="1:2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7"/>
      <c r="R3930" s="17"/>
      <c r="S3930" s="17"/>
      <c r="T3930" s="17"/>
    </row>
    <row r="3931" spans="1:2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  <c r="Q3931" s="17"/>
      <c r="R3931" s="17"/>
      <c r="S3931" s="17"/>
      <c r="T3931" s="17"/>
    </row>
    <row r="3932" spans="1:2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  <c r="Q3932" s="17"/>
      <c r="R3932" s="17"/>
      <c r="S3932" s="17"/>
      <c r="T3932" s="17"/>
    </row>
    <row r="3933" spans="1:2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7"/>
      <c r="R3933" s="17"/>
      <c r="S3933" s="17"/>
      <c r="T3933" s="17"/>
    </row>
    <row r="3934" spans="1:2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7"/>
      <c r="R3934" s="17"/>
      <c r="S3934" s="17"/>
      <c r="T3934" s="17"/>
    </row>
    <row r="3935" spans="1:2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  <c r="Q3935" s="17"/>
      <c r="R3935" s="17"/>
      <c r="S3935" s="17"/>
      <c r="T3935" s="17"/>
    </row>
    <row r="3936" spans="1:2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7"/>
      <c r="R3936" s="17"/>
      <c r="S3936" s="17"/>
      <c r="T3936" s="17"/>
    </row>
    <row r="3937" spans="1:2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  <c r="Q3937" s="17"/>
      <c r="R3937" s="17"/>
      <c r="S3937" s="17"/>
      <c r="T3937" s="17"/>
    </row>
    <row r="3938" spans="1:2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  <c r="Q3938" s="17"/>
      <c r="R3938" s="17"/>
      <c r="S3938" s="17"/>
      <c r="T3938" s="17"/>
    </row>
    <row r="3939" spans="1:2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  <c r="Q3939" s="17"/>
      <c r="R3939" s="17"/>
      <c r="S3939" s="17"/>
      <c r="T3939" s="17"/>
    </row>
    <row r="3940" spans="1:2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  <c r="Q3940" s="17"/>
      <c r="R3940" s="17"/>
      <c r="S3940" s="17"/>
      <c r="T3940" s="17"/>
    </row>
    <row r="3941" spans="1:2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  <c r="Q3941" s="17"/>
      <c r="R3941" s="17"/>
      <c r="S3941" s="17"/>
      <c r="T3941" s="17"/>
    </row>
    <row r="3942" spans="1:2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  <c r="Q3942" s="17"/>
      <c r="R3942" s="17"/>
      <c r="S3942" s="17"/>
      <c r="T3942" s="17"/>
    </row>
    <row r="3943" spans="1:2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  <c r="Q3943" s="17"/>
      <c r="R3943" s="17"/>
      <c r="S3943" s="17"/>
      <c r="T3943" s="17"/>
    </row>
    <row r="3944" spans="1:2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  <c r="Q3944" s="17"/>
      <c r="R3944" s="17"/>
      <c r="S3944" s="17"/>
      <c r="T3944" s="17"/>
    </row>
    <row r="3945" spans="1:2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  <c r="Q3945" s="17"/>
      <c r="R3945" s="17"/>
      <c r="S3945" s="17"/>
      <c r="T3945" s="17"/>
    </row>
    <row r="3946" spans="1:2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7"/>
      <c r="R3946" s="17"/>
      <c r="S3946" s="17"/>
      <c r="T3946" s="17"/>
    </row>
    <row r="3947" spans="1:2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  <c r="Q3947" s="17"/>
      <c r="R3947" s="17"/>
      <c r="S3947" s="17"/>
      <c r="T3947" s="17"/>
    </row>
    <row r="3948" spans="1:2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  <c r="Q3948" s="17"/>
      <c r="R3948" s="17"/>
      <c r="S3948" s="17"/>
      <c r="T3948" s="17"/>
    </row>
    <row r="3949" spans="1:2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  <c r="Q3949" s="17"/>
      <c r="R3949" s="17"/>
      <c r="S3949" s="17"/>
      <c r="T3949" s="17"/>
    </row>
    <row r="3950" spans="1:2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  <c r="Q3950" s="17"/>
      <c r="R3950" s="17"/>
      <c r="S3950" s="17"/>
      <c r="T3950" s="17"/>
    </row>
    <row r="3951" spans="1:2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  <c r="Q3951" s="17"/>
      <c r="R3951" s="17"/>
      <c r="S3951" s="17"/>
      <c r="T3951" s="17"/>
    </row>
    <row r="3952" spans="1:2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7"/>
      <c r="R3952" s="17"/>
      <c r="S3952" s="17"/>
      <c r="T3952" s="17"/>
    </row>
    <row r="3953" spans="1:2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  <c r="Q3953" s="17"/>
      <c r="R3953" s="17"/>
      <c r="S3953" s="17"/>
      <c r="T3953" s="17"/>
    </row>
    <row r="3954" spans="1:2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7"/>
      <c r="R3954" s="17"/>
      <c r="S3954" s="17"/>
      <c r="T3954" s="17"/>
    </row>
    <row r="3955" spans="1:2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  <c r="Q3955" s="17"/>
      <c r="R3955" s="17"/>
      <c r="S3955" s="17"/>
      <c r="T3955" s="17"/>
    </row>
    <row r="3956" spans="1:2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  <c r="Q3956" s="17"/>
      <c r="R3956" s="17"/>
      <c r="S3956" s="17"/>
      <c r="T3956" s="17"/>
    </row>
    <row r="3957" spans="1:2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  <c r="Q3957" s="17"/>
      <c r="R3957" s="17"/>
      <c r="S3957" s="17"/>
      <c r="T3957" s="17"/>
    </row>
    <row r="3958" spans="1:2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  <c r="Q3958" s="17"/>
      <c r="R3958" s="17"/>
      <c r="S3958" s="17"/>
      <c r="T3958" s="17"/>
    </row>
    <row r="3959" spans="1:2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  <c r="Q3959" s="17"/>
      <c r="R3959" s="17"/>
      <c r="S3959" s="17"/>
      <c r="T3959" s="17"/>
    </row>
    <row r="3960" spans="1:2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  <c r="Q3960" s="17"/>
      <c r="R3960" s="17"/>
      <c r="S3960" s="17"/>
      <c r="T3960" s="17"/>
    </row>
    <row r="3961" spans="1:2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  <c r="Q3961" s="17"/>
      <c r="R3961" s="17"/>
      <c r="S3961" s="17"/>
      <c r="T3961" s="17"/>
    </row>
    <row r="3962" spans="1:2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  <c r="Q3962" s="17"/>
      <c r="R3962" s="17"/>
      <c r="S3962" s="17"/>
      <c r="T3962" s="17"/>
    </row>
    <row r="3963" spans="1:2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  <c r="Q3963" s="17"/>
      <c r="R3963" s="17"/>
      <c r="S3963" s="17"/>
      <c r="T3963" s="17"/>
    </row>
    <row r="3964" spans="1:2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  <c r="Q3964" s="17"/>
      <c r="R3964" s="17"/>
      <c r="S3964" s="17"/>
      <c r="T3964" s="17"/>
    </row>
    <row r="3965" spans="1:2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  <c r="Q3965" s="17"/>
      <c r="R3965" s="17"/>
      <c r="S3965" s="17"/>
      <c r="T3965" s="17"/>
    </row>
    <row r="3966" spans="1:2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  <c r="Q3966" s="17"/>
      <c r="R3966" s="17"/>
      <c r="S3966" s="17"/>
      <c r="T3966" s="17"/>
    </row>
    <row r="3967" spans="1:2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  <c r="Q3967" s="17"/>
      <c r="R3967" s="17"/>
      <c r="S3967" s="17"/>
      <c r="T3967" s="17"/>
    </row>
    <row r="3968" spans="1:2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  <c r="Q3968" s="17"/>
      <c r="R3968" s="17"/>
      <c r="S3968" s="17"/>
      <c r="T3968" s="17"/>
    </row>
    <row r="3969" spans="1:2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  <c r="Q3969" s="17"/>
      <c r="R3969" s="17"/>
      <c r="S3969" s="17"/>
      <c r="T3969" s="17"/>
    </row>
    <row r="3970" spans="1:2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  <c r="Q3970" s="17"/>
      <c r="R3970" s="17"/>
      <c r="S3970" s="17"/>
      <c r="T3970" s="17"/>
    </row>
    <row r="3971" spans="1:2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  <c r="Q3971" s="17"/>
      <c r="R3971" s="17"/>
      <c r="S3971" s="17"/>
      <c r="T3971" s="17"/>
    </row>
    <row r="3972" spans="1:2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  <c r="Q3972" s="17"/>
      <c r="R3972" s="17"/>
      <c r="S3972" s="17"/>
      <c r="T3972" s="17"/>
    </row>
    <row r="3973" spans="1:2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  <c r="Q3973" s="17"/>
      <c r="R3973" s="17"/>
      <c r="S3973" s="17"/>
      <c r="T3973" s="17"/>
    </row>
    <row r="3974" spans="1:2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  <c r="Q3974" s="17"/>
      <c r="R3974" s="17"/>
      <c r="S3974" s="17"/>
      <c r="T3974" s="17"/>
    </row>
    <row r="3975" spans="1:2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  <c r="Q3975" s="17"/>
      <c r="R3975" s="17"/>
      <c r="S3975" s="17"/>
      <c r="T3975" s="17"/>
    </row>
    <row r="3976" spans="1:2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  <c r="Q3976" s="17"/>
      <c r="R3976" s="17"/>
      <c r="S3976" s="17"/>
      <c r="T3976" s="17"/>
    </row>
    <row r="3977" spans="1:2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7"/>
      <c r="R3977" s="17"/>
      <c r="S3977" s="17"/>
      <c r="T3977" s="17"/>
    </row>
    <row r="3978" spans="1:2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7"/>
      <c r="R3978" s="17"/>
      <c r="S3978" s="17"/>
      <c r="T3978" s="17"/>
    </row>
    <row r="3979" spans="1:2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7"/>
      <c r="R3979" s="17"/>
      <c r="S3979" s="17"/>
      <c r="T3979" s="17"/>
    </row>
    <row r="3980" spans="1:2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  <c r="Q3980" s="17"/>
      <c r="R3980" s="17"/>
      <c r="S3980" s="17"/>
      <c r="T3980" s="17"/>
    </row>
    <row r="3981" spans="1:2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  <c r="Q3981" s="17"/>
      <c r="R3981" s="17"/>
      <c r="S3981" s="17"/>
      <c r="T3981" s="17"/>
    </row>
    <row r="3982" spans="1:2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  <c r="Q3982" s="17"/>
      <c r="R3982" s="17"/>
      <c r="S3982" s="17"/>
      <c r="T3982" s="17"/>
    </row>
    <row r="3983" spans="1:2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  <c r="Q3983" s="17"/>
      <c r="R3983" s="17"/>
      <c r="S3983" s="17"/>
      <c r="T3983" s="17"/>
    </row>
    <row r="3984" spans="1:2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  <c r="Q3984" s="17"/>
      <c r="R3984" s="17"/>
      <c r="S3984" s="17"/>
      <c r="T3984" s="17"/>
    </row>
    <row r="3985" spans="1:2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  <c r="Q3985" s="17"/>
      <c r="R3985" s="17"/>
      <c r="S3985" s="17"/>
      <c r="T3985" s="17"/>
    </row>
    <row r="3986" spans="1:2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  <c r="Q3986" s="17"/>
      <c r="R3986" s="17"/>
      <c r="S3986" s="17"/>
      <c r="T3986" s="17"/>
    </row>
    <row r="3987" spans="1:2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  <c r="Q3987" s="17"/>
      <c r="R3987" s="17"/>
      <c r="S3987" s="17"/>
      <c r="T3987" s="17"/>
    </row>
    <row r="3988" spans="1:2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  <c r="Q3988" s="17"/>
      <c r="R3988" s="17"/>
      <c r="S3988" s="17"/>
      <c r="T3988" s="17"/>
    </row>
    <row r="3989" spans="1:2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  <c r="Q3989" s="17"/>
      <c r="R3989" s="17"/>
      <c r="S3989" s="17"/>
      <c r="T3989" s="17"/>
    </row>
    <row r="3990" spans="1:2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  <c r="Q3990" s="17"/>
      <c r="R3990" s="17"/>
      <c r="S3990" s="17"/>
      <c r="T3990" s="17"/>
    </row>
    <row r="3991" spans="1:2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  <c r="Q3991" s="17"/>
      <c r="R3991" s="17"/>
      <c r="S3991" s="17"/>
      <c r="T3991" s="17"/>
    </row>
    <row r="3992" spans="1:2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  <c r="Q3992" s="17"/>
      <c r="R3992" s="17"/>
      <c r="S3992" s="17"/>
      <c r="T3992" s="17"/>
    </row>
    <row r="3993" spans="1:2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  <c r="Q3993" s="17"/>
      <c r="R3993" s="17"/>
      <c r="S3993" s="17"/>
      <c r="T3993" s="17"/>
    </row>
    <row r="3994" spans="1:2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7"/>
      <c r="R3994" s="17"/>
      <c r="S3994" s="17"/>
      <c r="T3994" s="17"/>
    </row>
    <row r="3995" spans="1:2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7"/>
      <c r="R3995" s="17"/>
      <c r="S3995" s="17"/>
      <c r="T3995" s="17"/>
    </row>
    <row r="3996" spans="1:2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  <c r="Q3996" s="17"/>
      <c r="R3996" s="17"/>
      <c r="S3996" s="17"/>
      <c r="T3996" s="17"/>
    </row>
    <row r="3997" spans="1:2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  <c r="Q3997" s="17"/>
      <c r="R3997" s="17"/>
      <c r="S3997" s="17"/>
      <c r="T3997" s="17"/>
    </row>
    <row r="3998" spans="1:2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7"/>
      <c r="R3998" s="17"/>
      <c r="S3998" s="17"/>
      <c r="T3998" s="17"/>
    </row>
    <row r="3999" spans="1:2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7"/>
      <c r="R3999" s="17"/>
      <c r="S3999" s="17"/>
      <c r="T3999" s="17"/>
    </row>
    <row r="4000" spans="1:2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7"/>
      <c r="R4000" s="17"/>
      <c r="S4000" s="17"/>
      <c r="T4000" s="17"/>
    </row>
    <row r="4001" spans="1:2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7"/>
      <c r="R4001" s="17"/>
      <c r="S4001" s="17"/>
      <c r="T4001" s="17"/>
    </row>
    <row r="4002" spans="1:2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7"/>
      <c r="R4002" s="17"/>
      <c r="S4002" s="17"/>
      <c r="T4002" s="17"/>
    </row>
    <row r="4003" spans="1:2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7"/>
      <c r="R4003" s="17"/>
      <c r="S4003" s="17"/>
      <c r="T4003" s="17"/>
    </row>
    <row r="4004" spans="1:2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7"/>
      <c r="R4004" s="17"/>
      <c r="S4004" s="17"/>
      <c r="T4004" s="17"/>
    </row>
    <row r="4005" spans="1:2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7"/>
      <c r="R4005" s="17"/>
      <c r="S4005" s="17"/>
      <c r="T4005" s="17"/>
    </row>
    <row r="4006" spans="1:2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7"/>
      <c r="R4006" s="17"/>
      <c r="S4006" s="17"/>
      <c r="T4006" s="17"/>
    </row>
    <row r="4007" spans="1:2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7"/>
      <c r="R4007" s="17"/>
      <c r="S4007" s="17"/>
      <c r="T4007" s="17"/>
    </row>
    <row r="4008" spans="1:2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  <c r="Q4008" s="17"/>
      <c r="R4008" s="17"/>
      <c r="S4008" s="17"/>
      <c r="T4008" s="17"/>
    </row>
    <row r="4009" spans="1:2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  <c r="Q4009" s="17"/>
      <c r="R4009" s="17"/>
      <c r="S4009" s="17"/>
      <c r="T4009" s="17"/>
    </row>
    <row r="4010" spans="1:2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  <c r="Q4010" s="17"/>
      <c r="R4010" s="17"/>
      <c r="S4010" s="17"/>
      <c r="T4010" s="17"/>
    </row>
    <row r="4011" spans="1:2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7"/>
      <c r="R4011" s="17"/>
      <c r="S4011" s="17"/>
      <c r="T4011" s="17"/>
    </row>
    <row r="4012" spans="1:2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  <c r="Q4012" s="17"/>
      <c r="R4012" s="17"/>
      <c r="S4012" s="17"/>
      <c r="T4012" s="17"/>
    </row>
    <row r="4013" spans="1:2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  <c r="Q4013" s="17"/>
      <c r="R4013" s="17"/>
      <c r="S4013" s="17"/>
      <c r="T4013" s="17"/>
    </row>
    <row r="4014" spans="1:2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  <c r="Q4014" s="17"/>
      <c r="R4014" s="17"/>
      <c r="S4014" s="17"/>
      <c r="T4014" s="17"/>
    </row>
    <row r="4015" spans="1:2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  <c r="Q4015" s="17"/>
      <c r="R4015" s="17"/>
      <c r="S4015" s="17"/>
      <c r="T4015" s="17"/>
    </row>
    <row r="4016" spans="1:2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  <c r="Q4016" s="17"/>
      <c r="R4016" s="17"/>
      <c r="S4016" s="17"/>
      <c r="T4016" s="17"/>
    </row>
    <row r="4017" spans="1:2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  <c r="Q4017" s="17"/>
      <c r="R4017" s="17"/>
      <c r="S4017" s="17"/>
      <c r="T4017" s="17"/>
    </row>
    <row r="4018" spans="1:2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  <c r="Q4018" s="17"/>
      <c r="R4018" s="17"/>
      <c r="S4018" s="17"/>
      <c r="T4018" s="17"/>
    </row>
    <row r="4019" spans="1:2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  <c r="Q4019" s="17"/>
      <c r="R4019" s="17"/>
      <c r="S4019" s="17"/>
      <c r="T4019" s="17"/>
    </row>
    <row r="4020" spans="1:2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  <c r="Q4020" s="17"/>
      <c r="R4020" s="17"/>
      <c r="S4020" s="17"/>
      <c r="T4020" s="17"/>
    </row>
    <row r="4021" spans="1:2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  <c r="Q4021" s="17"/>
      <c r="R4021" s="17"/>
      <c r="S4021" s="17"/>
      <c r="T4021" s="17"/>
    </row>
    <row r="4022" spans="1:2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  <c r="Q4022" s="17"/>
      <c r="R4022" s="17"/>
      <c r="S4022" s="17"/>
      <c r="T4022" s="17"/>
    </row>
    <row r="4023" spans="1:2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  <c r="Q4023" s="17"/>
      <c r="R4023" s="17"/>
      <c r="S4023" s="17"/>
      <c r="T4023" s="17"/>
    </row>
    <row r="4024" spans="1:2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  <c r="Q4024" s="17"/>
      <c r="R4024" s="17"/>
      <c r="S4024" s="17"/>
      <c r="T4024" s="17"/>
    </row>
    <row r="4025" spans="1:2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  <c r="Q4025" s="17"/>
      <c r="R4025" s="17"/>
      <c r="S4025" s="17"/>
      <c r="T4025" s="17"/>
    </row>
    <row r="4026" spans="1:2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  <c r="Q4026" s="17"/>
      <c r="R4026" s="17"/>
      <c r="S4026" s="17"/>
      <c r="T4026" s="17"/>
    </row>
    <row r="4027" spans="1:2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  <c r="Q4027" s="17"/>
      <c r="R4027" s="17"/>
      <c r="S4027" s="17"/>
      <c r="T4027" s="17"/>
    </row>
    <row r="4028" spans="1:2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  <c r="Q4028" s="17"/>
      <c r="R4028" s="17"/>
      <c r="S4028" s="17"/>
      <c r="T4028" s="17"/>
    </row>
    <row r="4029" spans="1:2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  <c r="Q4029" s="17"/>
      <c r="R4029" s="17"/>
      <c r="S4029" s="17"/>
      <c r="T4029" s="17"/>
    </row>
    <row r="4030" spans="1:2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  <c r="Q4030" s="17"/>
      <c r="R4030" s="17"/>
      <c r="S4030" s="17"/>
      <c r="T4030" s="17"/>
    </row>
    <row r="4031" spans="1:2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  <c r="Q4031" s="17"/>
      <c r="R4031" s="17"/>
      <c r="S4031" s="17"/>
      <c r="T4031" s="17"/>
    </row>
    <row r="4032" spans="1:2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  <c r="Q4032" s="17"/>
      <c r="R4032" s="17"/>
      <c r="S4032" s="17"/>
      <c r="T4032" s="17"/>
    </row>
    <row r="4033" spans="1:2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  <c r="Q4033" s="17"/>
      <c r="R4033" s="17"/>
      <c r="S4033" s="17"/>
      <c r="T4033" s="17"/>
    </row>
    <row r="4034" spans="1:2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  <c r="Q4034" s="17"/>
      <c r="R4034" s="17"/>
      <c r="S4034" s="17"/>
      <c r="T4034" s="17"/>
    </row>
    <row r="4035" spans="1:2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  <c r="Q4035" s="17"/>
      <c r="R4035" s="17"/>
      <c r="S4035" s="17"/>
      <c r="T4035" s="17"/>
    </row>
    <row r="4036" spans="1:2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  <c r="Q4036" s="17"/>
      <c r="R4036" s="17"/>
      <c r="S4036" s="17"/>
      <c r="T4036" s="17"/>
    </row>
    <row r="4037" spans="1:2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7"/>
      <c r="R4037" s="17"/>
      <c r="S4037" s="17"/>
      <c r="T4037" s="17"/>
    </row>
    <row r="4038" spans="1:2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  <c r="Q4038" s="17"/>
      <c r="R4038" s="17"/>
      <c r="S4038" s="17"/>
      <c r="T4038" s="17"/>
    </row>
    <row r="4039" spans="1:2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  <c r="Q4039" s="17"/>
      <c r="R4039" s="17"/>
      <c r="S4039" s="17"/>
      <c r="T4039" s="17"/>
    </row>
    <row r="4040" spans="1:2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  <c r="Q4040" s="17"/>
      <c r="R4040" s="17"/>
      <c r="S4040" s="17"/>
      <c r="T4040" s="17"/>
    </row>
    <row r="4041" spans="1:2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  <c r="Q4041" s="17"/>
      <c r="R4041" s="17"/>
      <c r="S4041" s="17"/>
      <c r="T4041" s="17"/>
    </row>
    <row r="4042" spans="1:2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  <c r="Q4042" s="17"/>
      <c r="R4042" s="17"/>
      <c r="S4042" s="17"/>
      <c r="T4042" s="17"/>
    </row>
    <row r="4043" spans="1:2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  <c r="Q4043" s="17"/>
      <c r="R4043" s="17"/>
      <c r="S4043" s="17"/>
      <c r="T4043" s="17"/>
    </row>
    <row r="4044" spans="1:2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  <c r="Q4044" s="17"/>
      <c r="R4044" s="17"/>
      <c r="S4044" s="17"/>
      <c r="T4044" s="17"/>
    </row>
    <row r="4045" spans="1:2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7"/>
      <c r="R4045" s="17"/>
      <c r="S4045" s="17"/>
      <c r="T4045" s="17"/>
    </row>
    <row r="4046" spans="1:2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  <c r="Q4046" s="17"/>
      <c r="R4046" s="17"/>
      <c r="S4046" s="17"/>
      <c r="T4046" s="17"/>
    </row>
    <row r="4047" spans="1:2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  <c r="Q4047" s="17"/>
      <c r="R4047" s="17"/>
      <c r="S4047" s="17"/>
      <c r="T4047" s="17"/>
    </row>
    <row r="4048" spans="1:2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  <c r="Q4048" s="17"/>
      <c r="R4048" s="17"/>
      <c r="S4048" s="17"/>
      <c r="T4048" s="17"/>
    </row>
    <row r="4049" spans="1:2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  <c r="Q4049" s="17"/>
      <c r="R4049" s="17"/>
      <c r="S4049" s="17"/>
      <c r="T4049" s="17"/>
    </row>
    <row r="4050" spans="1:2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  <c r="Q4050" s="17"/>
      <c r="R4050" s="17"/>
      <c r="S4050" s="17"/>
      <c r="T4050" s="17"/>
    </row>
    <row r="4051" spans="1:2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  <c r="Q4051" s="17"/>
      <c r="R4051" s="17"/>
      <c r="S4051" s="17"/>
      <c r="T4051" s="17"/>
    </row>
    <row r="4052" spans="1:2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  <c r="Q4052" s="17"/>
      <c r="R4052" s="17"/>
      <c r="S4052" s="17"/>
      <c r="T4052" s="17"/>
    </row>
    <row r="4053" spans="1:2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  <c r="Q4053" s="17"/>
      <c r="R4053" s="17"/>
      <c r="S4053" s="17"/>
      <c r="T4053" s="17"/>
    </row>
    <row r="4054" spans="1:2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  <c r="Q4054" s="17"/>
      <c r="R4054" s="17"/>
      <c r="S4054" s="17"/>
      <c r="T4054" s="17"/>
    </row>
    <row r="4055" spans="1:2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  <c r="Q4055" s="17"/>
      <c r="R4055" s="17"/>
      <c r="S4055" s="17"/>
      <c r="T4055" s="17"/>
    </row>
    <row r="4056" spans="1:2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  <c r="Q4056" s="17"/>
      <c r="R4056" s="17"/>
      <c r="S4056" s="17"/>
      <c r="T4056" s="17"/>
    </row>
    <row r="4057" spans="1:2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  <c r="Q4057" s="17"/>
      <c r="R4057" s="17"/>
      <c r="S4057" s="17"/>
      <c r="T4057" s="17"/>
    </row>
    <row r="4058" spans="1:2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  <c r="Q4058" s="17"/>
      <c r="R4058" s="17"/>
      <c r="S4058" s="17"/>
      <c r="T4058" s="17"/>
    </row>
    <row r="4059" spans="1:2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7"/>
      <c r="R4059" s="17"/>
      <c r="S4059" s="17"/>
      <c r="T4059" s="17"/>
    </row>
    <row r="4060" spans="1:2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  <c r="Q4060" s="17"/>
      <c r="R4060" s="17"/>
      <c r="S4060" s="17"/>
      <c r="T4060" s="17"/>
    </row>
    <row r="4061" spans="1:2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  <c r="Q4061" s="17"/>
      <c r="R4061" s="17"/>
      <c r="S4061" s="17"/>
      <c r="T4061" s="17"/>
    </row>
    <row r="4062" spans="1:2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  <c r="Q4062" s="17"/>
      <c r="R4062" s="17"/>
      <c r="S4062" s="17"/>
      <c r="T4062" s="17"/>
    </row>
    <row r="4063" spans="1:2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  <c r="Q4063" s="17"/>
      <c r="R4063" s="17"/>
      <c r="S4063" s="17"/>
      <c r="T4063" s="17"/>
    </row>
    <row r="4064" spans="1:2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  <c r="Q4064" s="17"/>
      <c r="R4064" s="17"/>
      <c r="S4064" s="17"/>
      <c r="T4064" s="17"/>
    </row>
    <row r="4065" spans="1:2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  <c r="Q4065" s="17"/>
      <c r="R4065" s="17"/>
      <c r="S4065" s="17"/>
      <c r="T4065" s="17"/>
    </row>
    <row r="4066" spans="1:2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  <c r="Q4066" s="17"/>
      <c r="R4066" s="17"/>
      <c r="S4066" s="17"/>
      <c r="T4066" s="17"/>
    </row>
    <row r="4067" spans="1:2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  <c r="Q4067" s="17"/>
      <c r="R4067" s="17"/>
      <c r="S4067" s="17"/>
      <c r="T4067" s="17"/>
    </row>
    <row r="4068" spans="1:2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  <c r="Q4068" s="17"/>
      <c r="R4068" s="17"/>
      <c r="S4068" s="17"/>
      <c r="T4068" s="17"/>
    </row>
    <row r="4069" spans="1:2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  <c r="Q4069" s="17"/>
      <c r="R4069" s="17"/>
      <c r="S4069" s="17"/>
      <c r="T4069" s="17"/>
    </row>
    <row r="4070" spans="1:2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  <c r="Q4070" s="17"/>
      <c r="R4070" s="17"/>
      <c r="S4070" s="17"/>
      <c r="T4070" s="17"/>
    </row>
    <row r="4071" spans="1:2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  <c r="Q4071" s="17"/>
      <c r="R4071" s="17"/>
      <c r="S4071" s="17"/>
      <c r="T4071" s="17"/>
    </row>
    <row r="4072" spans="1:2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  <c r="Q4072" s="17"/>
      <c r="R4072" s="17"/>
      <c r="S4072" s="17"/>
      <c r="T4072" s="17"/>
    </row>
    <row r="4073" spans="1:2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  <c r="Q4073" s="17"/>
      <c r="R4073" s="17"/>
      <c r="S4073" s="17"/>
      <c r="T4073" s="17"/>
    </row>
    <row r="4074" spans="1:2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  <c r="Q4074" s="17"/>
      <c r="R4074" s="17"/>
      <c r="S4074" s="17"/>
      <c r="T4074" s="17"/>
    </row>
    <row r="4075" spans="1:2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  <c r="Q4075" s="17"/>
      <c r="R4075" s="17"/>
      <c r="S4075" s="17"/>
      <c r="T4075" s="17"/>
    </row>
    <row r="4076" spans="1:2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  <c r="Q4076" s="17"/>
      <c r="R4076" s="17"/>
      <c r="S4076" s="17"/>
      <c r="T4076" s="17"/>
    </row>
    <row r="4077" spans="1:2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  <c r="Q4077" s="17"/>
      <c r="R4077" s="17"/>
      <c r="S4077" s="17"/>
      <c r="T4077" s="17"/>
    </row>
    <row r="4078" spans="1:2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  <c r="Q4078" s="17"/>
      <c r="R4078" s="17"/>
      <c r="S4078" s="17"/>
      <c r="T4078" s="17"/>
    </row>
    <row r="4079" spans="1:2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7"/>
      <c r="R4079" s="17"/>
      <c r="S4079" s="17"/>
      <c r="T4079" s="17"/>
    </row>
    <row r="4080" spans="1:2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  <c r="Q4080" s="17"/>
      <c r="R4080" s="17"/>
      <c r="S4080" s="17"/>
      <c r="T4080" s="17"/>
    </row>
    <row r="4081" spans="1:2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  <c r="Q4081" s="17"/>
      <c r="R4081" s="17"/>
      <c r="S4081" s="17"/>
      <c r="T4081" s="17"/>
    </row>
    <row r="4082" spans="1:2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  <c r="Q4082" s="17"/>
      <c r="R4082" s="17"/>
      <c r="S4082" s="17"/>
      <c r="T4082" s="17"/>
    </row>
    <row r="4083" spans="1:2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  <c r="Q4083" s="17"/>
      <c r="R4083" s="17"/>
      <c r="S4083" s="17"/>
      <c r="T4083" s="17"/>
    </row>
    <row r="4084" spans="1:2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  <c r="Q4084" s="17"/>
      <c r="R4084" s="17"/>
      <c r="S4084" s="17"/>
      <c r="T4084" s="17"/>
    </row>
    <row r="4085" spans="1:2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  <c r="Q4085" s="17"/>
      <c r="R4085" s="17"/>
      <c r="S4085" s="17"/>
      <c r="T4085" s="17"/>
    </row>
    <row r="4086" spans="1:2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  <c r="Q4086" s="17"/>
      <c r="R4086" s="17"/>
      <c r="S4086" s="17"/>
      <c r="T4086" s="17"/>
    </row>
    <row r="4087" spans="1:2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  <c r="Q4087" s="17"/>
      <c r="R4087" s="17"/>
      <c r="S4087" s="17"/>
      <c r="T4087" s="17"/>
    </row>
    <row r="4088" spans="1:2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  <c r="Q4088" s="17"/>
      <c r="R4088" s="17"/>
      <c r="S4088" s="17"/>
      <c r="T4088" s="17"/>
    </row>
    <row r="4089" spans="1:2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  <c r="Q4089" s="17"/>
      <c r="R4089" s="17"/>
      <c r="S4089" s="17"/>
      <c r="T4089" s="17"/>
    </row>
    <row r="4090" spans="1:2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  <c r="Q4090" s="17"/>
      <c r="R4090" s="17"/>
      <c r="S4090" s="17"/>
      <c r="T4090" s="17"/>
    </row>
    <row r="4091" spans="1:2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  <c r="Q4091" s="17"/>
      <c r="R4091" s="17"/>
      <c r="S4091" s="17"/>
      <c r="T4091" s="17"/>
    </row>
    <row r="4092" spans="1:2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  <c r="Q4092" s="17"/>
      <c r="R4092" s="17"/>
      <c r="S4092" s="17"/>
      <c r="T4092" s="17"/>
    </row>
    <row r="4093" spans="1:2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  <c r="Q4093" s="17"/>
      <c r="R4093" s="17"/>
      <c r="S4093" s="17"/>
      <c r="T4093" s="17"/>
    </row>
    <row r="4094" spans="1:2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7"/>
      <c r="R4094" s="17"/>
      <c r="S4094" s="17"/>
      <c r="T4094" s="17"/>
    </row>
    <row r="4095" spans="1:2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  <c r="Q4095" s="17"/>
      <c r="R4095" s="17"/>
      <c r="S4095" s="17"/>
      <c r="T4095" s="17"/>
    </row>
    <row r="4096" spans="1:2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  <c r="Q4096" s="17"/>
      <c r="R4096" s="17"/>
      <c r="S4096" s="17"/>
      <c r="T4096" s="17"/>
    </row>
    <row r="4097" spans="1:2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  <c r="Q4097" s="17"/>
      <c r="R4097" s="17"/>
      <c r="S4097" s="17"/>
      <c r="T4097" s="17"/>
    </row>
    <row r="4098" spans="1:2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7"/>
      <c r="K4098" s="17"/>
      <c r="L4098" s="17"/>
      <c r="M4098" s="17"/>
      <c r="N4098" s="17"/>
      <c r="O4098" s="17"/>
      <c r="P4098" s="17"/>
      <c r="Q4098" s="17"/>
      <c r="R4098" s="17"/>
      <c r="S4098" s="17"/>
      <c r="T4098" s="17"/>
    </row>
    <row r="4099" spans="1:2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7"/>
      <c r="K4099" s="17"/>
      <c r="L4099" s="17"/>
      <c r="M4099" s="17"/>
      <c r="N4099" s="17"/>
      <c r="O4099" s="17"/>
      <c r="P4099" s="17"/>
      <c r="Q4099" s="17"/>
      <c r="R4099" s="17"/>
      <c r="S4099" s="17"/>
      <c r="T4099" s="17"/>
    </row>
    <row r="4100" spans="1:2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7"/>
      <c r="K4100" s="17"/>
      <c r="L4100" s="17"/>
      <c r="M4100" s="17"/>
      <c r="N4100" s="17"/>
      <c r="O4100" s="17"/>
      <c r="P4100" s="17"/>
      <c r="Q4100" s="17"/>
      <c r="R4100" s="17"/>
      <c r="S4100" s="17"/>
      <c r="T4100" s="17"/>
    </row>
    <row r="4101" spans="1:2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7"/>
      <c r="K4101" s="17"/>
      <c r="L4101" s="17"/>
      <c r="M4101" s="17"/>
      <c r="N4101" s="17"/>
      <c r="O4101" s="17"/>
      <c r="P4101" s="17"/>
      <c r="Q4101" s="17"/>
      <c r="R4101" s="17"/>
      <c r="S4101" s="17"/>
      <c r="T4101" s="17"/>
    </row>
    <row r="4102" spans="1:2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7"/>
      <c r="K4102" s="17"/>
      <c r="L4102" s="17"/>
      <c r="M4102" s="17"/>
      <c r="N4102" s="17"/>
      <c r="O4102" s="17"/>
      <c r="P4102" s="17"/>
      <c r="Q4102" s="17"/>
      <c r="R4102" s="17"/>
      <c r="S4102" s="17"/>
      <c r="T4102" s="17"/>
    </row>
    <row r="4103" spans="1:2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7"/>
      <c r="K4103" s="17"/>
      <c r="L4103" s="17"/>
      <c r="M4103" s="17"/>
      <c r="N4103" s="17"/>
      <c r="O4103" s="17"/>
      <c r="P4103" s="17"/>
      <c r="Q4103" s="17"/>
      <c r="R4103" s="17"/>
      <c r="S4103" s="17"/>
      <c r="T4103" s="17"/>
    </row>
    <row r="4104" spans="1:2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7"/>
      <c r="K4104" s="17"/>
      <c r="L4104" s="17"/>
      <c r="M4104" s="17"/>
      <c r="N4104" s="17"/>
      <c r="O4104" s="17"/>
      <c r="P4104" s="17"/>
      <c r="Q4104" s="17"/>
      <c r="R4104" s="17"/>
      <c r="S4104" s="17"/>
      <c r="T4104" s="17"/>
    </row>
    <row r="4105" spans="1:2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7"/>
      <c r="K4105" s="17"/>
      <c r="L4105" s="17"/>
      <c r="M4105" s="17"/>
      <c r="N4105" s="17"/>
      <c r="O4105" s="17"/>
      <c r="P4105" s="17"/>
      <c r="Q4105" s="17"/>
      <c r="R4105" s="17"/>
      <c r="S4105" s="17"/>
      <c r="T4105" s="17"/>
    </row>
    <row r="4106" spans="1:2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7"/>
      <c r="K4106" s="17"/>
      <c r="L4106" s="17"/>
      <c r="M4106" s="17"/>
      <c r="N4106" s="17"/>
      <c r="O4106" s="17"/>
      <c r="P4106" s="17"/>
      <c r="Q4106" s="17"/>
      <c r="R4106" s="17"/>
      <c r="S4106" s="17"/>
      <c r="T4106" s="17"/>
    </row>
    <row r="4107" spans="1:2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7"/>
      <c r="K4107" s="17"/>
      <c r="L4107" s="17"/>
      <c r="M4107" s="17"/>
      <c r="N4107" s="17"/>
      <c r="O4107" s="17"/>
      <c r="P4107" s="17"/>
      <c r="Q4107" s="17"/>
      <c r="R4107" s="17"/>
      <c r="S4107" s="17"/>
      <c r="T4107" s="17"/>
    </row>
    <row r="4108" spans="1:2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7"/>
      <c r="K4108" s="17"/>
      <c r="L4108" s="17"/>
      <c r="M4108" s="17"/>
      <c r="N4108" s="17"/>
      <c r="O4108" s="17"/>
      <c r="P4108" s="17"/>
      <c r="Q4108" s="17"/>
      <c r="R4108" s="17"/>
      <c r="S4108" s="17"/>
      <c r="T4108" s="17"/>
    </row>
    <row r="4109" spans="1:2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7"/>
      <c r="K4109" s="17"/>
      <c r="L4109" s="17"/>
      <c r="M4109" s="17"/>
      <c r="N4109" s="17"/>
      <c r="O4109" s="17"/>
      <c r="P4109" s="17"/>
      <c r="Q4109" s="17"/>
      <c r="R4109" s="17"/>
      <c r="S4109" s="17"/>
      <c r="T4109" s="17"/>
    </row>
    <row r="4110" spans="1:2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7"/>
      <c r="K4110" s="17"/>
      <c r="L4110" s="17"/>
      <c r="M4110" s="17"/>
      <c r="N4110" s="17"/>
      <c r="O4110" s="17"/>
      <c r="P4110" s="17"/>
      <c r="Q4110" s="17"/>
      <c r="R4110" s="17"/>
      <c r="S4110" s="17"/>
      <c r="T4110" s="17"/>
    </row>
    <row r="4111" spans="1:2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7"/>
      <c r="K4111" s="17"/>
      <c r="L4111" s="17"/>
      <c r="M4111" s="17"/>
      <c r="N4111" s="17"/>
      <c r="O4111" s="17"/>
      <c r="P4111" s="17"/>
      <c r="Q4111" s="17"/>
      <c r="R4111" s="17"/>
      <c r="S4111" s="17"/>
      <c r="T4111" s="17"/>
    </row>
    <row r="4112" spans="1:2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7"/>
      <c r="K4112" s="17"/>
      <c r="L4112" s="17"/>
      <c r="M4112" s="17"/>
      <c r="N4112" s="17"/>
      <c r="O4112" s="17"/>
      <c r="P4112" s="17"/>
      <c r="Q4112" s="17"/>
      <c r="R4112" s="17"/>
      <c r="S4112" s="17"/>
      <c r="T4112" s="17"/>
    </row>
    <row r="4113" spans="1:2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7"/>
      <c r="K4113" s="17"/>
      <c r="L4113" s="17"/>
      <c r="M4113" s="17"/>
      <c r="N4113" s="17"/>
      <c r="O4113" s="17"/>
      <c r="P4113" s="17"/>
      <c r="Q4113" s="17"/>
      <c r="R4113" s="17"/>
      <c r="S4113" s="17"/>
      <c r="T4113" s="17"/>
    </row>
    <row r="4114" spans="1:2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7"/>
      <c r="K4114" s="17"/>
      <c r="L4114" s="17"/>
      <c r="M4114" s="17"/>
      <c r="N4114" s="17"/>
      <c r="O4114" s="17"/>
      <c r="P4114" s="17"/>
      <c r="Q4114" s="17"/>
      <c r="R4114" s="17"/>
      <c r="S4114" s="17"/>
      <c r="T4114" s="17"/>
    </row>
    <row r="4115" spans="1:2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7"/>
      <c r="K4115" s="17"/>
      <c r="L4115" s="17"/>
      <c r="M4115" s="17"/>
      <c r="N4115" s="17"/>
      <c r="O4115" s="17"/>
      <c r="P4115" s="17"/>
      <c r="Q4115" s="17"/>
      <c r="R4115" s="17"/>
      <c r="S4115" s="17"/>
      <c r="T4115" s="17"/>
    </row>
    <row r="4116" spans="1:2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7"/>
      <c r="K4116" s="17"/>
      <c r="L4116" s="17"/>
      <c r="M4116" s="17"/>
      <c r="N4116" s="17"/>
      <c r="O4116" s="17"/>
      <c r="P4116" s="17"/>
      <c r="Q4116" s="17"/>
      <c r="R4116" s="17"/>
      <c r="S4116" s="17"/>
      <c r="T4116" s="17"/>
    </row>
    <row r="4117" spans="1:2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7"/>
      <c r="K4117" s="17"/>
      <c r="L4117" s="17"/>
      <c r="M4117" s="17"/>
      <c r="N4117" s="17"/>
      <c r="O4117" s="17"/>
      <c r="P4117" s="17"/>
      <c r="Q4117" s="17"/>
      <c r="R4117" s="17"/>
      <c r="S4117" s="17"/>
      <c r="T4117" s="17"/>
    </row>
    <row r="4118" spans="1:2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7"/>
      <c r="K4118" s="17"/>
      <c r="L4118" s="17"/>
      <c r="M4118" s="17"/>
      <c r="N4118" s="17"/>
      <c r="O4118" s="17"/>
      <c r="P4118" s="17"/>
      <c r="Q4118" s="17"/>
      <c r="R4118" s="17"/>
      <c r="S4118" s="17"/>
      <c r="T4118" s="17"/>
    </row>
    <row r="4119" spans="1:2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7"/>
      <c r="K4119" s="17"/>
      <c r="L4119" s="17"/>
      <c r="M4119" s="17"/>
      <c r="N4119" s="17"/>
      <c r="O4119" s="17"/>
      <c r="P4119" s="17"/>
      <c r="Q4119" s="17"/>
      <c r="R4119" s="17"/>
      <c r="S4119" s="17"/>
      <c r="T4119" s="17"/>
    </row>
    <row r="4120" spans="1:2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7"/>
      <c r="K4120" s="17"/>
      <c r="L4120" s="17"/>
      <c r="M4120" s="17"/>
      <c r="N4120" s="17"/>
      <c r="O4120" s="17"/>
      <c r="P4120" s="17"/>
      <c r="Q4120" s="17"/>
      <c r="R4120" s="17"/>
      <c r="S4120" s="17"/>
      <c r="T4120" s="17"/>
    </row>
    <row r="4121" spans="1:2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7"/>
      <c r="K4121" s="17"/>
      <c r="L4121" s="17"/>
      <c r="M4121" s="17"/>
      <c r="N4121" s="17"/>
      <c r="O4121" s="17"/>
      <c r="P4121" s="17"/>
      <c r="Q4121" s="17"/>
      <c r="R4121" s="17"/>
      <c r="S4121" s="17"/>
      <c r="T4121" s="17"/>
    </row>
    <row r="4122" spans="1:2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7"/>
      <c r="K4122" s="17"/>
      <c r="L4122" s="17"/>
      <c r="M4122" s="17"/>
      <c r="N4122" s="17"/>
      <c r="O4122" s="17"/>
      <c r="P4122" s="17"/>
      <c r="Q4122" s="17"/>
      <c r="R4122" s="17"/>
      <c r="S4122" s="17"/>
      <c r="T4122" s="17"/>
    </row>
    <row r="4123" spans="1:2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7"/>
      <c r="K4123" s="17"/>
      <c r="L4123" s="17"/>
      <c r="M4123" s="17"/>
      <c r="N4123" s="17"/>
      <c r="O4123" s="17"/>
      <c r="P4123" s="17"/>
      <c r="Q4123" s="17"/>
      <c r="R4123" s="17"/>
      <c r="S4123" s="17"/>
      <c r="T4123" s="17"/>
    </row>
    <row r="4124" spans="1:2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7"/>
      <c r="K4124" s="17"/>
      <c r="L4124" s="17"/>
      <c r="M4124" s="17"/>
      <c r="N4124" s="17"/>
      <c r="O4124" s="17"/>
      <c r="P4124" s="17"/>
      <c r="Q4124" s="17"/>
      <c r="R4124" s="17"/>
      <c r="S4124" s="17"/>
      <c r="T4124" s="17"/>
    </row>
    <row r="4125" spans="1:2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7"/>
      <c r="K4125" s="17"/>
      <c r="L4125" s="17"/>
      <c r="M4125" s="17"/>
      <c r="N4125" s="17"/>
      <c r="O4125" s="17"/>
      <c r="P4125" s="17"/>
      <c r="Q4125" s="17"/>
      <c r="R4125" s="17"/>
      <c r="S4125" s="17"/>
      <c r="T4125" s="17"/>
    </row>
    <row r="4126" spans="1:2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7"/>
      <c r="K4126" s="17"/>
      <c r="L4126" s="17"/>
      <c r="M4126" s="17"/>
      <c r="N4126" s="17"/>
      <c r="O4126" s="17"/>
      <c r="P4126" s="17"/>
      <c r="Q4126" s="17"/>
      <c r="R4126" s="17"/>
      <c r="S4126" s="17"/>
      <c r="T4126" s="17"/>
    </row>
    <row r="4127" spans="1:2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7"/>
      <c r="K4127" s="17"/>
      <c r="L4127" s="17"/>
      <c r="M4127" s="17"/>
      <c r="N4127" s="17"/>
      <c r="O4127" s="17"/>
      <c r="P4127" s="17"/>
      <c r="Q4127" s="17"/>
      <c r="R4127" s="17"/>
      <c r="S4127" s="17"/>
      <c r="T4127" s="17"/>
    </row>
    <row r="4128" spans="1:2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7"/>
      <c r="K4128" s="17"/>
      <c r="L4128" s="17"/>
      <c r="M4128" s="17"/>
      <c r="N4128" s="17"/>
      <c r="O4128" s="17"/>
      <c r="P4128" s="17"/>
      <c r="Q4128" s="17"/>
      <c r="R4128" s="17"/>
      <c r="S4128" s="17"/>
      <c r="T4128" s="17"/>
    </row>
    <row r="4129" spans="1:2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7"/>
      <c r="K4129" s="17"/>
      <c r="L4129" s="17"/>
      <c r="M4129" s="17"/>
      <c r="N4129" s="17"/>
      <c r="O4129" s="17"/>
      <c r="P4129" s="17"/>
      <c r="Q4129" s="17"/>
      <c r="R4129" s="17"/>
      <c r="S4129" s="17"/>
      <c r="T4129" s="17"/>
    </row>
    <row r="4130" spans="1:2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7"/>
      <c r="K4130" s="17"/>
      <c r="L4130" s="17"/>
      <c r="M4130" s="17"/>
      <c r="N4130" s="17"/>
      <c r="O4130" s="17"/>
      <c r="P4130" s="17"/>
      <c r="Q4130" s="17"/>
      <c r="R4130" s="17"/>
      <c r="S4130" s="17"/>
      <c r="T4130" s="17"/>
    </row>
    <row r="4131" spans="1:2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7"/>
      <c r="K4131" s="17"/>
      <c r="L4131" s="17"/>
      <c r="M4131" s="17"/>
      <c r="N4131" s="17"/>
      <c r="O4131" s="17"/>
      <c r="P4131" s="17"/>
      <c r="Q4131" s="17"/>
      <c r="R4131" s="17"/>
      <c r="S4131" s="17"/>
      <c r="T4131" s="17"/>
    </row>
    <row r="4132" spans="1:2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7"/>
      <c r="K4132" s="17"/>
      <c r="L4132" s="17"/>
      <c r="M4132" s="17"/>
      <c r="N4132" s="17"/>
      <c r="O4132" s="17"/>
      <c r="P4132" s="17"/>
      <c r="Q4132" s="17"/>
      <c r="R4132" s="17"/>
      <c r="S4132" s="17"/>
      <c r="T4132" s="17"/>
    </row>
    <row r="4133" spans="1:2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7"/>
      <c r="K4133" s="17"/>
      <c r="L4133" s="17"/>
      <c r="M4133" s="17"/>
      <c r="N4133" s="17"/>
      <c r="O4133" s="17"/>
      <c r="P4133" s="17"/>
      <c r="Q4133" s="17"/>
      <c r="R4133" s="17"/>
      <c r="S4133" s="17"/>
      <c r="T4133" s="17"/>
    </row>
    <row r="4134" spans="1:2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7"/>
      <c r="K4134" s="17"/>
      <c r="L4134" s="17"/>
      <c r="M4134" s="17"/>
      <c r="N4134" s="17"/>
      <c r="O4134" s="17"/>
      <c r="P4134" s="17"/>
      <c r="Q4134" s="17"/>
      <c r="R4134" s="17"/>
      <c r="S4134" s="17"/>
      <c r="T4134" s="17"/>
    </row>
    <row r="4135" spans="1:2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7"/>
      <c r="K4135" s="17"/>
      <c r="L4135" s="17"/>
      <c r="M4135" s="17"/>
      <c r="N4135" s="17"/>
      <c r="O4135" s="17"/>
      <c r="P4135" s="17"/>
      <c r="Q4135" s="17"/>
      <c r="R4135" s="17"/>
      <c r="S4135" s="17"/>
      <c r="T4135" s="17"/>
    </row>
    <row r="4136" spans="1:2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7"/>
      <c r="K4136" s="17"/>
      <c r="L4136" s="17"/>
      <c r="M4136" s="17"/>
      <c r="N4136" s="17"/>
      <c r="O4136" s="17"/>
      <c r="P4136" s="17"/>
      <c r="Q4136" s="17"/>
      <c r="R4136" s="17"/>
      <c r="S4136" s="17"/>
      <c r="T4136" s="17"/>
    </row>
    <row r="4137" spans="1:2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7"/>
      <c r="K4137" s="17"/>
      <c r="L4137" s="17"/>
      <c r="M4137" s="17"/>
      <c r="N4137" s="17"/>
      <c r="O4137" s="17"/>
      <c r="P4137" s="17"/>
      <c r="Q4137" s="17"/>
      <c r="R4137" s="17"/>
      <c r="S4137" s="17"/>
      <c r="T4137" s="17"/>
    </row>
    <row r="4138" spans="1:2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7"/>
      <c r="K4138" s="17"/>
      <c r="L4138" s="17"/>
      <c r="M4138" s="17"/>
      <c r="N4138" s="17"/>
      <c r="O4138" s="17"/>
      <c r="P4138" s="17"/>
      <c r="Q4138" s="17"/>
      <c r="R4138" s="17"/>
      <c r="S4138" s="17"/>
      <c r="T4138" s="17"/>
    </row>
    <row r="4139" spans="1:2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7"/>
      <c r="K4139" s="17"/>
      <c r="L4139" s="17"/>
      <c r="M4139" s="17"/>
      <c r="N4139" s="17"/>
      <c r="O4139" s="17"/>
      <c r="P4139" s="17"/>
      <c r="Q4139" s="17"/>
      <c r="R4139" s="17"/>
      <c r="S4139" s="17"/>
      <c r="T4139" s="17"/>
    </row>
    <row r="4140" spans="1:2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7"/>
      <c r="K4140" s="17"/>
      <c r="L4140" s="17"/>
      <c r="M4140" s="17"/>
      <c r="N4140" s="17"/>
      <c r="O4140" s="17"/>
      <c r="P4140" s="17"/>
      <c r="Q4140" s="17"/>
      <c r="R4140" s="17"/>
      <c r="S4140" s="17"/>
      <c r="T4140" s="17"/>
    </row>
    <row r="4141" spans="1:2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7"/>
      <c r="K4141" s="17"/>
      <c r="L4141" s="17"/>
      <c r="M4141" s="17"/>
      <c r="N4141" s="17"/>
      <c r="O4141" s="17"/>
      <c r="P4141" s="17"/>
      <c r="Q4141" s="17"/>
      <c r="R4141" s="17"/>
      <c r="S4141" s="17"/>
      <c r="T4141" s="17"/>
    </row>
    <row r="4142" spans="1:2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7"/>
      <c r="K4142" s="17"/>
      <c r="L4142" s="17"/>
      <c r="M4142" s="17"/>
      <c r="N4142" s="17"/>
      <c r="O4142" s="17"/>
      <c r="P4142" s="17"/>
      <c r="Q4142" s="17"/>
      <c r="R4142" s="17"/>
      <c r="S4142" s="17"/>
      <c r="T4142" s="17"/>
    </row>
    <row r="4143" spans="1:2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7"/>
      <c r="K4143" s="17"/>
      <c r="L4143" s="17"/>
      <c r="M4143" s="17"/>
      <c r="N4143" s="17"/>
      <c r="O4143" s="17"/>
      <c r="P4143" s="17"/>
      <c r="Q4143" s="17"/>
      <c r="R4143" s="17"/>
      <c r="S4143" s="17"/>
      <c r="T4143" s="17"/>
    </row>
    <row r="4144" spans="1:2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7"/>
      <c r="K4144" s="17"/>
      <c r="L4144" s="17"/>
      <c r="M4144" s="17"/>
      <c r="N4144" s="17"/>
      <c r="O4144" s="17"/>
      <c r="P4144" s="17"/>
      <c r="Q4144" s="17"/>
      <c r="R4144" s="17"/>
      <c r="S4144" s="17"/>
      <c r="T4144" s="17"/>
    </row>
    <row r="4145" spans="1:2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7"/>
      <c r="K4145" s="17"/>
      <c r="L4145" s="17"/>
      <c r="M4145" s="17"/>
      <c r="N4145" s="17"/>
      <c r="O4145" s="17"/>
      <c r="P4145" s="17"/>
      <c r="Q4145" s="17"/>
      <c r="R4145" s="17"/>
      <c r="S4145" s="17"/>
      <c r="T4145" s="17"/>
    </row>
    <row r="4146" spans="1:2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7"/>
      <c r="K4146" s="17"/>
      <c r="L4146" s="17"/>
      <c r="M4146" s="17"/>
      <c r="N4146" s="17"/>
      <c r="O4146" s="17"/>
      <c r="P4146" s="17"/>
      <c r="Q4146" s="17"/>
      <c r="R4146" s="17"/>
      <c r="S4146" s="17"/>
      <c r="T4146" s="17"/>
    </row>
    <row r="4147" spans="1:2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7"/>
      <c r="K4147" s="17"/>
      <c r="L4147" s="17"/>
      <c r="M4147" s="17"/>
      <c r="N4147" s="17"/>
      <c r="O4147" s="17"/>
      <c r="P4147" s="17"/>
      <c r="Q4147" s="17"/>
      <c r="R4147" s="17"/>
      <c r="S4147" s="17"/>
      <c r="T4147" s="17"/>
    </row>
    <row r="4148" spans="1:2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7"/>
      <c r="K4148" s="17"/>
      <c r="L4148" s="17"/>
      <c r="M4148" s="17"/>
      <c r="N4148" s="17"/>
      <c r="O4148" s="17"/>
      <c r="P4148" s="17"/>
      <c r="Q4148" s="17"/>
      <c r="R4148" s="17"/>
      <c r="S4148" s="17"/>
      <c r="T4148" s="17"/>
    </row>
    <row r="4149" spans="1:2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7"/>
      <c r="K4149" s="17"/>
      <c r="L4149" s="17"/>
      <c r="M4149" s="17"/>
      <c r="N4149" s="17"/>
      <c r="O4149" s="17"/>
      <c r="P4149" s="17"/>
      <c r="Q4149" s="17"/>
      <c r="R4149" s="17"/>
      <c r="S4149" s="17"/>
      <c r="T4149" s="17"/>
    </row>
    <row r="4150" spans="1:2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7"/>
      <c r="K4150" s="17"/>
      <c r="L4150" s="17"/>
      <c r="M4150" s="17"/>
      <c r="N4150" s="17"/>
      <c r="O4150" s="17"/>
      <c r="P4150" s="17"/>
      <c r="Q4150" s="17"/>
      <c r="R4150" s="17"/>
      <c r="S4150" s="17"/>
      <c r="T4150" s="17"/>
    </row>
    <row r="4151" spans="1:2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7"/>
      <c r="K4151" s="17"/>
      <c r="L4151" s="17"/>
      <c r="M4151" s="17"/>
      <c r="N4151" s="17"/>
      <c r="O4151" s="17"/>
      <c r="P4151" s="17"/>
      <c r="Q4151" s="17"/>
      <c r="R4151" s="17"/>
      <c r="S4151" s="17"/>
      <c r="T4151" s="17"/>
    </row>
    <row r="4152" spans="1:2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7"/>
      <c r="K4152" s="17"/>
      <c r="L4152" s="17"/>
      <c r="M4152" s="17"/>
      <c r="N4152" s="17"/>
      <c r="O4152" s="17"/>
      <c r="P4152" s="17"/>
      <c r="Q4152" s="17"/>
      <c r="R4152" s="17"/>
      <c r="S4152" s="17"/>
      <c r="T4152" s="17"/>
    </row>
    <row r="4153" spans="1:2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7"/>
      <c r="K4153" s="17"/>
      <c r="L4153" s="17"/>
      <c r="M4153" s="17"/>
      <c r="N4153" s="17"/>
      <c r="O4153" s="17"/>
      <c r="P4153" s="17"/>
      <c r="Q4153" s="17"/>
      <c r="R4153" s="17"/>
      <c r="S4153" s="17"/>
      <c r="T4153" s="17"/>
    </row>
    <row r="4154" spans="1:2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7"/>
      <c r="K4154" s="17"/>
      <c r="L4154" s="17"/>
      <c r="M4154" s="17"/>
      <c r="N4154" s="17"/>
      <c r="O4154" s="17"/>
      <c r="P4154" s="17"/>
      <c r="Q4154" s="17"/>
      <c r="R4154" s="17"/>
      <c r="S4154" s="17"/>
      <c r="T4154" s="17"/>
    </row>
    <row r="4155" spans="1:2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7"/>
      <c r="K4155" s="17"/>
      <c r="L4155" s="17"/>
      <c r="M4155" s="17"/>
      <c r="N4155" s="17"/>
      <c r="O4155" s="17"/>
      <c r="P4155" s="17"/>
      <c r="Q4155" s="17"/>
      <c r="R4155" s="17"/>
      <c r="S4155" s="17"/>
      <c r="T4155" s="17"/>
    </row>
    <row r="4156" spans="1:2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7"/>
      <c r="K4156" s="17"/>
      <c r="L4156" s="17"/>
      <c r="M4156" s="17"/>
      <c r="N4156" s="17"/>
      <c r="O4156" s="17"/>
      <c r="P4156" s="17"/>
      <c r="Q4156" s="17"/>
      <c r="R4156" s="17"/>
      <c r="S4156" s="17"/>
      <c r="T4156" s="17"/>
    </row>
    <row r="4157" spans="1:2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7"/>
      <c r="K4157" s="17"/>
      <c r="L4157" s="17"/>
      <c r="M4157" s="17"/>
      <c r="N4157" s="17"/>
      <c r="O4157" s="17"/>
      <c r="P4157" s="17"/>
      <c r="Q4157" s="17"/>
      <c r="R4157" s="17"/>
      <c r="S4157" s="17"/>
      <c r="T4157" s="17"/>
    </row>
    <row r="4158" spans="1:2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7"/>
      <c r="K4158" s="17"/>
      <c r="L4158" s="17"/>
      <c r="M4158" s="17"/>
      <c r="N4158" s="17"/>
      <c r="O4158" s="17"/>
      <c r="P4158" s="17"/>
      <c r="Q4158" s="17"/>
      <c r="R4158" s="17"/>
      <c r="S4158" s="17"/>
      <c r="T4158" s="17"/>
    </row>
    <row r="4159" spans="1:2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7"/>
      <c r="K4159" s="17"/>
      <c r="L4159" s="17"/>
      <c r="M4159" s="17"/>
      <c r="N4159" s="17"/>
      <c r="O4159" s="17"/>
      <c r="P4159" s="17"/>
      <c r="Q4159" s="17"/>
      <c r="R4159" s="17"/>
      <c r="S4159" s="17"/>
      <c r="T4159" s="17"/>
    </row>
    <row r="4160" spans="1:2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7"/>
      <c r="K4160" s="17"/>
      <c r="L4160" s="17"/>
      <c r="M4160" s="17"/>
      <c r="N4160" s="17"/>
      <c r="O4160" s="17"/>
      <c r="P4160" s="17"/>
      <c r="Q4160" s="17"/>
      <c r="R4160" s="17"/>
      <c r="S4160" s="17"/>
      <c r="T4160" s="17"/>
    </row>
    <row r="4161" spans="1:2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7"/>
      <c r="K4161" s="17"/>
      <c r="L4161" s="17"/>
      <c r="M4161" s="17"/>
      <c r="N4161" s="17"/>
      <c r="O4161" s="17"/>
      <c r="P4161" s="17"/>
      <c r="Q4161" s="17"/>
      <c r="R4161" s="17"/>
      <c r="S4161" s="17"/>
      <c r="T4161" s="17"/>
    </row>
    <row r="4162" spans="1:2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7"/>
      <c r="K4162" s="17"/>
      <c r="L4162" s="17"/>
      <c r="M4162" s="17"/>
      <c r="N4162" s="17"/>
      <c r="O4162" s="17"/>
      <c r="P4162" s="17"/>
      <c r="Q4162" s="17"/>
      <c r="R4162" s="17"/>
      <c r="S4162" s="17"/>
      <c r="T4162" s="17"/>
    </row>
    <row r="4163" spans="1:2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7"/>
      <c r="K4163" s="17"/>
      <c r="L4163" s="17"/>
      <c r="M4163" s="17"/>
      <c r="N4163" s="17"/>
      <c r="O4163" s="17"/>
      <c r="P4163" s="17"/>
      <c r="Q4163" s="17"/>
      <c r="R4163" s="17"/>
      <c r="S4163" s="17"/>
      <c r="T4163" s="17"/>
    </row>
    <row r="4164" spans="1:2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7"/>
      <c r="K4164" s="17"/>
      <c r="L4164" s="17"/>
      <c r="M4164" s="17"/>
      <c r="N4164" s="17"/>
      <c r="O4164" s="17"/>
      <c r="P4164" s="17"/>
      <c r="Q4164" s="17"/>
      <c r="R4164" s="17"/>
      <c r="S4164" s="17"/>
      <c r="T4164" s="17"/>
    </row>
    <row r="4165" spans="1:2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7"/>
      <c r="K4165" s="17"/>
      <c r="L4165" s="17"/>
      <c r="M4165" s="17"/>
      <c r="N4165" s="17"/>
      <c r="O4165" s="17"/>
      <c r="P4165" s="17"/>
      <c r="Q4165" s="17"/>
      <c r="R4165" s="17"/>
      <c r="S4165" s="17"/>
      <c r="T4165" s="17"/>
    </row>
    <row r="4166" spans="1:2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7"/>
      <c r="K4166" s="17"/>
      <c r="L4166" s="17"/>
      <c r="M4166" s="17"/>
      <c r="N4166" s="17"/>
      <c r="O4166" s="17"/>
      <c r="P4166" s="17"/>
      <c r="Q4166" s="17"/>
      <c r="R4166" s="17"/>
      <c r="S4166" s="17"/>
      <c r="T4166" s="17"/>
    </row>
    <row r="4167" spans="1:2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7"/>
      <c r="K4167" s="17"/>
      <c r="L4167" s="17"/>
      <c r="M4167" s="17"/>
      <c r="N4167" s="17"/>
      <c r="O4167" s="17"/>
      <c r="P4167" s="17"/>
      <c r="Q4167" s="17"/>
      <c r="R4167" s="17"/>
      <c r="S4167" s="17"/>
      <c r="T4167" s="17"/>
    </row>
    <row r="4168" spans="1:2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7"/>
      <c r="K4168" s="17"/>
      <c r="L4168" s="17"/>
      <c r="M4168" s="17"/>
      <c r="N4168" s="17"/>
      <c r="O4168" s="17"/>
      <c r="P4168" s="17"/>
      <c r="Q4168" s="17"/>
      <c r="R4168" s="17"/>
      <c r="S4168" s="17"/>
      <c r="T4168" s="17"/>
    </row>
    <row r="4169" spans="1:2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7"/>
      <c r="K4169" s="17"/>
      <c r="L4169" s="17"/>
      <c r="M4169" s="17"/>
      <c r="N4169" s="17"/>
      <c r="O4169" s="17"/>
      <c r="P4169" s="17"/>
      <c r="Q4169" s="17"/>
      <c r="R4169" s="17"/>
      <c r="S4169" s="17"/>
      <c r="T4169" s="17"/>
    </row>
    <row r="4170" spans="1:2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7"/>
      <c r="K4170" s="17"/>
      <c r="L4170" s="17"/>
      <c r="M4170" s="17"/>
      <c r="N4170" s="17"/>
      <c r="O4170" s="17"/>
      <c r="P4170" s="17"/>
      <c r="Q4170" s="17"/>
      <c r="R4170" s="17"/>
      <c r="S4170" s="17"/>
      <c r="T4170" s="17"/>
    </row>
    <row r="4171" spans="1:2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7"/>
      <c r="K4171" s="17"/>
      <c r="L4171" s="17"/>
      <c r="M4171" s="17"/>
      <c r="N4171" s="17"/>
      <c r="O4171" s="17"/>
      <c r="P4171" s="17"/>
      <c r="Q4171" s="17"/>
      <c r="R4171" s="17"/>
      <c r="S4171" s="17"/>
      <c r="T4171" s="17"/>
    </row>
    <row r="4172" spans="1:2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7"/>
      <c r="K4172" s="17"/>
      <c r="L4172" s="17"/>
      <c r="M4172" s="17"/>
      <c r="N4172" s="17"/>
      <c r="O4172" s="17"/>
      <c r="P4172" s="17"/>
      <c r="Q4172" s="17"/>
      <c r="R4172" s="17"/>
      <c r="S4172" s="17"/>
      <c r="T4172" s="17"/>
    </row>
    <row r="4173" spans="1:2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7"/>
      <c r="K4173" s="17"/>
      <c r="L4173" s="17"/>
      <c r="M4173" s="17"/>
      <c r="N4173" s="17"/>
      <c r="O4173" s="17"/>
      <c r="P4173" s="17"/>
      <c r="Q4173" s="17"/>
      <c r="R4173" s="17"/>
      <c r="S4173" s="17"/>
      <c r="T4173" s="17"/>
    </row>
    <row r="4174" spans="1:2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7"/>
      <c r="K4174" s="17"/>
      <c r="L4174" s="17"/>
      <c r="M4174" s="17"/>
      <c r="N4174" s="17"/>
      <c r="O4174" s="17"/>
      <c r="P4174" s="17"/>
      <c r="Q4174" s="17"/>
      <c r="R4174" s="17"/>
      <c r="S4174" s="17"/>
      <c r="T4174" s="17"/>
    </row>
    <row r="4175" spans="1:2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7"/>
      <c r="K4175" s="17"/>
      <c r="L4175" s="17"/>
      <c r="M4175" s="17"/>
      <c r="N4175" s="17"/>
      <c r="O4175" s="17"/>
      <c r="P4175" s="17"/>
      <c r="Q4175" s="17"/>
      <c r="R4175" s="17"/>
      <c r="S4175" s="17"/>
      <c r="T4175" s="17"/>
    </row>
    <row r="4176" spans="1:2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7"/>
      <c r="K4176" s="17"/>
      <c r="L4176" s="17"/>
      <c r="M4176" s="17"/>
      <c r="N4176" s="17"/>
      <c r="O4176" s="17"/>
      <c r="P4176" s="17"/>
      <c r="Q4176" s="17"/>
      <c r="R4176" s="17"/>
      <c r="S4176" s="17"/>
      <c r="T4176" s="17"/>
    </row>
    <row r="4177" spans="1:2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7"/>
      <c r="K4177" s="17"/>
      <c r="L4177" s="17"/>
      <c r="M4177" s="17"/>
      <c r="N4177" s="17"/>
      <c r="O4177" s="17"/>
      <c r="P4177" s="17"/>
      <c r="Q4177" s="17"/>
      <c r="R4177" s="17"/>
      <c r="S4177" s="17"/>
      <c r="T4177" s="17"/>
    </row>
    <row r="4178" spans="1:2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7"/>
      <c r="K4178" s="17"/>
      <c r="L4178" s="17"/>
      <c r="M4178" s="17"/>
      <c r="N4178" s="17"/>
      <c r="O4178" s="17"/>
      <c r="P4178" s="17"/>
      <c r="Q4178" s="17"/>
      <c r="R4178" s="17"/>
      <c r="S4178" s="17"/>
      <c r="T4178" s="17"/>
    </row>
    <row r="4179" spans="1:2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7"/>
      <c r="K4179" s="17"/>
      <c r="L4179" s="17"/>
      <c r="M4179" s="17"/>
      <c r="N4179" s="17"/>
      <c r="O4179" s="17"/>
      <c r="P4179" s="17"/>
      <c r="Q4179" s="17"/>
      <c r="R4179" s="17"/>
      <c r="S4179" s="17"/>
      <c r="T4179" s="17"/>
    </row>
    <row r="4180" spans="1:2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7"/>
      <c r="K4180" s="17"/>
      <c r="L4180" s="17"/>
      <c r="M4180" s="17"/>
      <c r="N4180" s="17"/>
      <c r="O4180" s="17"/>
      <c r="P4180" s="17"/>
      <c r="Q4180" s="17"/>
      <c r="R4180" s="17"/>
      <c r="S4180" s="17"/>
      <c r="T4180" s="17"/>
    </row>
    <row r="4181" spans="1:2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7"/>
      <c r="K4181" s="17"/>
      <c r="L4181" s="17"/>
      <c r="M4181" s="17"/>
      <c r="N4181" s="17"/>
      <c r="O4181" s="17"/>
      <c r="P4181" s="17"/>
      <c r="Q4181" s="17"/>
      <c r="R4181" s="17"/>
      <c r="S4181" s="17"/>
      <c r="T4181" s="17"/>
    </row>
    <row r="4182" spans="1:2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7"/>
      <c r="K4182" s="17"/>
      <c r="L4182" s="17"/>
      <c r="M4182" s="17"/>
      <c r="N4182" s="17"/>
      <c r="O4182" s="17"/>
      <c r="P4182" s="17"/>
      <c r="Q4182" s="17"/>
      <c r="R4182" s="17"/>
      <c r="S4182" s="17"/>
      <c r="T4182" s="17"/>
    </row>
    <row r="4183" spans="1:2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7"/>
      <c r="K4183" s="17"/>
      <c r="L4183" s="17"/>
      <c r="M4183" s="17"/>
      <c r="N4183" s="17"/>
      <c r="O4183" s="17"/>
      <c r="P4183" s="17"/>
      <c r="Q4183" s="17"/>
      <c r="R4183" s="17"/>
      <c r="S4183" s="17"/>
      <c r="T4183" s="17"/>
    </row>
    <row r="4184" spans="1:2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7"/>
      <c r="K4184" s="17"/>
      <c r="L4184" s="17"/>
      <c r="M4184" s="17"/>
      <c r="N4184" s="17"/>
      <c r="O4184" s="17"/>
      <c r="P4184" s="17"/>
      <c r="Q4184" s="17"/>
      <c r="R4184" s="17"/>
      <c r="S4184" s="17"/>
      <c r="T4184" s="17"/>
    </row>
    <row r="4185" spans="1:2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7"/>
      <c r="K4185" s="17"/>
      <c r="L4185" s="17"/>
      <c r="M4185" s="17"/>
      <c r="N4185" s="17"/>
      <c r="O4185" s="17"/>
      <c r="P4185" s="17"/>
      <c r="Q4185" s="17"/>
      <c r="R4185" s="17"/>
      <c r="S4185" s="17"/>
      <c r="T4185" s="17"/>
    </row>
    <row r="4186" spans="1:2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7"/>
      <c r="K4186" s="17"/>
      <c r="L4186" s="17"/>
      <c r="M4186" s="17"/>
      <c r="N4186" s="17"/>
      <c r="O4186" s="17"/>
      <c r="P4186" s="17"/>
      <c r="Q4186" s="17"/>
      <c r="R4186" s="17"/>
      <c r="S4186" s="17"/>
      <c r="T4186" s="17"/>
    </row>
    <row r="4187" spans="1:2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7"/>
      <c r="K4187" s="17"/>
      <c r="L4187" s="17"/>
      <c r="M4187" s="17"/>
      <c r="N4187" s="17"/>
      <c r="O4187" s="17"/>
      <c r="P4187" s="17"/>
      <c r="Q4187" s="17"/>
      <c r="R4187" s="17"/>
      <c r="S4187" s="17"/>
      <c r="T4187" s="17"/>
    </row>
    <row r="4188" spans="1:2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7"/>
      <c r="K4188" s="17"/>
      <c r="L4188" s="17"/>
      <c r="M4188" s="17"/>
      <c r="N4188" s="17"/>
      <c r="O4188" s="17"/>
      <c r="P4188" s="17"/>
      <c r="Q4188" s="17"/>
      <c r="R4188" s="17"/>
      <c r="S4188" s="17"/>
      <c r="T4188" s="17"/>
    </row>
    <row r="4189" spans="1:2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7"/>
      <c r="K4189" s="17"/>
      <c r="L4189" s="17"/>
      <c r="M4189" s="17"/>
      <c r="N4189" s="17"/>
      <c r="O4189" s="17"/>
      <c r="P4189" s="17"/>
      <c r="Q4189" s="17"/>
      <c r="R4189" s="17"/>
      <c r="S4189" s="17"/>
      <c r="T4189" s="17"/>
    </row>
    <row r="4190" spans="1:2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7"/>
      <c r="K4190" s="17"/>
      <c r="L4190" s="17"/>
      <c r="M4190" s="17"/>
      <c r="N4190" s="17"/>
      <c r="O4190" s="17"/>
      <c r="P4190" s="17"/>
      <c r="Q4190" s="17"/>
      <c r="R4190" s="17"/>
      <c r="S4190" s="17"/>
      <c r="T4190" s="17"/>
    </row>
    <row r="4191" spans="1:2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7"/>
      <c r="K4191" s="17"/>
      <c r="L4191" s="17"/>
      <c r="M4191" s="17"/>
      <c r="N4191" s="17"/>
      <c r="O4191" s="17"/>
      <c r="P4191" s="17"/>
      <c r="Q4191" s="17"/>
      <c r="R4191" s="17"/>
      <c r="S4191" s="17"/>
      <c r="T4191" s="17"/>
    </row>
    <row r="4192" spans="1:2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7"/>
      <c r="K4192" s="17"/>
      <c r="L4192" s="17"/>
      <c r="M4192" s="17"/>
      <c r="N4192" s="17"/>
      <c r="O4192" s="17"/>
      <c r="P4192" s="17"/>
      <c r="Q4192" s="17"/>
      <c r="R4192" s="17"/>
      <c r="S4192" s="17"/>
      <c r="T4192" s="17"/>
    </row>
    <row r="4193" spans="1:2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7"/>
      <c r="K4193" s="17"/>
      <c r="L4193" s="17"/>
      <c r="M4193" s="17"/>
      <c r="N4193" s="17"/>
      <c r="O4193" s="17"/>
      <c r="P4193" s="17"/>
      <c r="Q4193" s="17"/>
      <c r="R4193" s="17"/>
      <c r="S4193" s="17"/>
      <c r="T4193" s="17"/>
    </row>
    <row r="4194" spans="1:2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7"/>
      <c r="K4194" s="17"/>
      <c r="L4194" s="17"/>
      <c r="M4194" s="17"/>
      <c r="N4194" s="17"/>
      <c r="O4194" s="17"/>
      <c r="P4194" s="17"/>
      <c r="Q4194" s="17"/>
      <c r="R4194" s="17"/>
      <c r="S4194" s="17"/>
      <c r="T4194" s="17"/>
    </row>
    <row r="4195" spans="1:2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7"/>
      <c r="K4195" s="17"/>
      <c r="L4195" s="17"/>
      <c r="M4195" s="17"/>
      <c r="N4195" s="17"/>
      <c r="O4195" s="17"/>
      <c r="P4195" s="17"/>
      <c r="Q4195" s="17"/>
      <c r="R4195" s="17"/>
      <c r="S4195" s="17"/>
      <c r="T4195" s="17"/>
    </row>
    <row r="4196" spans="1:2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7"/>
      <c r="K4196" s="17"/>
      <c r="L4196" s="17"/>
      <c r="M4196" s="17"/>
      <c r="N4196" s="17"/>
      <c r="O4196" s="17"/>
      <c r="P4196" s="17"/>
      <c r="Q4196" s="17"/>
      <c r="R4196" s="17"/>
      <c r="S4196" s="17"/>
      <c r="T4196" s="17"/>
    </row>
    <row r="4197" spans="1:2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7"/>
      <c r="K4197" s="17"/>
      <c r="L4197" s="17"/>
      <c r="M4197" s="17"/>
      <c r="N4197" s="17"/>
      <c r="O4197" s="17"/>
      <c r="P4197" s="17"/>
      <c r="Q4197" s="17"/>
      <c r="R4197" s="17"/>
      <c r="S4197" s="17"/>
      <c r="T4197" s="17"/>
    </row>
    <row r="4198" spans="1:2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7"/>
      <c r="K4198" s="17"/>
      <c r="L4198" s="17"/>
      <c r="M4198" s="17"/>
      <c r="N4198" s="17"/>
      <c r="O4198" s="17"/>
      <c r="P4198" s="17"/>
      <c r="Q4198" s="17"/>
      <c r="R4198" s="17"/>
      <c r="S4198" s="17"/>
      <c r="T4198" s="17"/>
    </row>
    <row r="4199" spans="1:2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7"/>
      <c r="K4199" s="17"/>
      <c r="L4199" s="17"/>
      <c r="M4199" s="17"/>
      <c r="N4199" s="17"/>
      <c r="O4199" s="17"/>
      <c r="P4199" s="17"/>
      <c r="Q4199" s="17"/>
      <c r="R4199" s="17"/>
      <c r="S4199" s="17"/>
      <c r="T4199" s="17"/>
    </row>
    <row r="4200" spans="1:2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7"/>
      <c r="K4200" s="17"/>
      <c r="L4200" s="17"/>
      <c r="M4200" s="17"/>
      <c r="N4200" s="17"/>
      <c r="O4200" s="17"/>
      <c r="P4200" s="17"/>
      <c r="Q4200" s="17"/>
      <c r="R4200" s="17"/>
      <c r="S4200" s="17"/>
      <c r="T4200" s="17"/>
    </row>
    <row r="4201" spans="1:2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7"/>
      <c r="K4201" s="17"/>
      <c r="L4201" s="17"/>
      <c r="M4201" s="17"/>
      <c r="N4201" s="17"/>
      <c r="O4201" s="17"/>
      <c r="P4201" s="17"/>
      <c r="Q4201" s="17"/>
      <c r="R4201" s="17"/>
      <c r="S4201" s="17"/>
      <c r="T4201" s="17"/>
    </row>
    <row r="4202" spans="1:2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7"/>
      <c r="K4202" s="17"/>
      <c r="L4202" s="17"/>
      <c r="M4202" s="17"/>
      <c r="N4202" s="17"/>
      <c r="O4202" s="17"/>
      <c r="P4202" s="17"/>
      <c r="Q4202" s="17"/>
      <c r="R4202" s="17"/>
      <c r="S4202" s="17"/>
      <c r="T4202" s="17"/>
    </row>
    <row r="4203" spans="1:2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7"/>
      <c r="K4203" s="17"/>
      <c r="L4203" s="17"/>
      <c r="M4203" s="17"/>
      <c r="N4203" s="17"/>
      <c r="O4203" s="17"/>
      <c r="P4203" s="17"/>
      <c r="Q4203" s="17"/>
      <c r="R4203" s="17"/>
      <c r="S4203" s="17"/>
      <c r="T4203" s="17"/>
    </row>
    <row r="4204" spans="1:2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7"/>
      <c r="K4204" s="17"/>
      <c r="L4204" s="17"/>
      <c r="M4204" s="17"/>
      <c r="N4204" s="17"/>
      <c r="O4204" s="17"/>
      <c r="P4204" s="17"/>
      <c r="Q4204" s="17"/>
      <c r="R4204" s="17"/>
      <c r="S4204" s="17"/>
      <c r="T4204" s="17"/>
    </row>
    <row r="4205" spans="1:2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7"/>
      <c r="K4205" s="17"/>
      <c r="L4205" s="17"/>
      <c r="M4205" s="17"/>
      <c r="N4205" s="17"/>
      <c r="O4205" s="17"/>
      <c r="P4205" s="17"/>
      <c r="Q4205" s="17"/>
      <c r="R4205" s="17"/>
      <c r="S4205" s="17"/>
      <c r="T4205" s="17"/>
    </row>
    <row r="4206" spans="1:2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7"/>
      <c r="K4206" s="17"/>
      <c r="L4206" s="17"/>
      <c r="M4206" s="17"/>
      <c r="N4206" s="17"/>
      <c r="O4206" s="17"/>
      <c r="P4206" s="17"/>
      <c r="Q4206" s="17"/>
      <c r="R4206" s="17"/>
      <c r="S4206" s="17"/>
      <c r="T4206" s="17"/>
    </row>
    <row r="4207" spans="1:2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7"/>
      <c r="K4207" s="17"/>
      <c r="L4207" s="17"/>
      <c r="M4207" s="17"/>
      <c r="N4207" s="17"/>
      <c r="O4207" s="17"/>
      <c r="P4207" s="17"/>
      <c r="Q4207" s="17"/>
      <c r="R4207" s="17"/>
      <c r="S4207" s="17"/>
      <c r="T4207" s="17"/>
    </row>
    <row r="4208" spans="1:2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7"/>
      <c r="K4208" s="17"/>
      <c r="L4208" s="17"/>
      <c r="M4208" s="17"/>
      <c r="N4208" s="17"/>
      <c r="O4208" s="17"/>
      <c r="P4208" s="17"/>
      <c r="Q4208" s="17"/>
      <c r="R4208" s="17"/>
      <c r="S4208" s="17"/>
      <c r="T4208" s="17"/>
    </row>
    <row r="4209" spans="1:2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7"/>
      <c r="K4209" s="17"/>
      <c r="L4209" s="17"/>
      <c r="M4209" s="17"/>
      <c r="N4209" s="17"/>
      <c r="O4209" s="17"/>
      <c r="P4209" s="17"/>
      <c r="Q4209" s="17"/>
      <c r="R4209" s="17"/>
      <c r="S4209" s="17"/>
      <c r="T4209" s="17"/>
    </row>
    <row r="4210" spans="1:2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7"/>
      <c r="K4210" s="17"/>
      <c r="L4210" s="17"/>
      <c r="M4210" s="17"/>
      <c r="N4210" s="17"/>
      <c r="O4210" s="17"/>
      <c r="P4210" s="17"/>
      <c r="Q4210" s="17"/>
      <c r="R4210" s="17"/>
      <c r="S4210" s="17"/>
      <c r="T4210" s="17"/>
    </row>
    <row r="4211" spans="1:2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7"/>
      <c r="K4211" s="17"/>
      <c r="L4211" s="17"/>
      <c r="M4211" s="17"/>
      <c r="N4211" s="17"/>
      <c r="O4211" s="17"/>
      <c r="P4211" s="17"/>
      <c r="Q4211" s="17"/>
      <c r="R4211" s="17"/>
      <c r="S4211" s="17"/>
      <c r="T4211" s="17"/>
    </row>
    <row r="4212" spans="1:2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7"/>
      <c r="K4212" s="17"/>
      <c r="L4212" s="17"/>
      <c r="M4212" s="17"/>
      <c r="N4212" s="17"/>
      <c r="O4212" s="17"/>
      <c r="P4212" s="17"/>
      <c r="Q4212" s="17"/>
      <c r="R4212" s="17"/>
      <c r="S4212" s="17"/>
      <c r="T4212" s="17"/>
    </row>
    <row r="4213" spans="1:2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7"/>
      <c r="K4213" s="17"/>
      <c r="L4213" s="17"/>
      <c r="M4213" s="17"/>
      <c r="N4213" s="17"/>
      <c r="O4213" s="17"/>
      <c r="P4213" s="17"/>
      <c r="Q4213" s="17"/>
      <c r="R4213" s="17"/>
      <c r="S4213" s="17"/>
      <c r="T4213" s="17"/>
    </row>
    <row r="4214" spans="1:2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7"/>
      <c r="K4214" s="17"/>
      <c r="L4214" s="17"/>
      <c r="M4214" s="17"/>
      <c r="N4214" s="17"/>
      <c r="O4214" s="17"/>
      <c r="P4214" s="17"/>
      <c r="Q4214" s="17"/>
      <c r="R4214" s="17"/>
      <c r="S4214" s="17"/>
      <c r="T4214" s="17"/>
    </row>
    <row r="4215" spans="1:2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7"/>
      <c r="K4215" s="17"/>
      <c r="L4215" s="17"/>
      <c r="M4215" s="17"/>
      <c r="N4215" s="17"/>
      <c r="O4215" s="17"/>
      <c r="P4215" s="17"/>
      <c r="Q4215" s="17"/>
      <c r="R4215" s="17"/>
      <c r="S4215" s="17"/>
      <c r="T4215" s="17"/>
    </row>
    <row r="4216" spans="1:2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7"/>
      <c r="K4216" s="17"/>
      <c r="L4216" s="17"/>
      <c r="M4216" s="17"/>
      <c r="N4216" s="17"/>
      <c r="O4216" s="17"/>
      <c r="P4216" s="17"/>
      <c r="Q4216" s="17"/>
      <c r="R4216" s="17"/>
      <c r="S4216" s="17"/>
      <c r="T4216" s="17"/>
    </row>
    <row r="4217" spans="1:2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7"/>
      <c r="K4217" s="17"/>
      <c r="L4217" s="17"/>
      <c r="M4217" s="17"/>
      <c r="N4217" s="17"/>
      <c r="O4217" s="17"/>
      <c r="P4217" s="17"/>
      <c r="Q4217" s="17"/>
      <c r="R4217" s="17"/>
      <c r="S4217" s="17"/>
      <c r="T4217" s="17"/>
    </row>
    <row r="4218" spans="1:2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7"/>
      <c r="K4218" s="17"/>
      <c r="L4218" s="17"/>
      <c r="M4218" s="17"/>
      <c r="N4218" s="17"/>
      <c r="O4218" s="17"/>
      <c r="P4218" s="17"/>
      <c r="Q4218" s="17"/>
      <c r="R4218" s="17"/>
      <c r="S4218" s="17"/>
      <c r="T4218" s="17"/>
    </row>
    <row r="4219" spans="1:2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7"/>
      <c r="K4219" s="17"/>
      <c r="L4219" s="17"/>
      <c r="M4219" s="17"/>
      <c r="N4219" s="17"/>
      <c r="O4219" s="17"/>
      <c r="P4219" s="17"/>
      <c r="Q4219" s="17"/>
      <c r="R4219" s="17"/>
      <c r="S4219" s="17"/>
      <c r="T4219" s="17"/>
    </row>
    <row r="4220" spans="1:2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7"/>
      <c r="K4220" s="17"/>
      <c r="L4220" s="17"/>
      <c r="M4220" s="17"/>
      <c r="N4220" s="17"/>
      <c r="O4220" s="17"/>
      <c r="P4220" s="17"/>
      <c r="Q4220" s="17"/>
      <c r="R4220" s="17"/>
      <c r="S4220" s="17"/>
      <c r="T4220" s="17"/>
    </row>
    <row r="4221" spans="1:2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7"/>
      <c r="K4221" s="17"/>
      <c r="L4221" s="17"/>
      <c r="M4221" s="17"/>
      <c r="N4221" s="17"/>
      <c r="O4221" s="17"/>
      <c r="P4221" s="17"/>
      <c r="Q4221" s="17"/>
      <c r="R4221" s="17"/>
      <c r="S4221" s="17"/>
      <c r="T4221" s="17"/>
    </row>
    <row r="4222" spans="1:2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7"/>
      <c r="K4222" s="17"/>
      <c r="L4222" s="17"/>
      <c r="M4222" s="17"/>
      <c r="N4222" s="17"/>
      <c r="O4222" s="17"/>
      <c r="P4222" s="17"/>
      <c r="Q4222" s="17"/>
      <c r="R4222" s="17"/>
      <c r="S4222" s="17"/>
      <c r="T4222" s="17"/>
    </row>
    <row r="4223" spans="1:2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7"/>
      <c r="K4223" s="17"/>
      <c r="L4223" s="17"/>
      <c r="M4223" s="17"/>
      <c r="N4223" s="17"/>
      <c r="O4223" s="17"/>
      <c r="P4223" s="17"/>
      <c r="Q4223" s="17"/>
      <c r="R4223" s="17"/>
      <c r="S4223" s="17"/>
      <c r="T4223" s="17"/>
    </row>
    <row r="4224" spans="1:2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7"/>
      <c r="K4224" s="17"/>
      <c r="L4224" s="17"/>
      <c r="M4224" s="17"/>
      <c r="N4224" s="17"/>
      <c r="O4224" s="17"/>
      <c r="P4224" s="17"/>
      <c r="Q4224" s="17"/>
      <c r="R4224" s="17"/>
      <c r="S4224" s="17"/>
      <c r="T4224" s="17"/>
    </row>
    <row r="4225" spans="1:2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7"/>
      <c r="K4225" s="17"/>
      <c r="L4225" s="17"/>
      <c r="M4225" s="17"/>
      <c r="N4225" s="17"/>
      <c r="O4225" s="17"/>
      <c r="P4225" s="17"/>
      <c r="Q4225" s="17"/>
      <c r="R4225" s="17"/>
      <c r="S4225" s="17"/>
      <c r="T4225" s="17"/>
    </row>
    <row r="4226" spans="1:2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7"/>
      <c r="K4226" s="17"/>
      <c r="L4226" s="17"/>
      <c r="M4226" s="17"/>
      <c r="N4226" s="17"/>
      <c r="O4226" s="17"/>
      <c r="P4226" s="17"/>
      <c r="Q4226" s="17"/>
      <c r="R4226" s="17"/>
      <c r="S4226" s="17"/>
      <c r="T4226" s="17"/>
    </row>
    <row r="4227" spans="1:2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7"/>
      <c r="K4227" s="17"/>
      <c r="L4227" s="17"/>
      <c r="M4227" s="17"/>
      <c r="N4227" s="17"/>
      <c r="O4227" s="17"/>
      <c r="P4227" s="17"/>
      <c r="Q4227" s="17"/>
      <c r="R4227" s="17"/>
      <c r="S4227" s="17"/>
      <c r="T4227" s="17"/>
    </row>
    <row r="4228" spans="1:2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7"/>
      <c r="K4228" s="17"/>
      <c r="L4228" s="17"/>
      <c r="M4228" s="17"/>
      <c r="N4228" s="17"/>
      <c r="O4228" s="17"/>
      <c r="P4228" s="17"/>
      <c r="Q4228" s="17"/>
      <c r="R4228" s="17"/>
      <c r="S4228" s="17"/>
      <c r="T4228" s="17"/>
    </row>
    <row r="4229" spans="1:2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7"/>
      <c r="K4229" s="17"/>
      <c r="L4229" s="17"/>
      <c r="M4229" s="17"/>
      <c r="N4229" s="17"/>
      <c r="O4229" s="17"/>
      <c r="P4229" s="17"/>
      <c r="Q4229" s="17"/>
      <c r="R4229" s="17"/>
      <c r="S4229" s="17"/>
      <c r="T4229" s="17"/>
    </row>
    <row r="4230" spans="1:2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7"/>
      <c r="K4230" s="17"/>
      <c r="L4230" s="17"/>
      <c r="M4230" s="17"/>
      <c r="N4230" s="17"/>
      <c r="O4230" s="17"/>
      <c r="P4230" s="17"/>
      <c r="Q4230" s="17"/>
      <c r="R4230" s="17"/>
      <c r="S4230" s="17"/>
      <c r="T4230" s="17"/>
    </row>
    <row r="4231" spans="1:2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7"/>
      <c r="K4231" s="17"/>
      <c r="L4231" s="17"/>
      <c r="M4231" s="17"/>
      <c r="N4231" s="17"/>
      <c r="O4231" s="17"/>
      <c r="P4231" s="17"/>
      <c r="Q4231" s="17"/>
      <c r="R4231" s="17"/>
      <c r="S4231" s="17"/>
      <c r="T4231" s="17"/>
    </row>
    <row r="4232" spans="1:2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7"/>
      <c r="K4232" s="17"/>
      <c r="L4232" s="17"/>
      <c r="M4232" s="17"/>
      <c r="N4232" s="17"/>
      <c r="O4232" s="17"/>
      <c r="P4232" s="17"/>
      <c r="Q4232" s="17"/>
      <c r="R4232" s="17"/>
      <c r="S4232" s="17"/>
      <c r="T4232" s="17"/>
    </row>
    <row r="4233" spans="1:2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7"/>
      <c r="K4233" s="17"/>
      <c r="L4233" s="17"/>
      <c r="M4233" s="17"/>
      <c r="N4233" s="17"/>
      <c r="O4233" s="17"/>
      <c r="P4233" s="17"/>
      <c r="Q4233" s="17"/>
      <c r="R4233" s="17"/>
      <c r="S4233" s="17"/>
      <c r="T4233" s="17"/>
    </row>
    <row r="4234" spans="1:2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7"/>
      <c r="K4234" s="17"/>
      <c r="L4234" s="17"/>
      <c r="M4234" s="17"/>
      <c r="N4234" s="17"/>
      <c r="O4234" s="17"/>
      <c r="P4234" s="17"/>
      <c r="Q4234" s="17"/>
      <c r="R4234" s="17"/>
      <c r="S4234" s="17"/>
      <c r="T4234" s="17"/>
    </row>
    <row r="4235" spans="1:2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7"/>
      <c r="K4235" s="17"/>
      <c r="L4235" s="17"/>
      <c r="M4235" s="17"/>
      <c r="N4235" s="17"/>
      <c r="O4235" s="17"/>
      <c r="P4235" s="17"/>
      <c r="Q4235" s="17"/>
      <c r="R4235" s="17"/>
      <c r="S4235" s="17"/>
      <c r="T4235" s="17"/>
    </row>
    <row r="4236" spans="1:2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7"/>
      <c r="K4236" s="17"/>
      <c r="L4236" s="17"/>
      <c r="M4236" s="17"/>
      <c r="N4236" s="17"/>
      <c r="O4236" s="17"/>
      <c r="P4236" s="17"/>
      <c r="Q4236" s="17"/>
      <c r="R4236" s="17"/>
      <c r="S4236" s="17"/>
      <c r="T4236" s="17"/>
    </row>
    <row r="4237" spans="1:2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7"/>
      <c r="K4237" s="17"/>
      <c r="L4237" s="17"/>
      <c r="M4237" s="17"/>
      <c r="N4237" s="17"/>
      <c r="O4237" s="17"/>
      <c r="P4237" s="17"/>
      <c r="Q4237" s="17"/>
      <c r="R4237" s="17"/>
      <c r="S4237" s="17"/>
      <c r="T4237" s="17"/>
    </row>
    <row r="4238" spans="1:2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7"/>
      <c r="K4238" s="17"/>
      <c r="L4238" s="17"/>
      <c r="M4238" s="17"/>
      <c r="N4238" s="17"/>
      <c r="O4238" s="17"/>
      <c r="P4238" s="17"/>
      <c r="Q4238" s="17"/>
      <c r="R4238" s="17"/>
      <c r="S4238" s="17"/>
      <c r="T4238" s="17"/>
    </row>
    <row r="4239" spans="1:2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7"/>
      <c r="K4239" s="17"/>
      <c r="L4239" s="17"/>
      <c r="M4239" s="17"/>
      <c r="N4239" s="17"/>
      <c r="O4239" s="17"/>
      <c r="P4239" s="17"/>
      <c r="Q4239" s="17"/>
      <c r="R4239" s="17"/>
      <c r="S4239" s="17"/>
      <c r="T4239" s="17"/>
    </row>
    <row r="4240" spans="1:2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7"/>
      <c r="K4240" s="17"/>
      <c r="L4240" s="17"/>
      <c r="M4240" s="17"/>
      <c r="N4240" s="17"/>
      <c r="O4240" s="17"/>
      <c r="P4240" s="17"/>
      <c r="Q4240" s="17"/>
      <c r="R4240" s="17"/>
      <c r="S4240" s="17"/>
      <c r="T4240" s="17"/>
    </row>
    <row r="4241" spans="1:2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7"/>
      <c r="K4241" s="17"/>
      <c r="L4241" s="17"/>
      <c r="M4241" s="17"/>
      <c r="N4241" s="17"/>
      <c r="O4241" s="17"/>
      <c r="P4241" s="17"/>
      <c r="Q4241" s="17"/>
      <c r="R4241" s="17"/>
      <c r="S4241" s="17"/>
      <c r="T4241" s="17"/>
    </row>
    <row r="4242" spans="1:2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7"/>
      <c r="K4242" s="17"/>
      <c r="L4242" s="17"/>
      <c r="M4242" s="17"/>
      <c r="N4242" s="17"/>
      <c r="O4242" s="17"/>
      <c r="P4242" s="17"/>
      <c r="Q4242" s="17"/>
      <c r="R4242" s="17"/>
      <c r="S4242" s="17"/>
      <c r="T4242" s="17"/>
    </row>
    <row r="4243" spans="1:2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7"/>
      <c r="K4243" s="17"/>
      <c r="L4243" s="17"/>
      <c r="M4243" s="17"/>
      <c r="N4243" s="17"/>
      <c r="O4243" s="17"/>
      <c r="P4243" s="17"/>
      <c r="Q4243" s="17"/>
      <c r="R4243" s="17"/>
      <c r="S4243" s="17"/>
      <c r="T4243" s="17"/>
    </row>
    <row r="4244" spans="1:2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7"/>
      <c r="K4244" s="17"/>
      <c r="L4244" s="17"/>
      <c r="M4244" s="17"/>
      <c r="N4244" s="17"/>
      <c r="O4244" s="17"/>
      <c r="P4244" s="17"/>
      <c r="Q4244" s="17"/>
      <c r="R4244" s="17"/>
      <c r="S4244" s="17"/>
      <c r="T4244" s="17"/>
    </row>
    <row r="4245" spans="1:2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7"/>
      <c r="K4245" s="17"/>
      <c r="L4245" s="17"/>
      <c r="M4245" s="17"/>
      <c r="N4245" s="17"/>
      <c r="O4245" s="17"/>
      <c r="P4245" s="17"/>
      <c r="Q4245" s="17"/>
      <c r="R4245" s="17"/>
      <c r="S4245" s="17"/>
      <c r="T4245" s="17"/>
    </row>
    <row r="4246" spans="1:2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7"/>
      <c r="K4246" s="17"/>
      <c r="L4246" s="17"/>
      <c r="M4246" s="17"/>
      <c r="N4246" s="17"/>
      <c r="O4246" s="17"/>
      <c r="P4246" s="17"/>
      <c r="Q4246" s="17"/>
      <c r="R4246" s="17"/>
      <c r="S4246" s="17"/>
      <c r="T4246" s="17"/>
    </row>
    <row r="4247" spans="1:2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7"/>
      <c r="K4247" s="17"/>
      <c r="L4247" s="17"/>
      <c r="M4247" s="17"/>
      <c r="N4247" s="17"/>
      <c r="O4247" s="17"/>
      <c r="P4247" s="17"/>
      <c r="Q4247" s="17"/>
      <c r="R4247" s="17"/>
      <c r="S4247" s="17"/>
      <c r="T4247" s="17"/>
    </row>
    <row r="4248" spans="1:2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7"/>
      <c r="K4248" s="17"/>
      <c r="L4248" s="17"/>
      <c r="M4248" s="17"/>
      <c r="N4248" s="17"/>
      <c r="O4248" s="17"/>
      <c r="P4248" s="17"/>
      <c r="Q4248" s="17"/>
      <c r="R4248" s="17"/>
      <c r="S4248" s="17"/>
      <c r="T4248" s="17"/>
    </row>
    <row r="4249" spans="1:2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7"/>
      <c r="K4249" s="17"/>
      <c r="L4249" s="17"/>
      <c r="M4249" s="17"/>
      <c r="N4249" s="17"/>
      <c r="O4249" s="17"/>
      <c r="P4249" s="17"/>
      <c r="Q4249" s="17"/>
      <c r="R4249" s="17"/>
      <c r="S4249" s="17"/>
      <c r="T4249" s="17"/>
    </row>
  </sheetData>
  <phoneticPr fontId="6" type="noConversion"/>
  <pageMargins left="0" right="0" top="0.7" bottom="0" header="0.25" footer="0"/>
  <pageSetup scale="69" orientation="landscape" horizontalDpi="300" r:id="rId1"/>
  <headerFooter alignWithMargins="0"/>
  <rowBreaks count="1" manualBreakCount="1">
    <brk id="183" max="16383" man="1"/>
  </rowBreaks>
  <customProperties>
    <customPr name="_pios_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FF00"/>
    <pageSetUpPr fitToPage="1"/>
  </sheetPr>
  <dimension ref="A1:Q463"/>
  <sheetViews>
    <sheetView view="pageBreakPreview" zoomScale="60" zoomScaleNormal="100" workbookViewId="0">
      <selection activeCell="C30" sqref="C30"/>
    </sheetView>
  </sheetViews>
  <sheetFormatPr defaultColWidth="9.140625" defaultRowHeight="12.75" x14ac:dyDescent="0.2"/>
  <cols>
    <col min="1" max="1" width="7.5703125" style="211" customWidth="1"/>
    <col min="2" max="2" width="19.140625" style="211" customWidth="1"/>
    <col min="3" max="6" width="15.5703125" style="211" customWidth="1"/>
    <col min="7" max="7" width="16.140625" style="211" customWidth="1"/>
    <col min="8" max="8" width="13.42578125" style="211" customWidth="1"/>
    <col min="9" max="9" width="15.85546875" style="211" customWidth="1"/>
    <col min="10" max="10" width="16" style="211" customWidth="1"/>
    <col min="11" max="14" width="15.5703125" style="211" customWidth="1"/>
    <col min="15" max="15" width="14.140625" style="211" customWidth="1"/>
    <col min="16" max="16" width="13" style="211" customWidth="1"/>
    <col min="17" max="17" width="15.85546875" style="211" customWidth="1"/>
    <col min="18" max="18" width="14.5703125" style="211" bestFit="1" customWidth="1"/>
    <col min="19" max="16384" width="9.140625" style="211"/>
  </cols>
  <sheetData>
    <row r="1" spans="1:8" ht="15.75" x14ac:dyDescent="0.25">
      <c r="A1" s="248"/>
      <c r="B1" s="248"/>
      <c r="C1" s="248"/>
      <c r="D1" s="248"/>
      <c r="E1" s="248"/>
      <c r="F1" s="651"/>
      <c r="G1" s="248"/>
    </row>
    <row r="2" spans="1:8" ht="15.75" x14ac:dyDescent="0.25">
      <c r="A2" s="248"/>
      <c r="B2" s="248"/>
      <c r="C2" s="248"/>
      <c r="D2" s="652" t="s">
        <v>100</v>
      </c>
      <c r="E2" s="248"/>
      <c r="F2" s="248"/>
      <c r="G2" s="248"/>
    </row>
    <row r="3" spans="1:8" ht="15.75" x14ac:dyDescent="0.25">
      <c r="A3" s="248"/>
      <c r="B3" s="248"/>
      <c r="C3" s="248"/>
      <c r="D3" s="652" t="s">
        <v>117</v>
      </c>
      <c r="E3" s="248"/>
      <c r="F3" s="248"/>
      <c r="G3" s="248"/>
    </row>
    <row r="4" spans="1:8" ht="15.75" x14ac:dyDescent="0.25">
      <c r="A4" s="248"/>
      <c r="B4" s="248"/>
      <c r="C4" s="248"/>
      <c r="D4" s="653" t="str">
        <f>'Other Revenue'!J5</f>
        <v>Reference Period - Twelve Months Ending 06/30/2017</v>
      </c>
      <c r="E4" s="248"/>
      <c r="F4" s="248"/>
      <c r="G4" s="248"/>
    </row>
    <row r="5" spans="1:8" ht="15.75" x14ac:dyDescent="0.25">
      <c r="A5" s="248"/>
      <c r="B5" s="248"/>
      <c r="C5" s="248"/>
      <c r="D5" s="248"/>
      <c r="E5" s="248"/>
      <c r="F5" s="248"/>
      <c r="G5" s="248"/>
    </row>
    <row r="6" spans="1:8" ht="15.75" x14ac:dyDescent="0.25">
      <c r="A6" s="248" t="s">
        <v>12</v>
      </c>
      <c r="B6" s="248"/>
      <c r="C6" s="654" t="s">
        <v>8</v>
      </c>
      <c r="D6" s="654" t="s">
        <v>103</v>
      </c>
      <c r="E6" s="654" t="s">
        <v>118</v>
      </c>
      <c r="F6" s="654" t="s">
        <v>119</v>
      </c>
      <c r="G6" s="248"/>
    </row>
    <row r="7" spans="1:8" ht="15.75" x14ac:dyDescent="0.25">
      <c r="A7" s="655" t="s">
        <v>17</v>
      </c>
      <c r="B7" s="656" t="s">
        <v>5</v>
      </c>
      <c r="C7" s="656" t="s">
        <v>107</v>
      </c>
      <c r="D7" s="656" t="s">
        <v>107</v>
      </c>
      <c r="E7" s="656" t="s">
        <v>120</v>
      </c>
      <c r="F7" s="656" t="s">
        <v>120</v>
      </c>
      <c r="G7" s="248"/>
    </row>
    <row r="8" spans="1:8" ht="15.75" x14ac:dyDescent="0.25">
      <c r="A8" s="248"/>
      <c r="B8" s="654" t="s">
        <v>13</v>
      </c>
      <c r="C8" s="654" t="s">
        <v>14</v>
      </c>
      <c r="D8" s="654" t="s">
        <v>15</v>
      </c>
      <c r="E8" s="654" t="s">
        <v>16</v>
      </c>
      <c r="F8" s="654" t="s">
        <v>108</v>
      </c>
      <c r="G8" s="248"/>
    </row>
    <row r="9" spans="1:8" ht="15.75" x14ac:dyDescent="0.25">
      <c r="A9" s="248"/>
      <c r="B9" s="654"/>
      <c r="C9" s="654"/>
      <c r="D9" s="654"/>
      <c r="E9" s="654"/>
      <c r="F9" s="654"/>
      <c r="G9" s="248"/>
    </row>
    <row r="10" spans="1:8" ht="15.75" x14ac:dyDescent="0.25">
      <c r="A10" s="247" t="s">
        <v>708</v>
      </c>
      <c r="B10" s="248"/>
      <c r="C10" s="248"/>
      <c r="D10" s="248"/>
      <c r="E10" s="248"/>
      <c r="F10" s="248"/>
      <c r="G10" s="248"/>
    </row>
    <row r="11" spans="1:8" ht="15.75" x14ac:dyDescent="0.25">
      <c r="A11" s="248"/>
      <c r="G11" s="248"/>
    </row>
    <row r="12" spans="1:8" ht="15.75" x14ac:dyDescent="0.25">
      <c r="A12" s="248">
        <v>1</v>
      </c>
      <c r="B12" s="657">
        <f>C48</f>
        <v>42552</v>
      </c>
      <c r="C12" s="249">
        <f>G48</f>
        <v>0</v>
      </c>
      <c r="D12" s="249">
        <f>O48</f>
        <v>0</v>
      </c>
      <c r="E12" s="249">
        <f>H48</f>
        <v>0</v>
      </c>
      <c r="F12" s="249">
        <f>P48</f>
        <v>0</v>
      </c>
      <c r="G12" s="248"/>
    </row>
    <row r="13" spans="1:8" ht="15.75" x14ac:dyDescent="0.25">
      <c r="A13" s="248">
        <f t="shared" ref="A13:A25" si="0">A12+1</f>
        <v>2</v>
      </c>
      <c r="B13" s="657">
        <f t="shared" ref="B13:B23" si="1">C49</f>
        <v>42583</v>
      </c>
      <c r="C13" s="249">
        <f t="shared" ref="C13:C23" si="2">G49</f>
        <v>0</v>
      </c>
      <c r="D13" s="250">
        <f t="shared" ref="D13:D23" si="3">O49</f>
        <v>0</v>
      </c>
      <c r="E13" s="250">
        <f t="shared" ref="E13:E23" si="4">H49</f>
        <v>0</v>
      </c>
      <c r="F13" s="250">
        <f t="shared" ref="F13:F23" si="5">P49</f>
        <v>0</v>
      </c>
      <c r="G13" s="248"/>
    </row>
    <row r="14" spans="1:8" ht="15.75" x14ac:dyDescent="0.25">
      <c r="A14" s="248">
        <f t="shared" si="0"/>
        <v>3</v>
      </c>
      <c r="B14" s="657">
        <f t="shared" si="1"/>
        <v>42614</v>
      </c>
      <c r="C14" s="250">
        <f t="shared" si="2"/>
        <v>14</v>
      </c>
      <c r="D14" s="250">
        <f t="shared" si="3"/>
        <v>24</v>
      </c>
      <c r="E14" s="250">
        <f t="shared" si="4"/>
        <v>0</v>
      </c>
      <c r="F14" s="250">
        <f t="shared" si="5"/>
        <v>2</v>
      </c>
      <c r="G14" s="248"/>
      <c r="H14" s="657"/>
    </row>
    <row r="15" spans="1:8" ht="15.75" x14ac:dyDescent="0.25">
      <c r="A15" s="248">
        <f t="shared" si="0"/>
        <v>4</v>
      </c>
      <c r="B15" s="657">
        <f t="shared" si="1"/>
        <v>42644</v>
      </c>
      <c r="C15" s="249">
        <f t="shared" si="2"/>
        <v>80</v>
      </c>
      <c r="D15" s="249">
        <f t="shared" si="3"/>
        <v>213</v>
      </c>
      <c r="E15" s="249">
        <f t="shared" si="4"/>
        <v>40</v>
      </c>
      <c r="F15" s="249">
        <f t="shared" si="5"/>
        <v>89</v>
      </c>
      <c r="G15" s="248"/>
      <c r="H15" s="657"/>
    </row>
    <row r="16" spans="1:8" ht="15.75" x14ac:dyDescent="0.25">
      <c r="A16" s="248">
        <f t="shared" si="0"/>
        <v>5</v>
      </c>
      <c r="B16" s="657">
        <f t="shared" si="1"/>
        <v>42675</v>
      </c>
      <c r="C16" s="249">
        <f t="shared" si="2"/>
        <v>391</v>
      </c>
      <c r="D16" s="249">
        <f t="shared" si="3"/>
        <v>500</v>
      </c>
      <c r="E16" s="249">
        <f t="shared" si="4"/>
        <v>204</v>
      </c>
      <c r="F16" s="249">
        <f t="shared" si="5"/>
        <v>358</v>
      </c>
      <c r="G16" s="248"/>
      <c r="H16" s="657"/>
    </row>
    <row r="17" spans="1:9" ht="15.75" x14ac:dyDescent="0.25">
      <c r="A17" s="248">
        <f t="shared" si="0"/>
        <v>6</v>
      </c>
      <c r="B17" s="657">
        <f t="shared" si="1"/>
        <v>42705</v>
      </c>
      <c r="C17" s="249">
        <f t="shared" si="2"/>
        <v>815</v>
      </c>
      <c r="D17" s="249">
        <f t="shared" si="3"/>
        <v>808</v>
      </c>
      <c r="E17" s="249">
        <f t="shared" si="4"/>
        <v>671</v>
      </c>
      <c r="F17" s="249">
        <f t="shared" si="5"/>
        <v>665</v>
      </c>
      <c r="G17" s="248"/>
      <c r="H17" s="657"/>
    </row>
    <row r="18" spans="1:9" ht="15.75" x14ac:dyDescent="0.25">
      <c r="A18" s="248">
        <f t="shared" si="0"/>
        <v>7</v>
      </c>
      <c r="B18" s="657">
        <f t="shared" si="1"/>
        <v>42736</v>
      </c>
      <c r="C18" s="249">
        <f t="shared" si="2"/>
        <v>687</v>
      </c>
      <c r="D18" s="249">
        <f t="shared" si="3"/>
        <v>894</v>
      </c>
      <c r="E18" s="249">
        <f t="shared" si="4"/>
        <v>788</v>
      </c>
      <c r="F18" s="249">
        <f t="shared" si="5"/>
        <v>852</v>
      </c>
      <c r="G18" s="248"/>
      <c r="H18" s="657"/>
    </row>
    <row r="19" spans="1:9" ht="15.75" x14ac:dyDescent="0.25">
      <c r="A19" s="248">
        <f t="shared" si="0"/>
        <v>8</v>
      </c>
      <c r="B19" s="657">
        <f t="shared" si="1"/>
        <v>42767</v>
      </c>
      <c r="C19" s="249">
        <f t="shared" si="2"/>
        <v>459</v>
      </c>
      <c r="D19" s="249">
        <f t="shared" si="3"/>
        <v>728</v>
      </c>
      <c r="E19" s="249">
        <f t="shared" si="4"/>
        <v>604</v>
      </c>
      <c r="F19" s="249">
        <f t="shared" si="5"/>
        <v>889</v>
      </c>
      <c r="G19" s="248"/>
      <c r="H19" s="657"/>
    </row>
    <row r="20" spans="1:9" ht="15.75" x14ac:dyDescent="0.25">
      <c r="A20" s="248">
        <f t="shared" si="0"/>
        <v>9</v>
      </c>
      <c r="B20" s="657">
        <f t="shared" si="1"/>
        <v>42795</v>
      </c>
      <c r="C20" s="249">
        <f t="shared" si="2"/>
        <v>448</v>
      </c>
      <c r="D20" s="249">
        <f t="shared" si="3"/>
        <v>519</v>
      </c>
      <c r="E20" s="249">
        <f t="shared" si="4"/>
        <v>432</v>
      </c>
      <c r="F20" s="249">
        <f t="shared" si="5"/>
        <v>607</v>
      </c>
      <c r="G20" s="248"/>
      <c r="H20" s="657"/>
    </row>
    <row r="21" spans="1:9" ht="15.75" x14ac:dyDescent="0.25">
      <c r="A21" s="248">
        <f t="shared" si="0"/>
        <v>10</v>
      </c>
      <c r="B21" s="657">
        <f t="shared" si="1"/>
        <v>42826</v>
      </c>
      <c r="C21" s="249">
        <f t="shared" si="2"/>
        <v>106</v>
      </c>
      <c r="D21" s="249">
        <f t="shared" si="3"/>
        <v>212</v>
      </c>
      <c r="E21" s="249">
        <f t="shared" si="4"/>
        <v>226</v>
      </c>
      <c r="F21" s="249">
        <f t="shared" si="5"/>
        <v>354</v>
      </c>
      <c r="G21" s="248"/>
      <c r="H21" s="657"/>
    </row>
    <row r="22" spans="1:9" ht="15.75" x14ac:dyDescent="0.25">
      <c r="A22" s="248">
        <f t="shared" si="0"/>
        <v>11</v>
      </c>
      <c r="B22" s="657">
        <f t="shared" si="1"/>
        <v>42856</v>
      </c>
      <c r="C22" s="249">
        <f t="shared" si="2"/>
        <v>62</v>
      </c>
      <c r="D22" s="249">
        <f t="shared" si="3"/>
        <v>59</v>
      </c>
      <c r="E22" s="249">
        <f t="shared" si="4"/>
        <v>93</v>
      </c>
      <c r="F22" s="249">
        <f t="shared" si="5"/>
        <v>121</v>
      </c>
      <c r="G22" s="248"/>
      <c r="H22" s="657"/>
    </row>
    <row r="23" spans="1:9" ht="15.75" x14ac:dyDescent="0.25">
      <c r="A23" s="248">
        <f t="shared" si="0"/>
        <v>12</v>
      </c>
      <c r="B23" s="657">
        <f t="shared" si="1"/>
        <v>42887</v>
      </c>
      <c r="C23" s="251">
        <f t="shared" si="2"/>
        <v>0</v>
      </c>
      <c r="D23" s="251">
        <f t="shared" si="3"/>
        <v>2</v>
      </c>
      <c r="E23" s="251">
        <f t="shared" si="4"/>
        <v>4</v>
      </c>
      <c r="F23" s="251">
        <f t="shared" si="5"/>
        <v>22</v>
      </c>
      <c r="G23" s="248"/>
      <c r="H23" s="657"/>
    </row>
    <row r="24" spans="1:9" ht="15.75" x14ac:dyDescent="0.25">
      <c r="A24" s="248">
        <f t="shared" si="0"/>
        <v>13</v>
      </c>
      <c r="B24" s="248"/>
      <c r="C24" s="248"/>
      <c r="D24" s="248"/>
      <c r="E24" s="248"/>
      <c r="F24" s="248"/>
      <c r="G24" s="248"/>
    </row>
    <row r="25" spans="1:9" ht="16.5" thickBot="1" x14ac:dyDescent="0.3">
      <c r="A25" s="248">
        <f t="shared" si="0"/>
        <v>14</v>
      </c>
      <c r="B25" s="248"/>
      <c r="C25" s="252">
        <f>SUM(C12:C23)</f>
        <v>3062</v>
      </c>
      <c r="D25" s="252">
        <f>SUM(D12:D23)</f>
        <v>3959</v>
      </c>
      <c r="E25" s="252">
        <f>SUM(E12:E23)</f>
        <v>3062</v>
      </c>
      <c r="F25" s="252">
        <f>SUM(F12:F23)</f>
        <v>3959</v>
      </c>
      <c r="G25" s="248"/>
      <c r="I25" s="670"/>
    </row>
    <row r="26" spans="1:9" ht="16.5" thickTop="1" x14ac:dyDescent="0.25">
      <c r="A26" s="248"/>
      <c r="G26" s="248"/>
      <c r="I26" s="670"/>
    </row>
    <row r="27" spans="1:9" ht="15.75" x14ac:dyDescent="0.25">
      <c r="A27" s="248" t="s">
        <v>121</v>
      </c>
      <c r="B27" s="248" t="s">
        <v>122</v>
      </c>
      <c r="C27" s="248"/>
      <c r="D27" s="248"/>
      <c r="E27" s="248"/>
      <c r="F27" s="248"/>
      <c r="G27" s="248"/>
      <c r="I27" s="670"/>
    </row>
    <row r="28" spans="1:9" ht="15.75" x14ac:dyDescent="0.25">
      <c r="A28" s="248" t="s">
        <v>123</v>
      </c>
      <c r="B28" s="753" t="s">
        <v>686</v>
      </c>
      <c r="C28" s="753"/>
      <c r="D28" s="753"/>
      <c r="E28" s="753"/>
      <c r="F28" s="753"/>
      <c r="G28" s="248"/>
      <c r="I28" s="670"/>
    </row>
    <row r="29" spans="1:9" ht="15.75" x14ac:dyDescent="0.25">
      <c r="A29" s="248"/>
      <c r="B29" s="753"/>
      <c r="C29" s="753"/>
      <c r="D29" s="753"/>
      <c r="E29" s="753"/>
      <c r="F29" s="753"/>
      <c r="G29" s="248"/>
      <c r="I29" s="670"/>
    </row>
    <row r="31" spans="1:9" hidden="1" x14ac:dyDescent="0.2"/>
    <row r="32" spans="1:9" hidden="1" x14ac:dyDescent="0.2"/>
    <row r="33" spans="2:17" hidden="1" x14ac:dyDescent="0.2"/>
    <row r="34" spans="2:17" hidden="1" x14ac:dyDescent="0.2"/>
    <row r="35" spans="2:17" hidden="1" x14ac:dyDescent="0.2"/>
    <row r="36" spans="2:17" hidden="1" x14ac:dyDescent="0.2"/>
    <row r="37" spans="2:17" hidden="1" x14ac:dyDescent="0.2"/>
    <row r="38" spans="2:17" hidden="1" x14ac:dyDescent="0.2"/>
    <row r="39" spans="2:17" hidden="1" x14ac:dyDescent="0.2"/>
    <row r="40" spans="2:17" hidden="1" x14ac:dyDescent="0.2"/>
    <row r="41" spans="2:17" hidden="1" x14ac:dyDescent="0.2"/>
    <row r="42" spans="2:17" x14ac:dyDescent="0.2">
      <c r="E42" s="658"/>
      <c r="F42" s="658"/>
      <c r="G42" s="658"/>
      <c r="H42" s="658"/>
      <c r="M42" s="658"/>
      <c r="N42" s="658"/>
      <c r="O42" s="658"/>
      <c r="P42" s="658"/>
      <c r="Q42" s="658"/>
    </row>
    <row r="43" spans="2:17" x14ac:dyDescent="0.2">
      <c r="E43" s="658"/>
      <c r="F43" s="658"/>
      <c r="G43" s="658"/>
      <c r="H43" s="658"/>
      <c r="I43" s="659"/>
      <c r="M43" s="658"/>
      <c r="N43" s="658"/>
      <c r="O43" s="658"/>
      <c r="P43" s="658"/>
      <c r="Q43" s="658"/>
    </row>
    <row r="44" spans="2:17" ht="18" x14ac:dyDescent="0.25">
      <c r="B44" s="755" t="s">
        <v>566</v>
      </c>
      <c r="C44" s="756"/>
      <c r="D44" s="756"/>
      <c r="E44" s="756"/>
      <c r="F44" s="756"/>
      <c r="G44" s="756"/>
      <c r="H44" s="757"/>
      <c r="J44" s="755" t="s">
        <v>709</v>
      </c>
      <c r="K44" s="756"/>
      <c r="L44" s="756"/>
      <c r="M44" s="756"/>
      <c r="N44" s="756"/>
      <c r="O44" s="756"/>
      <c r="P44" s="757"/>
    </row>
    <row r="47" spans="2:17" ht="26.25" thickBot="1" x14ac:dyDescent="0.25">
      <c r="C47" s="754" t="s">
        <v>5</v>
      </c>
      <c r="D47" s="754"/>
      <c r="E47" s="754" t="s">
        <v>102</v>
      </c>
      <c r="F47" s="754"/>
      <c r="G47" s="660" t="s">
        <v>567</v>
      </c>
      <c r="H47" s="660" t="s">
        <v>568</v>
      </c>
      <c r="K47" s="754" t="s">
        <v>5</v>
      </c>
      <c r="L47" s="754"/>
      <c r="M47" s="754" t="s">
        <v>102</v>
      </c>
      <c r="N47" s="754"/>
      <c r="O47" s="660" t="s">
        <v>569</v>
      </c>
      <c r="P47" s="660" t="s">
        <v>570</v>
      </c>
    </row>
    <row r="48" spans="2:17" ht="13.5" thickBot="1" x14ac:dyDescent="0.25">
      <c r="B48" s="661" t="s">
        <v>609</v>
      </c>
      <c r="C48" s="698">
        <v>42552</v>
      </c>
      <c r="D48" s="662">
        <f>DATE(YEAR(C48),MONTH(C48)+1,0)</f>
        <v>42582</v>
      </c>
      <c r="E48" s="662">
        <f>DATE(YEAR(C48-1),MONTH(C48-1),16)</f>
        <v>42537</v>
      </c>
      <c r="F48" s="662">
        <f>DATE(YEAR(D48-1),MONTH(D48-1),15)</f>
        <v>42566</v>
      </c>
      <c r="G48" s="211">
        <f t="shared" ref="G48:G59" si="6">SUMPRODUCT(-($B$76:$B$457&gt;=C48),-($B$76:$B$457&lt;=D48),($H$76:$H$457))</f>
        <v>0</v>
      </c>
      <c r="H48" s="211">
        <f t="shared" ref="H48:H59" si="7">SUMPRODUCT(-($B$76:$B$457&gt;=E48),-($B$76:$B$457&lt;=F48),($H$76:$H$457))</f>
        <v>0</v>
      </c>
      <c r="K48" s="663">
        <f>C48</f>
        <v>42552</v>
      </c>
      <c r="L48" s="662">
        <f t="shared" ref="L48:L59" si="8">D48</f>
        <v>42582</v>
      </c>
      <c r="M48" s="662">
        <f t="shared" ref="M48:M59" si="9">E48</f>
        <v>42537</v>
      </c>
      <c r="N48" s="662">
        <f t="shared" ref="N48:N59" si="10">F48</f>
        <v>42566</v>
      </c>
      <c r="O48" s="211">
        <f t="shared" ref="O48:O59" si="11">SUMPRODUCT(-($J$76:$J$456&gt;=K48),-($J$76:$J$456&lt;=L48),($P$76:$P$456))</f>
        <v>0</v>
      </c>
      <c r="P48" s="211">
        <f t="shared" ref="P48:P59" si="12">SUMPRODUCT(-($J$76:$J$456&gt;=M48),-($J$76:$J$456&lt;=N48),($P$76:$P$456))</f>
        <v>0</v>
      </c>
    </row>
    <row r="49" spans="2:16" x14ac:dyDescent="0.2">
      <c r="C49" s="662">
        <f>D48+1</f>
        <v>42583</v>
      </c>
      <c r="D49" s="662">
        <f>DATE(YEAR(C49),MONTH(C49)+1,0)</f>
        <v>42613</v>
      </c>
      <c r="E49" s="662">
        <f>F48+1</f>
        <v>42567</v>
      </c>
      <c r="F49" s="662">
        <f t="shared" ref="F49:F59" si="13">DATE(YEAR(D49-1),MONTH(D49-1),15)</f>
        <v>42597</v>
      </c>
      <c r="G49" s="211">
        <f t="shared" si="6"/>
        <v>0</v>
      </c>
      <c r="H49" s="211">
        <f t="shared" si="7"/>
        <v>0</v>
      </c>
      <c r="K49" s="662">
        <f t="shared" ref="K49:K59" si="14">C49</f>
        <v>42583</v>
      </c>
      <c r="L49" s="662">
        <f t="shared" si="8"/>
        <v>42613</v>
      </c>
      <c r="M49" s="662">
        <f t="shared" si="9"/>
        <v>42567</v>
      </c>
      <c r="N49" s="662">
        <f t="shared" si="10"/>
        <v>42597</v>
      </c>
      <c r="O49" s="211">
        <f t="shared" si="11"/>
        <v>0</v>
      </c>
      <c r="P49" s="211">
        <f t="shared" si="12"/>
        <v>0</v>
      </c>
    </row>
    <row r="50" spans="2:16" x14ac:dyDescent="0.2">
      <c r="C50" s="662">
        <f t="shared" ref="C50:C59" si="15">D49+1</f>
        <v>42614</v>
      </c>
      <c r="D50" s="662">
        <f t="shared" ref="D50:D59" si="16">DATE(YEAR(C50),MONTH(C50)+1,0)</f>
        <v>42643</v>
      </c>
      <c r="E50" s="662">
        <f t="shared" ref="E50:E59" si="17">F49+1</f>
        <v>42598</v>
      </c>
      <c r="F50" s="662">
        <f t="shared" si="13"/>
        <v>42628</v>
      </c>
      <c r="G50" s="211">
        <f t="shared" si="6"/>
        <v>14</v>
      </c>
      <c r="H50" s="211">
        <f t="shared" si="7"/>
        <v>0</v>
      </c>
      <c r="K50" s="662">
        <f t="shared" si="14"/>
        <v>42614</v>
      </c>
      <c r="L50" s="662">
        <f t="shared" si="8"/>
        <v>42643</v>
      </c>
      <c r="M50" s="662">
        <f t="shared" si="9"/>
        <v>42598</v>
      </c>
      <c r="N50" s="662">
        <f t="shared" si="10"/>
        <v>42628</v>
      </c>
      <c r="O50" s="211">
        <f t="shared" si="11"/>
        <v>24</v>
      </c>
      <c r="P50" s="211">
        <f t="shared" si="12"/>
        <v>2</v>
      </c>
    </row>
    <row r="51" spans="2:16" x14ac:dyDescent="0.2">
      <c r="C51" s="662">
        <f t="shared" si="15"/>
        <v>42644</v>
      </c>
      <c r="D51" s="662">
        <f t="shared" si="16"/>
        <v>42674</v>
      </c>
      <c r="E51" s="662">
        <f t="shared" si="17"/>
        <v>42629</v>
      </c>
      <c r="F51" s="662">
        <f t="shared" si="13"/>
        <v>42658</v>
      </c>
      <c r="G51" s="211">
        <f t="shared" si="6"/>
        <v>80</v>
      </c>
      <c r="H51" s="211">
        <f t="shared" si="7"/>
        <v>40</v>
      </c>
      <c r="K51" s="662">
        <f t="shared" si="14"/>
        <v>42644</v>
      </c>
      <c r="L51" s="662">
        <f t="shared" si="8"/>
        <v>42674</v>
      </c>
      <c r="M51" s="662">
        <f t="shared" si="9"/>
        <v>42629</v>
      </c>
      <c r="N51" s="662">
        <f t="shared" si="10"/>
        <v>42658</v>
      </c>
      <c r="O51" s="211">
        <f t="shared" si="11"/>
        <v>213</v>
      </c>
      <c r="P51" s="211">
        <f t="shared" si="12"/>
        <v>89</v>
      </c>
    </row>
    <row r="52" spans="2:16" x14ac:dyDescent="0.2">
      <c r="C52" s="662">
        <f t="shared" si="15"/>
        <v>42675</v>
      </c>
      <c r="D52" s="662">
        <f t="shared" si="16"/>
        <v>42704</v>
      </c>
      <c r="E52" s="662">
        <f t="shared" si="17"/>
        <v>42659</v>
      </c>
      <c r="F52" s="662">
        <f t="shared" si="13"/>
        <v>42689</v>
      </c>
      <c r="G52" s="211">
        <f t="shared" si="6"/>
        <v>391</v>
      </c>
      <c r="H52" s="211">
        <f t="shared" si="7"/>
        <v>204</v>
      </c>
      <c r="K52" s="662">
        <f t="shared" si="14"/>
        <v>42675</v>
      </c>
      <c r="L52" s="662">
        <f t="shared" si="8"/>
        <v>42704</v>
      </c>
      <c r="M52" s="662">
        <f t="shared" si="9"/>
        <v>42659</v>
      </c>
      <c r="N52" s="662">
        <f t="shared" si="10"/>
        <v>42689</v>
      </c>
      <c r="O52" s="211">
        <f t="shared" si="11"/>
        <v>500</v>
      </c>
      <c r="P52" s="211">
        <f t="shared" si="12"/>
        <v>358</v>
      </c>
    </row>
    <row r="53" spans="2:16" x14ac:dyDescent="0.2">
      <c r="C53" s="662">
        <f t="shared" si="15"/>
        <v>42705</v>
      </c>
      <c r="D53" s="662">
        <f t="shared" si="16"/>
        <v>42735</v>
      </c>
      <c r="E53" s="662">
        <f t="shared" si="17"/>
        <v>42690</v>
      </c>
      <c r="F53" s="662">
        <f t="shared" si="13"/>
        <v>42719</v>
      </c>
      <c r="G53" s="211">
        <f t="shared" si="6"/>
        <v>815</v>
      </c>
      <c r="H53" s="211">
        <f t="shared" si="7"/>
        <v>671</v>
      </c>
      <c r="K53" s="662">
        <f t="shared" si="14"/>
        <v>42705</v>
      </c>
      <c r="L53" s="662">
        <f t="shared" si="8"/>
        <v>42735</v>
      </c>
      <c r="M53" s="662">
        <f t="shared" si="9"/>
        <v>42690</v>
      </c>
      <c r="N53" s="662">
        <f t="shared" si="10"/>
        <v>42719</v>
      </c>
      <c r="O53" s="211">
        <f t="shared" si="11"/>
        <v>808</v>
      </c>
      <c r="P53" s="211">
        <f t="shared" si="12"/>
        <v>665</v>
      </c>
    </row>
    <row r="54" spans="2:16" x14ac:dyDescent="0.2">
      <c r="C54" s="662">
        <f t="shared" si="15"/>
        <v>42736</v>
      </c>
      <c r="D54" s="662">
        <f t="shared" si="16"/>
        <v>42766</v>
      </c>
      <c r="E54" s="662">
        <f t="shared" si="17"/>
        <v>42720</v>
      </c>
      <c r="F54" s="662">
        <f t="shared" si="13"/>
        <v>42750</v>
      </c>
      <c r="G54" s="211">
        <f t="shared" si="6"/>
        <v>687</v>
      </c>
      <c r="H54" s="211">
        <f t="shared" si="7"/>
        <v>788</v>
      </c>
      <c r="K54" s="662">
        <f t="shared" si="14"/>
        <v>42736</v>
      </c>
      <c r="L54" s="662">
        <f t="shared" si="8"/>
        <v>42766</v>
      </c>
      <c r="M54" s="662">
        <f t="shared" si="9"/>
        <v>42720</v>
      </c>
      <c r="N54" s="662">
        <f t="shared" si="10"/>
        <v>42750</v>
      </c>
      <c r="O54" s="211">
        <f t="shared" si="11"/>
        <v>894</v>
      </c>
      <c r="P54" s="211">
        <f t="shared" si="12"/>
        <v>852</v>
      </c>
    </row>
    <row r="55" spans="2:16" x14ac:dyDescent="0.2">
      <c r="C55" s="662">
        <f t="shared" si="15"/>
        <v>42767</v>
      </c>
      <c r="D55" s="662">
        <f t="shared" si="16"/>
        <v>42794</v>
      </c>
      <c r="E55" s="662">
        <f t="shared" si="17"/>
        <v>42751</v>
      </c>
      <c r="F55" s="662">
        <f t="shared" si="13"/>
        <v>42781</v>
      </c>
      <c r="G55" s="211">
        <f t="shared" si="6"/>
        <v>459</v>
      </c>
      <c r="H55" s="211">
        <f t="shared" si="7"/>
        <v>604</v>
      </c>
      <c r="K55" s="662">
        <f t="shared" si="14"/>
        <v>42767</v>
      </c>
      <c r="L55" s="662">
        <f t="shared" si="8"/>
        <v>42794</v>
      </c>
      <c r="M55" s="662">
        <f t="shared" si="9"/>
        <v>42751</v>
      </c>
      <c r="N55" s="662">
        <f t="shared" si="10"/>
        <v>42781</v>
      </c>
      <c r="O55" s="211">
        <f t="shared" si="11"/>
        <v>728</v>
      </c>
      <c r="P55" s="211">
        <f t="shared" si="12"/>
        <v>889</v>
      </c>
    </row>
    <row r="56" spans="2:16" x14ac:dyDescent="0.2">
      <c r="C56" s="662">
        <f t="shared" si="15"/>
        <v>42795</v>
      </c>
      <c r="D56" s="662">
        <f t="shared" si="16"/>
        <v>42825</v>
      </c>
      <c r="E56" s="662">
        <f t="shared" si="17"/>
        <v>42782</v>
      </c>
      <c r="F56" s="662">
        <f t="shared" si="13"/>
        <v>42809</v>
      </c>
      <c r="G56" s="211">
        <f t="shared" si="6"/>
        <v>448</v>
      </c>
      <c r="H56" s="211">
        <f t="shared" si="7"/>
        <v>432</v>
      </c>
      <c r="K56" s="662">
        <f t="shared" si="14"/>
        <v>42795</v>
      </c>
      <c r="L56" s="662">
        <f t="shared" si="8"/>
        <v>42825</v>
      </c>
      <c r="M56" s="662">
        <f t="shared" si="9"/>
        <v>42782</v>
      </c>
      <c r="N56" s="662">
        <f t="shared" si="10"/>
        <v>42809</v>
      </c>
      <c r="O56" s="211">
        <f t="shared" si="11"/>
        <v>519</v>
      </c>
      <c r="P56" s="211">
        <f t="shared" si="12"/>
        <v>607</v>
      </c>
    </row>
    <row r="57" spans="2:16" x14ac:dyDescent="0.2">
      <c r="C57" s="662">
        <f t="shared" si="15"/>
        <v>42826</v>
      </c>
      <c r="D57" s="662">
        <f t="shared" si="16"/>
        <v>42855</v>
      </c>
      <c r="E57" s="662">
        <f t="shared" si="17"/>
        <v>42810</v>
      </c>
      <c r="F57" s="662">
        <f t="shared" si="13"/>
        <v>42840</v>
      </c>
      <c r="G57" s="211">
        <f t="shared" si="6"/>
        <v>106</v>
      </c>
      <c r="H57" s="211">
        <f t="shared" si="7"/>
        <v>226</v>
      </c>
      <c r="K57" s="662">
        <f t="shared" si="14"/>
        <v>42826</v>
      </c>
      <c r="L57" s="662">
        <f t="shared" si="8"/>
        <v>42855</v>
      </c>
      <c r="M57" s="662">
        <f t="shared" si="9"/>
        <v>42810</v>
      </c>
      <c r="N57" s="662">
        <f t="shared" si="10"/>
        <v>42840</v>
      </c>
      <c r="O57" s="211">
        <f t="shared" si="11"/>
        <v>212</v>
      </c>
      <c r="P57" s="211">
        <f t="shared" si="12"/>
        <v>354</v>
      </c>
    </row>
    <row r="58" spans="2:16" x14ac:dyDescent="0.2">
      <c r="C58" s="662">
        <f t="shared" si="15"/>
        <v>42856</v>
      </c>
      <c r="D58" s="662">
        <f t="shared" si="16"/>
        <v>42886</v>
      </c>
      <c r="E58" s="662">
        <f t="shared" si="17"/>
        <v>42841</v>
      </c>
      <c r="F58" s="662">
        <f t="shared" si="13"/>
        <v>42870</v>
      </c>
      <c r="G58" s="211">
        <f t="shared" si="6"/>
        <v>62</v>
      </c>
      <c r="H58" s="211">
        <f t="shared" si="7"/>
        <v>93</v>
      </c>
      <c r="K58" s="662">
        <f t="shared" si="14"/>
        <v>42856</v>
      </c>
      <c r="L58" s="662">
        <f t="shared" si="8"/>
        <v>42886</v>
      </c>
      <c r="M58" s="662">
        <f t="shared" si="9"/>
        <v>42841</v>
      </c>
      <c r="N58" s="662">
        <f t="shared" si="10"/>
        <v>42870</v>
      </c>
      <c r="O58" s="211">
        <f t="shared" si="11"/>
        <v>59</v>
      </c>
      <c r="P58" s="211">
        <f t="shared" si="12"/>
        <v>121</v>
      </c>
    </row>
    <row r="59" spans="2:16" x14ac:dyDescent="0.2">
      <c r="C59" s="662">
        <f t="shared" si="15"/>
        <v>42887</v>
      </c>
      <c r="D59" s="662">
        <f t="shared" si="16"/>
        <v>42916</v>
      </c>
      <c r="E59" s="662">
        <f t="shared" si="17"/>
        <v>42871</v>
      </c>
      <c r="F59" s="662">
        <f t="shared" si="13"/>
        <v>42901</v>
      </c>
      <c r="G59" s="664">
        <f t="shared" si="6"/>
        <v>0</v>
      </c>
      <c r="H59" s="664">
        <f t="shared" si="7"/>
        <v>4</v>
      </c>
      <c r="K59" s="662">
        <f t="shared" si="14"/>
        <v>42887</v>
      </c>
      <c r="L59" s="662">
        <f t="shared" si="8"/>
        <v>42916</v>
      </c>
      <c r="M59" s="662">
        <f t="shared" si="9"/>
        <v>42871</v>
      </c>
      <c r="N59" s="662">
        <f t="shared" si="10"/>
        <v>42901</v>
      </c>
      <c r="O59" s="664">
        <f t="shared" si="11"/>
        <v>2</v>
      </c>
      <c r="P59" s="664">
        <f t="shared" si="12"/>
        <v>22</v>
      </c>
    </row>
    <row r="60" spans="2:16" x14ac:dyDescent="0.2">
      <c r="F60" s="211" t="s">
        <v>19</v>
      </c>
      <c r="G60" s="46">
        <f>SUM(G48:G59)</f>
        <v>3062</v>
      </c>
      <c r="H60" s="46">
        <f>SUM(H48:H59)</f>
        <v>3062</v>
      </c>
      <c r="O60" s="46">
        <f>SUM(O48:O59)</f>
        <v>3959</v>
      </c>
      <c r="P60" s="46">
        <f>SUM(P48:P59)</f>
        <v>3959</v>
      </c>
    </row>
    <row r="61" spans="2:16" x14ac:dyDescent="0.2">
      <c r="C61" s="658"/>
      <c r="D61" s="658"/>
      <c r="E61" s="658"/>
      <c r="F61" s="658"/>
      <c r="G61" s="658"/>
      <c r="K61" s="658"/>
      <c r="L61" s="658"/>
      <c r="M61" s="658"/>
      <c r="N61" s="658"/>
      <c r="O61" s="658"/>
    </row>
    <row r="62" spans="2:16" x14ac:dyDescent="0.2">
      <c r="C62" s="658"/>
      <c r="D62" s="658"/>
      <c r="E62" s="658"/>
      <c r="F62" s="658"/>
      <c r="G62" s="658"/>
      <c r="K62" s="658"/>
      <c r="L62" s="658"/>
      <c r="M62" s="658"/>
      <c r="N62" s="658"/>
      <c r="O62" s="658"/>
    </row>
    <row r="63" spans="2:16" x14ac:dyDescent="0.2">
      <c r="C63" s="658"/>
      <c r="D63" s="658"/>
      <c r="E63" s="658"/>
      <c r="F63" s="658"/>
      <c r="G63" s="658"/>
      <c r="K63" s="658"/>
      <c r="L63" s="658"/>
      <c r="M63" s="658"/>
      <c r="N63" s="658"/>
      <c r="O63" s="658"/>
    </row>
    <row r="64" spans="2:16" x14ac:dyDescent="0.2">
      <c r="B64" s="665" t="s">
        <v>105</v>
      </c>
      <c r="C64" s="665" t="s">
        <v>579</v>
      </c>
      <c r="D64" s="665" t="s">
        <v>580</v>
      </c>
      <c r="E64" s="665" t="s">
        <v>581</v>
      </c>
      <c r="F64" s="665" t="s">
        <v>582</v>
      </c>
      <c r="G64" s="665" t="s">
        <v>583</v>
      </c>
      <c r="H64" s="665" t="s">
        <v>611</v>
      </c>
      <c r="K64" s="658"/>
      <c r="L64" s="658"/>
      <c r="M64" s="658"/>
      <c r="N64" s="658"/>
      <c r="O64" s="658"/>
    </row>
    <row r="65" spans="2:16" x14ac:dyDescent="0.2">
      <c r="B65" s="211" t="s">
        <v>94</v>
      </c>
      <c r="C65" s="46">
        <v>38434.666666666657</v>
      </c>
      <c r="D65" s="46">
        <v>35759.416666666672</v>
      </c>
      <c r="E65" s="46">
        <v>21345.249999999996</v>
      </c>
      <c r="F65" s="46">
        <v>7043.25</v>
      </c>
      <c r="G65" s="46">
        <v>54089.757575757561</v>
      </c>
      <c r="H65" s="46">
        <f>SUM(C65:G65)</f>
        <v>156672.34090909088</v>
      </c>
      <c r="K65" s="658"/>
      <c r="L65" s="658"/>
      <c r="M65" s="658"/>
      <c r="N65" s="658"/>
      <c r="O65" s="658"/>
    </row>
    <row r="66" spans="2:16" x14ac:dyDescent="0.2">
      <c r="B66" s="211" t="s">
        <v>124</v>
      </c>
      <c r="C66" s="46">
        <v>3360.5833333333344</v>
      </c>
      <c r="D66" s="46">
        <v>4440.5</v>
      </c>
      <c r="E66" s="46">
        <v>2680.0000000000005</v>
      </c>
      <c r="F66" s="46">
        <v>658.5</v>
      </c>
      <c r="G66" s="46">
        <v>6278.9999999999991</v>
      </c>
      <c r="H66" s="46">
        <f>SUM(C66:G66)</f>
        <v>17418.583333333332</v>
      </c>
      <c r="K66" s="658"/>
      <c r="L66" s="658"/>
      <c r="M66" s="658"/>
      <c r="N66" s="658"/>
      <c r="O66" s="658"/>
    </row>
    <row r="67" spans="2:16" x14ac:dyDescent="0.2">
      <c r="B67" s="664" t="s">
        <v>560</v>
      </c>
      <c r="C67" s="360">
        <v>244.41666666666663</v>
      </c>
      <c r="D67" s="360">
        <v>360.08333333333331</v>
      </c>
      <c r="E67" s="360">
        <v>359.08333333333331</v>
      </c>
      <c r="F67" s="360">
        <v>43.083333333333329</v>
      </c>
      <c r="G67" s="360">
        <v>543.28787878787875</v>
      </c>
      <c r="H67" s="360">
        <f>SUM(C67:G67)</f>
        <v>1549.9545454545455</v>
      </c>
      <c r="K67" s="658"/>
      <c r="L67" s="658"/>
      <c r="M67" s="658"/>
      <c r="N67" s="658"/>
      <c r="O67" s="658"/>
    </row>
    <row r="68" spans="2:16" x14ac:dyDescent="0.2">
      <c r="B68" s="211" t="s">
        <v>611</v>
      </c>
      <c r="C68" s="46">
        <f>SUM(C65:C67)</f>
        <v>42039.666666666657</v>
      </c>
      <c r="D68" s="46">
        <f>SUM(D65:D67)</f>
        <v>40560.000000000007</v>
      </c>
      <c r="E68" s="46">
        <f>SUM(E65:E67)</f>
        <v>24384.333333333328</v>
      </c>
      <c r="F68" s="46">
        <f>SUM(F65:F67)</f>
        <v>7744.833333333333</v>
      </c>
      <c r="G68" s="46">
        <f>SUM(G65:G67)</f>
        <v>60912.045454545441</v>
      </c>
      <c r="H68" s="46">
        <f>SUM(C68:G68)</f>
        <v>175640.87878787876</v>
      </c>
      <c r="K68" s="658"/>
      <c r="L68" s="658"/>
      <c r="M68" s="658"/>
      <c r="N68" s="658"/>
      <c r="O68" s="658"/>
    </row>
    <row r="69" spans="2:16" x14ac:dyDescent="0.2">
      <c r="K69" s="658"/>
      <c r="L69" s="658"/>
      <c r="M69" s="658"/>
      <c r="N69" s="658"/>
      <c r="O69" s="658"/>
    </row>
    <row r="70" spans="2:16" x14ac:dyDescent="0.2">
      <c r="B70" s="447" t="s">
        <v>507</v>
      </c>
      <c r="C70" s="666">
        <f>C68/$H$68</f>
        <v>0.23935012712751172</v>
      </c>
      <c r="D70" s="666">
        <f>D68/$H$68</f>
        <v>0.23092574052185347</v>
      </c>
      <c r="E70" s="666">
        <f>E68/$H$68</f>
        <v>0.13883062702494364</v>
      </c>
      <c r="F70" s="666">
        <f>F68/$H$68</f>
        <v>4.4094708400353413E-2</v>
      </c>
      <c r="G70" s="666">
        <f>G68/$H$68</f>
        <v>0.34679879692533783</v>
      </c>
      <c r="K70" s="658"/>
      <c r="L70" s="658"/>
      <c r="M70" s="658"/>
      <c r="N70" s="658"/>
      <c r="O70" s="658"/>
    </row>
    <row r="71" spans="2:16" x14ac:dyDescent="0.2">
      <c r="C71" s="658"/>
      <c r="D71" s="658"/>
      <c r="E71" s="658"/>
      <c r="F71" s="658"/>
      <c r="G71" s="658"/>
      <c r="K71" s="658"/>
      <c r="L71" s="658"/>
      <c r="M71" s="658"/>
      <c r="N71" s="658"/>
      <c r="O71" s="658"/>
    </row>
    <row r="72" spans="2:16" x14ac:dyDescent="0.2">
      <c r="C72" s="658"/>
      <c r="D72" s="658"/>
      <c r="E72" s="658"/>
      <c r="F72" s="658"/>
      <c r="G72" s="658"/>
      <c r="K72" s="658"/>
      <c r="L72" s="658"/>
      <c r="M72" s="658"/>
      <c r="N72" s="658"/>
      <c r="O72" s="658"/>
    </row>
    <row r="73" spans="2:16" x14ac:dyDescent="0.2">
      <c r="B73" s="211" t="s">
        <v>684</v>
      </c>
      <c r="J73" s="211" t="s">
        <v>685</v>
      </c>
    </row>
    <row r="74" spans="2:16" ht="51" x14ac:dyDescent="0.2">
      <c r="B74" s="582" t="s">
        <v>565</v>
      </c>
      <c r="C74" s="667" t="s">
        <v>574</v>
      </c>
      <c r="D74" s="667" t="s">
        <v>575</v>
      </c>
      <c r="E74" s="667" t="s">
        <v>576</v>
      </c>
      <c r="F74" s="667" t="s">
        <v>577</v>
      </c>
      <c r="G74" s="667" t="s">
        <v>578</v>
      </c>
      <c r="H74" s="664" t="s">
        <v>4</v>
      </c>
      <c r="J74" s="582" t="s">
        <v>565</v>
      </c>
      <c r="K74" s="667" t="s">
        <v>574</v>
      </c>
      <c r="L74" s="667" t="s">
        <v>575</v>
      </c>
      <c r="M74" s="667" t="s">
        <v>576</v>
      </c>
      <c r="N74" s="667" t="s">
        <v>577</v>
      </c>
      <c r="O74" s="667" t="s">
        <v>578</v>
      </c>
      <c r="P74" s="664" t="s">
        <v>4</v>
      </c>
    </row>
    <row r="75" spans="2:16" x14ac:dyDescent="0.2">
      <c r="B75" s="585"/>
      <c r="C75" s="660"/>
      <c r="D75" s="660"/>
      <c r="E75" s="660"/>
      <c r="F75" s="660"/>
      <c r="G75" s="660"/>
      <c r="K75" s="660"/>
      <c r="L75" s="660"/>
      <c r="M75" s="660"/>
      <c r="N75" s="660"/>
      <c r="O75" s="660"/>
    </row>
    <row r="76" spans="2:16" x14ac:dyDescent="0.2">
      <c r="B76" s="668">
        <f>E48</f>
        <v>42537</v>
      </c>
      <c r="C76" s="605">
        <v>0</v>
      </c>
      <c r="D76" s="605">
        <v>0</v>
      </c>
      <c r="E76" s="605">
        <v>0</v>
      </c>
      <c r="F76" s="605">
        <v>0</v>
      </c>
      <c r="G76" s="605">
        <v>0</v>
      </c>
      <c r="H76" s="669">
        <f t="shared" ref="H76:H139" si="18">IFERROR(ROUND((C76*C$70)+(D76*D$70)+(E76*E$70)+(F76*F$70)+(G76*G$70),0),0)</f>
        <v>0</v>
      </c>
      <c r="J76" s="662">
        <f>B76</f>
        <v>42537</v>
      </c>
      <c r="K76" s="601">
        <v>0.05</v>
      </c>
      <c r="L76" s="601">
        <v>0</v>
      </c>
      <c r="M76" s="601">
        <v>0</v>
      </c>
      <c r="N76" s="601">
        <v>0</v>
      </c>
      <c r="O76" s="601">
        <v>0</v>
      </c>
      <c r="P76" s="670">
        <f t="shared" ref="P76:P139" si="19">IFERROR(ROUND((K76*C$70)+(L76*D$70)+(M76*E$70)+(N76*F$70)+(O76*G$70),0),0)</f>
        <v>0</v>
      </c>
    </row>
    <row r="77" spans="2:16" x14ac:dyDescent="0.2">
      <c r="B77" s="671">
        <f>B76+1</f>
        <v>42538</v>
      </c>
      <c r="C77" s="605">
        <v>0</v>
      </c>
      <c r="D77" s="605">
        <v>0</v>
      </c>
      <c r="E77" s="605">
        <v>0</v>
      </c>
      <c r="F77" s="605">
        <v>0</v>
      </c>
      <c r="G77" s="605">
        <v>0</v>
      </c>
      <c r="H77" s="669">
        <f t="shared" si="18"/>
        <v>0</v>
      </c>
      <c r="J77" s="662">
        <f t="shared" ref="J77:J140" si="20">B77</f>
        <v>42538</v>
      </c>
      <c r="K77" s="601">
        <v>0.05</v>
      </c>
      <c r="L77" s="601">
        <v>0</v>
      </c>
      <c r="M77" s="601">
        <v>0.05</v>
      </c>
      <c r="N77" s="601">
        <v>0</v>
      </c>
      <c r="O77" s="601">
        <v>0</v>
      </c>
      <c r="P77" s="670">
        <f t="shared" si="19"/>
        <v>0</v>
      </c>
    </row>
    <row r="78" spans="2:16" x14ac:dyDescent="0.2">
      <c r="B78" s="671">
        <f t="shared" ref="B78:B141" si="21">B77+1</f>
        <v>42539</v>
      </c>
      <c r="C78" s="605">
        <v>0</v>
      </c>
      <c r="D78" s="605">
        <v>0</v>
      </c>
      <c r="E78" s="605">
        <v>0</v>
      </c>
      <c r="F78" s="605">
        <v>0</v>
      </c>
      <c r="G78" s="605">
        <v>0</v>
      </c>
      <c r="H78" s="669">
        <f t="shared" si="18"/>
        <v>0</v>
      </c>
      <c r="J78" s="662">
        <f t="shared" si="20"/>
        <v>42539</v>
      </c>
      <c r="K78" s="601">
        <v>0.1</v>
      </c>
      <c r="L78" s="601">
        <v>0</v>
      </c>
      <c r="M78" s="601">
        <v>0.05</v>
      </c>
      <c r="N78" s="601">
        <v>0</v>
      </c>
      <c r="O78" s="601">
        <v>0</v>
      </c>
      <c r="P78" s="670">
        <f t="shared" si="19"/>
        <v>0</v>
      </c>
    </row>
    <row r="79" spans="2:16" x14ac:dyDescent="0.2">
      <c r="B79" s="671">
        <f t="shared" si="21"/>
        <v>42540</v>
      </c>
      <c r="C79" s="605">
        <v>0</v>
      </c>
      <c r="D79" s="605">
        <v>0</v>
      </c>
      <c r="E79" s="605">
        <v>0</v>
      </c>
      <c r="F79" s="605">
        <v>0</v>
      </c>
      <c r="G79" s="605">
        <v>0</v>
      </c>
      <c r="H79" s="669">
        <f t="shared" si="18"/>
        <v>0</v>
      </c>
      <c r="J79" s="662">
        <f t="shared" si="20"/>
        <v>42540</v>
      </c>
      <c r="K79" s="601">
        <v>0</v>
      </c>
      <c r="L79" s="601">
        <v>0</v>
      </c>
      <c r="M79" s="601">
        <v>0</v>
      </c>
      <c r="N79" s="601">
        <v>0</v>
      </c>
      <c r="O79" s="601">
        <v>0</v>
      </c>
      <c r="P79" s="670">
        <f t="shared" si="19"/>
        <v>0</v>
      </c>
    </row>
    <row r="80" spans="2:16" x14ac:dyDescent="0.2">
      <c r="B80" s="671">
        <f t="shared" si="21"/>
        <v>42541</v>
      </c>
      <c r="C80" s="605">
        <v>0</v>
      </c>
      <c r="D80" s="605">
        <v>0</v>
      </c>
      <c r="E80" s="605">
        <v>0</v>
      </c>
      <c r="F80" s="605">
        <v>0</v>
      </c>
      <c r="G80" s="605">
        <v>0</v>
      </c>
      <c r="H80" s="669">
        <f t="shared" si="18"/>
        <v>0</v>
      </c>
      <c r="J80" s="662">
        <f t="shared" si="20"/>
        <v>42541</v>
      </c>
      <c r="K80" s="601">
        <v>0</v>
      </c>
      <c r="L80" s="601">
        <v>0</v>
      </c>
      <c r="M80" s="601">
        <v>0.15</v>
      </c>
      <c r="N80" s="601">
        <v>0</v>
      </c>
      <c r="O80" s="601">
        <v>0</v>
      </c>
      <c r="P80" s="670">
        <f t="shared" si="19"/>
        <v>0</v>
      </c>
    </row>
    <row r="81" spans="2:16" x14ac:dyDescent="0.2">
      <c r="B81" s="671">
        <f t="shared" si="21"/>
        <v>42542</v>
      </c>
      <c r="C81" s="605">
        <v>0</v>
      </c>
      <c r="D81" s="605">
        <v>0</v>
      </c>
      <c r="E81" s="605">
        <v>0</v>
      </c>
      <c r="F81" s="605">
        <v>0</v>
      </c>
      <c r="G81" s="605">
        <v>0</v>
      </c>
      <c r="H81" s="669">
        <f t="shared" si="18"/>
        <v>0</v>
      </c>
      <c r="J81" s="662">
        <f t="shared" si="20"/>
        <v>42542</v>
      </c>
      <c r="K81" s="601">
        <v>0</v>
      </c>
      <c r="L81" s="601">
        <v>0</v>
      </c>
      <c r="M81" s="601">
        <v>0.1</v>
      </c>
      <c r="N81" s="601">
        <v>0</v>
      </c>
      <c r="O81" s="601">
        <v>0</v>
      </c>
      <c r="P81" s="670">
        <f t="shared" si="19"/>
        <v>0</v>
      </c>
    </row>
    <row r="82" spans="2:16" x14ac:dyDescent="0.2">
      <c r="B82" s="671">
        <f t="shared" si="21"/>
        <v>42543</v>
      </c>
      <c r="C82" s="605">
        <v>0</v>
      </c>
      <c r="D82" s="605">
        <v>0</v>
      </c>
      <c r="E82" s="605">
        <v>0</v>
      </c>
      <c r="F82" s="605">
        <v>0</v>
      </c>
      <c r="G82" s="605">
        <v>0</v>
      </c>
      <c r="H82" s="669">
        <f t="shared" si="18"/>
        <v>0</v>
      </c>
      <c r="J82" s="662">
        <f t="shared" si="20"/>
        <v>42543</v>
      </c>
      <c r="K82" s="601">
        <v>0</v>
      </c>
      <c r="L82" s="601">
        <v>0</v>
      </c>
      <c r="M82" s="601">
        <v>0.1</v>
      </c>
      <c r="N82" s="601">
        <v>0</v>
      </c>
      <c r="O82" s="601">
        <v>0</v>
      </c>
      <c r="P82" s="670">
        <f t="shared" si="19"/>
        <v>0</v>
      </c>
    </row>
    <row r="83" spans="2:16" x14ac:dyDescent="0.2">
      <c r="B83" s="671">
        <f t="shared" si="21"/>
        <v>42544</v>
      </c>
      <c r="C83" s="605">
        <v>0</v>
      </c>
      <c r="D83" s="605">
        <v>0</v>
      </c>
      <c r="E83" s="605">
        <v>0</v>
      </c>
      <c r="F83" s="605">
        <v>0</v>
      </c>
      <c r="G83" s="605">
        <v>0</v>
      </c>
      <c r="H83" s="669">
        <f t="shared" si="18"/>
        <v>0</v>
      </c>
      <c r="J83" s="662">
        <f t="shared" si="20"/>
        <v>42544</v>
      </c>
      <c r="K83" s="601">
        <v>0</v>
      </c>
      <c r="L83" s="601">
        <v>0</v>
      </c>
      <c r="M83" s="601">
        <v>0</v>
      </c>
      <c r="N83" s="601">
        <v>0</v>
      </c>
      <c r="O83" s="601">
        <v>0</v>
      </c>
      <c r="P83" s="670">
        <f t="shared" si="19"/>
        <v>0</v>
      </c>
    </row>
    <row r="84" spans="2:16" x14ac:dyDescent="0.2">
      <c r="B84" s="671">
        <f t="shared" si="21"/>
        <v>42545</v>
      </c>
      <c r="C84" s="605">
        <v>0</v>
      </c>
      <c r="D84" s="605">
        <v>0</v>
      </c>
      <c r="E84" s="605">
        <v>0</v>
      </c>
      <c r="F84" s="605">
        <v>0</v>
      </c>
      <c r="G84" s="605">
        <v>0</v>
      </c>
      <c r="H84" s="669">
        <f t="shared" si="18"/>
        <v>0</v>
      </c>
      <c r="J84" s="662">
        <f t="shared" si="20"/>
        <v>42545</v>
      </c>
      <c r="K84" s="601">
        <v>0</v>
      </c>
      <c r="L84" s="601">
        <v>0</v>
      </c>
      <c r="M84" s="601">
        <v>0</v>
      </c>
      <c r="N84" s="601">
        <v>0</v>
      </c>
      <c r="O84" s="601">
        <v>0</v>
      </c>
      <c r="P84" s="670">
        <f t="shared" si="19"/>
        <v>0</v>
      </c>
    </row>
    <row r="85" spans="2:16" x14ac:dyDescent="0.2">
      <c r="B85" s="671">
        <f t="shared" si="21"/>
        <v>42546</v>
      </c>
      <c r="C85" s="605">
        <v>0</v>
      </c>
      <c r="D85" s="605">
        <v>0</v>
      </c>
      <c r="E85" s="605">
        <v>0</v>
      </c>
      <c r="F85" s="605">
        <v>0</v>
      </c>
      <c r="G85" s="605">
        <v>0</v>
      </c>
      <c r="H85" s="669">
        <f t="shared" si="18"/>
        <v>0</v>
      </c>
      <c r="J85" s="662">
        <f t="shared" si="20"/>
        <v>42546</v>
      </c>
      <c r="K85" s="601">
        <v>0</v>
      </c>
      <c r="L85" s="601">
        <v>0</v>
      </c>
      <c r="M85" s="601">
        <v>0</v>
      </c>
      <c r="N85" s="601">
        <v>0</v>
      </c>
      <c r="O85" s="601">
        <v>0</v>
      </c>
      <c r="P85" s="670">
        <f t="shared" si="19"/>
        <v>0</v>
      </c>
    </row>
    <row r="86" spans="2:16" x14ac:dyDescent="0.2">
      <c r="B86" s="671">
        <f t="shared" si="21"/>
        <v>42547</v>
      </c>
      <c r="C86" s="605">
        <v>0</v>
      </c>
      <c r="D86" s="605">
        <v>0</v>
      </c>
      <c r="E86" s="605">
        <v>0</v>
      </c>
      <c r="F86" s="605">
        <v>0</v>
      </c>
      <c r="G86" s="605">
        <v>0</v>
      </c>
      <c r="H86" s="669">
        <f t="shared" si="18"/>
        <v>0</v>
      </c>
      <c r="J86" s="662">
        <f t="shared" si="20"/>
        <v>42547</v>
      </c>
      <c r="K86" s="601">
        <v>0</v>
      </c>
      <c r="L86" s="601">
        <v>0</v>
      </c>
      <c r="M86" s="601">
        <v>0</v>
      </c>
      <c r="N86" s="601">
        <v>0</v>
      </c>
      <c r="O86" s="601">
        <v>0</v>
      </c>
      <c r="P86" s="670">
        <f t="shared" si="19"/>
        <v>0</v>
      </c>
    </row>
    <row r="87" spans="2:16" x14ac:dyDescent="0.2">
      <c r="B87" s="671">
        <f t="shared" si="21"/>
        <v>42548</v>
      </c>
      <c r="C87" s="605">
        <v>0</v>
      </c>
      <c r="D87" s="605">
        <v>0</v>
      </c>
      <c r="E87" s="605">
        <v>0</v>
      </c>
      <c r="F87" s="605">
        <v>0</v>
      </c>
      <c r="G87" s="605">
        <v>0</v>
      </c>
      <c r="H87" s="669">
        <f t="shared" si="18"/>
        <v>0</v>
      </c>
      <c r="J87" s="662">
        <f t="shared" si="20"/>
        <v>42548</v>
      </c>
      <c r="K87" s="601">
        <v>0</v>
      </c>
      <c r="L87" s="601">
        <v>0</v>
      </c>
      <c r="M87" s="601">
        <v>0</v>
      </c>
      <c r="N87" s="601">
        <v>0</v>
      </c>
      <c r="O87" s="601">
        <v>0</v>
      </c>
      <c r="P87" s="670">
        <f t="shared" si="19"/>
        <v>0</v>
      </c>
    </row>
    <row r="88" spans="2:16" x14ac:dyDescent="0.2">
      <c r="B88" s="671">
        <f t="shared" si="21"/>
        <v>42549</v>
      </c>
      <c r="C88" s="605">
        <v>0</v>
      </c>
      <c r="D88" s="605">
        <v>0</v>
      </c>
      <c r="E88" s="605">
        <v>0</v>
      </c>
      <c r="F88" s="605">
        <v>0</v>
      </c>
      <c r="G88" s="605">
        <v>0</v>
      </c>
      <c r="H88" s="669">
        <f t="shared" si="18"/>
        <v>0</v>
      </c>
      <c r="J88" s="662">
        <f t="shared" si="20"/>
        <v>42549</v>
      </c>
      <c r="K88" s="601">
        <v>0</v>
      </c>
      <c r="L88" s="601">
        <v>0</v>
      </c>
      <c r="M88" s="601">
        <v>0</v>
      </c>
      <c r="N88" s="601">
        <v>0</v>
      </c>
      <c r="O88" s="601">
        <v>0</v>
      </c>
      <c r="P88" s="670">
        <f t="shared" si="19"/>
        <v>0</v>
      </c>
    </row>
    <row r="89" spans="2:16" x14ac:dyDescent="0.2">
      <c r="B89" s="671">
        <f t="shared" si="21"/>
        <v>42550</v>
      </c>
      <c r="C89" s="605">
        <v>0</v>
      </c>
      <c r="D89" s="605">
        <v>0</v>
      </c>
      <c r="E89" s="605">
        <v>0</v>
      </c>
      <c r="F89" s="605">
        <v>0</v>
      </c>
      <c r="G89" s="605">
        <v>0</v>
      </c>
      <c r="H89" s="669">
        <f t="shared" si="18"/>
        <v>0</v>
      </c>
      <c r="J89" s="662">
        <f t="shared" si="20"/>
        <v>42550</v>
      </c>
      <c r="K89" s="601">
        <v>0</v>
      </c>
      <c r="L89" s="601">
        <v>0</v>
      </c>
      <c r="M89" s="601">
        <v>0</v>
      </c>
      <c r="N89" s="601">
        <v>0</v>
      </c>
      <c r="O89" s="601">
        <v>0</v>
      </c>
      <c r="P89" s="670">
        <f t="shared" si="19"/>
        <v>0</v>
      </c>
    </row>
    <row r="90" spans="2:16" x14ac:dyDescent="0.2">
      <c r="B90" s="671">
        <f t="shared" si="21"/>
        <v>42551</v>
      </c>
      <c r="C90" s="605">
        <v>0</v>
      </c>
      <c r="D90" s="605">
        <v>0</v>
      </c>
      <c r="E90" s="605">
        <v>0</v>
      </c>
      <c r="F90" s="605">
        <v>0</v>
      </c>
      <c r="G90" s="605">
        <v>0</v>
      </c>
      <c r="H90" s="669">
        <f t="shared" si="18"/>
        <v>0</v>
      </c>
      <c r="J90" s="662">
        <f t="shared" si="20"/>
        <v>42551</v>
      </c>
      <c r="K90" s="601">
        <v>0</v>
      </c>
      <c r="L90" s="601">
        <v>0</v>
      </c>
      <c r="M90" s="601">
        <v>0</v>
      </c>
      <c r="N90" s="601">
        <v>0</v>
      </c>
      <c r="O90" s="601">
        <v>0</v>
      </c>
      <c r="P90" s="670">
        <f t="shared" si="19"/>
        <v>0</v>
      </c>
    </row>
    <row r="91" spans="2:16" x14ac:dyDescent="0.2">
      <c r="B91" s="671">
        <f t="shared" si="21"/>
        <v>42552</v>
      </c>
      <c r="C91" s="605">
        <v>0</v>
      </c>
      <c r="D91" s="605">
        <v>0</v>
      </c>
      <c r="E91" s="605">
        <v>0</v>
      </c>
      <c r="F91" s="605">
        <v>0</v>
      </c>
      <c r="G91" s="605">
        <v>0</v>
      </c>
      <c r="H91" s="669">
        <f t="shared" si="18"/>
        <v>0</v>
      </c>
      <c r="J91" s="662">
        <f t="shared" si="20"/>
        <v>42552</v>
      </c>
      <c r="K91" s="601">
        <v>0</v>
      </c>
      <c r="L91" s="601">
        <v>0</v>
      </c>
      <c r="M91" s="601">
        <v>0</v>
      </c>
      <c r="N91" s="601">
        <v>0</v>
      </c>
      <c r="O91" s="601">
        <v>0</v>
      </c>
      <c r="P91" s="670">
        <f t="shared" si="19"/>
        <v>0</v>
      </c>
    </row>
    <row r="92" spans="2:16" x14ac:dyDescent="0.2">
      <c r="B92" s="671">
        <f t="shared" si="21"/>
        <v>42553</v>
      </c>
      <c r="C92" s="605">
        <v>0</v>
      </c>
      <c r="D92" s="605">
        <v>0</v>
      </c>
      <c r="E92" s="605">
        <v>0</v>
      </c>
      <c r="F92" s="605">
        <v>0</v>
      </c>
      <c r="G92" s="605">
        <v>0</v>
      </c>
      <c r="H92" s="669">
        <f t="shared" si="18"/>
        <v>0</v>
      </c>
      <c r="J92" s="662">
        <f t="shared" si="20"/>
        <v>42553</v>
      </c>
      <c r="K92" s="601">
        <v>0</v>
      </c>
      <c r="L92" s="601">
        <v>0</v>
      </c>
      <c r="M92" s="601">
        <v>0</v>
      </c>
      <c r="N92" s="601">
        <v>0</v>
      </c>
      <c r="O92" s="601">
        <v>0</v>
      </c>
      <c r="P92" s="670">
        <f t="shared" si="19"/>
        <v>0</v>
      </c>
    </row>
    <row r="93" spans="2:16" x14ac:dyDescent="0.2">
      <c r="B93" s="671">
        <f t="shared" si="21"/>
        <v>42554</v>
      </c>
      <c r="C93" s="605">
        <v>0</v>
      </c>
      <c r="D93" s="605">
        <v>0</v>
      </c>
      <c r="E93" s="605">
        <v>0</v>
      </c>
      <c r="F93" s="605">
        <v>0</v>
      </c>
      <c r="G93" s="605">
        <v>0</v>
      </c>
      <c r="H93" s="669">
        <f t="shared" si="18"/>
        <v>0</v>
      </c>
      <c r="J93" s="662">
        <f t="shared" si="20"/>
        <v>42554</v>
      </c>
      <c r="K93" s="601">
        <v>0</v>
      </c>
      <c r="L93" s="601">
        <v>0</v>
      </c>
      <c r="M93" s="601">
        <v>0</v>
      </c>
      <c r="N93" s="601">
        <v>0</v>
      </c>
      <c r="O93" s="601">
        <v>0</v>
      </c>
      <c r="P93" s="670">
        <f t="shared" si="19"/>
        <v>0</v>
      </c>
    </row>
    <row r="94" spans="2:16" x14ac:dyDescent="0.2">
      <c r="B94" s="671">
        <f t="shared" si="21"/>
        <v>42555</v>
      </c>
      <c r="C94" s="605">
        <v>0</v>
      </c>
      <c r="D94" s="605">
        <v>0</v>
      </c>
      <c r="E94" s="605">
        <v>0</v>
      </c>
      <c r="F94" s="605">
        <v>0</v>
      </c>
      <c r="G94" s="605">
        <v>0</v>
      </c>
      <c r="H94" s="669">
        <f t="shared" si="18"/>
        <v>0</v>
      </c>
      <c r="J94" s="662">
        <f t="shared" si="20"/>
        <v>42555</v>
      </c>
      <c r="K94" s="601">
        <v>0</v>
      </c>
      <c r="L94" s="601">
        <v>0</v>
      </c>
      <c r="M94" s="601">
        <v>0</v>
      </c>
      <c r="N94" s="601">
        <v>0</v>
      </c>
      <c r="O94" s="601">
        <v>0</v>
      </c>
      <c r="P94" s="670">
        <f t="shared" si="19"/>
        <v>0</v>
      </c>
    </row>
    <row r="95" spans="2:16" x14ac:dyDescent="0.2">
      <c r="B95" s="671">
        <f t="shared" si="21"/>
        <v>42556</v>
      </c>
      <c r="C95" s="605">
        <v>0</v>
      </c>
      <c r="D95" s="605">
        <v>0</v>
      </c>
      <c r="E95" s="605">
        <v>0</v>
      </c>
      <c r="F95" s="605">
        <v>0</v>
      </c>
      <c r="G95" s="605">
        <v>0</v>
      </c>
      <c r="H95" s="669">
        <f t="shared" si="18"/>
        <v>0</v>
      </c>
      <c r="J95" s="662">
        <f t="shared" si="20"/>
        <v>42556</v>
      </c>
      <c r="K95" s="601">
        <v>0</v>
      </c>
      <c r="L95" s="601">
        <v>0</v>
      </c>
      <c r="M95" s="601">
        <v>0.05</v>
      </c>
      <c r="N95" s="601">
        <v>0</v>
      </c>
      <c r="O95" s="601">
        <v>0</v>
      </c>
      <c r="P95" s="670">
        <f t="shared" si="19"/>
        <v>0</v>
      </c>
    </row>
    <row r="96" spans="2:16" x14ac:dyDescent="0.2">
      <c r="B96" s="671">
        <f t="shared" si="21"/>
        <v>42557</v>
      </c>
      <c r="C96" s="605">
        <v>0</v>
      </c>
      <c r="D96" s="605">
        <v>0</v>
      </c>
      <c r="E96" s="605">
        <v>0</v>
      </c>
      <c r="F96" s="605">
        <v>0</v>
      </c>
      <c r="G96" s="605">
        <v>0</v>
      </c>
      <c r="H96" s="669">
        <f t="shared" si="18"/>
        <v>0</v>
      </c>
      <c r="J96" s="662">
        <f t="shared" si="20"/>
        <v>42557</v>
      </c>
      <c r="K96" s="601">
        <v>0</v>
      </c>
      <c r="L96" s="601">
        <v>0</v>
      </c>
      <c r="M96" s="601">
        <v>0</v>
      </c>
      <c r="N96" s="601">
        <v>0</v>
      </c>
      <c r="O96" s="601">
        <v>0</v>
      </c>
      <c r="P96" s="670">
        <f t="shared" si="19"/>
        <v>0</v>
      </c>
    </row>
    <row r="97" spans="2:16" x14ac:dyDescent="0.2">
      <c r="B97" s="671">
        <f t="shared" si="21"/>
        <v>42558</v>
      </c>
      <c r="C97" s="605">
        <v>0</v>
      </c>
      <c r="D97" s="605">
        <v>0</v>
      </c>
      <c r="E97" s="605">
        <v>0</v>
      </c>
      <c r="F97" s="605">
        <v>0</v>
      </c>
      <c r="G97" s="605">
        <v>0</v>
      </c>
      <c r="H97" s="669">
        <f t="shared" si="18"/>
        <v>0</v>
      </c>
      <c r="J97" s="662">
        <f t="shared" si="20"/>
        <v>42558</v>
      </c>
      <c r="K97" s="601">
        <v>0</v>
      </c>
      <c r="L97" s="601">
        <v>0</v>
      </c>
      <c r="M97" s="601">
        <v>0</v>
      </c>
      <c r="N97" s="601">
        <v>0</v>
      </c>
      <c r="O97" s="601">
        <v>0</v>
      </c>
      <c r="P97" s="670">
        <f t="shared" si="19"/>
        <v>0</v>
      </c>
    </row>
    <row r="98" spans="2:16" x14ac:dyDescent="0.2">
      <c r="B98" s="671">
        <f t="shared" si="21"/>
        <v>42559</v>
      </c>
      <c r="C98" s="605">
        <v>0</v>
      </c>
      <c r="D98" s="605">
        <v>0</v>
      </c>
      <c r="E98" s="605">
        <v>0</v>
      </c>
      <c r="F98" s="605">
        <v>0</v>
      </c>
      <c r="G98" s="605">
        <v>0</v>
      </c>
      <c r="H98" s="669">
        <f t="shared" si="18"/>
        <v>0</v>
      </c>
      <c r="J98" s="662">
        <f t="shared" si="20"/>
        <v>42559</v>
      </c>
      <c r="K98" s="601">
        <v>0</v>
      </c>
      <c r="L98" s="601">
        <v>0</v>
      </c>
      <c r="M98" s="601">
        <v>0</v>
      </c>
      <c r="N98" s="601">
        <v>0</v>
      </c>
      <c r="O98" s="601">
        <v>0</v>
      </c>
      <c r="P98" s="670">
        <f t="shared" si="19"/>
        <v>0</v>
      </c>
    </row>
    <row r="99" spans="2:16" x14ac:dyDescent="0.2">
      <c r="B99" s="671">
        <f t="shared" si="21"/>
        <v>42560</v>
      </c>
      <c r="C99" s="605">
        <v>0</v>
      </c>
      <c r="D99" s="605">
        <v>0</v>
      </c>
      <c r="E99" s="605">
        <v>0</v>
      </c>
      <c r="F99" s="605">
        <v>0</v>
      </c>
      <c r="G99" s="605">
        <v>0</v>
      </c>
      <c r="H99" s="669">
        <f t="shared" si="18"/>
        <v>0</v>
      </c>
      <c r="J99" s="662">
        <f t="shared" si="20"/>
        <v>42560</v>
      </c>
      <c r="K99" s="601">
        <v>0</v>
      </c>
      <c r="L99" s="601">
        <v>0</v>
      </c>
      <c r="M99" s="601">
        <v>0</v>
      </c>
      <c r="N99" s="601">
        <v>0</v>
      </c>
      <c r="O99" s="601">
        <v>0</v>
      </c>
      <c r="P99" s="670">
        <f t="shared" si="19"/>
        <v>0</v>
      </c>
    </row>
    <row r="100" spans="2:16" x14ac:dyDescent="0.2">
      <c r="B100" s="671">
        <f t="shared" si="21"/>
        <v>42561</v>
      </c>
      <c r="C100" s="605">
        <v>0</v>
      </c>
      <c r="D100" s="605">
        <v>0</v>
      </c>
      <c r="E100" s="605">
        <v>0</v>
      </c>
      <c r="F100" s="605">
        <v>0</v>
      </c>
      <c r="G100" s="605">
        <v>0</v>
      </c>
      <c r="H100" s="669">
        <f t="shared" si="18"/>
        <v>0</v>
      </c>
      <c r="J100" s="662">
        <f t="shared" si="20"/>
        <v>42561</v>
      </c>
      <c r="K100" s="601">
        <v>0</v>
      </c>
      <c r="L100" s="601">
        <v>0</v>
      </c>
      <c r="M100" s="601">
        <v>0</v>
      </c>
      <c r="N100" s="601">
        <v>0</v>
      </c>
      <c r="O100" s="601">
        <v>0</v>
      </c>
      <c r="P100" s="670">
        <f t="shared" si="19"/>
        <v>0</v>
      </c>
    </row>
    <row r="101" spans="2:16" x14ac:dyDescent="0.2">
      <c r="B101" s="671">
        <f t="shared" si="21"/>
        <v>42562</v>
      </c>
      <c r="C101" s="605">
        <v>0</v>
      </c>
      <c r="D101" s="605">
        <v>0</v>
      </c>
      <c r="E101" s="605">
        <v>0</v>
      </c>
      <c r="F101" s="605">
        <v>0</v>
      </c>
      <c r="G101" s="605">
        <v>0</v>
      </c>
      <c r="H101" s="669">
        <f t="shared" si="18"/>
        <v>0</v>
      </c>
      <c r="J101" s="662">
        <f t="shared" si="20"/>
        <v>42562</v>
      </c>
      <c r="K101" s="601">
        <v>0</v>
      </c>
      <c r="L101" s="601">
        <v>0</v>
      </c>
      <c r="M101" s="601">
        <v>0</v>
      </c>
      <c r="N101" s="601">
        <v>0</v>
      </c>
      <c r="O101" s="601">
        <v>0</v>
      </c>
      <c r="P101" s="670">
        <f t="shared" si="19"/>
        <v>0</v>
      </c>
    </row>
    <row r="102" spans="2:16" x14ac:dyDescent="0.2">
      <c r="B102" s="671">
        <f t="shared" si="21"/>
        <v>42563</v>
      </c>
      <c r="C102" s="605">
        <v>0</v>
      </c>
      <c r="D102" s="605">
        <v>0</v>
      </c>
      <c r="E102" s="605">
        <v>0</v>
      </c>
      <c r="F102" s="605">
        <v>0</v>
      </c>
      <c r="G102" s="605">
        <v>0</v>
      </c>
      <c r="H102" s="669">
        <f t="shared" si="18"/>
        <v>0</v>
      </c>
      <c r="J102" s="662">
        <f t="shared" si="20"/>
        <v>42563</v>
      </c>
      <c r="K102" s="601">
        <v>0</v>
      </c>
      <c r="L102" s="601">
        <v>0</v>
      </c>
      <c r="M102" s="601">
        <v>0</v>
      </c>
      <c r="N102" s="601">
        <v>0</v>
      </c>
      <c r="O102" s="601">
        <v>0</v>
      </c>
      <c r="P102" s="670">
        <f t="shared" si="19"/>
        <v>0</v>
      </c>
    </row>
    <row r="103" spans="2:16" x14ac:dyDescent="0.2">
      <c r="B103" s="671">
        <f t="shared" si="21"/>
        <v>42564</v>
      </c>
      <c r="C103" s="605">
        <v>0</v>
      </c>
      <c r="D103" s="605">
        <v>0</v>
      </c>
      <c r="E103" s="605">
        <v>0</v>
      </c>
      <c r="F103" s="605">
        <v>0</v>
      </c>
      <c r="G103" s="605">
        <v>0</v>
      </c>
      <c r="H103" s="669">
        <f t="shared" si="18"/>
        <v>0</v>
      </c>
      <c r="J103" s="662">
        <f t="shared" si="20"/>
        <v>42564</v>
      </c>
      <c r="K103" s="601">
        <v>0</v>
      </c>
      <c r="L103" s="601">
        <v>0</v>
      </c>
      <c r="M103" s="601">
        <v>0</v>
      </c>
      <c r="N103" s="601">
        <v>0</v>
      </c>
      <c r="O103" s="601">
        <v>0</v>
      </c>
      <c r="P103" s="670">
        <f t="shared" si="19"/>
        <v>0</v>
      </c>
    </row>
    <row r="104" spans="2:16" x14ac:dyDescent="0.2">
      <c r="B104" s="671">
        <f t="shared" si="21"/>
        <v>42565</v>
      </c>
      <c r="C104" s="605">
        <v>0</v>
      </c>
      <c r="D104" s="605">
        <v>0</v>
      </c>
      <c r="E104" s="605">
        <v>0</v>
      </c>
      <c r="F104" s="605">
        <v>0</v>
      </c>
      <c r="G104" s="605">
        <v>0</v>
      </c>
      <c r="H104" s="669">
        <f t="shared" si="18"/>
        <v>0</v>
      </c>
      <c r="J104" s="662">
        <f t="shared" si="20"/>
        <v>42565</v>
      </c>
      <c r="K104" s="601">
        <v>0</v>
      </c>
      <c r="L104" s="601">
        <v>0</v>
      </c>
      <c r="M104" s="601">
        <v>0</v>
      </c>
      <c r="N104" s="601">
        <v>0</v>
      </c>
      <c r="O104" s="601">
        <v>0</v>
      </c>
      <c r="P104" s="670">
        <f t="shared" si="19"/>
        <v>0</v>
      </c>
    </row>
    <row r="105" spans="2:16" x14ac:dyDescent="0.2">
      <c r="B105" s="671">
        <f t="shared" si="21"/>
        <v>42566</v>
      </c>
      <c r="C105" s="605">
        <v>0</v>
      </c>
      <c r="D105" s="605">
        <v>0</v>
      </c>
      <c r="E105" s="605">
        <v>0</v>
      </c>
      <c r="F105" s="605">
        <v>0</v>
      </c>
      <c r="G105" s="605">
        <v>0</v>
      </c>
      <c r="H105" s="669">
        <f t="shared" si="18"/>
        <v>0</v>
      </c>
      <c r="J105" s="662">
        <f t="shared" si="20"/>
        <v>42566</v>
      </c>
      <c r="K105" s="601">
        <v>0</v>
      </c>
      <c r="L105" s="601">
        <v>0</v>
      </c>
      <c r="M105" s="601">
        <v>0</v>
      </c>
      <c r="N105" s="601">
        <v>0</v>
      </c>
      <c r="O105" s="601">
        <v>0</v>
      </c>
      <c r="P105" s="670">
        <f t="shared" si="19"/>
        <v>0</v>
      </c>
    </row>
    <row r="106" spans="2:16" x14ac:dyDescent="0.2">
      <c r="B106" s="671">
        <f t="shared" si="21"/>
        <v>42567</v>
      </c>
      <c r="C106" s="605">
        <v>0</v>
      </c>
      <c r="D106" s="605">
        <v>0</v>
      </c>
      <c r="E106" s="605">
        <v>0</v>
      </c>
      <c r="F106" s="605">
        <v>0</v>
      </c>
      <c r="G106" s="605">
        <v>0</v>
      </c>
      <c r="H106" s="669">
        <f t="shared" si="18"/>
        <v>0</v>
      </c>
      <c r="J106" s="662">
        <f t="shared" si="20"/>
        <v>42567</v>
      </c>
      <c r="K106" s="601">
        <v>0</v>
      </c>
      <c r="L106" s="601">
        <v>0</v>
      </c>
      <c r="M106" s="601">
        <v>0</v>
      </c>
      <c r="N106" s="601">
        <v>0</v>
      </c>
      <c r="O106" s="601">
        <v>0</v>
      </c>
      <c r="P106" s="670">
        <f t="shared" si="19"/>
        <v>0</v>
      </c>
    </row>
    <row r="107" spans="2:16" x14ac:dyDescent="0.2">
      <c r="B107" s="671">
        <f t="shared" si="21"/>
        <v>42568</v>
      </c>
      <c r="C107" s="605">
        <v>0</v>
      </c>
      <c r="D107" s="605">
        <v>0</v>
      </c>
      <c r="E107" s="605">
        <v>0</v>
      </c>
      <c r="F107" s="605">
        <v>0</v>
      </c>
      <c r="G107" s="605">
        <v>0</v>
      </c>
      <c r="H107" s="669">
        <f t="shared" si="18"/>
        <v>0</v>
      </c>
      <c r="J107" s="662">
        <f t="shared" si="20"/>
        <v>42568</v>
      </c>
      <c r="K107" s="601">
        <v>0</v>
      </c>
      <c r="L107" s="601">
        <v>0</v>
      </c>
      <c r="M107" s="601">
        <v>0</v>
      </c>
      <c r="N107" s="601">
        <v>0</v>
      </c>
      <c r="O107" s="601">
        <v>0</v>
      </c>
      <c r="P107" s="670">
        <f t="shared" si="19"/>
        <v>0</v>
      </c>
    </row>
    <row r="108" spans="2:16" x14ac:dyDescent="0.2">
      <c r="B108" s="671">
        <f t="shared" si="21"/>
        <v>42569</v>
      </c>
      <c r="C108" s="605">
        <v>0</v>
      </c>
      <c r="D108" s="605">
        <v>0</v>
      </c>
      <c r="E108" s="605">
        <v>0</v>
      </c>
      <c r="F108" s="605">
        <v>0</v>
      </c>
      <c r="G108" s="605">
        <v>0</v>
      </c>
      <c r="H108" s="669">
        <f t="shared" si="18"/>
        <v>0</v>
      </c>
      <c r="J108" s="662">
        <f t="shared" si="20"/>
        <v>42569</v>
      </c>
      <c r="K108" s="601">
        <v>0</v>
      </c>
      <c r="L108" s="601">
        <v>0</v>
      </c>
      <c r="M108" s="601">
        <v>0.1</v>
      </c>
      <c r="N108" s="601">
        <v>0</v>
      </c>
      <c r="O108" s="601">
        <v>0</v>
      </c>
      <c r="P108" s="670">
        <f t="shared" si="19"/>
        <v>0</v>
      </c>
    </row>
    <row r="109" spans="2:16" x14ac:dyDescent="0.2">
      <c r="B109" s="671">
        <f t="shared" si="21"/>
        <v>42570</v>
      </c>
      <c r="C109" s="605">
        <v>0</v>
      </c>
      <c r="D109" s="605">
        <v>0</v>
      </c>
      <c r="E109" s="605">
        <v>0</v>
      </c>
      <c r="F109" s="605">
        <v>0</v>
      </c>
      <c r="G109" s="605">
        <v>0</v>
      </c>
      <c r="H109" s="669">
        <f t="shared" si="18"/>
        <v>0</v>
      </c>
      <c r="J109" s="662">
        <f t="shared" si="20"/>
        <v>42570</v>
      </c>
      <c r="K109" s="601">
        <v>0</v>
      </c>
      <c r="L109" s="601">
        <v>0</v>
      </c>
      <c r="M109" s="601">
        <v>0.05</v>
      </c>
      <c r="N109" s="601">
        <v>0</v>
      </c>
      <c r="O109" s="601">
        <v>0</v>
      </c>
      <c r="P109" s="670">
        <f t="shared" si="19"/>
        <v>0</v>
      </c>
    </row>
    <row r="110" spans="2:16" x14ac:dyDescent="0.2">
      <c r="B110" s="671">
        <f t="shared" si="21"/>
        <v>42571</v>
      </c>
      <c r="C110" s="605">
        <v>0</v>
      </c>
      <c r="D110" s="605">
        <v>0</v>
      </c>
      <c r="E110" s="605">
        <v>0</v>
      </c>
      <c r="F110" s="605">
        <v>0</v>
      </c>
      <c r="G110" s="605">
        <v>0</v>
      </c>
      <c r="H110" s="669">
        <f t="shared" si="18"/>
        <v>0</v>
      </c>
      <c r="J110" s="662">
        <f t="shared" si="20"/>
        <v>42571</v>
      </c>
      <c r="K110" s="601">
        <v>0</v>
      </c>
      <c r="L110" s="601">
        <v>0</v>
      </c>
      <c r="M110" s="601">
        <v>0</v>
      </c>
      <c r="N110" s="601">
        <v>0</v>
      </c>
      <c r="O110" s="601">
        <v>0</v>
      </c>
      <c r="P110" s="670">
        <f t="shared" si="19"/>
        <v>0</v>
      </c>
    </row>
    <row r="111" spans="2:16" x14ac:dyDescent="0.2">
      <c r="B111" s="671">
        <f t="shared" si="21"/>
        <v>42572</v>
      </c>
      <c r="C111" s="605">
        <v>0</v>
      </c>
      <c r="D111" s="605">
        <v>0</v>
      </c>
      <c r="E111" s="605">
        <v>0</v>
      </c>
      <c r="F111" s="605">
        <v>0</v>
      </c>
      <c r="G111" s="605">
        <v>0</v>
      </c>
      <c r="H111" s="669">
        <f t="shared" si="18"/>
        <v>0</v>
      </c>
      <c r="J111" s="662">
        <f t="shared" si="20"/>
        <v>42572</v>
      </c>
      <c r="K111" s="601">
        <v>0</v>
      </c>
      <c r="L111" s="601">
        <v>0</v>
      </c>
      <c r="M111" s="601">
        <v>0</v>
      </c>
      <c r="N111" s="601">
        <v>0</v>
      </c>
      <c r="O111" s="601">
        <v>0</v>
      </c>
      <c r="P111" s="670">
        <f t="shared" si="19"/>
        <v>0</v>
      </c>
    </row>
    <row r="112" spans="2:16" x14ac:dyDescent="0.2">
      <c r="B112" s="671">
        <f t="shared" si="21"/>
        <v>42573</v>
      </c>
      <c r="C112" s="605">
        <v>0</v>
      </c>
      <c r="D112" s="605">
        <v>0</v>
      </c>
      <c r="E112" s="605">
        <v>0</v>
      </c>
      <c r="F112" s="605">
        <v>0</v>
      </c>
      <c r="G112" s="605">
        <v>0</v>
      </c>
      <c r="H112" s="669">
        <f t="shared" si="18"/>
        <v>0</v>
      </c>
      <c r="J112" s="662">
        <f t="shared" si="20"/>
        <v>42573</v>
      </c>
      <c r="K112" s="601">
        <v>0</v>
      </c>
      <c r="L112" s="601">
        <v>0</v>
      </c>
      <c r="M112" s="601">
        <v>0</v>
      </c>
      <c r="N112" s="601">
        <v>0</v>
      </c>
      <c r="O112" s="601">
        <v>0</v>
      </c>
      <c r="P112" s="670">
        <f t="shared" si="19"/>
        <v>0</v>
      </c>
    </row>
    <row r="113" spans="2:16" x14ac:dyDescent="0.2">
      <c r="B113" s="671">
        <f t="shared" si="21"/>
        <v>42574</v>
      </c>
      <c r="C113" s="605">
        <v>0</v>
      </c>
      <c r="D113" s="605">
        <v>0</v>
      </c>
      <c r="E113" s="605">
        <v>0</v>
      </c>
      <c r="F113" s="605">
        <v>0</v>
      </c>
      <c r="G113" s="605">
        <v>0</v>
      </c>
      <c r="H113" s="669">
        <f t="shared" si="18"/>
        <v>0</v>
      </c>
      <c r="J113" s="662">
        <f t="shared" si="20"/>
        <v>42574</v>
      </c>
      <c r="K113" s="601">
        <v>0</v>
      </c>
      <c r="L113" s="601">
        <v>0</v>
      </c>
      <c r="M113" s="601">
        <v>0</v>
      </c>
      <c r="N113" s="601">
        <v>0</v>
      </c>
      <c r="O113" s="601">
        <v>0</v>
      </c>
      <c r="P113" s="670">
        <f t="shared" si="19"/>
        <v>0</v>
      </c>
    </row>
    <row r="114" spans="2:16" x14ac:dyDescent="0.2">
      <c r="B114" s="671">
        <f t="shared" si="21"/>
        <v>42575</v>
      </c>
      <c r="C114" s="605">
        <v>0</v>
      </c>
      <c r="D114" s="605">
        <v>0</v>
      </c>
      <c r="E114" s="605">
        <v>0</v>
      </c>
      <c r="F114" s="605">
        <v>0</v>
      </c>
      <c r="G114" s="605">
        <v>0</v>
      </c>
      <c r="H114" s="669">
        <f t="shared" si="18"/>
        <v>0</v>
      </c>
      <c r="J114" s="662">
        <f t="shared" si="20"/>
        <v>42575</v>
      </c>
      <c r="K114" s="601">
        <v>0</v>
      </c>
      <c r="L114" s="601">
        <v>0</v>
      </c>
      <c r="M114" s="601">
        <v>0</v>
      </c>
      <c r="N114" s="601">
        <v>0</v>
      </c>
      <c r="O114" s="601">
        <v>0</v>
      </c>
      <c r="P114" s="670">
        <f t="shared" si="19"/>
        <v>0</v>
      </c>
    </row>
    <row r="115" spans="2:16" x14ac:dyDescent="0.2">
      <c r="B115" s="671">
        <f t="shared" si="21"/>
        <v>42576</v>
      </c>
      <c r="C115" s="605">
        <v>0</v>
      </c>
      <c r="D115" s="605">
        <v>0</v>
      </c>
      <c r="E115" s="605">
        <v>0</v>
      </c>
      <c r="F115" s="605">
        <v>0</v>
      </c>
      <c r="G115" s="605">
        <v>0</v>
      </c>
      <c r="H115" s="669">
        <f t="shared" si="18"/>
        <v>0</v>
      </c>
      <c r="J115" s="662">
        <f t="shared" si="20"/>
        <v>42576</v>
      </c>
      <c r="K115" s="601">
        <v>0</v>
      </c>
      <c r="L115" s="601">
        <v>0</v>
      </c>
      <c r="M115" s="601">
        <v>0</v>
      </c>
      <c r="N115" s="601">
        <v>0</v>
      </c>
      <c r="O115" s="601">
        <v>0</v>
      </c>
      <c r="P115" s="670">
        <f t="shared" si="19"/>
        <v>0</v>
      </c>
    </row>
    <row r="116" spans="2:16" x14ac:dyDescent="0.2">
      <c r="B116" s="671">
        <f t="shared" si="21"/>
        <v>42577</v>
      </c>
      <c r="C116" s="605">
        <v>0</v>
      </c>
      <c r="D116" s="605">
        <v>0</v>
      </c>
      <c r="E116" s="605">
        <v>0</v>
      </c>
      <c r="F116" s="605">
        <v>0</v>
      </c>
      <c r="G116" s="605">
        <v>0</v>
      </c>
      <c r="H116" s="669">
        <f t="shared" si="18"/>
        <v>0</v>
      </c>
      <c r="J116" s="662">
        <f t="shared" si="20"/>
        <v>42577</v>
      </c>
      <c r="K116" s="601">
        <v>0.05</v>
      </c>
      <c r="L116" s="601">
        <v>0</v>
      </c>
      <c r="M116" s="601">
        <v>0</v>
      </c>
      <c r="N116" s="601">
        <v>0</v>
      </c>
      <c r="O116" s="601">
        <v>0</v>
      </c>
      <c r="P116" s="670">
        <f t="shared" si="19"/>
        <v>0</v>
      </c>
    </row>
    <row r="117" spans="2:16" x14ac:dyDescent="0.2">
      <c r="B117" s="671">
        <f t="shared" si="21"/>
        <v>42578</v>
      </c>
      <c r="C117" s="605">
        <v>0</v>
      </c>
      <c r="D117" s="605">
        <v>0</v>
      </c>
      <c r="E117" s="605">
        <v>0</v>
      </c>
      <c r="F117" s="605">
        <v>0</v>
      </c>
      <c r="G117" s="605">
        <v>0</v>
      </c>
      <c r="H117" s="669">
        <f t="shared" si="18"/>
        <v>0</v>
      </c>
      <c r="J117" s="662">
        <f t="shared" si="20"/>
        <v>42578</v>
      </c>
      <c r="K117" s="601">
        <v>0</v>
      </c>
      <c r="L117" s="601">
        <v>0</v>
      </c>
      <c r="M117" s="601">
        <v>0</v>
      </c>
      <c r="N117" s="601">
        <v>0</v>
      </c>
      <c r="O117" s="601">
        <v>0</v>
      </c>
      <c r="P117" s="670">
        <f t="shared" si="19"/>
        <v>0</v>
      </c>
    </row>
    <row r="118" spans="2:16" x14ac:dyDescent="0.2">
      <c r="B118" s="671">
        <f t="shared" si="21"/>
        <v>42579</v>
      </c>
      <c r="C118" s="605">
        <v>0</v>
      </c>
      <c r="D118" s="605">
        <v>0</v>
      </c>
      <c r="E118" s="605">
        <v>0</v>
      </c>
      <c r="F118" s="605">
        <v>0</v>
      </c>
      <c r="G118" s="605">
        <v>0</v>
      </c>
      <c r="H118" s="669">
        <f t="shared" si="18"/>
        <v>0</v>
      </c>
      <c r="J118" s="662">
        <f t="shared" si="20"/>
        <v>42579</v>
      </c>
      <c r="K118" s="601">
        <v>0</v>
      </c>
      <c r="L118" s="601">
        <v>0</v>
      </c>
      <c r="M118" s="601">
        <v>0</v>
      </c>
      <c r="N118" s="601">
        <v>0</v>
      </c>
      <c r="O118" s="601">
        <v>0</v>
      </c>
      <c r="P118" s="670">
        <f t="shared" si="19"/>
        <v>0</v>
      </c>
    </row>
    <row r="119" spans="2:16" x14ac:dyDescent="0.2">
      <c r="B119" s="671">
        <f t="shared" si="21"/>
        <v>42580</v>
      </c>
      <c r="C119" s="605">
        <v>0</v>
      </c>
      <c r="D119" s="605">
        <v>0</v>
      </c>
      <c r="E119" s="605">
        <v>0</v>
      </c>
      <c r="F119" s="605">
        <v>0</v>
      </c>
      <c r="G119" s="605">
        <v>0</v>
      </c>
      <c r="H119" s="669">
        <f t="shared" si="18"/>
        <v>0</v>
      </c>
      <c r="J119" s="662">
        <f t="shared" si="20"/>
        <v>42580</v>
      </c>
      <c r="K119" s="601">
        <v>0</v>
      </c>
      <c r="L119" s="601">
        <v>0</v>
      </c>
      <c r="M119" s="601">
        <v>0.1</v>
      </c>
      <c r="N119" s="601">
        <v>0</v>
      </c>
      <c r="O119" s="601">
        <v>0</v>
      </c>
      <c r="P119" s="670">
        <f t="shared" si="19"/>
        <v>0</v>
      </c>
    </row>
    <row r="120" spans="2:16" x14ac:dyDescent="0.2">
      <c r="B120" s="671">
        <f t="shared" si="21"/>
        <v>42581</v>
      </c>
      <c r="C120" s="605">
        <v>0</v>
      </c>
      <c r="D120" s="605">
        <v>0</v>
      </c>
      <c r="E120" s="605">
        <v>0</v>
      </c>
      <c r="F120" s="605">
        <v>0</v>
      </c>
      <c r="G120" s="605">
        <v>0</v>
      </c>
      <c r="H120" s="669">
        <f t="shared" si="18"/>
        <v>0</v>
      </c>
      <c r="J120" s="662">
        <f t="shared" si="20"/>
        <v>42581</v>
      </c>
      <c r="K120" s="601">
        <v>0</v>
      </c>
      <c r="L120" s="601">
        <v>0</v>
      </c>
      <c r="M120" s="601">
        <v>0</v>
      </c>
      <c r="N120" s="601">
        <v>0</v>
      </c>
      <c r="O120" s="601">
        <v>0</v>
      </c>
      <c r="P120" s="670">
        <f t="shared" si="19"/>
        <v>0</v>
      </c>
    </row>
    <row r="121" spans="2:16" x14ac:dyDescent="0.2">
      <c r="B121" s="671">
        <f t="shared" si="21"/>
        <v>42582</v>
      </c>
      <c r="C121" s="605">
        <v>0</v>
      </c>
      <c r="D121" s="605">
        <v>0</v>
      </c>
      <c r="E121" s="605">
        <v>0</v>
      </c>
      <c r="F121" s="605">
        <v>0</v>
      </c>
      <c r="G121" s="605">
        <v>0</v>
      </c>
      <c r="H121" s="669">
        <f t="shared" si="18"/>
        <v>0</v>
      </c>
      <c r="J121" s="662">
        <f t="shared" si="20"/>
        <v>42582</v>
      </c>
      <c r="K121" s="601">
        <v>0</v>
      </c>
      <c r="L121" s="601">
        <v>0</v>
      </c>
      <c r="M121" s="601">
        <v>0</v>
      </c>
      <c r="N121" s="601">
        <v>0</v>
      </c>
      <c r="O121" s="601">
        <v>0</v>
      </c>
      <c r="P121" s="670">
        <f t="shared" si="19"/>
        <v>0</v>
      </c>
    </row>
    <row r="122" spans="2:16" x14ac:dyDescent="0.2">
      <c r="B122" s="671">
        <f t="shared" si="21"/>
        <v>42583</v>
      </c>
      <c r="C122" s="605">
        <v>0</v>
      </c>
      <c r="D122" s="605">
        <v>0</v>
      </c>
      <c r="E122" s="605">
        <v>0</v>
      </c>
      <c r="F122" s="605">
        <v>0</v>
      </c>
      <c r="G122" s="605">
        <v>0</v>
      </c>
      <c r="H122" s="669">
        <f t="shared" si="18"/>
        <v>0</v>
      </c>
      <c r="J122" s="662">
        <f t="shared" si="20"/>
        <v>42583</v>
      </c>
      <c r="K122" s="601">
        <v>0</v>
      </c>
      <c r="L122" s="601">
        <v>0</v>
      </c>
      <c r="M122" s="601">
        <v>0</v>
      </c>
      <c r="N122" s="601">
        <v>0</v>
      </c>
      <c r="O122" s="601">
        <v>0</v>
      </c>
      <c r="P122" s="670">
        <f t="shared" si="19"/>
        <v>0</v>
      </c>
    </row>
    <row r="123" spans="2:16" x14ac:dyDescent="0.2">
      <c r="B123" s="671">
        <f t="shared" si="21"/>
        <v>42584</v>
      </c>
      <c r="C123" s="605">
        <v>0</v>
      </c>
      <c r="D123" s="605">
        <v>0</v>
      </c>
      <c r="E123" s="605">
        <v>0</v>
      </c>
      <c r="F123" s="605">
        <v>0</v>
      </c>
      <c r="G123" s="605">
        <v>0</v>
      </c>
      <c r="H123" s="669">
        <f t="shared" si="18"/>
        <v>0</v>
      </c>
      <c r="J123" s="662">
        <f t="shared" si="20"/>
        <v>42584</v>
      </c>
      <c r="K123" s="601">
        <v>0</v>
      </c>
      <c r="L123" s="601">
        <v>0</v>
      </c>
      <c r="M123" s="601">
        <v>0</v>
      </c>
      <c r="N123" s="601">
        <v>0</v>
      </c>
      <c r="O123" s="601">
        <v>0</v>
      </c>
      <c r="P123" s="670">
        <f t="shared" si="19"/>
        <v>0</v>
      </c>
    </row>
    <row r="124" spans="2:16" x14ac:dyDescent="0.2">
      <c r="B124" s="671">
        <f t="shared" si="21"/>
        <v>42585</v>
      </c>
      <c r="C124" s="605">
        <v>0</v>
      </c>
      <c r="D124" s="605">
        <v>0</v>
      </c>
      <c r="E124" s="605">
        <v>0</v>
      </c>
      <c r="F124" s="605">
        <v>0</v>
      </c>
      <c r="G124" s="605">
        <v>0</v>
      </c>
      <c r="H124" s="669">
        <f t="shared" si="18"/>
        <v>0</v>
      </c>
      <c r="J124" s="662">
        <f t="shared" si="20"/>
        <v>42585</v>
      </c>
      <c r="K124" s="601">
        <v>0</v>
      </c>
      <c r="L124" s="601">
        <v>0</v>
      </c>
      <c r="M124" s="601">
        <v>0</v>
      </c>
      <c r="N124" s="601">
        <v>0</v>
      </c>
      <c r="O124" s="601">
        <v>0</v>
      </c>
      <c r="P124" s="670">
        <f t="shared" si="19"/>
        <v>0</v>
      </c>
    </row>
    <row r="125" spans="2:16" x14ac:dyDescent="0.2">
      <c r="B125" s="671">
        <f t="shared" si="21"/>
        <v>42586</v>
      </c>
      <c r="C125" s="605">
        <v>0</v>
      </c>
      <c r="D125" s="605">
        <v>0</v>
      </c>
      <c r="E125" s="605">
        <v>0</v>
      </c>
      <c r="F125" s="605">
        <v>0</v>
      </c>
      <c r="G125" s="605">
        <v>0</v>
      </c>
      <c r="H125" s="669">
        <f t="shared" si="18"/>
        <v>0</v>
      </c>
      <c r="J125" s="662">
        <f t="shared" si="20"/>
        <v>42586</v>
      </c>
      <c r="K125" s="601">
        <v>0</v>
      </c>
      <c r="L125" s="601">
        <v>0</v>
      </c>
      <c r="M125" s="601">
        <v>0</v>
      </c>
      <c r="N125" s="601">
        <v>0</v>
      </c>
      <c r="O125" s="601">
        <v>0</v>
      </c>
      <c r="P125" s="670">
        <f t="shared" si="19"/>
        <v>0</v>
      </c>
    </row>
    <row r="126" spans="2:16" x14ac:dyDescent="0.2">
      <c r="B126" s="671">
        <f t="shared" si="21"/>
        <v>42587</v>
      </c>
      <c r="C126" s="605">
        <v>0</v>
      </c>
      <c r="D126" s="605">
        <v>0</v>
      </c>
      <c r="E126" s="605">
        <v>0</v>
      </c>
      <c r="F126" s="605">
        <v>0</v>
      </c>
      <c r="G126" s="605">
        <v>0</v>
      </c>
      <c r="H126" s="669">
        <f t="shared" si="18"/>
        <v>0</v>
      </c>
      <c r="J126" s="662">
        <f t="shared" si="20"/>
        <v>42587</v>
      </c>
      <c r="K126" s="601">
        <v>0</v>
      </c>
      <c r="L126" s="601">
        <v>0</v>
      </c>
      <c r="M126" s="601">
        <v>0</v>
      </c>
      <c r="N126" s="601">
        <v>0</v>
      </c>
      <c r="O126" s="601">
        <v>0</v>
      </c>
      <c r="P126" s="670">
        <f t="shared" si="19"/>
        <v>0</v>
      </c>
    </row>
    <row r="127" spans="2:16" x14ac:dyDescent="0.2">
      <c r="B127" s="671">
        <f t="shared" si="21"/>
        <v>42588</v>
      </c>
      <c r="C127" s="605">
        <v>0</v>
      </c>
      <c r="D127" s="605">
        <v>0</v>
      </c>
      <c r="E127" s="605">
        <v>0</v>
      </c>
      <c r="F127" s="605">
        <v>0</v>
      </c>
      <c r="G127" s="605">
        <v>0</v>
      </c>
      <c r="H127" s="669">
        <f t="shared" si="18"/>
        <v>0</v>
      </c>
      <c r="J127" s="662">
        <f t="shared" si="20"/>
        <v>42588</v>
      </c>
      <c r="K127" s="601">
        <v>0</v>
      </c>
      <c r="L127" s="601">
        <v>0</v>
      </c>
      <c r="M127" s="601">
        <v>0.05</v>
      </c>
      <c r="N127" s="601">
        <v>0</v>
      </c>
      <c r="O127" s="601">
        <v>0</v>
      </c>
      <c r="P127" s="670">
        <f t="shared" si="19"/>
        <v>0</v>
      </c>
    </row>
    <row r="128" spans="2:16" x14ac:dyDescent="0.2">
      <c r="B128" s="671">
        <f t="shared" si="21"/>
        <v>42589</v>
      </c>
      <c r="C128" s="605">
        <v>0</v>
      </c>
      <c r="D128" s="605">
        <v>0</v>
      </c>
      <c r="E128" s="605">
        <v>0</v>
      </c>
      <c r="F128" s="605">
        <v>0</v>
      </c>
      <c r="G128" s="605">
        <v>0</v>
      </c>
      <c r="H128" s="669">
        <f t="shared" si="18"/>
        <v>0</v>
      </c>
      <c r="J128" s="662">
        <f t="shared" si="20"/>
        <v>42589</v>
      </c>
      <c r="K128" s="601">
        <v>0</v>
      </c>
      <c r="L128" s="601">
        <v>0</v>
      </c>
      <c r="M128" s="601">
        <v>0.05</v>
      </c>
      <c r="N128" s="601">
        <v>0</v>
      </c>
      <c r="O128" s="601">
        <v>0</v>
      </c>
      <c r="P128" s="670">
        <f t="shared" si="19"/>
        <v>0</v>
      </c>
    </row>
    <row r="129" spans="2:16" x14ac:dyDescent="0.2">
      <c r="B129" s="671">
        <f t="shared" si="21"/>
        <v>42590</v>
      </c>
      <c r="C129" s="605">
        <v>0</v>
      </c>
      <c r="D129" s="605">
        <v>0</v>
      </c>
      <c r="E129" s="605">
        <v>0</v>
      </c>
      <c r="F129" s="605">
        <v>0</v>
      </c>
      <c r="G129" s="605">
        <v>0</v>
      </c>
      <c r="H129" s="669">
        <f t="shared" si="18"/>
        <v>0</v>
      </c>
      <c r="J129" s="662">
        <f t="shared" si="20"/>
        <v>42590</v>
      </c>
      <c r="K129" s="601">
        <v>0</v>
      </c>
      <c r="L129" s="601">
        <v>0</v>
      </c>
      <c r="M129" s="601">
        <v>0</v>
      </c>
      <c r="N129" s="601">
        <v>0</v>
      </c>
      <c r="O129" s="601">
        <v>0</v>
      </c>
      <c r="P129" s="670">
        <f t="shared" si="19"/>
        <v>0</v>
      </c>
    </row>
    <row r="130" spans="2:16" x14ac:dyDescent="0.2">
      <c r="B130" s="671">
        <f t="shared" si="21"/>
        <v>42591</v>
      </c>
      <c r="C130" s="605">
        <v>0</v>
      </c>
      <c r="D130" s="605">
        <v>0</v>
      </c>
      <c r="E130" s="605">
        <v>0</v>
      </c>
      <c r="F130" s="605">
        <v>0</v>
      </c>
      <c r="G130" s="605">
        <v>0</v>
      </c>
      <c r="H130" s="669">
        <f t="shared" si="18"/>
        <v>0</v>
      </c>
      <c r="J130" s="662">
        <f t="shared" si="20"/>
        <v>42591</v>
      </c>
      <c r="K130" s="601">
        <v>0</v>
      </c>
      <c r="L130" s="601">
        <v>0</v>
      </c>
      <c r="M130" s="601">
        <v>0</v>
      </c>
      <c r="N130" s="601">
        <v>0</v>
      </c>
      <c r="O130" s="601">
        <v>0</v>
      </c>
      <c r="P130" s="670">
        <f t="shared" si="19"/>
        <v>0</v>
      </c>
    </row>
    <row r="131" spans="2:16" x14ac:dyDescent="0.2">
      <c r="B131" s="671">
        <f t="shared" si="21"/>
        <v>42592</v>
      </c>
      <c r="C131" s="605">
        <v>0</v>
      </c>
      <c r="D131" s="605">
        <v>0</v>
      </c>
      <c r="E131" s="605">
        <v>0</v>
      </c>
      <c r="F131" s="605">
        <v>0</v>
      </c>
      <c r="G131" s="605">
        <v>0</v>
      </c>
      <c r="H131" s="669">
        <f t="shared" si="18"/>
        <v>0</v>
      </c>
      <c r="J131" s="662">
        <f t="shared" si="20"/>
        <v>42592</v>
      </c>
      <c r="K131" s="601">
        <v>0</v>
      </c>
      <c r="L131" s="601">
        <v>0</v>
      </c>
      <c r="M131" s="601">
        <v>0</v>
      </c>
      <c r="N131" s="601">
        <v>0</v>
      </c>
      <c r="O131" s="601">
        <v>0</v>
      </c>
      <c r="P131" s="670">
        <f t="shared" si="19"/>
        <v>0</v>
      </c>
    </row>
    <row r="132" spans="2:16" x14ac:dyDescent="0.2">
      <c r="B132" s="671">
        <f t="shared" si="21"/>
        <v>42593</v>
      </c>
      <c r="C132" s="605">
        <v>0</v>
      </c>
      <c r="D132" s="605">
        <v>0</v>
      </c>
      <c r="E132" s="605">
        <v>0</v>
      </c>
      <c r="F132" s="605">
        <v>0</v>
      </c>
      <c r="G132" s="605">
        <v>0</v>
      </c>
      <c r="H132" s="669">
        <f t="shared" si="18"/>
        <v>0</v>
      </c>
      <c r="J132" s="662">
        <f t="shared" si="20"/>
        <v>42593</v>
      </c>
      <c r="K132" s="601">
        <v>0.05</v>
      </c>
      <c r="L132" s="601">
        <v>0</v>
      </c>
      <c r="M132" s="601">
        <v>0</v>
      </c>
      <c r="N132" s="601">
        <v>0</v>
      </c>
      <c r="O132" s="601">
        <v>0.1</v>
      </c>
      <c r="P132" s="670">
        <f t="shared" si="19"/>
        <v>0</v>
      </c>
    </row>
    <row r="133" spans="2:16" x14ac:dyDescent="0.2">
      <c r="B133" s="671">
        <f t="shared" si="21"/>
        <v>42594</v>
      </c>
      <c r="C133" s="605">
        <v>0</v>
      </c>
      <c r="D133" s="605">
        <v>0</v>
      </c>
      <c r="E133" s="605">
        <v>0</v>
      </c>
      <c r="F133" s="605">
        <v>0</v>
      </c>
      <c r="G133" s="605">
        <v>0</v>
      </c>
      <c r="H133" s="669">
        <f t="shared" si="18"/>
        <v>0</v>
      </c>
      <c r="J133" s="662">
        <f t="shared" si="20"/>
        <v>42594</v>
      </c>
      <c r="K133" s="601">
        <v>0.2</v>
      </c>
      <c r="L133" s="601">
        <v>0</v>
      </c>
      <c r="M133" s="601">
        <v>0.1</v>
      </c>
      <c r="N133" s="601">
        <v>0</v>
      </c>
      <c r="O133" s="601">
        <v>0.15</v>
      </c>
      <c r="P133" s="670">
        <f t="shared" si="19"/>
        <v>0</v>
      </c>
    </row>
    <row r="134" spans="2:16" x14ac:dyDescent="0.2">
      <c r="B134" s="671">
        <f t="shared" si="21"/>
        <v>42595</v>
      </c>
      <c r="C134" s="605">
        <v>0</v>
      </c>
      <c r="D134" s="605">
        <v>0</v>
      </c>
      <c r="E134" s="605">
        <v>0</v>
      </c>
      <c r="F134" s="605">
        <v>0</v>
      </c>
      <c r="G134" s="605">
        <v>0</v>
      </c>
      <c r="H134" s="669">
        <f t="shared" si="18"/>
        <v>0</v>
      </c>
      <c r="J134" s="662">
        <f t="shared" si="20"/>
        <v>42595</v>
      </c>
      <c r="K134" s="601">
        <v>0.1</v>
      </c>
      <c r="L134" s="601">
        <v>0.15</v>
      </c>
      <c r="M134" s="601">
        <v>0.35</v>
      </c>
      <c r="N134" s="601">
        <v>0.05</v>
      </c>
      <c r="O134" s="601">
        <v>0.2</v>
      </c>
      <c r="P134" s="670">
        <f t="shared" si="19"/>
        <v>0</v>
      </c>
    </row>
    <row r="135" spans="2:16" x14ac:dyDescent="0.2">
      <c r="B135" s="671">
        <f t="shared" si="21"/>
        <v>42596</v>
      </c>
      <c r="C135" s="605">
        <v>0</v>
      </c>
      <c r="D135" s="605">
        <v>0</v>
      </c>
      <c r="E135" s="605">
        <v>0</v>
      </c>
      <c r="F135" s="605">
        <v>0</v>
      </c>
      <c r="G135" s="605">
        <v>0</v>
      </c>
      <c r="H135" s="669">
        <f t="shared" si="18"/>
        <v>0</v>
      </c>
      <c r="J135" s="662">
        <f t="shared" si="20"/>
        <v>42596</v>
      </c>
      <c r="K135" s="601">
        <v>0.1</v>
      </c>
      <c r="L135" s="601">
        <v>0</v>
      </c>
      <c r="M135" s="601">
        <v>0.15</v>
      </c>
      <c r="N135" s="601">
        <v>0</v>
      </c>
      <c r="O135" s="601">
        <v>0.15</v>
      </c>
      <c r="P135" s="670">
        <f t="shared" si="19"/>
        <v>0</v>
      </c>
    </row>
    <row r="136" spans="2:16" x14ac:dyDescent="0.2">
      <c r="B136" s="671">
        <f t="shared" si="21"/>
        <v>42597</v>
      </c>
      <c r="C136" s="605">
        <v>0</v>
      </c>
      <c r="D136" s="605">
        <v>0</v>
      </c>
      <c r="E136" s="605">
        <v>0</v>
      </c>
      <c r="F136" s="605">
        <v>0</v>
      </c>
      <c r="G136" s="605">
        <v>0</v>
      </c>
      <c r="H136" s="669">
        <f t="shared" si="18"/>
        <v>0</v>
      </c>
      <c r="J136" s="662">
        <f t="shared" si="20"/>
        <v>42597</v>
      </c>
      <c r="K136" s="601">
        <v>0</v>
      </c>
      <c r="L136" s="601">
        <v>0</v>
      </c>
      <c r="M136" s="601">
        <v>0.1</v>
      </c>
      <c r="N136" s="601">
        <v>0</v>
      </c>
      <c r="O136" s="601">
        <v>0</v>
      </c>
      <c r="P136" s="670">
        <f t="shared" si="19"/>
        <v>0</v>
      </c>
    </row>
    <row r="137" spans="2:16" x14ac:dyDescent="0.2">
      <c r="B137" s="671">
        <f t="shared" si="21"/>
        <v>42598</v>
      </c>
      <c r="C137" s="605">
        <v>0</v>
      </c>
      <c r="D137" s="605">
        <v>0</v>
      </c>
      <c r="E137" s="605">
        <v>0</v>
      </c>
      <c r="F137" s="605">
        <v>0</v>
      </c>
      <c r="G137" s="605">
        <v>0</v>
      </c>
      <c r="H137" s="669">
        <f t="shared" si="18"/>
        <v>0</v>
      </c>
      <c r="J137" s="662">
        <f t="shared" si="20"/>
        <v>42598</v>
      </c>
      <c r="K137" s="601">
        <v>0</v>
      </c>
      <c r="L137" s="601">
        <v>0</v>
      </c>
      <c r="M137" s="601">
        <v>0</v>
      </c>
      <c r="N137" s="601">
        <v>0</v>
      </c>
      <c r="O137" s="601">
        <v>0</v>
      </c>
      <c r="P137" s="670">
        <f t="shared" si="19"/>
        <v>0</v>
      </c>
    </row>
    <row r="138" spans="2:16" x14ac:dyDescent="0.2">
      <c r="B138" s="671">
        <f t="shared" si="21"/>
        <v>42599</v>
      </c>
      <c r="C138" s="605">
        <v>0</v>
      </c>
      <c r="D138" s="605">
        <v>0</v>
      </c>
      <c r="E138" s="605">
        <v>0</v>
      </c>
      <c r="F138" s="605">
        <v>0</v>
      </c>
      <c r="G138" s="605">
        <v>0</v>
      </c>
      <c r="H138" s="669">
        <f t="shared" si="18"/>
        <v>0</v>
      </c>
      <c r="J138" s="662">
        <f t="shared" si="20"/>
        <v>42599</v>
      </c>
      <c r="K138" s="601">
        <v>0</v>
      </c>
      <c r="L138" s="601">
        <v>0</v>
      </c>
      <c r="M138" s="601">
        <v>0</v>
      </c>
      <c r="N138" s="601">
        <v>0</v>
      </c>
      <c r="O138" s="601">
        <v>0</v>
      </c>
      <c r="P138" s="670">
        <f t="shared" si="19"/>
        <v>0</v>
      </c>
    </row>
    <row r="139" spans="2:16" x14ac:dyDescent="0.2">
      <c r="B139" s="671">
        <f t="shared" si="21"/>
        <v>42600</v>
      </c>
      <c r="C139" s="605">
        <v>0</v>
      </c>
      <c r="D139" s="605">
        <v>0</v>
      </c>
      <c r="E139" s="605">
        <v>0</v>
      </c>
      <c r="F139" s="605">
        <v>0</v>
      </c>
      <c r="G139" s="605">
        <v>0</v>
      </c>
      <c r="H139" s="669">
        <f t="shared" si="18"/>
        <v>0</v>
      </c>
      <c r="J139" s="662">
        <f t="shared" si="20"/>
        <v>42600</v>
      </c>
      <c r="K139" s="601">
        <v>0</v>
      </c>
      <c r="L139" s="601">
        <v>0</v>
      </c>
      <c r="M139" s="601">
        <v>0</v>
      </c>
      <c r="N139" s="601">
        <v>0</v>
      </c>
      <c r="O139" s="601">
        <v>0</v>
      </c>
      <c r="P139" s="670">
        <f t="shared" si="19"/>
        <v>0</v>
      </c>
    </row>
    <row r="140" spans="2:16" x14ac:dyDescent="0.2">
      <c r="B140" s="671">
        <f t="shared" si="21"/>
        <v>42601</v>
      </c>
      <c r="C140" s="605">
        <v>0</v>
      </c>
      <c r="D140" s="605">
        <v>0</v>
      </c>
      <c r="E140" s="605">
        <v>0</v>
      </c>
      <c r="F140" s="605">
        <v>0</v>
      </c>
      <c r="G140" s="605">
        <v>0</v>
      </c>
      <c r="H140" s="669">
        <f t="shared" ref="H140:H203" si="22">IFERROR(ROUND((C140*C$70)+(D140*D$70)+(E140*E$70)+(F140*F$70)+(G140*G$70),0),0)</f>
        <v>0</v>
      </c>
      <c r="J140" s="662">
        <f t="shared" si="20"/>
        <v>42601</v>
      </c>
      <c r="K140" s="601">
        <v>0</v>
      </c>
      <c r="L140" s="601">
        <v>0</v>
      </c>
      <c r="M140" s="601">
        <v>0</v>
      </c>
      <c r="N140" s="601">
        <v>0</v>
      </c>
      <c r="O140" s="601">
        <v>0</v>
      </c>
      <c r="P140" s="670">
        <f t="shared" ref="P140:P203" si="23">IFERROR(ROUND((K140*C$70)+(L140*D$70)+(M140*E$70)+(N140*F$70)+(O140*G$70),0),0)</f>
        <v>0</v>
      </c>
    </row>
    <row r="141" spans="2:16" x14ac:dyDescent="0.2">
      <c r="B141" s="671">
        <f t="shared" si="21"/>
        <v>42602</v>
      </c>
      <c r="C141" s="605">
        <v>0</v>
      </c>
      <c r="D141" s="605">
        <v>0</v>
      </c>
      <c r="E141" s="605">
        <v>0</v>
      </c>
      <c r="F141" s="605">
        <v>0</v>
      </c>
      <c r="G141" s="605">
        <v>0</v>
      </c>
      <c r="H141" s="669">
        <f t="shared" si="22"/>
        <v>0</v>
      </c>
      <c r="J141" s="662">
        <f t="shared" ref="J141:J204" si="24">B141</f>
        <v>42602</v>
      </c>
      <c r="K141" s="601">
        <v>0</v>
      </c>
      <c r="L141" s="601">
        <v>0</v>
      </c>
      <c r="M141" s="601">
        <v>0</v>
      </c>
      <c r="N141" s="601">
        <v>0</v>
      </c>
      <c r="O141" s="601">
        <v>0</v>
      </c>
      <c r="P141" s="670">
        <f t="shared" si="23"/>
        <v>0</v>
      </c>
    </row>
    <row r="142" spans="2:16" x14ac:dyDescent="0.2">
      <c r="B142" s="671">
        <f t="shared" ref="B142:B205" si="25">B141+1</f>
        <v>42603</v>
      </c>
      <c r="C142" s="605">
        <v>0</v>
      </c>
      <c r="D142" s="605">
        <v>0</v>
      </c>
      <c r="E142" s="605">
        <v>0</v>
      </c>
      <c r="F142" s="605">
        <v>0</v>
      </c>
      <c r="G142" s="605">
        <v>0</v>
      </c>
      <c r="H142" s="669">
        <f t="shared" si="22"/>
        <v>0</v>
      </c>
      <c r="J142" s="662">
        <f t="shared" si="24"/>
        <v>42603</v>
      </c>
      <c r="K142" s="601">
        <v>0</v>
      </c>
      <c r="L142" s="601">
        <v>0</v>
      </c>
      <c r="M142" s="601">
        <v>0</v>
      </c>
      <c r="N142" s="601">
        <v>0</v>
      </c>
      <c r="O142" s="601">
        <v>0</v>
      </c>
      <c r="P142" s="670">
        <f t="shared" si="23"/>
        <v>0</v>
      </c>
    </row>
    <row r="143" spans="2:16" x14ac:dyDescent="0.2">
      <c r="B143" s="671">
        <f t="shared" si="25"/>
        <v>42604</v>
      </c>
      <c r="C143" s="605">
        <v>0</v>
      </c>
      <c r="D143" s="605">
        <v>0</v>
      </c>
      <c r="E143" s="605">
        <v>0</v>
      </c>
      <c r="F143" s="605">
        <v>0</v>
      </c>
      <c r="G143" s="605">
        <v>0</v>
      </c>
      <c r="H143" s="669">
        <f t="shared" si="22"/>
        <v>0</v>
      </c>
      <c r="J143" s="662">
        <f t="shared" si="24"/>
        <v>42604</v>
      </c>
      <c r="K143" s="601">
        <v>0</v>
      </c>
      <c r="L143" s="601">
        <v>0</v>
      </c>
      <c r="M143" s="601">
        <v>0.05</v>
      </c>
      <c r="N143" s="601">
        <v>0</v>
      </c>
      <c r="O143" s="601">
        <v>0</v>
      </c>
      <c r="P143" s="670">
        <f t="shared" si="23"/>
        <v>0</v>
      </c>
    </row>
    <row r="144" spans="2:16" x14ac:dyDescent="0.2">
      <c r="B144" s="671">
        <f t="shared" si="25"/>
        <v>42605</v>
      </c>
      <c r="C144" s="605">
        <v>0</v>
      </c>
      <c r="D144" s="605">
        <v>0</v>
      </c>
      <c r="E144" s="605">
        <v>0</v>
      </c>
      <c r="F144" s="605">
        <v>0</v>
      </c>
      <c r="G144" s="605">
        <v>0</v>
      </c>
      <c r="H144" s="669">
        <f t="shared" si="22"/>
        <v>0</v>
      </c>
      <c r="J144" s="662">
        <f t="shared" si="24"/>
        <v>42605</v>
      </c>
      <c r="K144" s="601">
        <v>0</v>
      </c>
      <c r="L144" s="601">
        <v>0</v>
      </c>
      <c r="M144" s="601">
        <v>0.1</v>
      </c>
      <c r="N144" s="601">
        <v>0</v>
      </c>
      <c r="O144" s="601">
        <v>0</v>
      </c>
      <c r="P144" s="670">
        <f t="shared" si="23"/>
        <v>0</v>
      </c>
    </row>
    <row r="145" spans="2:16" x14ac:dyDescent="0.2">
      <c r="B145" s="671">
        <f t="shared" si="25"/>
        <v>42606</v>
      </c>
      <c r="C145" s="605">
        <v>0</v>
      </c>
      <c r="D145" s="605">
        <v>0</v>
      </c>
      <c r="E145" s="605">
        <v>0</v>
      </c>
      <c r="F145" s="605">
        <v>0</v>
      </c>
      <c r="G145" s="605">
        <v>0</v>
      </c>
      <c r="H145" s="669">
        <f t="shared" si="22"/>
        <v>0</v>
      </c>
      <c r="J145" s="662">
        <f t="shared" si="24"/>
        <v>42606</v>
      </c>
      <c r="K145" s="601">
        <v>0</v>
      </c>
      <c r="L145" s="601">
        <v>0</v>
      </c>
      <c r="M145" s="601">
        <v>0</v>
      </c>
      <c r="N145" s="601">
        <v>0</v>
      </c>
      <c r="O145" s="601">
        <v>0</v>
      </c>
      <c r="P145" s="670">
        <f t="shared" si="23"/>
        <v>0</v>
      </c>
    </row>
    <row r="146" spans="2:16" x14ac:dyDescent="0.2">
      <c r="B146" s="671">
        <f t="shared" si="25"/>
        <v>42607</v>
      </c>
      <c r="C146" s="605">
        <v>0</v>
      </c>
      <c r="D146" s="605">
        <v>0</v>
      </c>
      <c r="E146" s="605">
        <v>0</v>
      </c>
      <c r="F146" s="605">
        <v>0</v>
      </c>
      <c r="G146" s="605">
        <v>0</v>
      </c>
      <c r="H146" s="669">
        <f t="shared" si="22"/>
        <v>0</v>
      </c>
      <c r="J146" s="662">
        <f t="shared" si="24"/>
        <v>42607</v>
      </c>
      <c r="K146" s="601">
        <v>0</v>
      </c>
      <c r="L146" s="601">
        <v>0</v>
      </c>
      <c r="M146" s="601">
        <v>0</v>
      </c>
      <c r="N146" s="601">
        <v>0</v>
      </c>
      <c r="O146" s="601">
        <v>0</v>
      </c>
      <c r="P146" s="670">
        <f t="shared" si="23"/>
        <v>0</v>
      </c>
    </row>
    <row r="147" spans="2:16" x14ac:dyDescent="0.2">
      <c r="B147" s="671">
        <f t="shared" si="25"/>
        <v>42608</v>
      </c>
      <c r="C147" s="605">
        <v>0</v>
      </c>
      <c r="D147" s="605">
        <v>0</v>
      </c>
      <c r="E147" s="605">
        <v>0</v>
      </c>
      <c r="F147" s="605">
        <v>0</v>
      </c>
      <c r="G147" s="605">
        <v>0</v>
      </c>
      <c r="H147" s="669">
        <f t="shared" si="22"/>
        <v>0</v>
      </c>
      <c r="J147" s="662">
        <f t="shared" si="24"/>
        <v>42608</v>
      </c>
      <c r="K147" s="601">
        <v>0</v>
      </c>
      <c r="L147" s="601">
        <v>0</v>
      </c>
      <c r="M147" s="601">
        <v>0</v>
      </c>
      <c r="N147" s="601">
        <v>0</v>
      </c>
      <c r="O147" s="601">
        <v>0</v>
      </c>
      <c r="P147" s="670">
        <f t="shared" si="23"/>
        <v>0</v>
      </c>
    </row>
    <row r="148" spans="2:16" x14ac:dyDescent="0.2">
      <c r="B148" s="671">
        <f t="shared" si="25"/>
        <v>42609</v>
      </c>
      <c r="C148" s="605">
        <v>0</v>
      </c>
      <c r="D148" s="605">
        <v>0</v>
      </c>
      <c r="E148" s="605">
        <v>0</v>
      </c>
      <c r="F148" s="605">
        <v>0</v>
      </c>
      <c r="G148" s="605">
        <v>0</v>
      </c>
      <c r="H148" s="669">
        <f t="shared" si="22"/>
        <v>0</v>
      </c>
      <c r="J148" s="662">
        <f t="shared" si="24"/>
        <v>42609</v>
      </c>
      <c r="K148" s="601">
        <v>0</v>
      </c>
      <c r="L148" s="601">
        <v>0</v>
      </c>
      <c r="M148" s="601">
        <v>0</v>
      </c>
      <c r="N148" s="601">
        <v>0</v>
      </c>
      <c r="O148" s="601">
        <v>0</v>
      </c>
      <c r="P148" s="670">
        <f t="shared" si="23"/>
        <v>0</v>
      </c>
    </row>
    <row r="149" spans="2:16" x14ac:dyDescent="0.2">
      <c r="B149" s="671">
        <f t="shared" si="25"/>
        <v>42610</v>
      </c>
      <c r="C149" s="605">
        <v>0</v>
      </c>
      <c r="D149" s="605">
        <v>0</v>
      </c>
      <c r="E149" s="605">
        <v>0</v>
      </c>
      <c r="F149" s="605">
        <v>0</v>
      </c>
      <c r="G149" s="605">
        <v>0</v>
      </c>
      <c r="H149" s="669">
        <f t="shared" si="22"/>
        <v>0</v>
      </c>
      <c r="J149" s="662">
        <f t="shared" si="24"/>
        <v>42610</v>
      </c>
      <c r="K149" s="601">
        <v>0</v>
      </c>
      <c r="L149" s="601">
        <v>0</v>
      </c>
      <c r="M149" s="601">
        <v>0</v>
      </c>
      <c r="N149" s="601">
        <v>0</v>
      </c>
      <c r="O149" s="601">
        <v>0</v>
      </c>
      <c r="P149" s="670">
        <f t="shared" si="23"/>
        <v>0</v>
      </c>
    </row>
    <row r="150" spans="2:16" x14ac:dyDescent="0.2">
      <c r="B150" s="671">
        <f t="shared" si="25"/>
        <v>42611</v>
      </c>
      <c r="C150" s="605">
        <v>0</v>
      </c>
      <c r="D150" s="605">
        <v>0</v>
      </c>
      <c r="E150" s="605">
        <v>0</v>
      </c>
      <c r="F150" s="605">
        <v>0</v>
      </c>
      <c r="G150" s="605">
        <v>0</v>
      </c>
      <c r="H150" s="669">
        <f t="shared" si="22"/>
        <v>0</v>
      </c>
      <c r="J150" s="662">
        <f t="shared" si="24"/>
        <v>42611</v>
      </c>
      <c r="K150" s="601">
        <v>0</v>
      </c>
      <c r="L150" s="601">
        <v>0</v>
      </c>
      <c r="M150" s="601">
        <v>0</v>
      </c>
      <c r="N150" s="601">
        <v>0</v>
      </c>
      <c r="O150" s="601">
        <v>0</v>
      </c>
      <c r="P150" s="670">
        <f t="shared" si="23"/>
        <v>0</v>
      </c>
    </row>
    <row r="151" spans="2:16" x14ac:dyDescent="0.2">
      <c r="B151" s="671">
        <f t="shared" si="25"/>
        <v>42612</v>
      </c>
      <c r="C151" s="605">
        <v>0</v>
      </c>
      <c r="D151" s="605">
        <v>0</v>
      </c>
      <c r="E151" s="605">
        <v>0</v>
      </c>
      <c r="F151" s="605">
        <v>0</v>
      </c>
      <c r="G151" s="605">
        <v>0</v>
      </c>
      <c r="H151" s="669">
        <f t="shared" si="22"/>
        <v>0</v>
      </c>
      <c r="J151" s="662">
        <f t="shared" si="24"/>
        <v>42612</v>
      </c>
      <c r="K151" s="601">
        <v>0</v>
      </c>
      <c r="L151" s="601">
        <v>0</v>
      </c>
      <c r="M151" s="601">
        <v>0</v>
      </c>
      <c r="N151" s="601">
        <v>0</v>
      </c>
      <c r="O151" s="601">
        <v>0</v>
      </c>
      <c r="P151" s="670">
        <f t="shared" si="23"/>
        <v>0</v>
      </c>
    </row>
    <row r="152" spans="2:16" x14ac:dyDescent="0.2">
      <c r="B152" s="671">
        <f t="shared" si="25"/>
        <v>42613</v>
      </c>
      <c r="C152" s="605">
        <v>0</v>
      </c>
      <c r="D152" s="605">
        <v>0</v>
      </c>
      <c r="E152" s="605">
        <v>0</v>
      </c>
      <c r="F152" s="605">
        <v>0</v>
      </c>
      <c r="G152" s="605">
        <v>0</v>
      </c>
      <c r="H152" s="669">
        <f t="shared" si="22"/>
        <v>0</v>
      </c>
      <c r="J152" s="662">
        <f t="shared" si="24"/>
        <v>42613</v>
      </c>
      <c r="K152" s="601">
        <v>0</v>
      </c>
      <c r="L152" s="601">
        <v>0</v>
      </c>
      <c r="M152" s="601">
        <v>0.15</v>
      </c>
      <c r="N152" s="601">
        <v>0</v>
      </c>
      <c r="O152" s="601">
        <v>0</v>
      </c>
      <c r="P152" s="670">
        <f t="shared" si="23"/>
        <v>0</v>
      </c>
    </row>
    <row r="153" spans="2:16" x14ac:dyDescent="0.2">
      <c r="B153" s="671">
        <f t="shared" si="25"/>
        <v>42614</v>
      </c>
      <c r="C153" s="605">
        <v>0</v>
      </c>
      <c r="D153" s="605">
        <v>0</v>
      </c>
      <c r="E153" s="605">
        <v>0</v>
      </c>
      <c r="F153" s="605">
        <v>0</v>
      </c>
      <c r="G153" s="605">
        <v>0</v>
      </c>
      <c r="H153" s="669">
        <f t="shared" si="22"/>
        <v>0</v>
      </c>
      <c r="J153" s="662">
        <f t="shared" si="24"/>
        <v>42614</v>
      </c>
      <c r="K153" s="601">
        <v>0</v>
      </c>
      <c r="L153" s="601">
        <v>0</v>
      </c>
      <c r="M153" s="601">
        <v>0.1</v>
      </c>
      <c r="N153" s="601">
        <v>0</v>
      </c>
      <c r="O153" s="601">
        <v>0</v>
      </c>
      <c r="P153" s="670">
        <f t="shared" si="23"/>
        <v>0</v>
      </c>
    </row>
    <row r="154" spans="2:16" x14ac:dyDescent="0.2">
      <c r="B154" s="671">
        <f t="shared" si="25"/>
        <v>42615</v>
      </c>
      <c r="C154" s="605">
        <v>0</v>
      </c>
      <c r="D154" s="605">
        <v>0</v>
      </c>
      <c r="E154" s="605">
        <v>0</v>
      </c>
      <c r="F154" s="605">
        <v>0</v>
      </c>
      <c r="G154" s="605">
        <v>0</v>
      </c>
      <c r="H154" s="669">
        <f t="shared" si="22"/>
        <v>0</v>
      </c>
      <c r="J154" s="662">
        <f t="shared" si="24"/>
        <v>42615</v>
      </c>
      <c r="K154" s="601">
        <v>0.05</v>
      </c>
      <c r="L154" s="601">
        <v>0</v>
      </c>
      <c r="M154" s="601">
        <v>0.15</v>
      </c>
      <c r="N154" s="601">
        <v>0.05</v>
      </c>
      <c r="O154" s="601">
        <v>0</v>
      </c>
      <c r="P154" s="670">
        <f t="shared" si="23"/>
        <v>0</v>
      </c>
    </row>
    <row r="155" spans="2:16" x14ac:dyDescent="0.2">
      <c r="B155" s="671">
        <f t="shared" si="25"/>
        <v>42616</v>
      </c>
      <c r="C155" s="605">
        <v>0</v>
      </c>
      <c r="D155" s="605">
        <v>0</v>
      </c>
      <c r="E155" s="605">
        <v>0</v>
      </c>
      <c r="F155" s="605">
        <v>0</v>
      </c>
      <c r="G155" s="605">
        <v>0</v>
      </c>
      <c r="H155" s="669">
        <f t="shared" si="22"/>
        <v>0</v>
      </c>
      <c r="J155" s="662">
        <f t="shared" si="24"/>
        <v>42616</v>
      </c>
      <c r="K155" s="601">
        <v>0</v>
      </c>
      <c r="L155" s="601">
        <v>0</v>
      </c>
      <c r="M155" s="601">
        <v>0</v>
      </c>
      <c r="N155" s="601">
        <v>0</v>
      </c>
      <c r="O155" s="601">
        <v>0</v>
      </c>
      <c r="P155" s="670">
        <f t="shared" si="23"/>
        <v>0</v>
      </c>
    </row>
    <row r="156" spans="2:16" x14ac:dyDescent="0.2">
      <c r="B156" s="671">
        <f t="shared" si="25"/>
        <v>42617</v>
      </c>
      <c r="C156" s="605">
        <v>0</v>
      </c>
      <c r="D156" s="605">
        <v>0</v>
      </c>
      <c r="E156" s="605">
        <v>0</v>
      </c>
      <c r="F156" s="605">
        <v>0</v>
      </c>
      <c r="G156" s="605">
        <v>0</v>
      </c>
      <c r="H156" s="669">
        <f t="shared" si="22"/>
        <v>0</v>
      </c>
      <c r="J156" s="662">
        <f t="shared" si="24"/>
        <v>42617</v>
      </c>
      <c r="K156" s="601">
        <v>0.15</v>
      </c>
      <c r="L156" s="601">
        <v>0</v>
      </c>
      <c r="M156" s="601">
        <v>0.55000000000000004</v>
      </c>
      <c r="N156" s="601">
        <v>0.1</v>
      </c>
      <c r="O156" s="601">
        <v>0.2</v>
      </c>
      <c r="P156" s="670">
        <f t="shared" si="23"/>
        <v>0</v>
      </c>
    </row>
    <row r="157" spans="2:16" x14ac:dyDescent="0.2">
      <c r="B157" s="671">
        <f t="shared" si="25"/>
        <v>42618</v>
      </c>
      <c r="C157" s="605">
        <v>0</v>
      </c>
      <c r="D157" s="605">
        <v>0</v>
      </c>
      <c r="E157" s="605">
        <v>0</v>
      </c>
      <c r="F157" s="605">
        <v>0</v>
      </c>
      <c r="G157" s="605">
        <v>0</v>
      </c>
      <c r="H157" s="669">
        <f t="shared" si="22"/>
        <v>0</v>
      </c>
      <c r="J157" s="662">
        <f t="shared" si="24"/>
        <v>42618</v>
      </c>
      <c r="K157" s="601">
        <v>0.25</v>
      </c>
      <c r="L157" s="601">
        <v>0.1</v>
      </c>
      <c r="M157" s="601">
        <v>0.35</v>
      </c>
      <c r="N157" s="601">
        <v>0</v>
      </c>
      <c r="O157" s="601">
        <v>0.1</v>
      </c>
      <c r="P157" s="670">
        <f t="shared" si="23"/>
        <v>0</v>
      </c>
    </row>
    <row r="158" spans="2:16" x14ac:dyDescent="0.2">
      <c r="B158" s="671">
        <f t="shared" si="25"/>
        <v>42619</v>
      </c>
      <c r="C158" s="605">
        <v>0</v>
      </c>
      <c r="D158" s="605">
        <v>0</v>
      </c>
      <c r="E158" s="605">
        <v>0</v>
      </c>
      <c r="F158" s="605">
        <v>0</v>
      </c>
      <c r="G158" s="605">
        <v>0</v>
      </c>
      <c r="H158" s="669">
        <f t="shared" si="22"/>
        <v>0</v>
      </c>
      <c r="J158" s="662">
        <f t="shared" si="24"/>
        <v>42619</v>
      </c>
      <c r="K158" s="601">
        <v>0.1</v>
      </c>
      <c r="L158" s="601">
        <v>0.35</v>
      </c>
      <c r="M158" s="601">
        <v>0.4</v>
      </c>
      <c r="N158" s="601">
        <v>0.2</v>
      </c>
      <c r="O158" s="601">
        <v>0.05</v>
      </c>
      <c r="P158" s="670">
        <f t="shared" si="23"/>
        <v>0</v>
      </c>
    </row>
    <row r="159" spans="2:16" x14ac:dyDescent="0.2">
      <c r="B159" s="671">
        <f t="shared" si="25"/>
        <v>42620</v>
      </c>
      <c r="C159" s="605">
        <v>0</v>
      </c>
      <c r="D159" s="605">
        <v>0</v>
      </c>
      <c r="E159" s="605">
        <v>0</v>
      </c>
      <c r="F159" s="605">
        <v>0</v>
      </c>
      <c r="G159" s="605">
        <v>0</v>
      </c>
      <c r="H159" s="669">
        <f t="shared" si="22"/>
        <v>0</v>
      </c>
      <c r="J159" s="662">
        <f t="shared" si="24"/>
        <v>42620</v>
      </c>
      <c r="K159" s="601">
        <v>0</v>
      </c>
      <c r="L159" s="601">
        <v>0</v>
      </c>
      <c r="M159" s="601">
        <v>0.3</v>
      </c>
      <c r="N159" s="601">
        <v>0.15</v>
      </c>
      <c r="O159" s="601">
        <v>0</v>
      </c>
      <c r="P159" s="670">
        <f t="shared" si="23"/>
        <v>0</v>
      </c>
    </row>
    <row r="160" spans="2:16" x14ac:dyDescent="0.2">
      <c r="B160" s="671">
        <f t="shared" si="25"/>
        <v>42621</v>
      </c>
      <c r="C160" s="605">
        <v>0</v>
      </c>
      <c r="D160" s="605">
        <v>0</v>
      </c>
      <c r="E160" s="605">
        <v>0</v>
      </c>
      <c r="F160" s="605">
        <v>0</v>
      </c>
      <c r="G160" s="605">
        <v>0</v>
      </c>
      <c r="H160" s="669">
        <f t="shared" si="22"/>
        <v>0</v>
      </c>
      <c r="J160" s="662">
        <f t="shared" si="24"/>
        <v>42621</v>
      </c>
      <c r="K160" s="601">
        <v>0.05</v>
      </c>
      <c r="L160" s="601">
        <v>0.15</v>
      </c>
      <c r="M160" s="601">
        <v>0.3</v>
      </c>
      <c r="N160" s="601">
        <v>0.25</v>
      </c>
      <c r="O160" s="601">
        <v>0</v>
      </c>
      <c r="P160" s="670">
        <f t="shared" si="23"/>
        <v>0</v>
      </c>
    </row>
    <row r="161" spans="2:16" x14ac:dyDescent="0.2">
      <c r="B161" s="671">
        <f t="shared" si="25"/>
        <v>42622</v>
      </c>
      <c r="C161" s="605">
        <v>0</v>
      </c>
      <c r="D161" s="605">
        <v>0</v>
      </c>
      <c r="E161" s="605">
        <v>0</v>
      </c>
      <c r="F161" s="605">
        <v>0</v>
      </c>
      <c r="G161" s="605">
        <v>0</v>
      </c>
      <c r="H161" s="669">
        <f t="shared" si="22"/>
        <v>0</v>
      </c>
      <c r="J161" s="662">
        <f t="shared" si="24"/>
        <v>42622</v>
      </c>
      <c r="K161" s="601">
        <v>0.2</v>
      </c>
      <c r="L161" s="601">
        <v>0</v>
      </c>
      <c r="M161" s="601">
        <v>0.3</v>
      </c>
      <c r="N161" s="601">
        <v>0</v>
      </c>
      <c r="O161" s="601">
        <v>0.15</v>
      </c>
      <c r="P161" s="670">
        <f t="shared" si="23"/>
        <v>0</v>
      </c>
    </row>
    <row r="162" spans="2:16" x14ac:dyDescent="0.2">
      <c r="B162" s="671">
        <f t="shared" si="25"/>
        <v>42623</v>
      </c>
      <c r="C162" s="605">
        <v>0</v>
      </c>
      <c r="D162" s="605">
        <v>0</v>
      </c>
      <c r="E162" s="605">
        <v>0</v>
      </c>
      <c r="F162" s="605">
        <v>0</v>
      </c>
      <c r="G162" s="605">
        <v>0</v>
      </c>
      <c r="H162" s="669">
        <f t="shared" si="22"/>
        <v>0</v>
      </c>
      <c r="J162" s="662">
        <f t="shared" si="24"/>
        <v>42623</v>
      </c>
      <c r="K162" s="601">
        <v>0.05</v>
      </c>
      <c r="L162" s="601">
        <v>0</v>
      </c>
      <c r="M162" s="601">
        <v>0.05</v>
      </c>
      <c r="N162" s="601">
        <v>0</v>
      </c>
      <c r="O162" s="601">
        <v>0.05</v>
      </c>
      <c r="P162" s="670">
        <f t="shared" si="23"/>
        <v>0</v>
      </c>
    </row>
    <row r="163" spans="2:16" x14ac:dyDescent="0.2">
      <c r="B163" s="671">
        <f t="shared" si="25"/>
        <v>42624</v>
      </c>
      <c r="C163" s="605">
        <v>0</v>
      </c>
      <c r="D163" s="605">
        <v>0</v>
      </c>
      <c r="E163" s="605">
        <v>0</v>
      </c>
      <c r="F163" s="605">
        <v>0</v>
      </c>
      <c r="G163" s="605">
        <v>0</v>
      </c>
      <c r="H163" s="669">
        <f t="shared" si="22"/>
        <v>0</v>
      </c>
      <c r="J163" s="662">
        <f t="shared" si="24"/>
        <v>42624</v>
      </c>
      <c r="K163" s="601">
        <v>0.05</v>
      </c>
      <c r="L163" s="601">
        <v>0</v>
      </c>
      <c r="M163" s="601">
        <v>0.2</v>
      </c>
      <c r="N163" s="601">
        <v>0</v>
      </c>
      <c r="O163" s="601">
        <v>0</v>
      </c>
      <c r="P163" s="670">
        <f t="shared" si="23"/>
        <v>0</v>
      </c>
    </row>
    <row r="164" spans="2:16" x14ac:dyDescent="0.2">
      <c r="B164" s="671">
        <f t="shared" si="25"/>
        <v>42625</v>
      </c>
      <c r="C164" s="605">
        <v>0</v>
      </c>
      <c r="D164" s="605">
        <v>0</v>
      </c>
      <c r="E164" s="605">
        <v>0</v>
      </c>
      <c r="F164" s="605">
        <v>0</v>
      </c>
      <c r="G164" s="605">
        <v>0</v>
      </c>
      <c r="H164" s="669">
        <f t="shared" si="22"/>
        <v>0</v>
      </c>
      <c r="J164" s="662">
        <f t="shared" si="24"/>
        <v>42625</v>
      </c>
      <c r="K164" s="601">
        <v>0.35</v>
      </c>
      <c r="L164" s="601">
        <v>0</v>
      </c>
      <c r="M164" s="601">
        <v>0.3</v>
      </c>
      <c r="N164" s="601">
        <v>0.05</v>
      </c>
      <c r="O164" s="601">
        <v>0.3</v>
      </c>
      <c r="P164" s="670">
        <f t="shared" si="23"/>
        <v>0</v>
      </c>
    </row>
    <row r="165" spans="2:16" x14ac:dyDescent="0.2">
      <c r="B165" s="671">
        <f t="shared" si="25"/>
        <v>42626</v>
      </c>
      <c r="C165" s="605">
        <v>0</v>
      </c>
      <c r="D165" s="605">
        <v>0</v>
      </c>
      <c r="E165" s="605">
        <v>0</v>
      </c>
      <c r="F165" s="605">
        <v>0</v>
      </c>
      <c r="G165" s="605">
        <v>0</v>
      </c>
      <c r="H165" s="669">
        <f t="shared" si="22"/>
        <v>0</v>
      </c>
      <c r="J165" s="662">
        <f t="shared" si="24"/>
        <v>42626</v>
      </c>
      <c r="K165" s="601">
        <v>0.6</v>
      </c>
      <c r="L165" s="601">
        <v>0.25</v>
      </c>
      <c r="M165" s="601">
        <v>0.8</v>
      </c>
      <c r="N165" s="601">
        <v>0.3</v>
      </c>
      <c r="O165" s="601">
        <v>0.7</v>
      </c>
      <c r="P165" s="670">
        <f t="shared" si="23"/>
        <v>1</v>
      </c>
    </row>
    <row r="166" spans="2:16" x14ac:dyDescent="0.2">
      <c r="B166" s="671">
        <f t="shared" si="25"/>
        <v>42627</v>
      </c>
      <c r="C166" s="605">
        <v>0</v>
      </c>
      <c r="D166" s="605">
        <v>0</v>
      </c>
      <c r="E166" s="605">
        <v>0</v>
      </c>
      <c r="F166" s="605">
        <v>0</v>
      </c>
      <c r="G166" s="605">
        <v>0</v>
      </c>
      <c r="H166" s="669">
        <f t="shared" si="22"/>
        <v>0</v>
      </c>
      <c r="J166" s="662">
        <f t="shared" si="24"/>
        <v>42627</v>
      </c>
      <c r="K166" s="601">
        <v>0.8</v>
      </c>
      <c r="L166" s="601">
        <v>0.05</v>
      </c>
      <c r="M166" s="601">
        <v>0.95</v>
      </c>
      <c r="N166" s="601">
        <v>0.2</v>
      </c>
      <c r="O166" s="601">
        <v>0.3</v>
      </c>
      <c r="P166" s="670">
        <f t="shared" si="23"/>
        <v>0</v>
      </c>
    </row>
    <row r="167" spans="2:16" x14ac:dyDescent="0.2">
      <c r="B167" s="671">
        <f t="shared" si="25"/>
        <v>42628</v>
      </c>
      <c r="C167" s="605">
        <v>0</v>
      </c>
      <c r="D167" s="605">
        <v>0</v>
      </c>
      <c r="E167" s="605">
        <v>0</v>
      </c>
      <c r="F167" s="605">
        <v>0</v>
      </c>
      <c r="G167" s="605">
        <v>0</v>
      </c>
      <c r="H167" s="669">
        <f t="shared" si="22"/>
        <v>0</v>
      </c>
      <c r="J167" s="662">
        <f t="shared" si="24"/>
        <v>42628</v>
      </c>
      <c r="K167" s="601">
        <v>1.1000000000000001</v>
      </c>
      <c r="L167" s="601">
        <v>0.2</v>
      </c>
      <c r="M167" s="601">
        <v>1.35</v>
      </c>
      <c r="N167" s="601">
        <v>0.6</v>
      </c>
      <c r="O167" s="601">
        <v>1.05</v>
      </c>
      <c r="P167" s="670">
        <f t="shared" si="23"/>
        <v>1</v>
      </c>
    </row>
    <row r="168" spans="2:16" x14ac:dyDescent="0.2">
      <c r="B168" s="671">
        <f t="shared" si="25"/>
        <v>42629</v>
      </c>
      <c r="C168" s="605">
        <v>0</v>
      </c>
      <c r="D168" s="605">
        <v>0</v>
      </c>
      <c r="E168" s="605">
        <v>0</v>
      </c>
      <c r="F168" s="605">
        <v>0</v>
      </c>
      <c r="G168" s="605">
        <v>0</v>
      </c>
      <c r="H168" s="669">
        <f t="shared" si="22"/>
        <v>0</v>
      </c>
      <c r="J168" s="662">
        <f t="shared" si="24"/>
        <v>42629</v>
      </c>
      <c r="K168" s="601">
        <v>1.1000000000000001</v>
      </c>
      <c r="L168" s="601">
        <v>0.35</v>
      </c>
      <c r="M168" s="601">
        <v>1.8</v>
      </c>
      <c r="N168" s="601">
        <v>0.6</v>
      </c>
      <c r="O168" s="601">
        <v>0.85</v>
      </c>
      <c r="P168" s="670">
        <f t="shared" si="23"/>
        <v>1</v>
      </c>
    </row>
    <row r="169" spans="2:16" x14ac:dyDescent="0.2">
      <c r="B169" s="671">
        <f t="shared" si="25"/>
        <v>42630</v>
      </c>
      <c r="C169" s="605">
        <v>0</v>
      </c>
      <c r="D169" s="605">
        <v>0</v>
      </c>
      <c r="E169" s="605">
        <v>0</v>
      </c>
      <c r="F169" s="605">
        <v>0</v>
      </c>
      <c r="G169" s="605">
        <v>0</v>
      </c>
      <c r="H169" s="669">
        <f t="shared" si="22"/>
        <v>0</v>
      </c>
      <c r="J169" s="662">
        <f t="shared" si="24"/>
        <v>42630</v>
      </c>
      <c r="K169" s="601">
        <v>0.8</v>
      </c>
      <c r="L169" s="601">
        <v>0.1</v>
      </c>
      <c r="M169" s="601">
        <v>1.1499999999999999</v>
      </c>
      <c r="N169" s="601">
        <v>0.35</v>
      </c>
      <c r="O169" s="601">
        <v>0.75</v>
      </c>
      <c r="P169" s="670">
        <f t="shared" si="23"/>
        <v>1</v>
      </c>
    </row>
    <row r="170" spans="2:16" x14ac:dyDescent="0.2">
      <c r="B170" s="671">
        <f t="shared" si="25"/>
        <v>42631</v>
      </c>
      <c r="C170" s="605">
        <v>0</v>
      </c>
      <c r="D170" s="605">
        <v>0</v>
      </c>
      <c r="E170" s="605">
        <v>0</v>
      </c>
      <c r="F170" s="605">
        <v>0</v>
      </c>
      <c r="G170" s="605">
        <v>0</v>
      </c>
      <c r="H170" s="669">
        <f t="shared" si="22"/>
        <v>0</v>
      </c>
      <c r="J170" s="662">
        <f t="shared" si="24"/>
        <v>42631</v>
      </c>
      <c r="K170" s="601">
        <v>0.4</v>
      </c>
      <c r="L170" s="601">
        <v>0.15</v>
      </c>
      <c r="M170" s="601">
        <v>0.65</v>
      </c>
      <c r="N170" s="601">
        <v>0.1</v>
      </c>
      <c r="O170" s="601">
        <v>0.55000000000000004</v>
      </c>
      <c r="P170" s="670">
        <f t="shared" si="23"/>
        <v>0</v>
      </c>
    </row>
    <row r="171" spans="2:16" x14ac:dyDescent="0.2">
      <c r="B171" s="671">
        <f t="shared" si="25"/>
        <v>42632</v>
      </c>
      <c r="C171" s="605">
        <v>0</v>
      </c>
      <c r="D171" s="605">
        <v>0</v>
      </c>
      <c r="E171" s="605">
        <v>0</v>
      </c>
      <c r="F171" s="605">
        <v>0</v>
      </c>
      <c r="G171" s="605">
        <v>0</v>
      </c>
      <c r="H171" s="669">
        <f t="shared" si="22"/>
        <v>0</v>
      </c>
      <c r="J171" s="662">
        <f t="shared" si="24"/>
        <v>42632</v>
      </c>
      <c r="K171" s="601">
        <v>0.9</v>
      </c>
      <c r="L171" s="601">
        <v>0.25</v>
      </c>
      <c r="M171" s="601">
        <v>0.9</v>
      </c>
      <c r="N171" s="601">
        <v>0.6</v>
      </c>
      <c r="O171" s="601">
        <v>0.9</v>
      </c>
      <c r="P171" s="670">
        <f t="shared" si="23"/>
        <v>1</v>
      </c>
    </row>
    <row r="172" spans="2:16" x14ac:dyDescent="0.2">
      <c r="B172" s="671">
        <f t="shared" si="25"/>
        <v>42633</v>
      </c>
      <c r="C172" s="605">
        <v>0</v>
      </c>
      <c r="D172" s="605">
        <v>0</v>
      </c>
      <c r="E172" s="605">
        <v>0</v>
      </c>
      <c r="F172" s="605">
        <v>0</v>
      </c>
      <c r="G172" s="605">
        <v>0</v>
      </c>
      <c r="H172" s="669">
        <f t="shared" si="22"/>
        <v>0</v>
      </c>
      <c r="J172" s="662">
        <f t="shared" si="24"/>
        <v>42633</v>
      </c>
      <c r="K172" s="601">
        <v>0.75</v>
      </c>
      <c r="L172" s="601">
        <v>0.2</v>
      </c>
      <c r="M172" s="601">
        <v>1.3</v>
      </c>
      <c r="N172" s="601">
        <v>0.8</v>
      </c>
      <c r="O172" s="601">
        <v>0.65</v>
      </c>
      <c r="P172" s="670">
        <f t="shared" si="23"/>
        <v>1</v>
      </c>
    </row>
    <row r="173" spans="2:16" x14ac:dyDescent="0.2">
      <c r="B173" s="671">
        <f t="shared" si="25"/>
        <v>42634</v>
      </c>
      <c r="C173" s="605">
        <v>0</v>
      </c>
      <c r="D173" s="605">
        <v>0</v>
      </c>
      <c r="E173" s="605">
        <v>0</v>
      </c>
      <c r="F173" s="605">
        <v>0</v>
      </c>
      <c r="G173" s="605">
        <v>0</v>
      </c>
      <c r="H173" s="669">
        <f t="shared" si="22"/>
        <v>0</v>
      </c>
      <c r="J173" s="662">
        <f t="shared" si="24"/>
        <v>42634</v>
      </c>
      <c r="K173" s="601">
        <v>1.1499999999999999</v>
      </c>
      <c r="L173" s="601">
        <v>0.2</v>
      </c>
      <c r="M173" s="601">
        <v>1.35</v>
      </c>
      <c r="N173" s="601">
        <v>0.7</v>
      </c>
      <c r="O173" s="601">
        <v>0.8</v>
      </c>
      <c r="P173" s="670">
        <f t="shared" si="23"/>
        <v>1</v>
      </c>
    </row>
    <row r="174" spans="2:16" x14ac:dyDescent="0.2">
      <c r="B174" s="671">
        <f t="shared" si="25"/>
        <v>42635</v>
      </c>
      <c r="C174" s="605">
        <v>0</v>
      </c>
      <c r="D174" s="605">
        <v>0</v>
      </c>
      <c r="E174" s="605">
        <v>0</v>
      </c>
      <c r="F174" s="605">
        <v>0</v>
      </c>
      <c r="G174" s="605">
        <v>0</v>
      </c>
      <c r="H174" s="669">
        <f t="shared" si="22"/>
        <v>0</v>
      </c>
      <c r="J174" s="662">
        <f t="shared" si="24"/>
        <v>42635</v>
      </c>
      <c r="K174" s="601">
        <v>1.3</v>
      </c>
      <c r="L174" s="601">
        <v>0.25</v>
      </c>
      <c r="M174" s="601">
        <v>1.65</v>
      </c>
      <c r="N174" s="601">
        <v>0.75</v>
      </c>
      <c r="O174" s="601">
        <v>0.9</v>
      </c>
      <c r="P174" s="670">
        <f t="shared" si="23"/>
        <v>1</v>
      </c>
    </row>
    <row r="175" spans="2:16" x14ac:dyDescent="0.2">
      <c r="B175" s="671">
        <f t="shared" si="25"/>
        <v>42636</v>
      </c>
      <c r="C175" s="605">
        <v>0</v>
      </c>
      <c r="D175" s="605">
        <v>0</v>
      </c>
      <c r="E175" s="605">
        <v>0</v>
      </c>
      <c r="F175" s="605">
        <v>0</v>
      </c>
      <c r="G175" s="605">
        <v>0</v>
      </c>
      <c r="H175" s="669">
        <f t="shared" si="22"/>
        <v>0</v>
      </c>
      <c r="J175" s="662">
        <f t="shared" si="24"/>
        <v>42636</v>
      </c>
      <c r="K175" s="601">
        <v>1.9</v>
      </c>
      <c r="L175" s="601">
        <v>0.7</v>
      </c>
      <c r="M175" s="601">
        <v>2.7</v>
      </c>
      <c r="N175" s="601">
        <v>1.05</v>
      </c>
      <c r="O175" s="601">
        <v>1.75</v>
      </c>
      <c r="P175" s="670">
        <f t="shared" si="23"/>
        <v>2</v>
      </c>
    </row>
    <row r="176" spans="2:16" x14ac:dyDescent="0.2">
      <c r="B176" s="671">
        <f t="shared" si="25"/>
        <v>42637</v>
      </c>
      <c r="C176" s="605">
        <v>0</v>
      </c>
      <c r="D176" s="605">
        <v>0</v>
      </c>
      <c r="E176" s="605">
        <v>0</v>
      </c>
      <c r="F176" s="605">
        <v>0</v>
      </c>
      <c r="G176" s="605">
        <v>0</v>
      </c>
      <c r="H176" s="669">
        <f t="shared" si="22"/>
        <v>0</v>
      </c>
      <c r="J176" s="662">
        <f t="shared" si="24"/>
        <v>42637</v>
      </c>
      <c r="K176" s="601">
        <v>1.7</v>
      </c>
      <c r="L176" s="601">
        <v>0.9</v>
      </c>
      <c r="M176" s="601">
        <v>2.0499999999999998</v>
      </c>
      <c r="N176" s="601">
        <v>1.1000000000000001</v>
      </c>
      <c r="O176" s="601">
        <v>1.35</v>
      </c>
      <c r="P176" s="670">
        <f t="shared" si="23"/>
        <v>1</v>
      </c>
    </row>
    <row r="177" spans="2:16" x14ac:dyDescent="0.2">
      <c r="B177" s="671">
        <f t="shared" si="25"/>
        <v>42638</v>
      </c>
      <c r="C177" s="605">
        <v>0</v>
      </c>
      <c r="D177" s="605">
        <v>0</v>
      </c>
      <c r="E177" s="605">
        <v>0</v>
      </c>
      <c r="F177" s="605">
        <v>0</v>
      </c>
      <c r="G177" s="605">
        <v>0</v>
      </c>
      <c r="H177" s="669">
        <f t="shared" si="22"/>
        <v>0</v>
      </c>
      <c r="J177" s="662">
        <f t="shared" si="24"/>
        <v>42638</v>
      </c>
      <c r="K177" s="601">
        <v>2.1</v>
      </c>
      <c r="L177" s="601">
        <v>0.8</v>
      </c>
      <c r="M177" s="601">
        <v>2.35</v>
      </c>
      <c r="N177" s="601">
        <v>1.3</v>
      </c>
      <c r="O177" s="601">
        <v>1.9</v>
      </c>
      <c r="P177" s="670">
        <f t="shared" si="23"/>
        <v>2</v>
      </c>
    </row>
    <row r="178" spans="2:16" x14ac:dyDescent="0.2">
      <c r="B178" s="671">
        <f t="shared" si="25"/>
        <v>42639</v>
      </c>
      <c r="C178" s="605">
        <v>1</v>
      </c>
      <c r="D178" s="605">
        <v>0</v>
      </c>
      <c r="E178" s="605">
        <v>2</v>
      </c>
      <c r="F178" s="605">
        <v>0</v>
      </c>
      <c r="G178" s="605">
        <v>3</v>
      </c>
      <c r="H178" s="669">
        <f t="shared" si="22"/>
        <v>2</v>
      </c>
      <c r="J178" s="662">
        <f t="shared" si="24"/>
        <v>42639</v>
      </c>
      <c r="K178" s="601">
        <v>1.65</v>
      </c>
      <c r="L178" s="601">
        <v>1.05</v>
      </c>
      <c r="M178" s="601">
        <v>2.15</v>
      </c>
      <c r="N178" s="601">
        <v>1</v>
      </c>
      <c r="O178" s="601">
        <v>1.75</v>
      </c>
      <c r="P178" s="670">
        <f t="shared" si="23"/>
        <v>2</v>
      </c>
    </row>
    <row r="179" spans="2:16" x14ac:dyDescent="0.2">
      <c r="B179" s="671">
        <f t="shared" si="25"/>
        <v>42640</v>
      </c>
      <c r="C179" s="605">
        <v>1</v>
      </c>
      <c r="D179" s="605">
        <v>0</v>
      </c>
      <c r="E179" s="605">
        <v>2</v>
      </c>
      <c r="F179" s="605">
        <v>0</v>
      </c>
      <c r="G179" s="605">
        <v>3</v>
      </c>
      <c r="H179" s="669">
        <f t="shared" si="22"/>
        <v>2</v>
      </c>
      <c r="J179" s="662">
        <f t="shared" si="24"/>
        <v>42640</v>
      </c>
      <c r="K179" s="601">
        <v>1</v>
      </c>
      <c r="L179" s="601">
        <v>0.8</v>
      </c>
      <c r="M179" s="601">
        <v>1.8</v>
      </c>
      <c r="N179" s="601">
        <v>0.65</v>
      </c>
      <c r="O179" s="601">
        <v>1.2</v>
      </c>
      <c r="P179" s="670">
        <f t="shared" si="23"/>
        <v>1</v>
      </c>
    </row>
    <row r="180" spans="2:16" x14ac:dyDescent="0.2">
      <c r="B180" s="671">
        <f t="shared" si="25"/>
        <v>42641</v>
      </c>
      <c r="C180" s="605">
        <v>2</v>
      </c>
      <c r="D180" s="605">
        <v>0</v>
      </c>
      <c r="E180" s="605">
        <v>0</v>
      </c>
      <c r="F180" s="605">
        <v>2</v>
      </c>
      <c r="G180" s="605">
        <v>0</v>
      </c>
      <c r="H180" s="669">
        <f t="shared" si="22"/>
        <v>1</v>
      </c>
      <c r="J180" s="662">
        <f t="shared" si="24"/>
        <v>42641</v>
      </c>
      <c r="K180" s="601">
        <v>2.1</v>
      </c>
      <c r="L180" s="601">
        <v>1</v>
      </c>
      <c r="M180" s="601">
        <v>3.05</v>
      </c>
      <c r="N180" s="601">
        <v>1.9</v>
      </c>
      <c r="O180" s="601">
        <v>1.6</v>
      </c>
      <c r="P180" s="670">
        <f t="shared" si="23"/>
        <v>2</v>
      </c>
    </row>
    <row r="181" spans="2:16" x14ac:dyDescent="0.2">
      <c r="B181" s="671">
        <f t="shared" si="25"/>
        <v>42642</v>
      </c>
      <c r="C181" s="605">
        <v>4</v>
      </c>
      <c r="D181" s="605">
        <v>7</v>
      </c>
      <c r="E181" s="605">
        <v>8</v>
      </c>
      <c r="F181" s="605">
        <v>5</v>
      </c>
      <c r="G181" s="605">
        <v>6</v>
      </c>
      <c r="H181" s="669">
        <f t="shared" si="22"/>
        <v>6</v>
      </c>
      <c r="J181" s="662">
        <f t="shared" si="24"/>
        <v>42642</v>
      </c>
      <c r="K181" s="601">
        <v>3.9</v>
      </c>
      <c r="L181" s="601">
        <v>1.8</v>
      </c>
      <c r="M181" s="601">
        <v>4.7</v>
      </c>
      <c r="N181" s="601">
        <v>3</v>
      </c>
      <c r="O181" s="601">
        <v>3.55</v>
      </c>
      <c r="P181" s="670">
        <f t="shared" si="23"/>
        <v>3</v>
      </c>
    </row>
    <row r="182" spans="2:16" x14ac:dyDescent="0.2">
      <c r="B182" s="671">
        <f t="shared" si="25"/>
        <v>42643</v>
      </c>
      <c r="C182" s="605">
        <v>1</v>
      </c>
      <c r="D182" s="605">
        <v>6</v>
      </c>
      <c r="E182" s="605">
        <v>5</v>
      </c>
      <c r="F182" s="605">
        <v>5</v>
      </c>
      <c r="G182" s="605">
        <v>2</v>
      </c>
      <c r="H182" s="669">
        <f t="shared" si="22"/>
        <v>3</v>
      </c>
      <c r="J182" s="662">
        <f t="shared" si="24"/>
        <v>42643</v>
      </c>
      <c r="K182" s="601">
        <v>3.4</v>
      </c>
      <c r="L182" s="601">
        <v>2.2999999999999998</v>
      </c>
      <c r="M182" s="601">
        <v>4.0999999999999996</v>
      </c>
      <c r="N182" s="601">
        <v>2.7</v>
      </c>
      <c r="O182" s="601">
        <v>2.7</v>
      </c>
      <c r="P182" s="670">
        <f t="shared" si="23"/>
        <v>3</v>
      </c>
    </row>
    <row r="183" spans="2:16" x14ac:dyDescent="0.2">
      <c r="B183" s="671">
        <f t="shared" si="25"/>
        <v>42644</v>
      </c>
      <c r="C183" s="605">
        <v>0</v>
      </c>
      <c r="D183" s="605">
        <v>0</v>
      </c>
      <c r="E183" s="605">
        <v>3</v>
      </c>
      <c r="F183" s="605">
        <v>1</v>
      </c>
      <c r="G183" s="605">
        <v>0</v>
      </c>
      <c r="H183" s="669">
        <f t="shared" si="22"/>
        <v>0</v>
      </c>
      <c r="J183" s="662">
        <f t="shared" si="24"/>
        <v>42644</v>
      </c>
      <c r="K183" s="601">
        <v>3.7</v>
      </c>
      <c r="L183" s="601">
        <v>2.2999999999999998</v>
      </c>
      <c r="M183" s="601">
        <v>5.05</v>
      </c>
      <c r="N183" s="601">
        <v>2.75</v>
      </c>
      <c r="O183" s="601">
        <v>2.85</v>
      </c>
      <c r="P183" s="670">
        <f t="shared" si="23"/>
        <v>3</v>
      </c>
    </row>
    <row r="184" spans="2:16" x14ac:dyDescent="0.2">
      <c r="B184" s="671">
        <f t="shared" si="25"/>
        <v>42645</v>
      </c>
      <c r="C184" s="605">
        <v>0</v>
      </c>
      <c r="D184" s="605">
        <v>0</v>
      </c>
      <c r="E184" s="605">
        <v>0</v>
      </c>
      <c r="F184" s="605">
        <v>0</v>
      </c>
      <c r="G184" s="605">
        <v>0</v>
      </c>
      <c r="H184" s="669">
        <f t="shared" si="22"/>
        <v>0</v>
      </c>
      <c r="J184" s="662">
        <f t="shared" si="24"/>
        <v>42645</v>
      </c>
      <c r="K184" s="601">
        <v>4.5</v>
      </c>
      <c r="L184" s="601">
        <v>2.8</v>
      </c>
      <c r="M184" s="601">
        <v>4.9000000000000004</v>
      </c>
      <c r="N184" s="601">
        <v>3.25</v>
      </c>
      <c r="O184" s="601">
        <v>3.7</v>
      </c>
      <c r="P184" s="670">
        <f t="shared" si="23"/>
        <v>4</v>
      </c>
    </row>
    <row r="185" spans="2:16" x14ac:dyDescent="0.2">
      <c r="B185" s="671">
        <f t="shared" si="25"/>
        <v>42646</v>
      </c>
      <c r="C185" s="605">
        <v>0</v>
      </c>
      <c r="D185" s="605">
        <v>0</v>
      </c>
      <c r="E185" s="605">
        <v>0</v>
      </c>
      <c r="F185" s="605">
        <v>0</v>
      </c>
      <c r="G185" s="605">
        <v>0</v>
      </c>
      <c r="H185" s="669">
        <f t="shared" si="22"/>
        <v>0</v>
      </c>
      <c r="J185" s="662">
        <f t="shared" si="24"/>
        <v>42646</v>
      </c>
      <c r="K185" s="601">
        <v>4.2</v>
      </c>
      <c r="L185" s="601">
        <v>2.95</v>
      </c>
      <c r="M185" s="601">
        <v>4.6500000000000004</v>
      </c>
      <c r="N185" s="601">
        <v>2.95</v>
      </c>
      <c r="O185" s="601">
        <v>3.8</v>
      </c>
      <c r="P185" s="670">
        <f t="shared" si="23"/>
        <v>4</v>
      </c>
    </row>
    <row r="186" spans="2:16" x14ac:dyDescent="0.2">
      <c r="B186" s="671">
        <f t="shared" si="25"/>
        <v>42647</v>
      </c>
      <c r="C186" s="605">
        <v>0</v>
      </c>
      <c r="D186" s="605">
        <v>0</v>
      </c>
      <c r="E186" s="605">
        <v>0</v>
      </c>
      <c r="F186" s="605">
        <v>0</v>
      </c>
      <c r="G186" s="605">
        <v>0</v>
      </c>
      <c r="H186" s="669">
        <f t="shared" si="22"/>
        <v>0</v>
      </c>
      <c r="J186" s="662">
        <f t="shared" si="24"/>
        <v>42647</v>
      </c>
      <c r="K186" s="601">
        <v>3.8</v>
      </c>
      <c r="L186" s="601">
        <v>2.5</v>
      </c>
      <c r="M186" s="601">
        <v>3.65</v>
      </c>
      <c r="N186" s="601">
        <v>2.5499999999999998</v>
      </c>
      <c r="O186" s="601">
        <v>4.05</v>
      </c>
      <c r="P186" s="670">
        <f t="shared" si="23"/>
        <v>4</v>
      </c>
    </row>
    <row r="187" spans="2:16" x14ac:dyDescent="0.2">
      <c r="B187" s="671">
        <f t="shared" si="25"/>
        <v>42648</v>
      </c>
      <c r="C187" s="605">
        <v>0</v>
      </c>
      <c r="D187" s="605">
        <v>0</v>
      </c>
      <c r="E187" s="605">
        <v>0</v>
      </c>
      <c r="F187" s="605">
        <v>0</v>
      </c>
      <c r="G187" s="605">
        <v>0</v>
      </c>
      <c r="H187" s="669">
        <f t="shared" si="22"/>
        <v>0</v>
      </c>
      <c r="J187" s="662">
        <f t="shared" si="24"/>
        <v>42648</v>
      </c>
      <c r="K187" s="601">
        <v>4.5</v>
      </c>
      <c r="L187" s="601">
        <v>2.25</v>
      </c>
      <c r="M187" s="601">
        <v>3.75</v>
      </c>
      <c r="N187" s="601">
        <v>3</v>
      </c>
      <c r="O187" s="601">
        <v>4.1500000000000004</v>
      </c>
      <c r="P187" s="670">
        <f t="shared" si="23"/>
        <v>4</v>
      </c>
    </row>
    <row r="188" spans="2:16" x14ac:dyDescent="0.2">
      <c r="B188" s="671">
        <f t="shared" si="25"/>
        <v>42649</v>
      </c>
      <c r="C188" s="605">
        <v>0</v>
      </c>
      <c r="D188" s="605">
        <v>0</v>
      </c>
      <c r="E188" s="605">
        <v>0</v>
      </c>
      <c r="F188" s="605">
        <v>0</v>
      </c>
      <c r="G188" s="605">
        <v>0</v>
      </c>
      <c r="H188" s="669">
        <f t="shared" si="22"/>
        <v>0</v>
      </c>
      <c r="J188" s="662">
        <f t="shared" si="24"/>
        <v>42649</v>
      </c>
      <c r="K188" s="601">
        <v>5.6</v>
      </c>
      <c r="L188" s="601">
        <v>2.6</v>
      </c>
      <c r="M188" s="601">
        <v>5.3</v>
      </c>
      <c r="N188" s="601">
        <v>3.95</v>
      </c>
      <c r="O188" s="601">
        <v>4.95</v>
      </c>
      <c r="P188" s="670">
        <f t="shared" si="23"/>
        <v>5</v>
      </c>
    </row>
    <row r="189" spans="2:16" x14ac:dyDescent="0.2">
      <c r="B189" s="671">
        <f t="shared" si="25"/>
        <v>42650</v>
      </c>
      <c r="C189" s="605">
        <v>0</v>
      </c>
      <c r="D189" s="605">
        <v>0</v>
      </c>
      <c r="E189" s="605">
        <v>0</v>
      </c>
      <c r="F189" s="605">
        <v>0</v>
      </c>
      <c r="G189" s="605">
        <v>0</v>
      </c>
      <c r="H189" s="669">
        <f t="shared" si="22"/>
        <v>0</v>
      </c>
      <c r="J189" s="662">
        <f t="shared" si="24"/>
        <v>42650</v>
      </c>
      <c r="K189" s="601">
        <v>5.8</v>
      </c>
      <c r="L189" s="601">
        <v>3.8</v>
      </c>
      <c r="M189" s="601">
        <v>6.1</v>
      </c>
      <c r="N189" s="601">
        <v>4.5999999999999996</v>
      </c>
      <c r="O189" s="601">
        <v>5.0999999999999996</v>
      </c>
      <c r="P189" s="670">
        <f t="shared" si="23"/>
        <v>5</v>
      </c>
    </row>
    <row r="190" spans="2:16" x14ac:dyDescent="0.2">
      <c r="B190" s="671">
        <f t="shared" si="25"/>
        <v>42651</v>
      </c>
      <c r="C190" s="605">
        <v>4</v>
      </c>
      <c r="D190" s="605">
        <v>1</v>
      </c>
      <c r="E190" s="605">
        <v>3</v>
      </c>
      <c r="F190" s="605">
        <v>2</v>
      </c>
      <c r="G190" s="605">
        <v>6</v>
      </c>
      <c r="H190" s="669">
        <f t="shared" si="22"/>
        <v>4</v>
      </c>
      <c r="J190" s="662">
        <f t="shared" si="24"/>
        <v>42651</v>
      </c>
      <c r="K190" s="601">
        <v>5.45</v>
      </c>
      <c r="L190" s="601">
        <v>3.3</v>
      </c>
      <c r="M190" s="601">
        <v>5.9</v>
      </c>
      <c r="N190" s="601">
        <v>4.45</v>
      </c>
      <c r="O190" s="601">
        <v>5</v>
      </c>
      <c r="P190" s="670">
        <f t="shared" si="23"/>
        <v>5</v>
      </c>
    </row>
    <row r="191" spans="2:16" x14ac:dyDescent="0.2">
      <c r="B191" s="671">
        <f t="shared" si="25"/>
        <v>42652</v>
      </c>
      <c r="C191" s="605">
        <v>6</v>
      </c>
      <c r="D191" s="605">
        <v>2</v>
      </c>
      <c r="E191" s="605">
        <v>7</v>
      </c>
      <c r="F191" s="605">
        <v>4</v>
      </c>
      <c r="G191" s="605">
        <v>6</v>
      </c>
      <c r="H191" s="669">
        <f t="shared" si="22"/>
        <v>5</v>
      </c>
      <c r="J191" s="662">
        <f t="shared" si="24"/>
        <v>42652</v>
      </c>
      <c r="K191" s="601">
        <v>4.2</v>
      </c>
      <c r="L191" s="601">
        <v>2.8</v>
      </c>
      <c r="M191" s="601">
        <v>5.0999999999999996</v>
      </c>
      <c r="N191" s="601">
        <v>3.6</v>
      </c>
      <c r="O191" s="601">
        <v>4.05</v>
      </c>
      <c r="P191" s="670">
        <f t="shared" si="23"/>
        <v>4</v>
      </c>
    </row>
    <row r="192" spans="2:16" x14ac:dyDescent="0.2">
      <c r="B192" s="671">
        <f t="shared" si="25"/>
        <v>42653</v>
      </c>
      <c r="C192" s="605">
        <v>2</v>
      </c>
      <c r="D192" s="605">
        <v>2</v>
      </c>
      <c r="E192" s="605">
        <v>6</v>
      </c>
      <c r="F192" s="605">
        <v>2</v>
      </c>
      <c r="G192" s="605">
        <v>4</v>
      </c>
      <c r="H192" s="669">
        <f t="shared" si="22"/>
        <v>3</v>
      </c>
      <c r="J192" s="662">
        <f t="shared" si="24"/>
        <v>42653</v>
      </c>
      <c r="K192" s="601">
        <v>4.9000000000000004</v>
      </c>
      <c r="L192" s="601">
        <v>2.75</v>
      </c>
      <c r="M192" s="601">
        <v>5.35</v>
      </c>
      <c r="N192" s="601">
        <v>3.9</v>
      </c>
      <c r="O192" s="601">
        <v>4.6500000000000004</v>
      </c>
      <c r="P192" s="670">
        <f t="shared" si="23"/>
        <v>4</v>
      </c>
    </row>
    <row r="193" spans="2:16" x14ac:dyDescent="0.2">
      <c r="B193" s="671">
        <f t="shared" si="25"/>
        <v>42654</v>
      </c>
      <c r="C193" s="605">
        <v>0</v>
      </c>
      <c r="D193" s="605">
        <v>0</v>
      </c>
      <c r="E193" s="605">
        <v>2</v>
      </c>
      <c r="F193" s="605">
        <v>0</v>
      </c>
      <c r="G193" s="605">
        <v>0</v>
      </c>
      <c r="H193" s="669">
        <f t="shared" si="22"/>
        <v>0</v>
      </c>
      <c r="J193" s="662">
        <f t="shared" si="24"/>
        <v>42654</v>
      </c>
      <c r="K193" s="601">
        <v>5</v>
      </c>
      <c r="L193" s="601">
        <v>2.95</v>
      </c>
      <c r="M193" s="601">
        <v>5.75</v>
      </c>
      <c r="N193" s="601">
        <v>3.8</v>
      </c>
      <c r="O193" s="601">
        <v>4.75</v>
      </c>
      <c r="P193" s="670">
        <f t="shared" si="23"/>
        <v>4</v>
      </c>
    </row>
    <row r="194" spans="2:16" x14ac:dyDescent="0.2">
      <c r="B194" s="671">
        <f t="shared" si="25"/>
        <v>42655</v>
      </c>
      <c r="C194" s="605">
        <v>0</v>
      </c>
      <c r="D194" s="605">
        <v>0</v>
      </c>
      <c r="E194" s="605">
        <v>0</v>
      </c>
      <c r="F194" s="605">
        <v>0</v>
      </c>
      <c r="G194" s="605">
        <v>0</v>
      </c>
      <c r="H194" s="669">
        <f t="shared" si="22"/>
        <v>0</v>
      </c>
      <c r="J194" s="662">
        <f t="shared" si="24"/>
        <v>42655</v>
      </c>
      <c r="K194" s="601">
        <v>3.65</v>
      </c>
      <c r="L194" s="601">
        <v>2.25</v>
      </c>
      <c r="M194" s="601">
        <v>4.6500000000000004</v>
      </c>
      <c r="N194" s="601">
        <v>3.15</v>
      </c>
      <c r="O194" s="601">
        <v>3.25</v>
      </c>
      <c r="P194" s="670">
        <f t="shared" si="23"/>
        <v>3</v>
      </c>
    </row>
    <row r="195" spans="2:16" x14ac:dyDescent="0.2">
      <c r="B195" s="671">
        <f t="shared" si="25"/>
        <v>42656</v>
      </c>
      <c r="C195" s="605">
        <v>11</v>
      </c>
      <c r="D195" s="605">
        <v>0</v>
      </c>
      <c r="E195" s="605">
        <v>7</v>
      </c>
      <c r="F195" s="605">
        <v>3</v>
      </c>
      <c r="G195" s="605">
        <v>8</v>
      </c>
      <c r="H195" s="669">
        <f t="shared" si="22"/>
        <v>7</v>
      </c>
      <c r="J195" s="662">
        <f t="shared" si="24"/>
        <v>42656</v>
      </c>
      <c r="K195" s="601">
        <v>5.75</v>
      </c>
      <c r="L195" s="601">
        <v>2.35</v>
      </c>
      <c r="M195" s="601">
        <v>5.35</v>
      </c>
      <c r="N195" s="601">
        <v>3.65</v>
      </c>
      <c r="O195" s="601">
        <v>4.8499999999999996</v>
      </c>
      <c r="P195" s="670">
        <f t="shared" si="23"/>
        <v>5</v>
      </c>
    </row>
    <row r="196" spans="2:16" x14ac:dyDescent="0.2">
      <c r="B196" s="671">
        <f t="shared" si="25"/>
        <v>42657</v>
      </c>
      <c r="C196" s="605">
        <v>10</v>
      </c>
      <c r="D196" s="605">
        <v>1</v>
      </c>
      <c r="E196" s="605">
        <v>8</v>
      </c>
      <c r="F196" s="605">
        <v>6</v>
      </c>
      <c r="G196" s="605">
        <v>10</v>
      </c>
      <c r="H196" s="669">
        <f t="shared" si="22"/>
        <v>7</v>
      </c>
      <c r="J196" s="662">
        <f t="shared" si="24"/>
        <v>42657</v>
      </c>
      <c r="K196" s="601">
        <v>7.65</v>
      </c>
      <c r="L196" s="601">
        <v>4.0999999999999996</v>
      </c>
      <c r="M196" s="601">
        <v>8</v>
      </c>
      <c r="N196" s="601">
        <v>5.8</v>
      </c>
      <c r="O196" s="601">
        <v>7.05</v>
      </c>
      <c r="P196" s="670">
        <f t="shared" si="23"/>
        <v>7</v>
      </c>
    </row>
    <row r="197" spans="2:16" x14ac:dyDescent="0.2">
      <c r="B197" s="671">
        <f t="shared" si="25"/>
        <v>42658</v>
      </c>
      <c r="C197" s="605">
        <v>0</v>
      </c>
      <c r="D197" s="605">
        <v>0</v>
      </c>
      <c r="E197" s="605">
        <v>0</v>
      </c>
      <c r="F197" s="605">
        <v>0</v>
      </c>
      <c r="G197" s="605">
        <v>0</v>
      </c>
      <c r="H197" s="669">
        <f t="shared" si="22"/>
        <v>0</v>
      </c>
      <c r="J197" s="662">
        <f t="shared" si="24"/>
        <v>42658</v>
      </c>
      <c r="K197" s="601">
        <v>7.3</v>
      </c>
      <c r="L197" s="601">
        <v>4.75</v>
      </c>
      <c r="M197" s="601">
        <v>8.65</v>
      </c>
      <c r="N197" s="601">
        <v>6.2</v>
      </c>
      <c r="O197" s="601">
        <v>6</v>
      </c>
      <c r="P197" s="670">
        <f t="shared" si="23"/>
        <v>6</v>
      </c>
    </row>
    <row r="198" spans="2:16" x14ac:dyDescent="0.2">
      <c r="B198" s="671">
        <f t="shared" si="25"/>
        <v>42659</v>
      </c>
      <c r="C198" s="605">
        <v>0</v>
      </c>
      <c r="D198" s="605">
        <v>0</v>
      </c>
      <c r="E198" s="605">
        <v>0</v>
      </c>
      <c r="F198" s="605">
        <v>0</v>
      </c>
      <c r="G198" s="605">
        <v>0</v>
      </c>
      <c r="H198" s="669">
        <f t="shared" si="22"/>
        <v>0</v>
      </c>
      <c r="J198" s="662">
        <f t="shared" si="24"/>
        <v>42659</v>
      </c>
      <c r="K198" s="601">
        <v>7.8</v>
      </c>
      <c r="L198" s="601">
        <v>6</v>
      </c>
      <c r="M198" s="601">
        <v>8.75</v>
      </c>
      <c r="N198" s="601">
        <v>6.9</v>
      </c>
      <c r="O198" s="601">
        <v>7.3</v>
      </c>
      <c r="P198" s="670">
        <f t="shared" si="23"/>
        <v>7</v>
      </c>
    </row>
    <row r="199" spans="2:16" x14ac:dyDescent="0.2">
      <c r="B199" s="671">
        <f t="shared" si="25"/>
        <v>42660</v>
      </c>
      <c r="C199" s="605">
        <v>0</v>
      </c>
      <c r="D199" s="605">
        <v>0</v>
      </c>
      <c r="E199" s="605">
        <v>0</v>
      </c>
      <c r="F199" s="605">
        <v>0</v>
      </c>
      <c r="G199" s="605">
        <v>0</v>
      </c>
      <c r="H199" s="669">
        <f t="shared" si="22"/>
        <v>0</v>
      </c>
      <c r="J199" s="662">
        <f t="shared" si="24"/>
        <v>42660</v>
      </c>
      <c r="K199" s="601">
        <v>8.8000000000000007</v>
      </c>
      <c r="L199" s="601">
        <v>6.4</v>
      </c>
      <c r="M199" s="601">
        <v>9.3000000000000007</v>
      </c>
      <c r="N199" s="601">
        <v>7.4</v>
      </c>
      <c r="O199" s="601">
        <v>8.0500000000000007</v>
      </c>
      <c r="P199" s="670">
        <f t="shared" si="23"/>
        <v>8</v>
      </c>
    </row>
    <row r="200" spans="2:16" x14ac:dyDescent="0.2">
      <c r="B200" s="671">
        <f t="shared" si="25"/>
        <v>42661</v>
      </c>
      <c r="C200" s="605">
        <v>0</v>
      </c>
      <c r="D200" s="605">
        <v>0</v>
      </c>
      <c r="E200" s="605">
        <v>0</v>
      </c>
      <c r="F200" s="605">
        <v>0</v>
      </c>
      <c r="G200" s="605">
        <v>0</v>
      </c>
      <c r="H200" s="669">
        <f t="shared" si="22"/>
        <v>0</v>
      </c>
      <c r="J200" s="662">
        <f t="shared" si="24"/>
        <v>42661</v>
      </c>
      <c r="K200" s="601">
        <v>9.0500000000000007</v>
      </c>
      <c r="L200" s="601">
        <v>6.35</v>
      </c>
      <c r="M200" s="601">
        <v>9.85</v>
      </c>
      <c r="N200" s="601">
        <v>7.6</v>
      </c>
      <c r="O200" s="601">
        <v>8.5</v>
      </c>
      <c r="P200" s="670">
        <f t="shared" si="23"/>
        <v>8</v>
      </c>
    </row>
    <row r="201" spans="2:16" x14ac:dyDescent="0.2">
      <c r="B201" s="671">
        <f t="shared" si="25"/>
        <v>42662</v>
      </c>
      <c r="C201" s="605">
        <v>0</v>
      </c>
      <c r="D201" s="605">
        <v>0</v>
      </c>
      <c r="E201" s="605">
        <v>0</v>
      </c>
      <c r="F201" s="605">
        <v>0</v>
      </c>
      <c r="G201" s="605">
        <v>0</v>
      </c>
      <c r="H201" s="669">
        <f t="shared" si="22"/>
        <v>0</v>
      </c>
      <c r="J201" s="662">
        <f t="shared" si="24"/>
        <v>42662</v>
      </c>
      <c r="K201" s="601">
        <v>9.9499999999999993</v>
      </c>
      <c r="L201" s="601">
        <v>7.95</v>
      </c>
      <c r="M201" s="601">
        <v>10.45</v>
      </c>
      <c r="N201" s="601">
        <v>8.5500000000000007</v>
      </c>
      <c r="O201" s="601">
        <v>9.4</v>
      </c>
      <c r="P201" s="670">
        <f t="shared" si="23"/>
        <v>9</v>
      </c>
    </row>
    <row r="202" spans="2:16" x14ac:dyDescent="0.2">
      <c r="B202" s="671">
        <f t="shared" si="25"/>
        <v>42663</v>
      </c>
      <c r="C202" s="605">
        <v>4</v>
      </c>
      <c r="D202" s="605">
        <v>0</v>
      </c>
      <c r="E202" s="605">
        <v>2</v>
      </c>
      <c r="F202" s="605">
        <v>1</v>
      </c>
      <c r="G202" s="605">
        <v>3</v>
      </c>
      <c r="H202" s="669">
        <f t="shared" si="22"/>
        <v>2</v>
      </c>
      <c r="J202" s="662">
        <f t="shared" si="24"/>
        <v>42663</v>
      </c>
      <c r="K202" s="601">
        <v>9.0500000000000007</v>
      </c>
      <c r="L202" s="601">
        <v>7.15</v>
      </c>
      <c r="M202" s="601">
        <v>10.15</v>
      </c>
      <c r="N202" s="601">
        <v>7.75</v>
      </c>
      <c r="O202" s="601">
        <v>8</v>
      </c>
      <c r="P202" s="670">
        <f t="shared" si="23"/>
        <v>8</v>
      </c>
    </row>
    <row r="203" spans="2:16" x14ac:dyDescent="0.2">
      <c r="B203" s="671">
        <f t="shared" si="25"/>
        <v>42664</v>
      </c>
      <c r="C203" s="605">
        <v>11</v>
      </c>
      <c r="D203" s="605">
        <v>9</v>
      </c>
      <c r="E203" s="605">
        <v>13</v>
      </c>
      <c r="F203" s="605">
        <v>11</v>
      </c>
      <c r="G203" s="605">
        <v>15</v>
      </c>
      <c r="H203" s="669">
        <f t="shared" si="22"/>
        <v>12</v>
      </c>
      <c r="J203" s="662">
        <f t="shared" si="24"/>
        <v>42664</v>
      </c>
      <c r="K203" s="601">
        <v>8.65</v>
      </c>
      <c r="L203" s="601">
        <v>6.25</v>
      </c>
      <c r="M203" s="601">
        <v>10.199999999999999</v>
      </c>
      <c r="N203" s="601">
        <v>7.75</v>
      </c>
      <c r="O203" s="601">
        <v>7.1</v>
      </c>
      <c r="P203" s="670">
        <f t="shared" si="23"/>
        <v>8</v>
      </c>
    </row>
    <row r="204" spans="2:16" x14ac:dyDescent="0.2">
      <c r="B204" s="671">
        <f t="shared" si="25"/>
        <v>42665</v>
      </c>
      <c r="C204" s="605">
        <v>13</v>
      </c>
      <c r="D204" s="605">
        <v>10</v>
      </c>
      <c r="E204" s="605">
        <v>14</v>
      </c>
      <c r="F204" s="605">
        <v>12</v>
      </c>
      <c r="G204" s="605">
        <v>13</v>
      </c>
      <c r="H204" s="669">
        <f t="shared" ref="H204:H267" si="26">IFERROR(ROUND((C204*C$70)+(D204*D$70)+(E204*E$70)+(F204*F$70)+(G204*G$70),0),0)</f>
        <v>12</v>
      </c>
      <c r="J204" s="662">
        <f t="shared" si="24"/>
        <v>42665</v>
      </c>
      <c r="K204" s="601">
        <v>10.050000000000001</v>
      </c>
      <c r="L204" s="601">
        <v>6.7</v>
      </c>
      <c r="M204" s="601">
        <v>11.5</v>
      </c>
      <c r="N204" s="601">
        <v>8.9499999999999993</v>
      </c>
      <c r="O204" s="601">
        <v>8.6999999999999993</v>
      </c>
      <c r="P204" s="670">
        <f t="shared" ref="P204:P267" si="27">IFERROR(ROUND((K204*C$70)+(L204*D$70)+(M204*E$70)+(N204*F$70)+(O204*G$70),0),0)</f>
        <v>9</v>
      </c>
    </row>
    <row r="205" spans="2:16" x14ac:dyDescent="0.2">
      <c r="B205" s="671">
        <f t="shared" si="25"/>
        <v>42666</v>
      </c>
      <c r="C205" s="605">
        <v>4</v>
      </c>
      <c r="D205" s="605">
        <v>6</v>
      </c>
      <c r="E205" s="605">
        <v>7</v>
      </c>
      <c r="F205" s="605">
        <v>4</v>
      </c>
      <c r="G205" s="605">
        <v>1</v>
      </c>
      <c r="H205" s="669">
        <f t="shared" si="26"/>
        <v>4</v>
      </c>
      <c r="J205" s="662">
        <f t="shared" ref="J205:J268" si="28">B205</f>
        <v>42666</v>
      </c>
      <c r="K205" s="601">
        <v>9.75</v>
      </c>
      <c r="L205" s="601">
        <v>7.35</v>
      </c>
      <c r="M205" s="601">
        <v>11</v>
      </c>
      <c r="N205" s="601">
        <v>8.75</v>
      </c>
      <c r="O205" s="601">
        <v>9.3000000000000007</v>
      </c>
      <c r="P205" s="670">
        <f t="shared" si="27"/>
        <v>9</v>
      </c>
    </row>
    <row r="206" spans="2:16" x14ac:dyDescent="0.2">
      <c r="B206" s="671">
        <f t="shared" ref="B206:B269" si="29">B205+1</f>
        <v>42667</v>
      </c>
      <c r="C206" s="605">
        <v>6</v>
      </c>
      <c r="D206" s="605">
        <v>0</v>
      </c>
      <c r="E206" s="605">
        <v>7</v>
      </c>
      <c r="F206" s="605">
        <v>4</v>
      </c>
      <c r="G206" s="605">
        <v>4</v>
      </c>
      <c r="H206" s="669">
        <f t="shared" si="26"/>
        <v>4</v>
      </c>
      <c r="J206" s="662">
        <f t="shared" si="28"/>
        <v>42667</v>
      </c>
      <c r="K206" s="601">
        <v>10.199999999999999</v>
      </c>
      <c r="L206" s="601">
        <v>7.95</v>
      </c>
      <c r="M206" s="601">
        <v>11.75</v>
      </c>
      <c r="N206" s="601">
        <v>9.6</v>
      </c>
      <c r="O206" s="601">
        <v>9.3000000000000007</v>
      </c>
      <c r="P206" s="670">
        <f t="shared" si="27"/>
        <v>10</v>
      </c>
    </row>
    <row r="207" spans="2:16" x14ac:dyDescent="0.2">
      <c r="B207" s="671">
        <f t="shared" si="29"/>
        <v>42668</v>
      </c>
      <c r="C207" s="605">
        <v>9</v>
      </c>
      <c r="D207" s="605">
        <v>2</v>
      </c>
      <c r="E207" s="605">
        <v>13</v>
      </c>
      <c r="F207" s="605">
        <v>9</v>
      </c>
      <c r="G207" s="605">
        <v>8</v>
      </c>
      <c r="H207" s="669">
        <f t="shared" si="26"/>
        <v>8</v>
      </c>
      <c r="J207" s="662">
        <f t="shared" si="28"/>
        <v>42668</v>
      </c>
      <c r="K207" s="601">
        <v>9.85</v>
      </c>
      <c r="L207" s="601">
        <v>7.05</v>
      </c>
      <c r="M207" s="601">
        <v>11.1</v>
      </c>
      <c r="N207" s="601">
        <v>8.75</v>
      </c>
      <c r="O207" s="601">
        <v>9.15</v>
      </c>
      <c r="P207" s="670">
        <f t="shared" si="27"/>
        <v>9</v>
      </c>
    </row>
    <row r="208" spans="2:16" x14ac:dyDescent="0.2">
      <c r="B208" s="671">
        <f t="shared" si="29"/>
        <v>42669</v>
      </c>
      <c r="C208" s="605">
        <v>2</v>
      </c>
      <c r="D208" s="605">
        <v>0</v>
      </c>
      <c r="E208" s="605">
        <v>4</v>
      </c>
      <c r="F208" s="605">
        <v>2</v>
      </c>
      <c r="G208" s="605">
        <v>1</v>
      </c>
      <c r="H208" s="669">
        <f t="shared" si="26"/>
        <v>1</v>
      </c>
      <c r="J208" s="662">
        <f t="shared" si="28"/>
        <v>42669</v>
      </c>
      <c r="K208" s="601">
        <v>10.1</v>
      </c>
      <c r="L208" s="601">
        <v>7.35</v>
      </c>
      <c r="M208" s="601">
        <v>10.25</v>
      </c>
      <c r="N208" s="601">
        <v>8.4</v>
      </c>
      <c r="O208" s="601">
        <v>8.6999999999999993</v>
      </c>
      <c r="P208" s="670">
        <f t="shared" si="27"/>
        <v>9</v>
      </c>
    </row>
    <row r="209" spans="2:16" x14ac:dyDescent="0.2">
      <c r="B209" s="671">
        <f t="shared" si="29"/>
        <v>42670</v>
      </c>
      <c r="C209" s="605">
        <v>9</v>
      </c>
      <c r="D209" s="605">
        <v>0</v>
      </c>
      <c r="E209" s="605">
        <v>9</v>
      </c>
      <c r="F209" s="605">
        <v>5</v>
      </c>
      <c r="G209" s="605">
        <v>6</v>
      </c>
      <c r="H209" s="669">
        <f t="shared" si="26"/>
        <v>6</v>
      </c>
      <c r="J209" s="662">
        <f t="shared" si="28"/>
        <v>42670</v>
      </c>
      <c r="K209" s="601">
        <v>12.05</v>
      </c>
      <c r="L209" s="601">
        <v>8.6</v>
      </c>
      <c r="M209" s="601">
        <v>13.1</v>
      </c>
      <c r="N209" s="601">
        <v>10.45</v>
      </c>
      <c r="O209" s="601">
        <v>11.35</v>
      </c>
      <c r="P209" s="670">
        <f t="shared" si="27"/>
        <v>11</v>
      </c>
    </row>
    <row r="210" spans="2:16" x14ac:dyDescent="0.2">
      <c r="B210" s="671">
        <f t="shared" si="29"/>
        <v>42671</v>
      </c>
      <c r="C210" s="605">
        <v>8</v>
      </c>
      <c r="D210" s="605">
        <v>0</v>
      </c>
      <c r="E210" s="605">
        <v>10</v>
      </c>
      <c r="F210" s="605">
        <v>6</v>
      </c>
      <c r="G210" s="605">
        <v>5</v>
      </c>
      <c r="H210" s="669">
        <f t="shared" si="26"/>
        <v>5</v>
      </c>
      <c r="J210" s="662">
        <f t="shared" si="28"/>
        <v>42671</v>
      </c>
      <c r="K210" s="601">
        <v>12.5</v>
      </c>
      <c r="L210" s="601">
        <v>9.75</v>
      </c>
      <c r="M210" s="601">
        <v>14.3</v>
      </c>
      <c r="N210" s="601">
        <v>11.25</v>
      </c>
      <c r="O210" s="601">
        <v>11.75</v>
      </c>
      <c r="P210" s="670">
        <f t="shared" si="27"/>
        <v>12</v>
      </c>
    </row>
    <row r="211" spans="2:16" x14ac:dyDescent="0.2">
      <c r="B211" s="671">
        <f t="shared" si="29"/>
        <v>42672</v>
      </c>
      <c r="C211" s="605">
        <v>0</v>
      </c>
      <c r="D211" s="605">
        <v>0</v>
      </c>
      <c r="E211" s="605">
        <v>0</v>
      </c>
      <c r="F211" s="605">
        <v>0</v>
      </c>
      <c r="G211" s="605">
        <v>0</v>
      </c>
      <c r="H211" s="669">
        <f t="shared" si="26"/>
        <v>0</v>
      </c>
      <c r="J211" s="662">
        <f t="shared" si="28"/>
        <v>42672</v>
      </c>
      <c r="K211" s="601">
        <v>12.85</v>
      </c>
      <c r="L211" s="601">
        <v>9.25</v>
      </c>
      <c r="M211" s="601">
        <v>14.05</v>
      </c>
      <c r="N211" s="601">
        <v>11.35</v>
      </c>
      <c r="O211" s="601">
        <v>11.3</v>
      </c>
      <c r="P211" s="670">
        <f t="shared" si="27"/>
        <v>12</v>
      </c>
    </row>
    <row r="212" spans="2:16" x14ac:dyDescent="0.2">
      <c r="B212" s="671">
        <f t="shared" si="29"/>
        <v>42673</v>
      </c>
      <c r="C212" s="605">
        <v>0</v>
      </c>
      <c r="D212" s="605">
        <v>0</v>
      </c>
      <c r="E212" s="605">
        <v>0</v>
      </c>
      <c r="F212" s="605">
        <v>0</v>
      </c>
      <c r="G212" s="605">
        <v>0</v>
      </c>
      <c r="H212" s="669">
        <f t="shared" si="26"/>
        <v>0</v>
      </c>
      <c r="J212" s="662">
        <f t="shared" si="28"/>
        <v>42673</v>
      </c>
      <c r="K212" s="601">
        <v>9.8000000000000007</v>
      </c>
      <c r="L212" s="601">
        <v>8.25</v>
      </c>
      <c r="M212" s="601">
        <v>11.7</v>
      </c>
      <c r="N212" s="601">
        <v>9.3000000000000007</v>
      </c>
      <c r="O212" s="601">
        <v>8.6999999999999993</v>
      </c>
      <c r="P212" s="670">
        <f t="shared" si="27"/>
        <v>9</v>
      </c>
    </row>
    <row r="213" spans="2:16" x14ac:dyDescent="0.2">
      <c r="B213" s="671">
        <f t="shared" si="29"/>
        <v>42674</v>
      </c>
      <c r="C213" s="605">
        <v>0</v>
      </c>
      <c r="D213" s="605">
        <v>0</v>
      </c>
      <c r="E213" s="605">
        <v>1</v>
      </c>
      <c r="F213" s="605">
        <v>1</v>
      </c>
      <c r="G213" s="605">
        <v>0</v>
      </c>
      <c r="H213" s="669">
        <f t="shared" si="26"/>
        <v>0</v>
      </c>
      <c r="J213" s="662">
        <f t="shared" si="28"/>
        <v>42674</v>
      </c>
      <c r="K213" s="601">
        <v>9</v>
      </c>
      <c r="L213" s="601">
        <v>7</v>
      </c>
      <c r="M213" s="601">
        <v>10</v>
      </c>
      <c r="N213" s="601">
        <v>7.85</v>
      </c>
      <c r="O213" s="601">
        <v>8</v>
      </c>
      <c r="P213" s="670">
        <f t="shared" si="27"/>
        <v>8</v>
      </c>
    </row>
    <row r="214" spans="2:16" x14ac:dyDescent="0.2">
      <c r="B214" s="671">
        <f t="shared" si="29"/>
        <v>42675</v>
      </c>
      <c r="C214" s="605">
        <v>0</v>
      </c>
      <c r="D214" s="605">
        <v>0</v>
      </c>
      <c r="E214" s="605">
        <v>0</v>
      </c>
      <c r="F214" s="605">
        <v>0</v>
      </c>
      <c r="G214" s="605">
        <v>0</v>
      </c>
      <c r="H214" s="669">
        <f t="shared" si="26"/>
        <v>0</v>
      </c>
      <c r="J214" s="662">
        <f t="shared" si="28"/>
        <v>42675</v>
      </c>
      <c r="K214" s="601">
        <v>11</v>
      </c>
      <c r="L214" s="601">
        <v>8.6</v>
      </c>
      <c r="M214" s="601">
        <v>11.95</v>
      </c>
      <c r="N214" s="601">
        <v>9.1999999999999993</v>
      </c>
      <c r="O214" s="601">
        <v>10.15</v>
      </c>
      <c r="P214" s="670">
        <f t="shared" si="27"/>
        <v>10</v>
      </c>
    </row>
    <row r="215" spans="2:16" x14ac:dyDescent="0.2">
      <c r="B215" s="671">
        <f t="shared" si="29"/>
        <v>42676</v>
      </c>
      <c r="C215" s="605">
        <v>0</v>
      </c>
      <c r="D215" s="605">
        <v>0</v>
      </c>
      <c r="E215" s="605">
        <v>0</v>
      </c>
      <c r="F215" s="605">
        <v>0</v>
      </c>
      <c r="G215" s="605">
        <v>0</v>
      </c>
      <c r="H215" s="669">
        <f t="shared" si="26"/>
        <v>0</v>
      </c>
      <c r="J215" s="662">
        <f t="shared" si="28"/>
        <v>42676</v>
      </c>
      <c r="K215" s="601">
        <v>13.05</v>
      </c>
      <c r="L215" s="601">
        <v>9.1999999999999993</v>
      </c>
      <c r="M215" s="601">
        <v>13.3</v>
      </c>
      <c r="N215" s="601">
        <v>10.65</v>
      </c>
      <c r="O215" s="601">
        <v>11.5</v>
      </c>
      <c r="P215" s="670">
        <f t="shared" si="27"/>
        <v>12</v>
      </c>
    </row>
    <row r="216" spans="2:16" x14ac:dyDescent="0.2">
      <c r="B216" s="671">
        <f t="shared" si="29"/>
        <v>42677</v>
      </c>
      <c r="C216" s="605">
        <v>0</v>
      </c>
      <c r="D216" s="605">
        <v>0</v>
      </c>
      <c r="E216" s="605">
        <v>0</v>
      </c>
      <c r="F216" s="605">
        <v>0</v>
      </c>
      <c r="G216" s="605">
        <v>0</v>
      </c>
      <c r="H216" s="669">
        <f t="shared" si="26"/>
        <v>0</v>
      </c>
      <c r="J216" s="662">
        <f t="shared" si="28"/>
        <v>42677</v>
      </c>
      <c r="K216" s="601">
        <v>13.5</v>
      </c>
      <c r="L216" s="601">
        <v>10.3</v>
      </c>
      <c r="M216" s="601">
        <v>15.6</v>
      </c>
      <c r="N216" s="601">
        <v>12.6</v>
      </c>
      <c r="O216" s="601">
        <v>12.05</v>
      </c>
      <c r="P216" s="670">
        <f t="shared" si="27"/>
        <v>13</v>
      </c>
    </row>
    <row r="217" spans="2:16" x14ac:dyDescent="0.2">
      <c r="B217" s="671">
        <f t="shared" si="29"/>
        <v>42678</v>
      </c>
      <c r="C217" s="605">
        <v>8</v>
      </c>
      <c r="D217" s="605">
        <v>4</v>
      </c>
      <c r="E217" s="605">
        <v>12</v>
      </c>
      <c r="F217" s="605">
        <v>7</v>
      </c>
      <c r="G217" s="605">
        <v>8</v>
      </c>
      <c r="H217" s="669">
        <f t="shared" si="26"/>
        <v>8</v>
      </c>
      <c r="J217" s="662">
        <f t="shared" si="28"/>
        <v>42678</v>
      </c>
      <c r="K217" s="601">
        <v>13.25</v>
      </c>
      <c r="L217" s="601">
        <v>10.8</v>
      </c>
      <c r="M217" s="601">
        <v>14.65</v>
      </c>
      <c r="N217" s="601">
        <v>11.95</v>
      </c>
      <c r="O217" s="601">
        <v>12.55</v>
      </c>
      <c r="P217" s="670">
        <f t="shared" si="27"/>
        <v>13</v>
      </c>
    </row>
    <row r="218" spans="2:16" x14ac:dyDescent="0.2">
      <c r="B218" s="671">
        <f t="shared" si="29"/>
        <v>42679</v>
      </c>
      <c r="C218" s="605">
        <v>13</v>
      </c>
      <c r="D218" s="605">
        <v>7</v>
      </c>
      <c r="E218" s="605">
        <v>16</v>
      </c>
      <c r="F218" s="605">
        <v>12</v>
      </c>
      <c r="G218" s="605">
        <v>13</v>
      </c>
      <c r="H218" s="669">
        <f t="shared" si="26"/>
        <v>12</v>
      </c>
      <c r="J218" s="662">
        <f t="shared" si="28"/>
        <v>42679</v>
      </c>
      <c r="K218" s="601">
        <v>13.95</v>
      </c>
      <c r="L218" s="601">
        <v>10.6</v>
      </c>
      <c r="M218" s="601">
        <v>14.8</v>
      </c>
      <c r="N218" s="601">
        <v>12.35</v>
      </c>
      <c r="O218" s="601">
        <v>12.65</v>
      </c>
      <c r="P218" s="670">
        <f t="shared" si="27"/>
        <v>13</v>
      </c>
    </row>
    <row r="219" spans="2:16" x14ac:dyDescent="0.2">
      <c r="B219" s="671">
        <f t="shared" si="29"/>
        <v>42680</v>
      </c>
      <c r="C219" s="605">
        <v>11</v>
      </c>
      <c r="D219" s="605">
        <v>5</v>
      </c>
      <c r="E219" s="605">
        <v>11</v>
      </c>
      <c r="F219" s="605">
        <v>7</v>
      </c>
      <c r="G219" s="605">
        <v>7</v>
      </c>
      <c r="H219" s="669">
        <f t="shared" si="26"/>
        <v>8</v>
      </c>
      <c r="J219" s="662">
        <f t="shared" si="28"/>
        <v>42680</v>
      </c>
      <c r="K219" s="601">
        <v>15</v>
      </c>
      <c r="L219" s="601">
        <v>11.95</v>
      </c>
      <c r="M219" s="601">
        <v>15.25</v>
      </c>
      <c r="N219" s="601">
        <v>12.7</v>
      </c>
      <c r="O219" s="601">
        <v>13.75</v>
      </c>
      <c r="P219" s="670">
        <f t="shared" si="27"/>
        <v>14</v>
      </c>
    </row>
    <row r="220" spans="2:16" x14ac:dyDescent="0.2">
      <c r="B220" s="671">
        <f t="shared" si="29"/>
        <v>42681</v>
      </c>
      <c r="C220" s="605">
        <v>9</v>
      </c>
      <c r="D220" s="605">
        <v>3</v>
      </c>
      <c r="E220" s="605">
        <v>6</v>
      </c>
      <c r="F220" s="605">
        <v>5</v>
      </c>
      <c r="G220" s="605">
        <v>8</v>
      </c>
      <c r="H220" s="669">
        <f t="shared" si="26"/>
        <v>7</v>
      </c>
      <c r="J220" s="662">
        <f t="shared" si="28"/>
        <v>42681</v>
      </c>
      <c r="K220" s="601">
        <v>14.8</v>
      </c>
      <c r="L220" s="601">
        <v>12.2</v>
      </c>
      <c r="M220" s="601">
        <v>15.45</v>
      </c>
      <c r="N220" s="601">
        <v>12.85</v>
      </c>
      <c r="O220" s="601">
        <v>13.6</v>
      </c>
      <c r="P220" s="670">
        <f t="shared" si="27"/>
        <v>14</v>
      </c>
    </row>
    <row r="221" spans="2:16" x14ac:dyDescent="0.2">
      <c r="B221" s="671">
        <f t="shared" si="29"/>
        <v>42682</v>
      </c>
      <c r="C221" s="605">
        <v>5</v>
      </c>
      <c r="D221" s="605">
        <v>3</v>
      </c>
      <c r="E221" s="605">
        <v>9</v>
      </c>
      <c r="F221" s="605">
        <v>8</v>
      </c>
      <c r="G221" s="605">
        <v>3</v>
      </c>
      <c r="H221" s="669">
        <f t="shared" si="26"/>
        <v>5</v>
      </c>
      <c r="J221" s="662">
        <f t="shared" si="28"/>
        <v>42682</v>
      </c>
      <c r="K221" s="601">
        <v>13.05</v>
      </c>
      <c r="L221" s="601">
        <v>11.65</v>
      </c>
      <c r="M221" s="601">
        <v>14.95</v>
      </c>
      <c r="N221" s="601">
        <v>12</v>
      </c>
      <c r="O221" s="601">
        <v>12.3</v>
      </c>
      <c r="P221" s="670">
        <f t="shared" si="27"/>
        <v>13</v>
      </c>
    </row>
    <row r="222" spans="2:16" x14ac:dyDescent="0.2">
      <c r="B222" s="671">
        <f t="shared" si="29"/>
        <v>42683</v>
      </c>
      <c r="C222" s="605">
        <v>16</v>
      </c>
      <c r="D222" s="605">
        <v>10</v>
      </c>
      <c r="E222" s="605">
        <v>20</v>
      </c>
      <c r="F222" s="605">
        <v>14</v>
      </c>
      <c r="G222" s="605">
        <v>15</v>
      </c>
      <c r="H222" s="669">
        <f t="shared" si="26"/>
        <v>15</v>
      </c>
      <c r="J222" s="662">
        <f t="shared" si="28"/>
        <v>42683</v>
      </c>
      <c r="K222" s="601">
        <v>13.85</v>
      </c>
      <c r="L222" s="601">
        <v>10.8</v>
      </c>
      <c r="M222" s="601">
        <v>15.15</v>
      </c>
      <c r="N222" s="601">
        <v>12.35</v>
      </c>
      <c r="O222" s="601">
        <v>12.5</v>
      </c>
      <c r="P222" s="670">
        <f t="shared" si="27"/>
        <v>13</v>
      </c>
    </row>
    <row r="223" spans="2:16" x14ac:dyDescent="0.2">
      <c r="B223" s="671">
        <f t="shared" si="29"/>
        <v>42684</v>
      </c>
      <c r="C223" s="605">
        <v>17</v>
      </c>
      <c r="D223" s="605">
        <v>13</v>
      </c>
      <c r="E223" s="605">
        <v>19</v>
      </c>
      <c r="F223" s="605">
        <v>14</v>
      </c>
      <c r="G223" s="605">
        <v>17</v>
      </c>
      <c r="H223" s="669">
        <f t="shared" si="26"/>
        <v>16</v>
      </c>
      <c r="J223" s="662">
        <f t="shared" si="28"/>
        <v>42684</v>
      </c>
      <c r="K223" s="601">
        <v>14.15</v>
      </c>
      <c r="L223" s="601">
        <v>12.2</v>
      </c>
      <c r="M223" s="601">
        <v>14.9</v>
      </c>
      <c r="N223" s="601">
        <v>11.95</v>
      </c>
      <c r="O223" s="601">
        <v>13.05</v>
      </c>
      <c r="P223" s="670">
        <f t="shared" si="27"/>
        <v>13</v>
      </c>
    </row>
    <row r="224" spans="2:16" x14ac:dyDescent="0.2">
      <c r="B224" s="671">
        <f t="shared" si="29"/>
        <v>42685</v>
      </c>
      <c r="C224" s="605">
        <v>11</v>
      </c>
      <c r="D224" s="605">
        <v>14</v>
      </c>
      <c r="E224" s="605">
        <v>13</v>
      </c>
      <c r="F224" s="605">
        <v>9</v>
      </c>
      <c r="G224" s="605">
        <v>11</v>
      </c>
      <c r="H224" s="669">
        <f t="shared" si="26"/>
        <v>12</v>
      </c>
      <c r="J224" s="662">
        <f t="shared" si="28"/>
        <v>42685</v>
      </c>
      <c r="K224" s="601">
        <v>15.35</v>
      </c>
      <c r="L224" s="601">
        <v>11.75</v>
      </c>
      <c r="M224" s="601">
        <v>16.55</v>
      </c>
      <c r="N224" s="601">
        <v>13.4</v>
      </c>
      <c r="O224" s="601">
        <v>14.2</v>
      </c>
      <c r="P224" s="670">
        <f t="shared" si="27"/>
        <v>14</v>
      </c>
    </row>
    <row r="225" spans="2:16" x14ac:dyDescent="0.2">
      <c r="B225" s="671">
        <f t="shared" si="29"/>
        <v>42686</v>
      </c>
      <c r="C225" s="605">
        <v>19</v>
      </c>
      <c r="D225" s="605">
        <v>13</v>
      </c>
      <c r="E225" s="605">
        <v>24</v>
      </c>
      <c r="F225" s="605">
        <v>18</v>
      </c>
      <c r="G225" s="605">
        <v>21</v>
      </c>
      <c r="H225" s="669">
        <f t="shared" si="26"/>
        <v>19</v>
      </c>
      <c r="J225" s="662">
        <f t="shared" si="28"/>
        <v>42686</v>
      </c>
      <c r="K225" s="601">
        <v>17.899999999999999</v>
      </c>
      <c r="L225" s="601">
        <v>14.9</v>
      </c>
      <c r="M225" s="601">
        <v>18.649999999999999</v>
      </c>
      <c r="N225" s="601">
        <v>15.85</v>
      </c>
      <c r="O225" s="601">
        <v>17</v>
      </c>
      <c r="P225" s="670">
        <f t="shared" si="27"/>
        <v>17</v>
      </c>
    </row>
    <row r="226" spans="2:16" x14ac:dyDescent="0.2">
      <c r="B226" s="671">
        <f t="shared" si="29"/>
        <v>42687</v>
      </c>
      <c r="C226" s="605">
        <v>21</v>
      </c>
      <c r="D226" s="605">
        <v>16</v>
      </c>
      <c r="E226" s="605">
        <v>22</v>
      </c>
      <c r="F226" s="605">
        <v>19</v>
      </c>
      <c r="G226" s="605">
        <v>22</v>
      </c>
      <c r="H226" s="669">
        <f t="shared" si="26"/>
        <v>20</v>
      </c>
      <c r="J226" s="662">
        <f t="shared" si="28"/>
        <v>42687</v>
      </c>
      <c r="K226" s="601">
        <v>18.850000000000001</v>
      </c>
      <c r="L226" s="601">
        <v>15.15</v>
      </c>
      <c r="M226" s="601">
        <v>18.899999999999999</v>
      </c>
      <c r="N226" s="601">
        <v>16.25</v>
      </c>
      <c r="O226" s="601">
        <v>18.05</v>
      </c>
      <c r="P226" s="670">
        <f t="shared" si="27"/>
        <v>18</v>
      </c>
    </row>
    <row r="227" spans="2:16" x14ac:dyDescent="0.2">
      <c r="B227" s="671">
        <f t="shared" si="29"/>
        <v>42688</v>
      </c>
      <c r="C227" s="605">
        <v>18</v>
      </c>
      <c r="D227" s="605">
        <v>13</v>
      </c>
      <c r="E227" s="605">
        <v>20</v>
      </c>
      <c r="F227" s="605">
        <v>17</v>
      </c>
      <c r="G227" s="605">
        <v>18</v>
      </c>
      <c r="H227" s="669">
        <f t="shared" si="26"/>
        <v>17</v>
      </c>
      <c r="J227" s="662">
        <f t="shared" si="28"/>
        <v>42688</v>
      </c>
      <c r="K227" s="601">
        <v>18.350000000000001</v>
      </c>
      <c r="L227" s="601">
        <v>15.2</v>
      </c>
      <c r="M227" s="601">
        <v>19.5</v>
      </c>
      <c r="N227" s="601">
        <v>16.850000000000001</v>
      </c>
      <c r="O227" s="601">
        <v>17.2</v>
      </c>
      <c r="P227" s="670">
        <f t="shared" si="27"/>
        <v>17</v>
      </c>
    </row>
    <row r="228" spans="2:16" x14ac:dyDescent="0.2">
      <c r="B228" s="671">
        <f t="shared" si="29"/>
        <v>42689</v>
      </c>
      <c r="C228" s="605">
        <v>10</v>
      </c>
      <c r="D228" s="605">
        <v>11</v>
      </c>
      <c r="E228" s="605">
        <v>18</v>
      </c>
      <c r="F228" s="605">
        <v>12</v>
      </c>
      <c r="G228" s="605">
        <v>10</v>
      </c>
      <c r="H228" s="669">
        <f t="shared" si="26"/>
        <v>11</v>
      </c>
      <c r="J228" s="662">
        <f t="shared" si="28"/>
        <v>42689</v>
      </c>
      <c r="K228" s="601">
        <v>19.55</v>
      </c>
      <c r="L228" s="601">
        <v>16.100000000000001</v>
      </c>
      <c r="M228" s="601">
        <v>20.149999999999999</v>
      </c>
      <c r="N228" s="601">
        <v>17.8</v>
      </c>
      <c r="O228" s="601">
        <v>18.149999999999999</v>
      </c>
      <c r="P228" s="670">
        <f t="shared" si="27"/>
        <v>18</v>
      </c>
    </row>
    <row r="229" spans="2:16" x14ac:dyDescent="0.2">
      <c r="B229" s="671">
        <f t="shared" si="29"/>
        <v>42690</v>
      </c>
      <c r="C229" s="605">
        <v>10</v>
      </c>
      <c r="D229" s="605">
        <v>6</v>
      </c>
      <c r="E229" s="605">
        <v>13</v>
      </c>
      <c r="F229" s="605">
        <v>10</v>
      </c>
      <c r="G229" s="605">
        <v>8</v>
      </c>
      <c r="H229" s="669">
        <f t="shared" si="26"/>
        <v>9</v>
      </c>
      <c r="J229" s="662">
        <f t="shared" si="28"/>
        <v>42690</v>
      </c>
      <c r="K229" s="601">
        <v>20.100000000000001</v>
      </c>
      <c r="L229" s="601">
        <v>16.75</v>
      </c>
      <c r="M229" s="601">
        <v>20.3</v>
      </c>
      <c r="N229" s="601">
        <v>18.100000000000001</v>
      </c>
      <c r="O229" s="601">
        <v>18.899999999999999</v>
      </c>
      <c r="P229" s="670">
        <f t="shared" si="27"/>
        <v>19</v>
      </c>
    </row>
    <row r="230" spans="2:16" x14ac:dyDescent="0.2">
      <c r="B230" s="671">
        <f t="shared" si="29"/>
        <v>42691</v>
      </c>
      <c r="C230" s="605">
        <v>3</v>
      </c>
      <c r="D230" s="605">
        <v>2</v>
      </c>
      <c r="E230" s="605">
        <v>4</v>
      </c>
      <c r="F230" s="605">
        <v>4</v>
      </c>
      <c r="G230" s="605">
        <v>0</v>
      </c>
      <c r="H230" s="669">
        <f t="shared" si="26"/>
        <v>2</v>
      </c>
      <c r="J230" s="662">
        <f t="shared" si="28"/>
        <v>42691</v>
      </c>
      <c r="K230" s="601">
        <v>21.05</v>
      </c>
      <c r="L230" s="601">
        <v>17.350000000000001</v>
      </c>
      <c r="M230" s="601">
        <v>22.05</v>
      </c>
      <c r="N230" s="601">
        <v>19.45</v>
      </c>
      <c r="O230" s="601">
        <v>18.850000000000001</v>
      </c>
      <c r="P230" s="670">
        <f t="shared" si="27"/>
        <v>20</v>
      </c>
    </row>
    <row r="231" spans="2:16" x14ac:dyDescent="0.2">
      <c r="B231" s="671">
        <f t="shared" si="29"/>
        <v>42692</v>
      </c>
      <c r="C231" s="605">
        <v>3</v>
      </c>
      <c r="D231" s="605">
        <v>0</v>
      </c>
      <c r="E231" s="605">
        <v>0</v>
      </c>
      <c r="F231" s="605">
        <v>0</v>
      </c>
      <c r="G231" s="605">
        <v>4</v>
      </c>
      <c r="H231" s="669">
        <f t="shared" si="26"/>
        <v>2</v>
      </c>
      <c r="J231" s="662">
        <f t="shared" si="28"/>
        <v>42692</v>
      </c>
      <c r="K231" s="601">
        <v>20.149999999999999</v>
      </c>
      <c r="L231" s="601">
        <v>17.149999999999999</v>
      </c>
      <c r="M231" s="601">
        <v>20.6</v>
      </c>
      <c r="N231" s="601">
        <v>18.2</v>
      </c>
      <c r="O231" s="601">
        <v>18.850000000000001</v>
      </c>
      <c r="P231" s="670">
        <f t="shared" si="27"/>
        <v>19</v>
      </c>
    </row>
    <row r="232" spans="2:16" x14ac:dyDescent="0.2">
      <c r="B232" s="671">
        <f t="shared" si="29"/>
        <v>42693</v>
      </c>
      <c r="C232" s="605">
        <v>24</v>
      </c>
      <c r="D232" s="605">
        <v>15</v>
      </c>
      <c r="E232" s="605">
        <v>15</v>
      </c>
      <c r="F232" s="605">
        <v>20</v>
      </c>
      <c r="G232" s="605">
        <v>23</v>
      </c>
      <c r="H232" s="669">
        <f t="shared" si="26"/>
        <v>20</v>
      </c>
      <c r="J232" s="662">
        <f t="shared" si="28"/>
        <v>42693</v>
      </c>
      <c r="K232" s="601">
        <v>19.100000000000001</v>
      </c>
      <c r="L232" s="601">
        <v>14.95</v>
      </c>
      <c r="M232" s="601">
        <v>18.649999999999999</v>
      </c>
      <c r="N232" s="601">
        <v>16.75</v>
      </c>
      <c r="O232" s="601">
        <v>17.350000000000001</v>
      </c>
      <c r="P232" s="670">
        <f t="shared" si="27"/>
        <v>17</v>
      </c>
    </row>
    <row r="233" spans="2:16" x14ac:dyDescent="0.2">
      <c r="B233" s="671">
        <f t="shared" si="29"/>
        <v>42694</v>
      </c>
      <c r="C233" s="605">
        <v>30</v>
      </c>
      <c r="D233" s="605">
        <v>25</v>
      </c>
      <c r="E233" s="605">
        <v>31</v>
      </c>
      <c r="F233" s="605">
        <v>28</v>
      </c>
      <c r="G233" s="605">
        <v>27</v>
      </c>
      <c r="H233" s="669">
        <f t="shared" si="26"/>
        <v>28</v>
      </c>
      <c r="J233" s="662">
        <f t="shared" si="28"/>
        <v>42694</v>
      </c>
      <c r="K233" s="601">
        <v>20.55</v>
      </c>
      <c r="L233" s="601">
        <v>16.05</v>
      </c>
      <c r="M233" s="601">
        <v>20.65</v>
      </c>
      <c r="N233" s="601">
        <v>18.100000000000001</v>
      </c>
      <c r="O233" s="601">
        <v>18.8</v>
      </c>
      <c r="P233" s="670">
        <f t="shared" si="27"/>
        <v>19</v>
      </c>
    </row>
    <row r="234" spans="2:16" x14ac:dyDescent="0.2">
      <c r="B234" s="671">
        <f t="shared" si="29"/>
        <v>42695</v>
      </c>
      <c r="C234" s="605">
        <v>30</v>
      </c>
      <c r="D234" s="605">
        <v>26</v>
      </c>
      <c r="E234" s="605">
        <v>32</v>
      </c>
      <c r="F234" s="605">
        <v>27</v>
      </c>
      <c r="G234" s="605">
        <v>27</v>
      </c>
      <c r="H234" s="669">
        <f t="shared" si="26"/>
        <v>28</v>
      </c>
      <c r="J234" s="662">
        <f t="shared" si="28"/>
        <v>42695</v>
      </c>
      <c r="K234" s="601">
        <v>20.7</v>
      </c>
      <c r="L234" s="601">
        <v>15.75</v>
      </c>
      <c r="M234" s="601">
        <v>19.600000000000001</v>
      </c>
      <c r="N234" s="601">
        <v>17.7</v>
      </c>
      <c r="O234" s="601">
        <v>19.25</v>
      </c>
      <c r="P234" s="670">
        <f t="shared" si="27"/>
        <v>19</v>
      </c>
    </row>
    <row r="235" spans="2:16" x14ac:dyDescent="0.2">
      <c r="B235" s="671">
        <f t="shared" si="29"/>
        <v>42696</v>
      </c>
      <c r="C235" s="605">
        <v>23</v>
      </c>
      <c r="D235" s="605">
        <v>20</v>
      </c>
      <c r="E235" s="605">
        <v>29</v>
      </c>
      <c r="F235" s="605">
        <v>23</v>
      </c>
      <c r="G235" s="605">
        <v>21</v>
      </c>
      <c r="H235" s="669">
        <f t="shared" si="26"/>
        <v>22</v>
      </c>
      <c r="J235" s="662">
        <f t="shared" si="28"/>
        <v>42696</v>
      </c>
      <c r="K235" s="601">
        <v>19.8</v>
      </c>
      <c r="L235" s="601">
        <v>16.55</v>
      </c>
      <c r="M235" s="601">
        <v>20</v>
      </c>
      <c r="N235" s="601">
        <v>17.5</v>
      </c>
      <c r="O235" s="601">
        <v>18.25</v>
      </c>
      <c r="P235" s="670">
        <f t="shared" si="27"/>
        <v>18</v>
      </c>
    </row>
    <row r="236" spans="2:16" x14ac:dyDescent="0.2">
      <c r="B236" s="671">
        <f t="shared" si="29"/>
        <v>42697</v>
      </c>
      <c r="C236" s="605">
        <v>16</v>
      </c>
      <c r="D236" s="605">
        <v>4</v>
      </c>
      <c r="E236" s="605">
        <v>14</v>
      </c>
      <c r="F236" s="605">
        <v>12</v>
      </c>
      <c r="G236" s="605">
        <v>14</v>
      </c>
      <c r="H236" s="669">
        <f t="shared" si="26"/>
        <v>12</v>
      </c>
      <c r="J236" s="662">
        <f t="shared" si="28"/>
        <v>42697</v>
      </c>
      <c r="K236" s="601">
        <v>19.75</v>
      </c>
      <c r="L236" s="601">
        <v>15.55</v>
      </c>
      <c r="M236" s="601">
        <v>20.100000000000001</v>
      </c>
      <c r="N236" s="601">
        <v>17.350000000000001</v>
      </c>
      <c r="O236" s="601">
        <v>17.850000000000001</v>
      </c>
      <c r="P236" s="670">
        <f t="shared" si="27"/>
        <v>18</v>
      </c>
    </row>
    <row r="237" spans="2:16" x14ac:dyDescent="0.2">
      <c r="B237" s="671">
        <f t="shared" si="29"/>
        <v>42698</v>
      </c>
      <c r="C237" s="605">
        <v>16</v>
      </c>
      <c r="D237" s="605">
        <v>10</v>
      </c>
      <c r="E237" s="605">
        <v>14</v>
      </c>
      <c r="F237" s="605">
        <v>14</v>
      </c>
      <c r="G237" s="605">
        <v>15</v>
      </c>
      <c r="H237" s="669">
        <f t="shared" si="26"/>
        <v>14</v>
      </c>
      <c r="J237" s="662">
        <f t="shared" si="28"/>
        <v>42698</v>
      </c>
      <c r="K237" s="601">
        <v>22.05</v>
      </c>
      <c r="L237" s="601">
        <v>17.5</v>
      </c>
      <c r="M237" s="601">
        <v>21.35</v>
      </c>
      <c r="N237" s="601">
        <v>19.95</v>
      </c>
      <c r="O237" s="601">
        <v>20.05</v>
      </c>
      <c r="P237" s="670">
        <f t="shared" si="27"/>
        <v>20</v>
      </c>
    </row>
    <row r="238" spans="2:16" x14ac:dyDescent="0.2">
      <c r="B238" s="671">
        <f t="shared" si="29"/>
        <v>42699</v>
      </c>
      <c r="C238" s="605">
        <v>21</v>
      </c>
      <c r="D238" s="605">
        <v>16</v>
      </c>
      <c r="E238" s="605">
        <v>22</v>
      </c>
      <c r="F238" s="605">
        <v>21</v>
      </c>
      <c r="G238" s="605">
        <v>16</v>
      </c>
      <c r="H238" s="669">
        <f t="shared" si="26"/>
        <v>18</v>
      </c>
      <c r="J238" s="662">
        <f t="shared" si="28"/>
        <v>42699</v>
      </c>
      <c r="K238" s="601">
        <v>23.2</v>
      </c>
      <c r="L238" s="601">
        <v>18.899999999999999</v>
      </c>
      <c r="M238" s="601">
        <v>22.5</v>
      </c>
      <c r="N238" s="601">
        <v>20.8</v>
      </c>
      <c r="O238" s="601">
        <v>21.2</v>
      </c>
      <c r="P238" s="670">
        <f t="shared" si="27"/>
        <v>21</v>
      </c>
    </row>
    <row r="239" spans="2:16" x14ac:dyDescent="0.2">
      <c r="B239" s="671">
        <f t="shared" si="29"/>
        <v>42700</v>
      </c>
      <c r="C239" s="605">
        <v>23</v>
      </c>
      <c r="D239" s="605">
        <v>24</v>
      </c>
      <c r="E239" s="605">
        <v>28</v>
      </c>
      <c r="F239" s="605">
        <v>23</v>
      </c>
      <c r="G239" s="605">
        <v>25</v>
      </c>
      <c r="H239" s="669">
        <f t="shared" si="26"/>
        <v>25</v>
      </c>
      <c r="J239" s="662">
        <f t="shared" si="28"/>
        <v>42700</v>
      </c>
      <c r="K239" s="601">
        <v>21.15</v>
      </c>
      <c r="L239" s="601">
        <v>17.600000000000001</v>
      </c>
      <c r="M239" s="601">
        <v>21.45</v>
      </c>
      <c r="N239" s="601">
        <v>19.5</v>
      </c>
      <c r="O239" s="601">
        <v>19.600000000000001</v>
      </c>
      <c r="P239" s="670">
        <f t="shared" si="27"/>
        <v>20</v>
      </c>
    </row>
    <row r="240" spans="2:16" x14ac:dyDescent="0.2">
      <c r="B240" s="671">
        <f t="shared" si="29"/>
        <v>42701</v>
      </c>
      <c r="C240" s="605">
        <v>25</v>
      </c>
      <c r="D240" s="605">
        <v>24</v>
      </c>
      <c r="E240" s="605">
        <v>26</v>
      </c>
      <c r="F240" s="605">
        <v>24</v>
      </c>
      <c r="G240" s="605">
        <v>27</v>
      </c>
      <c r="H240" s="669">
        <f t="shared" si="26"/>
        <v>26</v>
      </c>
      <c r="J240" s="662">
        <f t="shared" si="28"/>
        <v>42701</v>
      </c>
      <c r="K240" s="601">
        <v>21.85</v>
      </c>
      <c r="L240" s="601">
        <v>18.100000000000001</v>
      </c>
      <c r="M240" s="601">
        <v>21.9</v>
      </c>
      <c r="N240" s="601">
        <v>19.5</v>
      </c>
      <c r="O240" s="601">
        <v>20.6</v>
      </c>
      <c r="P240" s="670">
        <f t="shared" si="27"/>
        <v>20</v>
      </c>
    </row>
    <row r="241" spans="2:16" x14ac:dyDescent="0.2">
      <c r="B241" s="671">
        <f t="shared" si="29"/>
        <v>42702</v>
      </c>
      <c r="C241" s="605">
        <v>14</v>
      </c>
      <c r="D241" s="605">
        <v>7</v>
      </c>
      <c r="E241" s="605">
        <v>12</v>
      </c>
      <c r="F241" s="605">
        <v>14</v>
      </c>
      <c r="G241" s="605">
        <v>11</v>
      </c>
      <c r="H241" s="669">
        <f t="shared" si="26"/>
        <v>11</v>
      </c>
      <c r="J241" s="662">
        <f t="shared" si="28"/>
        <v>42702</v>
      </c>
      <c r="K241" s="601">
        <v>21.55</v>
      </c>
      <c r="L241" s="601">
        <v>17.100000000000001</v>
      </c>
      <c r="M241" s="601">
        <v>21.55</v>
      </c>
      <c r="N241" s="601">
        <v>19.649999999999999</v>
      </c>
      <c r="O241" s="601">
        <v>20.3</v>
      </c>
      <c r="P241" s="670">
        <f t="shared" si="27"/>
        <v>20</v>
      </c>
    </row>
    <row r="242" spans="2:16" x14ac:dyDescent="0.2">
      <c r="B242" s="671">
        <f t="shared" si="29"/>
        <v>42703</v>
      </c>
      <c r="C242" s="605">
        <v>9</v>
      </c>
      <c r="D242" s="605">
        <v>6</v>
      </c>
      <c r="E242" s="605">
        <v>9</v>
      </c>
      <c r="F242" s="605">
        <v>7</v>
      </c>
      <c r="G242" s="605">
        <v>7</v>
      </c>
      <c r="H242" s="669">
        <f t="shared" si="26"/>
        <v>8</v>
      </c>
      <c r="J242" s="662">
        <f t="shared" si="28"/>
        <v>42703</v>
      </c>
      <c r="K242" s="601">
        <v>18.7</v>
      </c>
      <c r="L242" s="601">
        <v>15.55</v>
      </c>
      <c r="M242" s="601">
        <v>19.850000000000001</v>
      </c>
      <c r="N242" s="601">
        <v>17.399999999999999</v>
      </c>
      <c r="O242" s="601">
        <v>18.2</v>
      </c>
      <c r="P242" s="670">
        <f t="shared" si="27"/>
        <v>18</v>
      </c>
    </row>
    <row r="243" spans="2:16" x14ac:dyDescent="0.2">
      <c r="B243" s="671">
        <f t="shared" si="29"/>
        <v>42704</v>
      </c>
      <c r="C243" s="605">
        <v>17</v>
      </c>
      <c r="D243" s="605">
        <v>11</v>
      </c>
      <c r="E243" s="605">
        <v>14</v>
      </c>
      <c r="F243" s="605">
        <v>13</v>
      </c>
      <c r="G243" s="605">
        <v>19</v>
      </c>
      <c r="H243" s="669">
        <f t="shared" si="26"/>
        <v>16</v>
      </c>
      <c r="J243" s="662">
        <f t="shared" si="28"/>
        <v>42704</v>
      </c>
      <c r="K243" s="601">
        <v>21.35</v>
      </c>
      <c r="L243" s="601">
        <v>17.05</v>
      </c>
      <c r="M243" s="601">
        <v>19.55</v>
      </c>
      <c r="N243" s="601">
        <v>17.399999999999999</v>
      </c>
      <c r="O243" s="601">
        <v>21.4</v>
      </c>
      <c r="P243" s="670">
        <f t="shared" si="27"/>
        <v>20</v>
      </c>
    </row>
    <row r="244" spans="2:16" x14ac:dyDescent="0.2">
      <c r="B244" s="671">
        <f t="shared" si="29"/>
        <v>42705</v>
      </c>
      <c r="C244" s="605">
        <v>26</v>
      </c>
      <c r="D244" s="605">
        <v>21</v>
      </c>
      <c r="E244" s="605">
        <v>24</v>
      </c>
      <c r="F244" s="605">
        <v>22</v>
      </c>
      <c r="G244" s="605">
        <v>26</v>
      </c>
      <c r="H244" s="669">
        <f t="shared" si="26"/>
        <v>24</v>
      </c>
      <c r="J244" s="662">
        <f t="shared" si="28"/>
        <v>42705</v>
      </c>
      <c r="K244" s="601">
        <v>25.75</v>
      </c>
      <c r="L244" s="601">
        <v>21.4</v>
      </c>
      <c r="M244" s="601">
        <v>25.2</v>
      </c>
      <c r="N244" s="601">
        <v>22.85</v>
      </c>
      <c r="O244" s="601">
        <v>25.05</v>
      </c>
      <c r="P244" s="670">
        <f t="shared" si="27"/>
        <v>24</v>
      </c>
    </row>
    <row r="245" spans="2:16" x14ac:dyDescent="0.2">
      <c r="B245" s="671">
        <f t="shared" si="29"/>
        <v>42706</v>
      </c>
      <c r="C245" s="605">
        <v>28</v>
      </c>
      <c r="D245" s="605">
        <v>20</v>
      </c>
      <c r="E245" s="605">
        <v>28</v>
      </c>
      <c r="F245" s="605">
        <v>24</v>
      </c>
      <c r="G245" s="605">
        <v>25</v>
      </c>
      <c r="H245" s="669">
        <f t="shared" si="26"/>
        <v>25</v>
      </c>
      <c r="J245" s="662">
        <f t="shared" si="28"/>
        <v>42706</v>
      </c>
      <c r="K245" s="601">
        <v>24.7</v>
      </c>
      <c r="L245" s="601">
        <v>20.9</v>
      </c>
      <c r="M245" s="601">
        <v>25.4</v>
      </c>
      <c r="N245" s="601">
        <v>22.9</v>
      </c>
      <c r="O245" s="601">
        <v>23.4</v>
      </c>
      <c r="P245" s="670">
        <f t="shared" si="27"/>
        <v>23</v>
      </c>
    </row>
    <row r="246" spans="2:16" x14ac:dyDescent="0.2">
      <c r="B246" s="671">
        <f t="shared" si="29"/>
        <v>42707</v>
      </c>
      <c r="C246" s="605">
        <v>27</v>
      </c>
      <c r="D246" s="605">
        <v>24</v>
      </c>
      <c r="E246" s="605">
        <v>24</v>
      </c>
      <c r="F246" s="605">
        <v>22</v>
      </c>
      <c r="G246" s="605">
        <v>26</v>
      </c>
      <c r="H246" s="669">
        <f t="shared" si="26"/>
        <v>25</v>
      </c>
      <c r="J246" s="662">
        <f t="shared" si="28"/>
        <v>42707</v>
      </c>
      <c r="K246" s="601">
        <v>23.05</v>
      </c>
      <c r="L246" s="601">
        <v>19.45</v>
      </c>
      <c r="M246" s="601">
        <v>23.4</v>
      </c>
      <c r="N246" s="601">
        <v>21.35</v>
      </c>
      <c r="O246" s="601">
        <v>21.9</v>
      </c>
      <c r="P246" s="670">
        <f t="shared" si="27"/>
        <v>22</v>
      </c>
    </row>
    <row r="247" spans="2:16" x14ac:dyDescent="0.2">
      <c r="B247" s="671">
        <f t="shared" si="29"/>
        <v>42708</v>
      </c>
      <c r="C247" s="605">
        <v>23</v>
      </c>
      <c r="D247" s="605">
        <v>21</v>
      </c>
      <c r="E247" s="605">
        <v>22</v>
      </c>
      <c r="F247" s="605">
        <v>20</v>
      </c>
      <c r="G247" s="605">
        <v>22</v>
      </c>
      <c r="H247" s="669">
        <f t="shared" si="26"/>
        <v>22</v>
      </c>
      <c r="J247" s="662">
        <f t="shared" si="28"/>
        <v>42708</v>
      </c>
      <c r="K247" s="601">
        <v>23.5</v>
      </c>
      <c r="L247" s="601">
        <v>17.899999999999999</v>
      </c>
      <c r="M247" s="601">
        <v>24.15</v>
      </c>
      <c r="N247" s="601">
        <v>22.3</v>
      </c>
      <c r="O247" s="601">
        <v>21.4</v>
      </c>
      <c r="P247" s="670">
        <f t="shared" si="27"/>
        <v>22</v>
      </c>
    </row>
    <row r="248" spans="2:16" x14ac:dyDescent="0.2">
      <c r="B248" s="671">
        <f t="shared" si="29"/>
        <v>42709</v>
      </c>
      <c r="C248" s="605">
        <v>24</v>
      </c>
      <c r="D248" s="605">
        <v>20</v>
      </c>
      <c r="E248" s="605">
        <v>23</v>
      </c>
      <c r="F248" s="605">
        <v>22</v>
      </c>
      <c r="G248" s="605">
        <v>25</v>
      </c>
      <c r="H248" s="669">
        <f t="shared" si="26"/>
        <v>23</v>
      </c>
      <c r="J248" s="662">
        <f t="shared" si="28"/>
        <v>42709</v>
      </c>
      <c r="K248" s="601">
        <v>26.7</v>
      </c>
      <c r="L248" s="601">
        <v>21.5</v>
      </c>
      <c r="M248" s="601">
        <v>26.3</v>
      </c>
      <c r="N248" s="601">
        <v>24.05</v>
      </c>
      <c r="O248" s="601">
        <v>25.3</v>
      </c>
      <c r="P248" s="670">
        <f t="shared" si="27"/>
        <v>25</v>
      </c>
    </row>
    <row r="249" spans="2:16" x14ac:dyDescent="0.2">
      <c r="B249" s="671">
        <f t="shared" si="29"/>
        <v>42710</v>
      </c>
      <c r="C249" s="605">
        <v>24</v>
      </c>
      <c r="D249" s="605">
        <v>16</v>
      </c>
      <c r="E249" s="605">
        <v>21</v>
      </c>
      <c r="F249" s="605">
        <v>22</v>
      </c>
      <c r="G249" s="605">
        <v>23</v>
      </c>
      <c r="H249" s="669">
        <f t="shared" si="26"/>
        <v>21</v>
      </c>
      <c r="J249" s="662">
        <f t="shared" si="28"/>
        <v>42710</v>
      </c>
      <c r="K249" s="601">
        <v>28.2</v>
      </c>
      <c r="L249" s="601">
        <v>24</v>
      </c>
      <c r="M249" s="601">
        <v>29.2</v>
      </c>
      <c r="N249" s="601">
        <v>27.05</v>
      </c>
      <c r="O249" s="601">
        <v>26.55</v>
      </c>
      <c r="P249" s="670">
        <f t="shared" si="27"/>
        <v>27</v>
      </c>
    </row>
    <row r="250" spans="2:16" x14ac:dyDescent="0.2">
      <c r="B250" s="671">
        <f t="shared" si="29"/>
        <v>42711</v>
      </c>
      <c r="C250" s="605">
        <v>27</v>
      </c>
      <c r="D250" s="605">
        <v>22</v>
      </c>
      <c r="E250" s="605">
        <v>28</v>
      </c>
      <c r="F250" s="605">
        <v>27</v>
      </c>
      <c r="G250" s="605">
        <v>26</v>
      </c>
      <c r="H250" s="669">
        <f t="shared" si="26"/>
        <v>26</v>
      </c>
      <c r="J250" s="662">
        <f t="shared" si="28"/>
        <v>42711</v>
      </c>
      <c r="K250" s="601">
        <v>29.15</v>
      </c>
      <c r="L250" s="601">
        <v>23.9</v>
      </c>
      <c r="M250" s="601">
        <v>28.8</v>
      </c>
      <c r="N250" s="601">
        <v>27.2</v>
      </c>
      <c r="O250" s="601">
        <v>27.25</v>
      </c>
      <c r="P250" s="670">
        <f t="shared" si="27"/>
        <v>27</v>
      </c>
    </row>
    <row r="251" spans="2:16" x14ac:dyDescent="0.2">
      <c r="B251" s="671">
        <f t="shared" si="29"/>
        <v>42712</v>
      </c>
      <c r="C251" s="605">
        <v>35</v>
      </c>
      <c r="D251" s="605">
        <v>31</v>
      </c>
      <c r="E251" s="605">
        <v>36</v>
      </c>
      <c r="F251" s="605">
        <v>34</v>
      </c>
      <c r="G251" s="605">
        <v>34</v>
      </c>
      <c r="H251" s="669">
        <f t="shared" si="26"/>
        <v>34</v>
      </c>
      <c r="J251" s="662">
        <f t="shared" si="28"/>
        <v>42712</v>
      </c>
      <c r="K251" s="601">
        <v>28.4</v>
      </c>
      <c r="L251" s="601">
        <v>22.55</v>
      </c>
      <c r="M251" s="601">
        <v>28.75</v>
      </c>
      <c r="N251" s="601">
        <v>27</v>
      </c>
      <c r="O251" s="601">
        <v>27.2</v>
      </c>
      <c r="P251" s="670">
        <f t="shared" si="27"/>
        <v>27</v>
      </c>
    </row>
    <row r="252" spans="2:16" x14ac:dyDescent="0.2">
      <c r="B252" s="671">
        <f t="shared" si="29"/>
        <v>42713</v>
      </c>
      <c r="C252" s="605">
        <v>39</v>
      </c>
      <c r="D252" s="605">
        <v>34</v>
      </c>
      <c r="E252" s="605">
        <v>42</v>
      </c>
      <c r="F252" s="605">
        <v>39</v>
      </c>
      <c r="G252" s="605">
        <v>39</v>
      </c>
      <c r="H252" s="669">
        <f t="shared" si="26"/>
        <v>38</v>
      </c>
      <c r="J252" s="662">
        <f t="shared" si="28"/>
        <v>42713</v>
      </c>
      <c r="K252" s="601">
        <v>26.8</v>
      </c>
      <c r="L252" s="601">
        <v>20.6</v>
      </c>
      <c r="M252" s="601">
        <v>26.15</v>
      </c>
      <c r="N252" s="601">
        <v>24.55</v>
      </c>
      <c r="O252" s="601">
        <v>25.8</v>
      </c>
      <c r="P252" s="670">
        <f t="shared" si="27"/>
        <v>25</v>
      </c>
    </row>
    <row r="253" spans="2:16" x14ac:dyDescent="0.2">
      <c r="B253" s="671">
        <f t="shared" si="29"/>
        <v>42714</v>
      </c>
      <c r="C253" s="605">
        <v>38</v>
      </c>
      <c r="D253" s="605">
        <v>35</v>
      </c>
      <c r="E253" s="605">
        <v>40</v>
      </c>
      <c r="F253" s="605">
        <v>37</v>
      </c>
      <c r="G253" s="605">
        <v>37</v>
      </c>
      <c r="H253" s="669">
        <f t="shared" si="26"/>
        <v>37</v>
      </c>
      <c r="J253" s="662">
        <f t="shared" si="28"/>
        <v>42714</v>
      </c>
      <c r="K253" s="601">
        <v>28.6</v>
      </c>
      <c r="L253" s="601">
        <v>23.4</v>
      </c>
      <c r="M253" s="601">
        <v>26.65</v>
      </c>
      <c r="N253" s="601">
        <v>25.7</v>
      </c>
      <c r="O253" s="601">
        <v>27.5</v>
      </c>
      <c r="P253" s="670">
        <f t="shared" si="27"/>
        <v>27</v>
      </c>
    </row>
    <row r="254" spans="2:16" x14ac:dyDescent="0.2">
      <c r="B254" s="671">
        <f t="shared" si="29"/>
        <v>42715</v>
      </c>
      <c r="C254" s="605">
        <v>25</v>
      </c>
      <c r="D254" s="605">
        <v>24</v>
      </c>
      <c r="E254" s="605">
        <v>25</v>
      </c>
      <c r="F254" s="605">
        <v>25</v>
      </c>
      <c r="G254" s="605">
        <v>23</v>
      </c>
      <c r="H254" s="669">
        <f t="shared" si="26"/>
        <v>24</v>
      </c>
      <c r="J254" s="662">
        <f t="shared" si="28"/>
        <v>42715</v>
      </c>
      <c r="K254" s="601">
        <v>27.5</v>
      </c>
      <c r="L254" s="601">
        <v>23.05</v>
      </c>
      <c r="M254" s="601">
        <v>27.15</v>
      </c>
      <c r="N254" s="601">
        <v>25.15</v>
      </c>
      <c r="O254" s="601">
        <v>25.8</v>
      </c>
      <c r="P254" s="670">
        <f t="shared" si="27"/>
        <v>26</v>
      </c>
    </row>
    <row r="255" spans="2:16" x14ac:dyDescent="0.2">
      <c r="B255" s="671">
        <f t="shared" si="29"/>
        <v>42716</v>
      </c>
      <c r="C255" s="605">
        <v>28</v>
      </c>
      <c r="D255" s="605">
        <v>20</v>
      </c>
      <c r="E255" s="605">
        <v>27</v>
      </c>
      <c r="F255" s="605">
        <v>26</v>
      </c>
      <c r="G255" s="605">
        <v>24</v>
      </c>
      <c r="H255" s="669">
        <f t="shared" si="26"/>
        <v>25</v>
      </c>
      <c r="J255" s="662">
        <f t="shared" si="28"/>
        <v>42716</v>
      </c>
      <c r="K255" s="601">
        <v>28.7</v>
      </c>
      <c r="L255" s="601">
        <v>23.65</v>
      </c>
      <c r="M255" s="601">
        <v>27.65</v>
      </c>
      <c r="N255" s="601">
        <v>26.25</v>
      </c>
      <c r="O255" s="601">
        <v>26.25</v>
      </c>
      <c r="P255" s="670">
        <f t="shared" si="27"/>
        <v>26</v>
      </c>
    </row>
    <row r="256" spans="2:16" x14ac:dyDescent="0.2">
      <c r="B256" s="671">
        <f t="shared" si="29"/>
        <v>42717</v>
      </c>
      <c r="C256" s="605">
        <v>31</v>
      </c>
      <c r="D256" s="605">
        <v>23</v>
      </c>
      <c r="E256" s="605">
        <v>27</v>
      </c>
      <c r="F256" s="605">
        <v>27</v>
      </c>
      <c r="G256" s="605">
        <v>25</v>
      </c>
      <c r="H256" s="669">
        <f t="shared" si="26"/>
        <v>26</v>
      </c>
      <c r="J256" s="662">
        <f t="shared" si="28"/>
        <v>42717</v>
      </c>
      <c r="K256" s="601">
        <v>27.25</v>
      </c>
      <c r="L256" s="601">
        <v>23</v>
      </c>
      <c r="M256" s="601">
        <v>27.2</v>
      </c>
      <c r="N256" s="601">
        <v>25.25</v>
      </c>
      <c r="O256" s="601">
        <v>25.65</v>
      </c>
      <c r="P256" s="670">
        <f t="shared" si="27"/>
        <v>26</v>
      </c>
    </row>
    <row r="257" spans="2:16" x14ac:dyDescent="0.2">
      <c r="B257" s="671">
        <f t="shared" si="29"/>
        <v>42718</v>
      </c>
      <c r="C257" s="605">
        <v>40</v>
      </c>
      <c r="D257" s="605">
        <v>30</v>
      </c>
      <c r="E257" s="605">
        <v>36</v>
      </c>
      <c r="F257" s="605">
        <v>38</v>
      </c>
      <c r="G257" s="605">
        <v>36</v>
      </c>
      <c r="H257" s="669">
        <f t="shared" si="26"/>
        <v>36</v>
      </c>
      <c r="J257" s="662">
        <f t="shared" si="28"/>
        <v>42718</v>
      </c>
      <c r="K257" s="601">
        <v>26.6</v>
      </c>
      <c r="L257" s="601">
        <v>22.1</v>
      </c>
      <c r="M257" s="601">
        <v>25.8</v>
      </c>
      <c r="N257" s="601">
        <v>24.1</v>
      </c>
      <c r="O257" s="601">
        <v>24.8</v>
      </c>
      <c r="P257" s="670">
        <f t="shared" si="27"/>
        <v>25</v>
      </c>
    </row>
    <row r="258" spans="2:16" x14ac:dyDescent="0.2">
      <c r="B258" s="671">
        <f t="shared" si="29"/>
        <v>42719</v>
      </c>
      <c r="C258" s="605">
        <v>47</v>
      </c>
      <c r="D258" s="605">
        <v>39</v>
      </c>
      <c r="E258" s="605">
        <v>48</v>
      </c>
      <c r="F258" s="605">
        <v>46</v>
      </c>
      <c r="G258" s="605">
        <v>42</v>
      </c>
      <c r="H258" s="669">
        <f t="shared" si="26"/>
        <v>44</v>
      </c>
      <c r="J258" s="662">
        <f t="shared" si="28"/>
        <v>42719</v>
      </c>
      <c r="K258" s="601">
        <v>27.05</v>
      </c>
      <c r="L258" s="601">
        <v>22.9</v>
      </c>
      <c r="M258" s="601">
        <v>27.45</v>
      </c>
      <c r="N258" s="601">
        <v>25.6</v>
      </c>
      <c r="O258" s="601">
        <v>25.05</v>
      </c>
      <c r="P258" s="670">
        <f t="shared" si="27"/>
        <v>25</v>
      </c>
    </row>
    <row r="259" spans="2:16" x14ac:dyDescent="0.2">
      <c r="B259" s="671">
        <f t="shared" si="29"/>
        <v>42720</v>
      </c>
      <c r="C259" s="605">
        <v>33</v>
      </c>
      <c r="D259" s="605">
        <v>27</v>
      </c>
      <c r="E259" s="605">
        <v>37</v>
      </c>
      <c r="F259" s="605">
        <v>35</v>
      </c>
      <c r="G259" s="605">
        <v>28</v>
      </c>
      <c r="H259" s="669">
        <f t="shared" si="26"/>
        <v>31</v>
      </c>
      <c r="J259" s="662">
        <f t="shared" si="28"/>
        <v>42720</v>
      </c>
      <c r="K259" s="601">
        <v>27.3</v>
      </c>
      <c r="L259" s="601">
        <v>21.05</v>
      </c>
      <c r="M259" s="601">
        <v>25.95</v>
      </c>
      <c r="N259" s="601">
        <v>24.75</v>
      </c>
      <c r="O259" s="601">
        <v>25.35</v>
      </c>
      <c r="P259" s="670">
        <f t="shared" si="27"/>
        <v>25</v>
      </c>
    </row>
    <row r="260" spans="2:16" x14ac:dyDescent="0.2">
      <c r="B260" s="671">
        <f t="shared" si="29"/>
        <v>42721</v>
      </c>
      <c r="C260" s="605">
        <v>17</v>
      </c>
      <c r="D260" s="605">
        <v>7</v>
      </c>
      <c r="E260" s="605">
        <v>13</v>
      </c>
      <c r="F260" s="605">
        <v>12</v>
      </c>
      <c r="G260" s="605">
        <v>15</v>
      </c>
      <c r="H260" s="669">
        <f t="shared" si="26"/>
        <v>13</v>
      </c>
      <c r="J260" s="662">
        <f t="shared" si="28"/>
        <v>42721</v>
      </c>
      <c r="K260" s="601">
        <v>27.65</v>
      </c>
      <c r="L260" s="601">
        <v>21.9</v>
      </c>
      <c r="M260" s="601">
        <v>26.95</v>
      </c>
      <c r="N260" s="601">
        <v>24.65</v>
      </c>
      <c r="O260" s="601">
        <v>26.05</v>
      </c>
      <c r="P260" s="670">
        <f t="shared" si="27"/>
        <v>26</v>
      </c>
    </row>
    <row r="261" spans="2:16" x14ac:dyDescent="0.2">
      <c r="B261" s="671">
        <f t="shared" si="29"/>
        <v>42722</v>
      </c>
      <c r="C261" s="605">
        <v>46</v>
      </c>
      <c r="D261" s="605">
        <v>33</v>
      </c>
      <c r="E261" s="605">
        <v>29</v>
      </c>
      <c r="F261" s="605">
        <v>35</v>
      </c>
      <c r="G261" s="605">
        <v>45</v>
      </c>
      <c r="H261" s="669">
        <f t="shared" si="26"/>
        <v>40</v>
      </c>
      <c r="J261" s="662">
        <f t="shared" si="28"/>
        <v>42722</v>
      </c>
      <c r="K261" s="601">
        <v>28.6</v>
      </c>
      <c r="L261" s="601">
        <v>23.75</v>
      </c>
      <c r="M261" s="601">
        <v>28.75</v>
      </c>
      <c r="N261" s="601">
        <v>27</v>
      </c>
      <c r="O261" s="601">
        <v>26.65</v>
      </c>
      <c r="P261" s="670">
        <f t="shared" si="27"/>
        <v>27</v>
      </c>
    </row>
    <row r="262" spans="2:16" x14ac:dyDescent="0.2">
      <c r="B262" s="671">
        <f t="shared" si="29"/>
        <v>42723</v>
      </c>
      <c r="C262" s="605">
        <v>47</v>
      </c>
      <c r="D262" s="605">
        <v>39</v>
      </c>
      <c r="E262" s="605">
        <v>41</v>
      </c>
      <c r="F262" s="605">
        <v>45</v>
      </c>
      <c r="G262" s="605">
        <v>45</v>
      </c>
      <c r="H262" s="669">
        <f t="shared" si="26"/>
        <v>44</v>
      </c>
      <c r="J262" s="662">
        <f t="shared" si="28"/>
        <v>42723</v>
      </c>
      <c r="K262" s="601">
        <v>29</v>
      </c>
      <c r="L262" s="601">
        <v>23.25</v>
      </c>
      <c r="M262" s="601">
        <v>28.3</v>
      </c>
      <c r="N262" s="601">
        <v>26.7</v>
      </c>
      <c r="O262" s="601">
        <v>26.95</v>
      </c>
      <c r="P262" s="670">
        <f t="shared" si="27"/>
        <v>27</v>
      </c>
    </row>
    <row r="263" spans="2:16" x14ac:dyDescent="0.2">
      <c r="B263" s="671">
        <f t="shared" si="29"/>
        <v>42724</v>
      </c>
      <c r="C263" s="605">
        <v>39</v>
      </c>
      <c r="D263" s="605">
        <v>35</v>
      </c>
      <c r="E263" s="605">
        <v>39</v>
      </c>
      <c r="F263" s="605">
        <v>36</v>
      </c>
      <c r="G263" s="605">
        <v>40</v>
      </c>
      <c r="H263" s="669">
        <f t="shared" si="26"/>
        <v>38</v>
      </c>
      <c r="J263" s="662">
        <f t="shared" si="28"/>
        <v>42724</v>
      </c>
      <c r="K263" s="601">
        <v>28.8</v>
      </c>
      <c r="L263" s="601">
        <v>24</v>
      </c>
      <c r="M263" s="601">
        <v>30.2</v>
      </c>
      <c r="N263" s="601">
        <v>27.35</v>
      </c>
      <c r="O263" s="601">
        <v>26.85</v>
      </c>
      <c r="P263" s="670">
        <f t="shared" si="27"/>
        <v>27</v>
      </c>
    </row>
    <row r="264" spans="2:16" x14ac:dyDescent="0.2">
      <c r="B264" s="671">
        <f t="shared" si="29"/>
        <v>42725</v>
      </c>
      <c r="C264" s="605">
        <v>31</v>
      </c>
      <c r="D264" s="605">
        <v>24</v>
      </c>
      <c r="E264" s="605">
        <v>29</v>
      </c>
      <c r="F264" s="605">
        <v>31</v>
      </c>
      <c r="G264" s="605">
        <v>30</v>
      </c>
      <c r="H264" s="669">
        <f t="shared" si="26"/>
        <v>29</v>
      </c>
      <c r="J264" s="662">
        <f t="shared" si="28"/>
        <v>42725</v>
      </c>
      <c r="K264" s="601">
        <v>26.95</v>
      </c>
      <c r="L264" s="601">
        <v>21.7</v>
      </c>
      <c r="M264" s="601">
        <v>26.95</v>
      </c>
      <c r="N264" s="601">
        <v>24.7</v>
      </c>
      <c r="O264" s="601">
        <v>24.9</v>
      </c>
      <c r="P264" s="670">
        <f t="shared" si="27"/>
        <v>25</v>
      </c>
    </row>
    <row r="265" spans="2:16" x14ac:dyDescent="0.2">
      <c r="B265" s="671">
        <f t="shared" si="29"/>
        <v>42726</v>
      </c>
      <c r="C265" s="605">
        <v>28</v>
      </c>
      <c r="D265" s="605">
        <v>20</v>
      </c>
      <c r="E265" s="605">
        <v>30</v>
      </c>
      <c r="F265" s="605">
        <v>27</v>
      </c>
      <c r="G265" s="605">
        <v>26</v>
      </c>
      <c r="H265" s="669">
        <f t="shared" si="26"/>
        <v>26</v>
      </c>
      <c r="J265" s="662">
        <f t="shared" si="28"/>
        <v>42726</v>
      </c>
      <c r="K265" s="601">
        <v>28.6</v>
      </c>
      <c r="L265" s="601">
        <v>22.7</v>
      </c>
      <c r="M265" s="601">
        <v>28.05</v>
      </c>
      <c r="N265" s="601">
        <v>26.05</v>
      </c>
      <c r="O265" s="601">
        <v>26.55</v>
      </c>
      <c r="P265" s="670">
        <f t="shared" si="27"/>
        <v>26</v>
      </c>
    </row>
    <row r="266" spans="2:16" x14ac:dyDescent="0.2">
      <c r="B266" s="671">
        <f t="shared" si="29"/>
        <v>42727</v>
      </c>
      <c r="C266" s="605">
        <v>28</v>
      </c>
      <c r="D266" s="605">
        <v>17</v>
      </c>
      <c r="E266" s="605">
        <v>28</v>
      </c>
      <c r="F266" s="605">
        <v>27</v>
      </c>
      <c r="G266" s="605">
        <v>22</v>
      </c>
      <c r="H266" s="669">
        <f t="shared" si="26"/>
        <v>23</v>
      </c>
      <c r="J266" s="662">
        <f t="shared" si="28"/>
        <v>42727</v>
      </c>
      <c r="K266" s="601">
        <v>28.7</v>
      </c>
      <c r="L266" s="601">
        <v>24.05</v>
      </c>
      <c r="M266" s="601">
        <v>28.15</v>
      </c>
      <c r="N266" s="601">
        <v>26.45</v>
      </c>
      <c r="O266" s="601">
        <v>26.75</v>
      </c>
      <c r="P266" s="670">
        <f t="shared" si="27"/>
        <v>27</v>
      </c>
    </row>
    <row r="267" spans="2:16" x14ac:dyDescent="0.2">
      <c r="B267" s="671">
        <f t="shared" si="29"/>
        <v>42728</v>
      </c>
      <c r="C267" s="605">
        <v>22</v>
      </c>
      <c r="D267" s="605">
        <v>7</v>
      </c>
      <c r="E267" s="605">
        <v>18</v>
      </c>
      <c r="F267" s="605">
        <v>19</v>
      </c>
      <c r="G267" s="605">
        <v>16</v>
      </c>
      <c r="H267" s="669">
        <f t="shared" si="26"/>
        <v>16</v>
      </c>
      <c r="J267" s="662">
        <f t="shared" si="28"/>
        <v>42728</v>
      </c>
      <c r="K267" s="601">
        <v>31.2</v>
      </c>
      <c r="L267" s="601">
        <v>24</v>
      </c>
      <c r="M267" s="601">
        <v>29.55</v>
      </c>
      <c r="N267" s="601">
        <v>28.55</v>
      </c>
      <c r="O267" s="601">
        <v>29.4</v>
      </c>
      <c r="P267" s="670">
        <f t="shared" si="27"/>
        <v>29</v>
      </c>
    </row>
    <row r="268" spans="2:16" x14ac:dyDescent="0.2">
      <c r="B268" s="671">
        <f t="shared" si="29"/>
        <v>42729</v>
      </c>
      <c r="C268" s="605">
        <v>14</v>
      </c>
      <c r="D268" s="605">
        <v>0</v>
      </c>
      <c r="E268" s="605">
        <v>15</v>
      </c>
      <c r="F268" s="605">
        <v>15</v>
      </c>
      <c r="G268" s="605">
        <v>6</v>
      </c>
      <c r="H268" s="669">
        <f t="shared" ref="H268:H331" si="30">IFERROR(ROUND((C268*C$70)+(D268*D$70)+(E268*E$70)+(F268*F$70)+(G268*G$70),0),0)</f>
        <v>8</v>
      </c>
      <c r="J268" s="662">
        <f t="shared" si="28"/>
        <v>42729</v>
      </c>
      <c r="K268" s="601">
        <v>32.049999999999997</v>
      </c>
      <c r="L268" s="601">
        <v>26.9</v>
      </c>
      <c r="M268" s="601">
        <v>32.1</v>
      </c>
      <c r="N268" s="601">
        <v>30.85</v>
      </c>
      <c r="O268" s="601">
        <v>30.55</v>
      </c>
      <c r="P268" s="670">
        <f t="shared" ref="P268:P331" si="31">IFERROR(ROUND((K268*C$70)+(L268*D$70)+(M268*E$70)+(N268*F$70)+(O268*G$70),0),0)</f>
        <v>30</v>
      </c>
    </row>
    <row r="269" spans="2:16" x14ac:dyDescent="0.2">
      <c r="B269" s="671">
        <f t="shared" si="29"/>
        <v>42730</v>
      </c>
      <c r="C269" s="605">
        <v>7</v>
      </c>
      <c r="D269" s="605">
        <v>0</v>
      </c>
      <c r="E269" s="605">
        <v>0</v>
      </c>
      <c r="F269" s="605">
        <v>0</v>
      </c>
      <c r="G269" s="605">
        <v>2</v>
      </c>
      <c r="H269" s="669">
        <f t="shared" si="30"/>
        <v>2</v>
      </c>
      <c r="J269" s="662">
        <f t="shared" ref="J269:J332" si="32">B269</f>
        <v>42730</v>
      </c>
      <c r="K269" s="601">
        <v>29.7</v>
      </c>
      <c r="L269" s="601">
        <v>25.7</v>
      </c>
      <c r="M269" s="601">
        <v>29.55</v>
      </c>
      <c r="N269" s="601">
        <v>28.15</v>
      </c>
      <c r="O269" s="601">
        <v>28.1</v>
      </c>
      <c r="P269" s="670">
        <f t="shared" si="31"/>
        <v>28</v>
      </c>
    </row>
    <row r="270" spans="2:16" x14ac:dyDescent="0.2">
      <c r="B270" s="671">
        <f t="shared" ref="B270:B333" si="33">B269+1</f>
        <v>42731</v>
      </c>
      <c r="C270" s="605">
        <v>26</v>
      </c>
      <c r="D270" s="605">
        <v>13</v>
      </c>
      <c r="E270" s="605">
        <v>18</v>
      </c>
      <c r="F270" s="605">
        <v>19</v>
      </c>
      <c r="G270" s="605">
        <v>23</v>
      </c>
      <c r="H270" s="669">
        <f t="shared" si="30"/>
        <v>21</v>
      </c>
      <c r="J270" s="662">
        <f t="shared" si="32"/>
        <v>42731</v>
      </c>
      <c r="K270" s="601">
        <v>29.15</v>
      </c>
      <c r="L270" s="601">
        <v>24.1</v>
      </c>
      <c r="M270" s="601">
        <v>28.75</v>
      </c>
      <c r="N270" s="601">
        <v>27.15</v>
      </c>
      <c r="O270" s="601">
        <v>27.95</v>
      </c>
      <c r="P270" s="670">
        <f t="shared" si="31"/>
        <v>27</v>
      </c>
    </row>
    <row r="271" spans="2:16" x14ac:dyDescent="0.2">
      <c r="B271" s="671">
        <f t="shared" si="33"/>
        <v>42732</v>
      </c>
      <c r="C271" s="605">
        <v>27</v>
      </c>
      <c r="D271" s="605">
        <v>18</v>
      </c>
      <c r="E271" s="605">
        <v>27</v>
      </c>
      <c r="F271" s="605">
        <v>24</v>
      </c>
      <c r="G271" s="605">
        <v>25</v>
      </c>
      <c r="H271" s="669">
        <f t="shared" si="30"/>
        <v>24</v>
      </c>
      <c r="J271" s="662">
        <f t="shared" si="32"/>
        <v>42732</v>
      </c>
      <c r="K271" s="601">
        <v>28</v>
      </c>
      <c r="L271" s="601">
        <v>23.9</v>
      </c>
      <c r="M271" s="601">
        <v>27.95</v>
      </c>
      <c r="N271" s="601">
        <v>25.9</v>
      </c>
      <c r="O271" s="601">
        <v>27</v>
      </c>
      <c r="P271" s="670">
        <f t="shared" si="31"/>
        <v>27</v>
      </c>
    </row>
    <row r="272" spans="2:16" x14ac:dyDescent="0.2">
      <c r="B272" s="671">
        <f t="shared" si="33"/>
        <v>42733</v>
      </c>
      <c r="C272" s="605">
        <v>23</v>
      </c>
      <c r="D272" s="605">
        <v>17</v>
      </c>
      <c r="E272" s="605">
        <v>24</v>
      </c>
      <c r="F272" s="605">
        <v>22</v>
      </c>
      <c r="G272" s="605">
        <v>22</v>
      </c>
      <c r="H272" s="669">
        <f t="shared" si="30"/>
        <v>21</v>
      </c>
      <c r="J272" s="662">
        <f t="shared" si="32"/>
        <v>42733</v>
      </c>
      <c r="K272" s="601">
        <v>28.5</v>
      </c>
      <c r="L272" s="601">
        <v>23.85</v>
      </c>
      <c r="M272" s="601">
        <v>28.05</v>
      </c>
      <c r="N272" s="601">
        <v>26.75</v>
      </c>
      <c r="O272" s="601">
        <v>27.3</v>
      </c>
      <c r="P272" s="670">
        <f t="shared" si="31"/>
        <v>27</v>
      </c>
    </row>
    <row r="273" spans="2:16" x14ac:dyDescent="0.2">
      <c r="B273" s="671">
        <f t="shared" si="33"/>
        <v>42734</v>
      </c>
      <c r="C273" s="605">
        <v>27</v>
      </c>
      <c r="D273" s="605">
        <v>23</v>
      </c>
      <c r="E273" s="605">
        <v>30</v>
      </c>
      <c r="F273" s="605">
        <v>27</v>
      </c>
      <c r="G273" s="605">
        <v>26</v>
      </c>
      <c r="H273" s="669">
        <f t="shared" si="30"/>
        <v>26</v>
      </c>
      <c r="J273" s="662">
        <f t="shared" si="32"/>
        <v>42734</v>
      </c>
      <c r="K273" s="601">
        <v>28.6</v>
      </c>
      <c r="L273" s="601">
        <v>24.1</v>
      </c>
      <c r="M273" s="601">
        <v>28.95</v>
      </c>
      <c r="N273" s="601">
        <v>26.95</v>
      </c>
      <c r="O273" s="601">
        <v>26.3</v>
      </c>
      <c r="P273" s="670">
        <f t="shared" si="31"/>
        <v>27</v>
      </c>
    </row>
    <row r="274" spans="2:16" x14ac:dyDescent="0.2">
      <c r="B274" s="671">
        <f t="shared" si="33"/>
        <v>42735</v>
      </c>
      <c r="C274" s="605">
        <v>23</v>
      </c>
      <c r="D274" s="605">
        <v>23</v>
      </c>
      <c r="E274" s="605">
        <v>28</v>
      </c>
      <c r="F274" s="605">
        <v>26</v>
      </c>
      <c r="G274" s="605">
        <v>22</v>
      </c>
      <c r="H274" s="669">
        <f t="shared" si="30"/>
        <v>23</v>
      </c>
      <c r="J274" s="662">
        <f t="shared" si="32"/>
        <v>42735</v>
      </c>
      <c r="K274" s="601">
        <v>28.75</v>
      </c>
      <c r="L274" s="601">
        <v>23.45</v>
      </c>
      <c r="M274" s="601">
        <v>28.5</v>
      </c>
      <c r="N274" s="601">
        <v>26.3</v>
      </c>
      <c r="O274" s="601">
        <v>25.95</v>
      </c>
      <c r="P274" s="670">
        <f t="shared" si="31"/>
        <v>26</v>
      </c>
    </row>
    <row r="275" spans="2:16" x14ac:dyDescent="0.2">
      <c r="B275" s="671">
        <f t="shared" si="33"/>
        <v>42736</v>
      </c>
      <c r="C275" s="605">
        <v>20</v>
      </c>
      <c r="D275" s="605">
        <v>14</v>
      </c>
      <c r="E275" s="605">
        <v>21</v>
      </c>
      <c r="F275" s="605">
        <v>23</v>
      </c>
      <c r="G275" s="605">
        <v>21</v>
      </c>
      <c r="H275" s="669">
        <f t="shared" si="30"/>
        <v>19</v>
      </c>
      <c r="J275" s="662">
        <f t="shared" si="32"/>
        <v>42736</v>
      </c>
      <c r="K275" s="601">
        <v>30.25</v>
      </c>
      <c r="L275" s="601">
        <v>24.9</v>
      </c>
      <c r="M275" s="601">
        <v>29.7</v>
      </c>
      <c r="N275" s="601">
        <v>28.35</v>
      </c>
      <c r="O275" s="601">
        <v>28.55</v>
      </c>
      <c r="P275" s="670">
        <f t="shared" si="31"/>
        <v>28</v>
      </c>
    </row>
    <row r="276" spans="2:16" x14ac:dyDescent="0.2">
      <c r="B276" s="671">
        <f t="shared" si="33"/>
        <v>42737</v>
      </c>
      <c r="C276" s="605">
        <v>13</v>
      </c>
      <c r="D276" s="605">
        <v>5</v>
      </c>
      <c r="E276" s="605">
        <v>11</v>
      </c>
      <c r="F276" s="605">
        <v>13</v>
      </c>
      <c r="G276" s="605">
        <v>12</v>
      </c>
      <c r="H276" s="669">
        <f t="shared" si="30"/>
        <v>11</v>
      </c>
      <c r="J276" s="662">
        <f t="shared" si="32"/>
        <v>42737</v>
      </c>
      <c r="K276" s="601">
        <v>29</v>
      </c>
      <c r="L276" s="601">
        <v>24.3</v>
      </c>
      <c r="M276" s="601">
        <v>29</v>
      </c>
      <c r="N276" s="601">
        <v>27.15</v>
      </c>
      <c r="O276" s="601">
        <v>27.35</v>
      </c>
      <c r="P276" s="670">
        <f t="shared" si="31"/>
        <v>27</v>
      </c>
    </row>
    <row r="277" spans="2:16" x14ac:dyDescent="0.2">
      <c r="B277" s="671">
        <f t="shared" si="33"/>
        <v>42738</v>
      </c>
      <c r="C277" s="605">
        <v>19</v>
      </c>
      <c r="D277" s="605">
        <v>10</v>
      </c>
      <c r="E277" s="605">
        <v>14</v>
      </c>
      <c r="F277" s="605">
        <v>14</v>
      </c>
      <c r="G277" s="605">
        <v>17</v>
      </c>
      <c r="H277" s="669">
        <f t="shared" si="30"/>
        <v>15</v>
      </c>
      <c r="J277" s="662">
        <f t="shared" si="32"/>
        <v>42738</v>
      </c>
      <c r="K277" s="601">
        <v>29.2</v>
      </c>
      <c r="L277" s="601">
        <v>25</v>
      </c>
      <c r="M277" s="601">
        <v>29.15</v>
      </c>
      <c r="N277" s="601">
        <v>26.95</v>
      </c>
      <c r="O277" s="601">
        <v>27.35</v>
      </c>
      <c r="P277" s="670">
        <f t="shared" si="31"/>
        <v>27</v>
      </c>
    </row>
    <row r="278" spans="2:16" x14ac:dyDescent="0.2">
      <c r="B278" s="671">
        <f t="shared" si="33"/>
        <v>42739</v>
      </c>
      <c r="C278" s="605">
        <v>37</v>
      </c>
      <c r="D278" s="605">
        <v>30</v>
      </c>
      <c r="E278" s="605">
        <v>32</v>
      </c>
      <c r="F278" s="605">
        <v>32</v>
      </c>
      <c r="G278" s="605">
        <v>35</v>
      </c>
      <c r="H278" s="669">
        <f t="shared" si="30"/>
        <v>34</v>
      </c>
      <c r="J278" s="662">
        <f t="shared" si="32"/>
        <v>42739</v>
      </c>
      <c r="K278" s="601">
        <v>29.35</v>
      </c>
      <c r="L278" s="601">
        <v>24.65</v>
      </c>
      <c r="M278" s="601">
        <v>27.75</v>
      </c>
      <c r="N278" s="601">
        <v>26.2</v>
      </c>
      <c r="O278" s="601">
        <v>27.95</v>
      </c>
      <c r="P278" s="670">
        <f t="shared" si="31"/>
        <v>27</v>
      </c>
    </row>
    <row r="279" spans="2:16" x14ac:dyDescent="0.2">
      <c r="B279" s="671">
        <f t="shared" si="33"/>
        <v>42740</v>
      </c>
      <c r="C279" s="605">
        <v>45</v>
      </c>
      <c r="D279" s="605">
        <v>36</v>
      </c>
      <c r="E279" s="605">
        <v>42</v>
      </c>
      <c r="F279" s="605">
        <v>42</v>
      </c>
      <c r="G279" s="605">
        <v>42</v>
      </c>
      <c r="H279" s="669">
        <f t="shared" si="30"/>
        <v>41</v>
      </c>
      <c r="J279" s="662">
        <f t="shared" si="32"/>
        <v>42740</v>
      </c>
      <c r="K279" s="601">
        <v>31.4</v>
      </c>
      <c r="L279" s="601">
        <v>25.9</v>
      </c>
      <c r="M279" s="601">
        <v>29.85</v>
      </c>
      <c r="N279" s="601">
        <v>28.55</v>
      </c>
      <c r="O279" s="601">
        <v>30.05</v>
      </c>
      <c r="P279" s="670">
        <f t="shared" si="31"/>
        <v>29</v>
      </c>
    </row>
    <row r="280" spans="2:16" x14ac:dyDescent="0.2">
      <c r="B280" s="671">
        <f t="shared" si="33"/>
        <v>42741</v>
      </c>
      <c r="C280" s="605">
        <v>50</v>
      </c>
      <c r="D280" s="605">
        <v>44</v>
      </c>
      <c r="E280" s="605">
        <v>50</v>
      </c>
      <c r="F280" s="605">
        <v>49</v>
      </c>
      <c r="G280" s="605">
        <v>47</v>
      </c>
      <c r="H280" s="669">
        <f t="shared" si="30"/>
        <v>48</v>
      </c>
      <c r="J280" s="662">
        <f t="shared" si="32"/>
        <v>42741</v>
      </c>
      <c r="K280" s="601">
        <v>32.049999999999997</v>
      </c>
      <c r="L280" s="601">
        <v>27</v>
      </c>
      <c r="M280" s="601">
        <v>30.85</v>
      </c>
      <c r="N280" s="601">
        <v>29.9</v>
      </c>
      <c r="O280" s="601">
        <v>30.45</v>
      </c>
      <c r="P280" s="670">
        <f t="shared" si="31"/>
        <v>30</v>
      </c>
    </row>
    <row r="281" spans="2:16" x14ac:dyDescent="0.2">
      <c r="B281" s="671">
        <f t="shared" si="33"/>
        <v>42742</v>
      </c>
      <c r="C281" s="605">
        <v>52</v>
      </c>
      <c r="D281" s="605">
        <v>48</v>
      </c>
      <c r="E281" s="605">
        <v>55</v>
      </c>
      <c r="F281" s="605">
        <v>50</v>
      </c>
      <c r="G281" s="605">
        <v>49</v>
      </c>
      <c r="H281" s="669">
        <f t="shared" si="30"/>
        <v>50</v>
      </c>
      <c r="J281" s="662">
        <f t="shared" si="32"/>
        <v>42742</v>
      </c>
      <c r="K281" s="601">
        <v>33.450000000000003</v>
      </c>
      <c r="L281" s="601">
        <v>27.2</v>
      </c>
      <c r="M281" s="601">
        <v>32.75</v>
      </c>
      <c r="N281" s="601">
        <v>31.3</v>
      </c>
      <c r="O281" s="601">
        <v>30.8</v>
      </c>
      <c r="P281" s="670">
        <f t="shared" si="31"/>
        <v>31</v>
      </c>
    </row>
    <row r="282" spans="2:16" x14ac:dyDescent="0.2">
      <c r="B282" s="671">
        <f t="shared" si="33"/>
        <v>42743</v>
      </c>
      <c r="C282" s="605">
        <v>49</v>
      </c>
      <c r="D282" s="605">
        <v>45</v>
      </c>
      <c r="E282" s="605">
        <v>51</v>
      </c>
      <c r="F282" s="605">
        <v>47</v>
      </c>
      <c r="G282" s="605">
        <v>47</v>
      </c>
      <c r="H282" s="669">
        <f t="shared" si="30"/>
        <v>48</v>
      </c>
      <c r="J282" s="662">
        <f t="shared" si="32"/>
        <v>42743</v>
      </c>
      <c r="K282" s="601">
        <v>31.45</v>
      </c>
      <c r="L282" s="601">
        <v>26.25</v>
      </c>
      <c r="M282" s="601">
        <v>31.65</v>
      </c>
      <c r="N282" s="601">
        <v>30.15</v>
      </c>
      <c r="O282" s="601">
        <v>29.8</v>
      </c>
      <c r="P282" s="670">
        <f t="shared" si="31"/>
        <v>30</v>
      </c>
    </row>
    <row r="283" spans="2:16" x14ac:dyDescent="0.2">
      <c r="B283" s="671">
        <f t="shared" si="33"/>
        <v>42744</v>
      </c>
      <c r="C283" s="605">
        <v>32</v>
      </c>
      <c r="D283" s="605">
        <v>31</v>
      </c>
      <c r="E283" s="605">
        <v>38</v>
      </c>
      <c r="F283" s="605">
        <v>34</v>
      </c>
      <c r="G283" s="605">
        <v>30</v>
      </c>
      <c r="H283" s="669">
        <f t="shared" si="30"/>
        <v>32</v>
      </c>
      <c r="J283" s="662">
        <f t="shared" si="32"/>
        <v>42744</v>
      </c>
      <c r="K283" s="601">
        <v>30</v>
      </c>
      <c r="L283" s="601">
        <v>24.7</v>
      </c>
      <c r="M283" s="601">
        <v>30.05</v>
      </c>
      <c r="N283" s="601">
        <v>27.55</v>
      </c>
      <c r="O283" s="601">
        <v>28.7</v>
      </c>
      <c r="P283" s="670">
        <f t="shared" si="31"/>
        <v>28</v>
      </c>
    </row>
    <row r="284" spans="2:16" x14ac:dyDescent="0.2">
      <c r="B284" s="671">
        <f t="shared" si="33"/>
        <v>42745</v>
      </c>
      <c r="C284" s="605">
        <v>15</v>
      </c>
      <c r="D284" s="605">
        <v>13</v>
      </c>
      <c r="E284" s="605">
        <v>20</v>
      </c>
      <c r="F284" s="605">
        <v>16</v>
      </c>
      <c r="G284" s="605">
        <v>11</v>
      </c>
      <c r="H284" s="669">
        <f t="shared" si="30"/>
        <v>14</v>
      </c>
      <c r="J284" s="662">
        <f t="shared" si="32"/>
        <v>42745</v>
      </c>
      <c r="K284" s="601">
        <v>29.7</v>
      </c>
      <c r="L284" s="601">
        <v>23.55</v>
      </c>
      <c r="M284" s="601">
        <v>30.3</v>
      </c>
      <c r="N284" s="601">
        <v>27.9</v>
      </c>
      <c r="O284" s="601">
        <v>27.35</v>
      </c>
      <c r="P284" s="670">
        <f t="shared" si="31"/>
        <v>27</v>
      </c>
    </row>
    <row r="285" spans="2:16" x14ac:dyDescent="0.2">
      <c r="B285" s="671">
        <f t="shared" si="33"/>
        <v>42746</v>
      </c>
      <c r="C285" s="605">
        <v>16</v>
      </c>
      <c r="D285" s="605">
        <v>3</v>
      </c>
      <c r="E285" s="605">
        <v>13</v>
      </c>
      <c r="F285" s="605">
        <v>14</v>
      </c>
      <c r="G285" s="605">
        <v>9</v>
      </c>
      <c r="H285" s="669">
        <f t="shared" si="30"/>
        <v>10</v>
      </c>
      <c r="J285" s="662">
        <f t="shared" si="32"/>
        <v>42746</v>
      </c>
      <c r="K285" s="601">
        <v>27.9</v>
      </c>
      <c r="L285" s="601">
        <v>23.1</v>
      </c>
      <c r="M285" s="601">
        <v>27.9</v>
      </c>
      <c r="N285" s="601">
        <v>26.45</v>
      </c>
      <c r="O285" s="601">
        <v>25.8</v>
      </c>
      <c r="P285" s="670">
        <f t="shared" si="31"/>
        <v>26</v>
      </c>
    </row>
    <row r="286" spans="2:16" x14ac:dyDescent="0.2">
      <c r="B286" s="671">
        <f t="shared" si="33"/>
        <v>42747</v>
      </c>
      <c r="C286" s="605">
        <v>13</v>
      </c>
      <c r="D286" s="605">
        <v>4</v>
      </c>
      <c r="E286" s="605">
        <v>11</v>
      </c>
      <c r="F286" s="605">
        <v>10</v>
      </c>
      <c r="G286" s="605">
        <v>11</v>
      </c>
      <c r="H286" s="669">
        <f t="shared" si="30"/>
        <v>10</v>
      </c>
      <c r="J286" s="662">
        <f t="shared" si="32"/>
        <v>42747</v>
      </c>
      <c r="K286" s="601">
        <v>25.25</v>
      </c>
      <c r="L286" s="601">
        <v>20.8</v>
      </c>
      <c r="M286" s="601">
        <v>25.1</v>
      </c>
      <c r="N286" s="601">
        <v>23.15</v>
      </c>
      <c r="O286" s="601">
        <v>23</v>
      </c>
      <c r="P286" s="670">
        <f t="shared" si="31"/>
        <v>23</v>
      </c>
    </row>
    <row r="287" spans="2:16" x14ac:dyDescent="0.2">
      <c r="B287" s="671">
        <f t="shared" si="33"/>
        <v>42748</v>
      </c>
      <c r="C287" s="605">
        <v>30</v>
      </c>
      <c r="D287" s="605">
        <v>18</v>
      </c>
      <c r="E287" s="605">
        <v>26</v>
      </c>
      <c r="F287" s="605">
        <v>27</v>
      </c>
      <c r="G287" s="605">
        <v>30</v>
      </c>
      <c r="H287" s="669">
        <f t="shared" si="30"/>
        <v>27</v>
      </c>
      <c r="J287" s="662">
        <f t="shared" si="32"/>
        <v>42748</v>
      </c>
      <c r="K287" s="601">
        <v>30.35</v>
      </c>
      <c r="L287" s="601">
        <v>23.25</v>
      </c>
      <c r="M287" s="601">
        <v>28.75</v>
      </c>
      <c r="N287" s="601">
        <v>26.75</v>
      </c>
      <c r="O287" s="601">
        <v>28.35</v>
      </c>
      <c r="P287" s="670">
        <f t="shared" si="31"/>
        <v>28</v>
      </c>
    </row>
    <row r="288" spans="2:16" x14ac:dyDescent="0.2">
      <c r="B288" s="671">
        <f t="shared" si="33"/>
        <v>42749</v>
      </c>
      <c r="C288" s="605">
        <v>27</v>
      </c>
      <c r="D288" s="605">
        <v>7</v>
      </c>
      <c r="E288" s="605">
        <v>23</v>
      </c>
      <c r="F288" s="605">
        <v>25</v>
      </c>
      <c r="G288" s="605">
        <v>26</v>
      </c>
      <c r="H288" s="669">
        <f t="shared" si="30"/>
        <v>21</v>
      </c>
      <c r="J288" s="662">
        <f t="shared" si="32"/>
        <v>42749</v>
      </c>
      <c r="K288" s="601">
        <v>31.4</v>
      </c>
      <c r="L288" s="601">
        <v>25.45</v>
      </c>
      <c r="M288" s="601">
        <v>31.05</v>
      </c>
      <c r="N288" s="601">
        <v>29.5</v>
      </c>
      <c r="O288" s="601">
        <v>29.7</v>
      </c>
      <c r="P288" s="670">
        <f t="shared" si="31"/>
        <v>29</v>
      </c>
    </row>
    <row r="289" spans="2:16" x14ac:dyDescent="0.2">
      <c r="B289" s="671">
        <f t="shared" si="33"/>
        <v>42750</v>
      </c>
      <c r="C289" s="605">
        <v>26</v>
      </c>
      <c r="D289" s="605">
        <v>13</v>
      </c>
      <c r="E289" s="605">
        <v>26</v>
      </c>
      <c r="F289" s="605">
        <v>25</v>
      </c>
      <c r="G289" s="605">
        <v>25</v>
      </c>
      <c r="H289" s="669">
        <f t="shared" si="30"/>
        <v>23</v>
      </c>
      <c r="J289" s="662">
        <f t="shared" si="32"/>
        <v>42750</v>
      </c>
      <c r="K289" s="601">
        <v>32.5</v>
      </c>
      <c r="L289" s="601">
        <v>27.35</v>
      </c>
      <c r="M289" s="601">
        <v>32.25</v>
      </c>
      <c r="N289" s="601">
        <v>30.7</v>
      </c>
      <c r="O289" s="601">
        <v>31.35</v>
      </c>
      <c r="P289" s="670">
        <f t="shared" si="31"/>
        <v>31</v>
      </c>
    </row>
    <row r="290" spans="2:16" x14ac:dyDescent="0.2">
      <c r="B290" s="671">
        <f t="shared" si="33"/>
        <v>42751</v>
      </c>
      <c r="C290" s="605">
        <v>15</v>
      </c>
      <c r="D290" s="605">
        <v>5</v>
      </c>
      <c r="E290" s="605">
        <v>13</v>
      </c>
      <c r="F290" s="605">
        <v>16</v>
      </c>
      <c r="G290" s="605">
        <v>11</v>
      </c>
      <c r="H290" s="669">
        <f t="shared" si="30"/>
        <v>11</v>
      </c>
      <c r="J290" s="662">
        <f t="shared" si="32"/>
        <v>42751</v>
      </c>
      <c r="K290" s="601">
        <v>31.2</v>
      </c>
      <c r="L290" s="601">
        <v>26.2</v>
      </c>
      <c r="M290" s="601">
        <v>31.75</v>
      </c>
      <c r="N290" s="601">
        <v>29.6</v>
      </c>
      <c r="O290" s="601">
        <v>29.25</v>
      </c>
      <c r="P290" s="670">
        <f t="shared" si="31"/>
        <v>29</v>
      </c>
    </row>
    <row r="291" spans="2:16" x14ac:dyDescent="0.2">
      <c r="B291" s="671">
        <f t="shared" si="33"/>
        <v>42752</v>
      </c>
      <c r="C291" s="605">
        <v>12</v>
      </c>
      <c r="D291" s="605">
        <v>6</v>
      </c>
      <c r="E291" s="605">
        <v>9</v>
      </c>
      <c r="F291" s="605">
        <v>10</v>
      </c>
      <c r="G291" s="605">
        <v>11</v>
      </c>
      <c r="H291" s="669">
        <f t="shared" si="30"/>
        <v>10</v>
      </c>
      <c r="J291" s="662">
        <f t="shared" si="32"/>
        <v>42752</v>
      </c>
      <c r="K291" s="601">
        <v>30.85</v>
      </c>
      <c r="L291" s="601">
        <v>26.25</v>
      </c>
      <c r="M291" s="601">
        <v>31.35</v>
      </c>
      <c r="N291" s="601">
        <v>29.65</v>
      </c>
      <c r="O291" s="601">
        <v>29.6</v>
      </c>
      <c r="P291" s="670">
        <f t="shared" si="31"/>
        <v>29</v>
      </c>
    </row>
    <row r="292" spans="2:16" x14ac:dyDescent="0.2">
      <c r="B292" s="671">
        <f t="shared" si="33"/>
        <v>42753</v>
      </c>
      <c r="C292" s="605">
        <v>22</v>
      </c>
      <c r="D292" s="605">
        <v>17</v>
      </c>
      <c r="E292" s="605">
        <v>24</v>
      </c>
      <c r="F292" s="605">
        <v>22</v>
      </c>
      <c r="G292" s="605">
        <v>21</v>
      </c>
      <c r="H292" s="669">
        <f t="shared" si="30"/>
        <v>21</v>
      </c>
      <c r="J292" s="662">
        <f t="shared" si="32"/>
        <v>42753</v>
      </c>
      <c r="K292" s="601">
        <v>33.1</v>
      </c>
      <c r="L292" s="601">
        <v>28.3</v>
      </c>
      <c r="M292" s="601">
        <v>34.299999999999997</v>
      </c>
      <c r="N292" s="601">
        <v>31.75</v>
      </c>
      <c r="O292" s="601">
        <v>31.55</v>
      </c>
      <c r="P292" s="670">
        <f t="shared" si="31"/>
        <v>32</v>
      </c>
    </row>
    <row r="293" spans="2:16" x14ac:dyDescent="0.2">
      <c r="B293" s="671">
        <f t="shared" si="33"/>
        <v>42754</v>
      </c>
      <c r="C293" s="605">
        <v>18</v>
      </c>
      <c r="D293" s="605">
        <v>11</v>
      </c>
      <c r="E293" s="605">
        <v>19</v>
      </c>
      <c r="F293" s="605">
        <v>17</v>
      </c>
      <c r="G293" s="605">
        <v>12</v>
      </c>
      <c r="H293" s="669">
        <f t="shared" si="30"/>
        <v>14</v>
      </c>
      <c r="J293" s="662">
        <f t="shared" si="32"/>
        <v>42754</v>
      </c>
      <c r="K293" s="601">
        <v>32.25</v>
      </c>
      <c r="L293" s="601">
        <v>26.95</v>
      </c>
      <c r="M293" s="601">
        <v>32.4</v>
      </c>
      <c r="N293" s="601">
        <v>30.7</v>
      </c>
      <c r="O293" s="601">
        <v>29.15</v>
      </c>
      <c r="P293" s="670">
        <f t="shared" si="31"/>
        <v>30</v>
      </c>
    </row>
    <row r="294" spans="2:16" x14ac:dyDescent="0.2">
      <c r="B294" s="671">
        <f t="shared" si="33"/>
        <v>42755</v>
      </c>
      <c r="C294" s="605">
        <v>9</v>
      </c>
      <c r="D294" s="605">
        <v>3</v>
      </c>
      <c r="E294" s="605">
        <v>8</v>
      </c>
      <c r="F294" s="605">
        <v>8</v>
      </c>
      <c r="G294" s="605">
        <v>7</v>
      </c>
      <c r="H294" s="669">
        <f t="shared" si="30"/>
        <v>7</v>
      </c>
      <c r="J294" s="662">
        <f t="shared" si="32"/>
        <v>42755</v>
      </c>
      <c r="K294" s="601">
        <v>31.45</v>
      </c>
      <c r="L294" s="601">
        <v>24.2</v>
      </c>
      <c r="M294" s="601">
        <v>32.200000000000003</v>
      </c>
      <c r="N294" s="601">
        <v>30.3</v>
      </c>
      <c r="O294" s="601">
        <v>28.45</v>
      </c>
      <c r="P294" s="670">
        <f t="shared" si="31"/>
        <v>29</v>
      </c>
    </row>
    <row r="295" spans="2:16" x14ac:dyDescent="0.2">
      <c r="B295" s="671">
        <f t="shared" si="33"/>
        <v>42756</v>
      </c>
      <c r="C295" s="605">
        <v>8</v>
      </c>
      <c r="D295" s="605">
        <v>3</v>
      </c>
      <c r="E295" s="605">
        <v>7</v>
      </c>
      <c r="F295" s="605">
        <v>6</v>
      </c>
      <c r="G295" s="605">
        <v>4</v>
      </c>
      <c r="H295" s="669">
        <f t="shared" si="30"/>
        <v>5</v>
      </c>
      <c r="J295" s="662">
        <f t="shared" si="32"/>
        <v>42756</v>
      </c>
      <c r="K295" s="601">
        <v>31.95</v>
      </c>
      <c r="L295" s="601">
        <v>25.55</v>
      </c>
      <c r="M295" s="601">
        <v>34.1</v>
      </c>
      <c r="N295" s="601">
        <v>31.65</v>
      </c>
      <c r="O295" s="601">
        <v>29</v>
      </c>
      <c r="P295" s="670">
        <f t="shared" si="31"/>
        <v>30</v>
      </c>
    </row>
    <row r="296" spans="2:16" x14ac:dyDescent="0.2">
      <c r="B296" s="671">
        <f t="shared" si="33"/>
        <v>42757</v>
      </c>
      <c r="C296" s="605">
        <v>8</v>
      </c>
      <c r="D296" s="605">
        <v>5</v>
      </c>
      <c r="E296" s="605">
        <v>12</v>
      </c>
      <c r="F296" s="605">
        <v>9</v>
      </c>
      <c r="G296" s="605">
        <v>9</v>
      </c>
      <c r="H296" s="669">
        <f t="shared" si="30"/>
        <v>8</v>
      </c>
      <c r="J296" s="662">
        <f t="shared" si="32"/>
        <v>42757</v>
      </c>
      <c r="K296" s="601">
        <v>31.75</v>
      </c>
      <c r="L296" s="601">
        <v>26.15</v>
      </c>
      <c r="M296" s="601">
        <v>33.15</v>
      </c>
      <c r="N296" s="601">
        <v>31</v>
      </c>
      <c r="O296" s="601">
        <v>29.55</v>
      </c>
      <c r="P296" s="670">
        <f t="shared" si="31"/>
        <v>30</v>
      </c>
    </row>
    <row r="297" spans="2:16" x14ac:dyDescent="0.2">
      <c r="B297" s="671">
        <f t="shared" si="33"/>
        <v>42758</v>
      </c>
      <c r="C297" s="605">
        <v>18</v>
      </c>
      <c r="D297" s="605">
        <v>16</v>
      </c>
      <c r="E297" s="605">
        <v>17</v>
      </c>
      <c r="F297" s="605">
        <v>15</v>
      </c>
      <c r="G297" s="605">
        <v>20</v>
      </c>
      <c r="H297" s="669">
        <f t="shared" si="30"/>
        <v>18</v>
      </c>
      <c r="J297" s="662">
        <f t="shared" si="32"/>
        <v>42758</v>
      </c>
      <c r="K297" s="601">
        <v>31.85</v>
      </c>
      <c r="L297" s="601">
        <v>28.25</v>
      </c>
      <c r="M297" s="601">
        <v>33.200000000000003</v>
      </c>
      <c r="N297" s="601">
        <v>30.2</v>
      </c>
      <c r="O297" s="601">
        <v>30.4</v>
      </c>
      <c r="P297" s="670">
        <f t="shared" si="31"/>
        <v>31</v>
      </c>
    </row>
    <row r="298" spans="2:16" x14ac:dyDescent="0.2">
      <c r="B298" s="671">
        <f t="shared" si="33"/>
        <v>42759</v>
      </c>
      <c r="C298" s="605">
        <v>22</v>
      </c>
      <c r="D298" s="605">
        <v>16</v>
      </c>
      <c r="E298" s="605">
        <v>24</v>
      </c>
      <c r="F298" s="605">
        <v>20</v>
      </c>
      <c r="G298" s="605">
        <v>18</v>
      </c>
      <c r="H298" s="669">
        <f t="shared" si="30"/>
        <v>19</v>
      </c>
      <c r="J298" s="662">
        <f t="shared" si="32"/>
        <v>42759</v>
      </c>
      <c r="K298" s="601">
        <v>33.799999999999997</v>
      </c>
      <c r="L298" s="601">
        <v>28.6</v>
      </c>
      <c r="M298" s="601">
        <v>35.799999999999997</v>
      </c>
      <c r="N298" s="601">
        <v>32.700000000000003</v>
      </c>
      <c r="O298" s="601">
        <v>32.200000000000003</v>
      </c>
      <c r="P298" s="670">
        <f t="shared" si="31"/>
        <v>32</v>
      </c>
    </row>
    <row r="299" spans="2:16" x14ac:dyDescent="0.2">
      <c r="B299" s="671">
        <f t="shared" si="33"/>
        <v>42760</v>
      </c>
      <c r="C299" s="605">
        <v>13</v>
      </c>
      <c r="D299" s="605">
        <v>15</v>
      </c>
      <c r="E299" s="605">
        <v>18</v>
      </c>
      <c r="F299" s="605">
        <v>15</v>
      </c>
      <c r="G299" s="605">
        <v>13</v>
      </c>
      <c r="H299" s="669">
        <f t="shared" si="30"/>
        <v>14</v>
      </c>
      <c r="J299" s="662">
        <f t="shared" si="32"/>
        <v>42760</v>
      </c>
      <c r="K299" s="601">
        <v>32.700000000000003</v>
      </c>
      <c r="L299" s="601">
        <v>27.5</v>
      </c>
      <c r="M299" s="601">
        <v>34.450000000000003</v>
      </c>
      <c r="N299" s="601">
        <v>32</v>
      </c>
      <c r="O299" s="601">
        <v>31.25</v>
      </c>
      <c r="P299" s="670">
        <f t="shared" si="31"/>
        <v>31</v>
      </c>
    </row>
    <row r="300" spans="2:16" x14ac:dyDescent="0.2">
      <c r="B300" s="671">
        <f t="shared" si="33"/>
        <v>42761</v>
      </c>
      <c r="C300" s="605">
        <v>29</v>
      </c>
      <c r="D300" s="605">
        <v>20</v>
      </c>
      <c r="E300" s="605">
        <v>25</v>
      </c>
      <c r="F300" s="605">
        <v>26</v>
      </c>
      <c r="G300" s="605">
        <v>28</v>
      </c>
      <c r="H300" s="669">
        <f t="shared" si="30"/>
        <v>26</v>
      </c>
      <c r="J300" s="662">
        <f t="shared" si="32"/>
        <v>42761</v>
      </c>
      <c r="K300" s="601">
        <v>31.65</v>
      </c>
      <c r="L300" s="601">
        <v>25.8</v>
      </c>
      <c r="M300" s="601">
        <v>31.8</v>
      </c>
      <c r="N300" s="601">
        <v>30.15</v>
      </c>
      <c r="O300" s="601">
        <v>29.25</v>
      </c>
      <c r="P300" s="670">
        <f t="shared" si="31"/>
        <v>29</v>
      </c>
    </row>
    <row r="301" spans="2:16" x14ac:dyDescent="0.2">
      <c r="B301" s="671">
        <f t="shared" si="33"/>
        <v>42762</v>
      </c>
      <c r="C301" s="605">
        <v>32</v>
      </c>
      <c r="D301" s="605">
        <v>25</v>
      </c>
      <c r="E301" s="605">
        <v>34</v>
      </c>
      <c r="F301" s="605">
        <v>30</v>
      </c>
      <c r="G301" s="605">
        <v>29</v>
      </c>
      <c r="H301" s="669">
        <f t="shared" si="30"/>
        <v>30</v>
      </c>
      <c r="J301" s="662">
        <f t="shared" si="32"/>
        <v>42762</v>
      </c>
      <c r="K301" s="601">
        <v>32.1</v>
      </c>
      <c r="L301" s="601">
        <v>26.6</v>
      </c>
      <c r="M301" s="601">
        <v>33.35</v>
      </c>
      <c r="N301" s="601">
        <v>30.5</v>
      </c>
      <c r="O301" s="601">
        <v>29.75</v>
      </c>
      <c r="P301" s="670">
        <f t="shared" si="31"/>
        <v>30</v>
      </c>
    </row>
    <row r="302" spans="2:16" x14ac:dyDescent="0.2">
      <c r="B302" s="671">
        <f t="shared" si="33"/>
        <v>42763</v>
      </c>
      <c r="C302" s="605">
        <v>31</v>
      </c>
      <c r="D302" s="605">
        <v>24</v>
      </c>
      <c r="E302" s="605">
        <v>30</v>
      </c>
      <c r="F302" s="605">
        <v>28</v>
      </c>
      <c r="G302" s="605">
        <v>26</v>
      </c>
      <c r="H302" s="669">
        <f t="shared" si="30"/>
        <v>27</v>
      </c>
      <c r="J302" s="662">
        <f t="shared" si="32"/>
        <v>42763</v>
      </c>
      <c r="K302" s="601">
        <v>30.45</v>
      </c>
      <c r="L302" s="601">
        <v>25.55</v>
      </c>
      <c r="M302" s="601">
        <v>32.549999999999997</v>
      </c>
      <c r="N302" s="601">
        <v>29.7</v>
      </c>
      <c r="O302" s="601">
        <v>27.8</v>
      </c>
      <c r="P302" s="670">
        <f t="shared" si="31"/>
        <v>29</v>
      </c>
    </row>
    <row r="303" spans="2:16" x14ac:dyDescent="0.2">
      <c r="B303" s="671">
        <f t="shared" si="33"/>
        <v>42764</v>
      </c>
      <c r="C303" s="605">
        <v>31</v>
      </c>
      <c r="D303" s="605">
        <v>27</v>
      </c>
      <c r="E303" s="605">
        <v>33</v>
      </c>
      <c r="F303" s="605">
        <v>31</v>
      </c>
      <c r="G303" s="605">
        <v>31</v>
      </c>
      <c r="H303" s="669">
        <f t="shared" si="30"/>
        <v>30</v>
      </c>
      <c r="J303" s="662">
        <f t="shared" si="32"/>
        <v>42764</v>
      </c>
      <c r="K303" s="601">
        <v>27.8</v>
      </c>
      <c r="L303" s="601">
        <v>22.8</v>
      </c>
      <c r="M303" s="601">
        <v>28.4</v>
      </c>
      <c r="N303" s="601">
        <v>26.4</v>
      </c>
      <c r="O303" s="601">
        <v>25.45</v>
      </c>
      <c r="P303" s="670">
        <f t="shared" si="31"/>
        <v>26</v>
      </c>
    </row>
    <row r="304" spans="2:16" x14ac:dyDescent="0.2">
      <c r="B304" s="671">
        <f t="shared" si="33"/>
        <v>42765</v>
      </c>
      <c r="C304" s="605">
        <v>31</v>
      </c>
      <c r="D304" s="605">
        <v>23</v>
      </c>
      <c r="E304" s="605">
        <v>35</v>
      </c>
      <c r="F304" s="605">
        <v>31</v>
      </c>
      <c r="G304" s="605">
        <v>28</v>
      </c>
      <c r="H304" s="669">
        <f t="shared" si="30"/>
        <v>29</v>
      </c>
      <c r="J304" s="662">
        <f t="shared" si="32"/>
        <v>42765</v>
      </c>
      <c r="K304" s="601">
        <v>30.85</v>
      </c>
      <c r="L304" s="601">
        <v>24.3</v>
      </c>
      <c r="M304" s="601">
        <v>31.35</v>
      </c>
      <c r="N304" s="601">
        <v>29</v>
      </c>
      <c r="O304" s="601">
        <v>28.4</v>
      </c>
      <c r="P304" s="670">
        <f t="shared" si="31"/>
        <v>28</v>
      </c>
    </row>
    <row r="305" spans="2:16" x14ac:dyDescent="0.2">
      <c r="B305" s="671">
        <f t="shared" si="33"/>
        <v>42766</v>
      </c>
      <c r="C305" s="605">
        <v>20</v>
      </c>
      <c r="D305" s="605">
        <v>9</v>
      </c>
      <c r="E305" s="605">
        <v>20</v>
      </c>
      <c r="F305" s="605">
        <v>16</v>
      </c>
      <c r="G305" s="605">
        <v>14</v>
      </c>
      <c r="H305" s="669">
        <f t="shared" si="30"/>
        <v>15</v>
      </c>
      <c r="J305" s="662">
        <f t="shared" si="32"/>
        <v>42766</v>
      </c>
      <c r="K305" s="601">
        <v>30.1</v>
      </c>
      <c r="L305" s="601">
        <v>23.4</v>
      </c>
      <c r="M305" s="601">
        <v>31.25</v>
      </c>
      <c r="N305" s="601">
        <v>28.4</v>
      </c>
      <c r="O305" s="601">
        <v>27.1</v>
      </c>
      <c r="P305" s="670">
        <f t="shared" si="31"/>
        <v>28</v>
      </c>
    </row>
    <row r="306" spans="2:16" x14ac:dyDescent="0.2">
      <c r="B306" s="671">
        <f t="shared" si="33"/>
        <v>42767</v>
      </c>
      <c r="C306" s="605">
        <v>21</v>
      </c>
      <c r="D306" s="605">
        <v>17</v>
      </c>
      <c r="E306" s="605">
        <v>20</v>
      </c>
      <c r="F306" s="605">
        <v>19</v>
      </c>
      <c r="G306" s="605">
        <v>17</v>
      </c>
      <c r="H306" s="669">
        <f t="shared" si="30"/>
        <v>18</v>
      </c>
      <c r="J306" s="662">
        <f t="shared" si="32"/>
        <v>42767</v>
      </c>
      <c r="K306" s="601">
        <v>26.55</v>
      </c>
      <c r="L306" s="601">
        <v>21.95</v>
      </c>
      <c r="M306" s="601">
        <v>26.55</v>
      </c>
      <c r="N306" s="601">
        <v>24.55</v>
      </c>
      <c r="O306" s="601">
        <v>24.6</v>
      </c>
      <c r="P306" s="670">
        <f t="shared" si="31"/>
        <v>25</v>
      </c>
    </row>
    <row r="307" spans="2:16" x14ac:dyDescent="0.2">
      <c r="B307" s="671">
        <f t="shared" si="33"/>
        <v>42768</v>
      </c>
      <c r="C307" s="605">
        <v>32</v>
      </c>
      <c r="D307" s="605">
        <v>22</v>
      </c>
      <c r="E307" s="605">
        <v>31</v>
      </c>
      <c r="F307" s="605">
        <v>29</v>
      </c>
      <c r="G307" s="605">
        <v>30</v>
      </c>
      <c r="H307" s="669">
        <f t="shared" si="30"/>
        <v>29</v>
      </c>
      <c r="J307" s="662">
        <f t="shared" si="32"/>
        <v>42768</v>
      </c>
      <c r="K307" s="601">
        <v>29.55</v>
      </c>
      <c r="L307" s="601">
        <v>23.3</v>
      </c>
      <c r="M307" s="601">
        <v>28.6</v>
      </c>
      <c r="N307" s="601">
        <v>26.4</v>
      </c>
      <c r="O307" s="601">
        <v>27.65</v>
      </c>
      <c r="P307" s="670">
        <f t="shared" si="31"/>
        <v>27</v>
      </c>
    </row>
    <row r="308" spans="2:16" x14ac:dyDescent="0.2">
      <c r="B308" s="671">
        <f t="shared" si="33"/>
        <v>42769</v>
      </c>
      <c r="C308" s="605">
        <v>39</v>
      </c>
      <c r="D308" s="605">
        <v>30</v>
      </c>
      <c r="E308" s="605">
        <v>39</v>
      </c>
      <c r="F308" s="605">
        <v>36</v>
      </c>
      <c r="G308" s="605">
        <v>37</v>
      </c>
      <c r="H308" s="669">
        <f t="shared" si="30"/>
        <v>36</v>
      </c>
      <c r="J308" s="662">
        <f t="shared" si="32"/>
        <v>42769</v>
      </c>
      <c r="K308" s="601">
        <v>30.05</v>
      </c>
      <c r="L308" s="601">
        <v>26.2</v>
      </c>
      <c r="M308" s="601">
        <v>31.3</v>
      </c>
      <c r="N308" s="601">
        <v>28</v>
      </c>
      <c r="O308" s="601">
        <v>28.55</v>
      </c>
      <c r="P308" s="670">
        <f t="shared" si="31"/>
        <v>29</v>
      </c>
    </row>
    <row r="309" spans="2:16" x14ac:dyDescent="0.2">
      <c r="B309" s="671">
        <f t="shared" si="33"/>
        <v>42770</v>
      </c>
      <c r="C309" s="605">
        <v>37</v>
      </c>
      <c r="D309" s="605">
        <v>30</v>
      </c>
      <c r="E309" s="605">
        <v>40</v>
      </c>
      <c r="F309" s="605">
        <v>36</v>
      </c>
      <c r="G309" s="605">
        <v>35</v>
      </c>
      <c r="H309" s="669">
        <f t="shared" si="30"/>
        <v>35</v>
      </c>
      <c r="J309" s="662">
        <f t="shared" si="32"/>
        <v>42770</v>
      </c>
      <c r="K309" s="601">
        <v>31.75</v>
      </c>
      <c r="L309" s="601">
        <v>26.7</v>
      </c>
      <c r="M309" s="601">
        <v>32.450000000000003</v>
      </c>
      <c r="N309" s="601">
        <v>29.7</v>
      </c>
      <c r="O309" s="601">
        <v>28.75</v>
      </c>
      <c r="P309" s="670">
        <f t="shared" si="31"/>
        <v>30</v>
      </c>
    </row>
    <row r="310" spans="2:16" x14ac:dyDescent="0.2">
      <c r="B310" s="671">
        <f t="shared" si="33"/>
        <v>42771</v>
      </c>
      <c r="C310" s="605">
        <v>20</v>
      </c>
      <c r="D310" s="605">
        <v>14</v>
      </c>
      <c r="E310" s="605">
        <v>19</v>
      </c>
      <c r="F310" s="605">
        <v>16</v>
      </c>
      <c r="G310" s="605">
        <v>19</v>
      </c>
      <c r="H310" s="669">
        <f t="shared" si="30"/>
        <v>18</v>
      </c>
      <c r="J310" s="662">
        <f t="shared" si="32"/>
        <v>42771</v>
      </c>
      <c r="K310" s="601">
        <v>31.75</v>
      </c>
      <c r="L310" s="601">
        <v>26.1</v>
      </c>
      <c r="M310" s="601">
        <v>32.65</v>
      </c>
      <c r="N310" s="601">
        <v>30.25</v>
      </c>
      <c r="O310" s="601">
        <v>29</v>
      </c>
      <c r="P310" s="670">
        <f t="shared" si="31"/>
        <v>30</v>
      </c>
    </row>
    <row r="311" spans="2:16" x14ac:dyDescent="0.2">
      <c r="B311" s="671">
        <f t="shared" si="33"/>
        <v>42772</v>
      </c>
      <c r="C311" s="605">
        <v>18</v>
      </c>
      <c r="D311" s="605">
        <v>15</v>
      </c>
      <c r="E311" s="605">
        <v>18</v>
      </c>
      <c r="F311" s="605">
        <v>17</v>
      </c>
      <c r="G311" s="605">
        <v>13</v>
      </c>
      <c r="H311" s="669">
        <f t="shared" si="30"/>
        <v>16</v>
      </c>
      <c r="J311" s="662">
        <f t="shared" si="32"/>
        <v>42772</v>
      </c>
      <c r="K311" s="601">
        <v>28.35</v>
      </c>
      <c r="L311" s="601">
        <v>23.95</v>
      </c>
      <c r="M311" s="601">
        <v>29.45</v>
      </c>
      <c r="N311" s="601">
        <v>27.2</v>
      </c>
      <c r="O311" s="601">
        <v>26.4</v>
      </c>
      <c r="P311" s="670">
        <f t="shared" si="31"/>
        <v>27</v>
      </c>
    </row>
    <row r="312" spans="2:16" x14ac:dyDescent="0.2">
      <c r="B312" s="671">
        <f t="shared" si="33"/>
        <v>42773</v>
      </c>
      <c r="C312" s="605">
        <v>9</v>
      </c>
      <c r="D312" s="605">
        <v>5</v>
      </c>
      <c r="E312" s="605">
        <v>7</v>
      </c>
      <c r="F312" s="605">
        <v>5</v>
      </c>
      <c r="G312" s="605">
        <v>4</v>
      </c>
      <c r="H312" s="669">
        <f t="shared" si="30"/>
        <v>6</v>
      </c>
      <c r="J312" s="662">
        <f t="shared" si="32"/>
        <v>42773</v>
      </c>
      <c r="K312" s="601">
        <v>27.5</v>
      </c>
      <c r="L312" s="601">
        <v>22.7</v>
      </c>
      <c r="M312" s="601">
        <v>27.75</v>
      </c>
      <c r="N312" s="601">
        <v>25.75</v>
      </c>
      <c r="O312" s="601">
        <v>25.35</v>
      </c>
      <c r="P312" s="670">
        <f t="shared" si="31"/>
        <v>26</v>
      </c>
    </row>
    <row r="313" spans="2:16" x14ac:dyDescent="0.2">
      <c r="B313" s="671">
        <f t="shared" si="33"/>
        <v>42774</v>
      </c>
      <c r="C313" s="605">
        <v>26</v>
      </c>
      <c r="D313" s="605">
        <v>12</v>
      </c>
      <c r="E313" s="605">
        <v>20</v>
      </c>
      <c r="F313" s="605">
        <v>20</v>
      </c>
      <c r="G313" s="605">
        <v>25</v>
      </c>
      <c r="H313" s="669">
        <f t="shared" si="30"/>
        <v>21</v>
      </c>
      <c r="J313" s="662">
        <f t="shared" si="32"/>
        <v>42774</v>
      </c>
      <c r="K313" s="601">
        <v>29.35</v>
      </c>
      <c r="L313" s="601">
        <v>22.8</v>
      </c>
      <c r="M313" s="601">
        <v>29.35</v>
      </c>
      <c r="N313" s="601">
        <v>26.7</v>
      </c>
      <c r="O313" s="601">
        <v>26.5</v>
      </c>
      <c r="P313" s="670">
        <f t="shared" si="31"/>
        <v>27</v>
      </c>
    </row>
    <row r="314" spans="2:16" x14ac:dyDescent="0.2">
      <c r="B314" s="671">
        <f t="shared" si="33"/>
        <v>42775</v>
      </c>
      <c r="C314" s="605">
        <v>39</v>
      </c>
      <c r="D314" s="605">
        <v>31</v>
      </c>
      <c r="E314" s="605">
        <v>39</v>
      </c>
      <c r="F314" s="605">
        <v>37</v>
      </c>
      <c r="G314" s="605">
        <v>37</v>
      </c>
      <c r="H314" s="669">
        <f t="shared" si="30"/>
        <v>36</v>
      </c>
      <c r="J314" s="662">
        <f t="shared" si="32"/>
        <v>42775</v>
      </c>
      <c r="K314" s="601">
        <v>30.5</v>
      </c>
      <c r="L314" s="601">
        <v>24.7</v>
      </c>
      <c r="M314" s="601">
        <v>29.7</v>
      </c>
      <c r="N314" s="601">
        <v>28</v>
      </c>
      <c r="O314" s="601">
        <v>29.1</v>
      </c>
      <c r="P314" s="670">
        <f t="shared" si="31"/>
        <v>28</v>
      </c>
    </row>
    <row r="315" spans="2:16" x14ac:dyDescent="0.2">
      <c r="B315" s="671">
        <f t="shared" si="33"/>
        <v>42776</v>
      </c>
      <c r="C315" s="605">
        <v>22</v>
      </c>
      <c r="D315" s="605">
        <v>21</v>
      </c>
      <c r="E315" s="605">
        <v>27</v>
      </c>
      <c r="F315" s="605">
        <v>24</v>
      </c>
      <c r="G315" s="605">
        <v>21</v>
      </c>
      <c r="H315" s="669">
        <f t="shared" si="30"/>
        <v>22</v>
      </c>
      <c r="J315" s="662">
        <f t="shared" si="32"/>
        <v>42776</v>
      </c>
      <c r="K315" s="601">
        <v>30.1</v>
      </c>
      <c r="L315" s="601">
        <v>25.8</v>
      </c>
      <c r="M315" s="601">
        <v>31.85</v>
      </c>
      <c r="N315" s="601">
        <v>29.1</v>
      </c>
      <c r="O315" s="601">
        <v>28.7</v>
      </c>
      <c r="P315" s="670">
        <f t="shared" si="31"/>
        <v>29</v>
      </c>
    </row>
    <row r="316" spans="2:16" x14ac:dyDescent="0.2">
      <c r="B316" s="671">
        <f t="shared" si="33"/>
        <v>42777</v>
      </c>
      <c r="C316" s="605">
        <v>6</v>
      </c>
      <c r="D316" s="605">
        <v>0</v>
      </c>
      <c r="E316" s="605">
        <v>6</v>
      </c>
      <c r="F316" s="605">
        <v>4</v>
      </c>
      <c r="G316" s="605">
        <v>0</v>
      </c>
      <c r="H316" s="669">
        <f t="shared" si="30"/>
        <v>2</v>
      </c>
      <c r="J316" s="662">
        <f t="shared" si="32"/>
        <v>42777</v>
      </c>
      <c r="K316" s="601">
        <v>29.95</v>
      </c>
      <c r="L316" s="601">
        <v>24.25</v>
      </c>
      <c r="M316" s="601">
        <v>30.85</v>
      </c>
      <c r="N316" s="601">
        <v>27.65</v>
      </c>
      <c r="O316" s="601">
        <v>28.05</v>
      </c>
      <c r="P316" s="670">
        <f t="shared" si="31"/>
        <v>28</v>
      </c>
    </row>
    <row r="317" spans="2:16" x14ac:dyDescent="0.2">
      <c r="B317" s="671">
        <f t="shared" si="33"/>
        <v>42778</v>
      </c>
      <c r="C317" s="605">
        <v>13</v>
      </c>
      <c r="D317" s="605">
        <v>7</v>
      </c>
      <c r="E317" s="605">
        <v>12</v>
      </c>
      <c r="F317" s="605">
        <v>10</v>
      </c>
      <c r="G317" s="605">
        <v>11</v>
      </c>
      <c r="H317" s="669">
        <f t="shared" si="30"/>
        <v>11</v>
      </c>
      <c r="J317" s="662">
        <f t="shared" si="32"/>
        <v>42778</v>
      </c>
      <c r="K317" s="601">
        <v>30.15</v>
      </c>
      <c r="L317" s="601">
        <v>25.15</v>
      </c>
      <c r="M317" s="601">
        <v>30.1</v>
      </c>
      <c r="N317" s="601">
        <v>28.5</v>
      </c>
      <c r="O317" s="601">
        <v>29.3</v>
      </c>
      <c r="P317" s="670">
        <f t="shared" si="31"/>
        <v>29</v>
      </c>
    </row>
    <row r="318" spans="2:16" x14ac:dyDescent="0.2">
      <c r="B318" s="671">
        <f t="shared" si="33"/>
        <v>42779</v>
      </c>
      <c r="C318" s="605">
        <v>27</v>
      </c>
      <c r="D318" s="605">
        <v>20</v>
      </c>
      <c r="E318" s="605">
        <v>26</v>
      </c>
      <c r="F318" s="605">
        <v>24</v>
      </c>
      <c r="G318" s="605">
        <v>23</v>
      </c>
      <c r="H318" s="669">
        <f t="shared" si="30"/>
        <v>24</v>
      </c>
      <c r="J318" s="662">
        <f t="shared" si="32"/>
        <v>42779</v>
      </c>
      <c r="K318" s="601">
        <v>31.15</v>
      </c>
      <c r="L318" s="601">
        <v>26.1</v>
      </c>
      <c r="M318" s="601">
        <v>32.35</v>
      </c>
      <c r="N318" s="601">
        <v>30.2</v>
      </c>
      <c r="O318" s="601">
        <v>29.2</v>
      </c>
      <c r="P318" s="670">
        <f t="shared" si="31"/>
        <v>29</v>
      </c>
    </row>
    <row r="319" spans="2:16" x14ac:dyDescent="0.2">
      <c r="B319" s="671">
        <f t="shared" si="33"/>
        <v>42780</v>
      </c>
      <c r="C319" s="605">
        <v>19</v>
      </c>
      <c r="D319" s="605">
        <v>25</v>
      </c>
      <c r="E319" s="605">
        <v>20</v>
      </c>
      <c r="F319" s="605">
        <v>16</v>
      </c>
      <c r="G319" s="605">
        <v>22</v>
      </c>
      <c r="H319" s="669">
        <f t="shared" si="30"/>
        <v>21</v>
      </c>
      <c r="J319" s="662">
        <f t="shared" si="32"/>
        <v>42780</v>
      </c>
      <c r="K319" s="601">
        <v>28.4</v>
      </c>
      <c r="L319" s="601">
        <v>23.15</v>
      </c>
      <c r="M319" s="601">
        <v>28.85</v>
      </c>
      <c r="N319" s="601">
        <v>26.95</v>
      </c>
      <c r="O319" s="601">
        <v>25.45</v>
      </c>
      <c r="P319" s="670">
        <f t="shared" si="31"/>
        <v>26</v>
      </c>
    </row>
    <row r="320" spans="2:16" x14ac:dyDescent="0.2">
      <c r="B320" s="671">
        <f t="shared" si="33"/>
        <v>42781</v>
      </c>
      <c r="C320" s="605">
        <v>26</v>
      </c>
      <c r="D320" s="605">
        <v>23</v>
      </c>
      <c r="E320" s="605">
        <v>25</v>
      </c>
      <c r="F320" s="605">
        <v>23</v>
      </c>
      <c r="G320" s="605">
        <v>27</v>
      </c>
      <c r="H320" s="669">
        <f t="shared" si="30"/>
        <v>25</v>
      </c>
      <c r="J320" s="662">
        <f t="shared" si="32"/>
        <v>42781</v>
      </c>
      <c r="K320" s="601">
        <v>28.75</v>
      </c>
      <c r="L320" s="601">
        <v>22.9</v>
      </c>
      <c r="M320" s="601">
        <v>28.6</v>
      </c>
      <c r="N320" s="601">
        <v>26.45</v>
      </c>
      <c r="O320" s="601">
        <v>25.6</v>
      </c>
      <c r="P320" s="670">
        <f t="shared" si="31"/>
        <v>26</v>
      </c>
    </row>
    <row r="321" spans="2:16" x14ac:dyDescent="0.2">
      <c r="B321" s="671">
        <f t="shared" si="33"/>
        <v>42782</v>
      </c>
      <c r="C321" s="605">
        <v>23</v>
      </c>
      <c r="D321" s="605">
        <v>21</v>
      </c>
      <c r="E321" s="605">
        <v>26</v>
      </c>
      <c r="F321" s="605">
        <v>22</v>
      </c>
      <c r="G321" s="605">
        <v>22</v>
      </c>
      <c r="H321" s="669">
        <f t="shared" si="30"/>
        <v>23</v>
      </c>
      <c r="J321" s="662">
        <f t="shared" si="32"/>
        <v>42782</v>
      </c>
      <c r="K321" s="601">
        <v>28.75</v>
      </c>
      <c r="L321" s="601">
        <v>22.3</v>
      </c>
      <c r="M321" s="601">
        <v>28.1</v>
      </c>
      <c r="N321" s="601">
        <v>26.25</v>
      </c>
      <c r="O321" s="601">
        <v>26.85</v>
      </c>
      <c r="P321" s="670">
        <f t="shared" si="31"/>
        <v>26</v>
      </c>
    </row>
    <row r="322" spans="2:16" x14ac:dyDescent="0.2">
      <c r="B322" s="671">
        <f t="shared" si="33"/>
        <v>42783</v>
      </c>
      <c r="C322" s="605">
        <v>10</v>
      </c>
      <c r="D322" s="605">
        <v>10</v>
      </c>
      <c r="E322" s="605">
        <v>11</v>
      </c>
      <c r="F322" s="605">
        <v>6</v>
      </c>
      <c r="G322" s="605">
        <v>9</v>
      </c>
      <c r="H322" s="669">
        <f t="shared" si="30"/>
        <v>10</v>
      </c>
      <c r="J322" s="662">
        <f t="shared" si="32"/>
        <v>42783</v>
      </c>
      <c r="K322" s="601">
        <v>29.8</v>
      </c>
      <c r="L322" s="601">
        <v>23.7</v>
      </c>
      <c r="M322" s="601">
        <v>28.3</v>
      </c>
      <c r="N322" s="601">
        <v>27.1</v>
      </c>
      <c r="O322" s="601">
        <v>27</v>
      </c>
      <c r="P322" s="670">
        <f t="shared" si="31"/>
        <v>27</v>
      </c>
    </row>
    <row r="323" spans="2:16" x14ac:dyDescent="0.2">
      <c r="B323" s="671">
        <f t="shared" si="33"/>
        <v>42784</v>
      </c>
      <c r="C323" s="605">
        <v>14</v>
      </c>
      <c r="D323" s="605">
        <v>12</v>
      </c>
      <c r="E323" s="605">
        <v>14</v>
      </c>
      <c r="F323" s="605">
        <v>11</v>
      </c>
      <c r="G323" s="605">
        <v>13</v>
      </c>
      <c r="H323" s="669">
        <f t="shared" si="30"/>
        <v>13</v>
      </c>
      <c r="J323" s="662">
        <f t="shared" si="32"/>
        <v>42784</v>
      </c>
      <c r="K323" s="601">
        <v>28.2</v>
      </c>
      <c r="L323" s="601">
        <v>22.55</v>
      </c>
      <c r="M323" s="601">
        <v>28.65</v>
      </c>
      <c r="N323" s="601">
        <v>26.6</v>
      </c>
      <c r="O323" s="601">
        <v>25.05</v>
      </c>
      <c r="P323" s="670">
        <f t="shared" si="31"/>
        <v>26</v>
      </c>
    </row>
    <row r="324" spans="2:16" x14ac:dyDescent="0.2">
      <c r="B324" s="671">
        <f t="shared" si="33"/>
        <v>42785</v>
      </c>
      <c r="C324" s="605">
        <v>14</v>
      </c>
      <c r="D324" s="605">
        <v>7</v>
      </c>
      <c r="E324" s="605">
        <v>15</v>
      </c>
      <c r="F324" s="605">
        <v>13</v>
      </c>
      <c r="G324" s="605">
        <v>12</v>
      </c>
      <c r="H324" s="669">
        <f t="shared" si="30"/>
        <v>12</v>
      </c>
      <c r="J324" s="662">
        <f t="shared" si="32"/>
        <v>42785</v>
      </c>
      <c r="K324" s="601">
        <v>28.1</v>
      </c>
      <c r="L324" s="601">
        <v>22.35</v>
      </c>
      <c r="M324" s="601">
        <v>29.4</v>
      </c>
      <c r="N324" s="601">
        <v>26.8</v>
      </c>
      <c r="O324" s="601">
        <v>25.35</v>
      </c>
      <c r="P324" s="670">
        <f t="shared" si="31"/>
        <v>26</v>
      </c>
    </row>
    <row r="325" spans="2:16" x14ac:dyDescent="0.2">
      <c r="B325" s="671">
        <f t="shared" si="33"/>
        <v>42786</v>
      </c>
      <c r="C325" s="605">
        <v>7</v>
      </c>
      <c r="D325" s="605">
        <v>3</v>
      </c>
      <c r="E325" s="605">
        <v>11</v>
      </c>
      <c r="F325" s="605">
        <v>7</v>
      </c>
      <c r="G325" s="605">
        <v>5</v>
      </c>
      <c r="H325" s="669">
        <f t="shared" si="30"/>
        <v>6</v>
      </c>
      <c r="J325" s="662">
        <f t="shared" si="32"/>
        <v>42786</v>
      </c>
      <c r="K325" s="601">
        <v>23.75</v>
      </c>
      <c r="L325" s="601">
        <v>18.45</v>
      </c>
      <c r="M325" s="601">
        <v>25.65</v>
      </c>
      <c r="N325" s="601">
        <v>22.7</v>
      </c>
      <c r="O325" s="601">
        <v>21</v>
      </c>
      <c r="P325" s="670">
        <f t="shared" si="31"/>
        <v>22</v>
      </c>
    </row>
    <row r="326" spans="2:16" x14ac:dyDescent="0.2">
      <c r="B326" s="671">
        <f t="shared" si="33"/>
        <v>42787</v>
      </c>
      <c r="C326" s="605">
        <v>6</v>
      </c>
      <c r="D326" s="605">
        <v>1</v>
      </c>
      <c r="E326" s="605">
        <v>1</v>
      </c>
      <c r="F326" s="605">
        <v>3</v>
      </c>
      <c r="G326" s="605">
        <v>5</v>
      </c>
      <c r="H326" s="669">
        <f t="shared" si="30"/>
        <v>4</v>
      </c>
      <c r="J326" s="662">
        <f t="shared" si="32"/>
        <v>42787</v>
      </c>
      <c r="K326" s="601">
        <v>24.1</v>
      </c>
      <c r="L326" s="601">
        <v>16.649999999999999</v>
      </c>
      <c r="M326" s="601">
        <v>23.55</v>
      </c>
      <c r="N326" s="601">
        <v>22.6</v>
      </c>
      <c r="O326" s="601">
        <v>21.55</v>
      </c>
      <c r="P326" s="670">
        <f t="shared" si="31"/>
        <v>21</v>
      </c>
    </row>
    <row r="327" spans="2:16" x14ac:dyDescent="0.2">
      <c r="B327" s="671">
        <f t="shared" si="33"/>
        <v>42788</v>
      </c>
      <c r="C327" s="605">
        <v>2</v>
      </c>
      <c r="D327" s="605">
        <v>2</v>
      </c>
      <c r="E327" s="605">
        <v>3</v>
      </c>
      <c r="F327" s="605">
        <v>0</v>
      </c>
      <c r="G327" s="605">
        <v>1</v>
      </c>
      <c r="H327" s="669">
        <f t="shared" si="30"/>
        <v>2</v>
      </c>
      <c r="J327" s="662">
        <f t="shared" si="32"/>
        <v>42788</v>
      </c>
      <c r="K327" s="601">
        <v>25.7</v>
      </c>
      <c r="L327" s="601">
        <v>19.7</v>
      </c>
      <c r="M327" s="601">
        <v>25</v>
      </c>
      <c r="N327" s="601">
        <v>23.6</v>
      </c>
      <c r="O327" s="601">
        <v>23.3</v>
      </c>
      <c r="P327" s="670">
        <f t="shared" si="31"/>
        <v>23</v>
      </c>
    </row>
    <row r="328" spans="2:16" x14ac:dyDescent="0.2">
      <c r="B328" s="671">
        <f t="shared" si="33"/>
        <v>42789</v>
      </c>
      <c r="C328" s="605">
        <v>2</v>
      </c>
      <c r="D328" s="605">
        <v>1</v>
      </c>
      <c r="E328" s="605">
        <v>3</v>
      </c>
      <c r="F328" s="605">
        <v>0</v>
      </c>
      <c r="G328" s="605">
        <v>1</v>
      </c>
      <c r="H328" s="669">
        <f t="shared" si="30"/>
        <v>1</v>
      </c>
      <c r="J328" s="662">
        <f t="shared" si="32"/>
        <v>42789</v>
      </c>
      <c r="K328" s="601">
        <v>26.35</v>
      </c>
      <c r="L328" s="601">
        <v>20.3</v>
      </c>
      <c r="M328" s="601">
        <v>26.45</v>
      </c>
      <c r="N328" s="601">
        <v>24.45</v>
      </c>
      <c r="O328" s="601">
        <v>24.15</v>
      </c>
      <c r="P328" s="670">
        <f t="shared" si="31"/>
        <v>24</v>
      </c>
    </row>
    <row r="329" spans="2:16" x14ac:dyDescent="0.2">
      <c r="B329" s="671">
        <f t="shared" si="33"/>
        <v>42790</v>
      </c>
      <c r="C329" s="605">
        <v>3</v>
      </c>
      <c r="D329" s="605">
        <v>0</v>
      </c>
      <c r="E329" s="605">
        <v>0</v>
      </c>
      <c r="F329" s="605">
        <v>0</v>
      </c>
      <c r="G329" s="605">
        <v>4</v>
      </c>
      <c r="H329" s="669">
        <f t="shared" si="30"/>
        <v>2</v>
      </c>
      <c r="J329" s="662">
        <f t="shared" si="32"/>
        <v>42790</v>
      </c>
      <c r="K329" s="601">
        <v>24.65</v>
      </c>
      <c r="L329" s="601">
        <v>19.25</v>
      </c>
      <c r="M329" s="601">
        <v>25.4</v>
      </c>
      <c r="N329" s="601">
        <v>23.55</v>
      </c>
      <c r="O329" s="601">
        <v>22.9</v>
      </c>
      <c r="P329" s="670">
        <f t="shared" si="31"/>
        <v>23</v>
      </c>
    </row>
    <row r="330" spans="2:16" x14ac:dyDescent="0.2">
      <c r="B330" s="671">
        <f t="shared" si="33"/>
        <v>42791</v>
      </c>
      <c r="C330" s="605">
        <v>27</v>
      </c>
      <c r="D330" s="605">
        <v>17</v>
      </c>
      <c r="E330" s="605">
        <v>20</v>
      </c>
      <c r="F330" s="605">
        <v>22</v>
      </c>
      <c r="G330" s="605">
        <v>28</v>
      </c>
      <c r="H330" s="669">
        <f t="shared" si="30"/>
        <v>24</v>
      </c>
      <c r="J330" s="662">
        <f t="shared" si="32"/>
        <v>42791</v>
      </c>
      <c r="K330" s="601">
        <v>25.55</v>
      </c>
      <c r="L330" s="601">
        <v>19.600000000000001</v>
      </c>
      <c r="M330" s="601">
        <v>25.2</v>
      </c>
      <c r="N330" s="601">
        <v>23.55</v>
      </c>
      <c r="O330" s="601">
        <v>23.6</v>
      </c>
      <c r="P330" s="670">
        <f t="shared" si="31"/>
        <v>23</v>
      </c>
    </row>
    <row r="331" spans="2:16" x14ac:dyDescent="0.2">
      <c r="B331" s="671">
        <f t="shared" si="33"/>
        <v>42792</v>
      </c>
      <c r="C331" s="605">
        <v>27</v>
      </c>
      <c r="D331" s="605">
        <v>23</v>
      </c>
      <c r="E331" s="605">
        <v>29</v>
      </c>
      <c r="F331" s="605">
        <v>26</v>
      </c>
      <c r="G331" s="605">
        <v>26</v>
      </c>
      <c r="H331" s="669">
        <f t="shared" si="30"/>
        <v>26</v>
      </c>
      <c r="J331" s="662">
        <f t="shared" si="32"/>
        <v>42792</v>
      </c>
      <c r="K331" s="601">
        <v>26.5</v>
      </c>
      <c r="L331" s="601">
        <v>21.75</v>
      </c>
      <c r="M331" s="601">
        <v>26.6</v>
      </c>
      <c r="N331" s="601">
        <v>25</v>
      </c>
      <c r="O331" s="601">
        <v>24.5</v>
      </c>
      <c r="P331" s="670">
        <f t="shared" si="31"/>
        <v>25</v>
      </c>
    </row>
    <row r="332" spans="2:16" x14ac:dyDescent="0.2">
      <c r="B332" s="671">
        <f t="shared" si="33"/>
        <v>42793</v>
      </c>
      <c r="C332" s="605">
        <v>13</v>
      </c>
      <c r="D332" s="605">
        <v>11</v>
      </c>
      <c r="E332" s="605">
        <v>14</v>
      </c>
      <c r="F332" s="605">
        <v>13</v>
      </c>
      <c r="G332" s="605">
        <v>9</v>
      </c>
      <c r="H332" s="669">
        <f t="shared" ref="H332:H395" si="34">IFERROR(ROUND((C332*C$70)+(D332*D$70)+(E332*E$70)+(F332*F$70)+(G332*G$70),0),0)</f>
        <v>11</v>
      </c>
      <c r="J332" s="662">
        <f t="shared" si="32"/>
        <v>42793</v>
      </c>
      <c r="K332" s="601">
        <v>25.75</v>
      </c>
      <c r="L332" s="601">
        <v>21.15</v>
      </c>
      <c r="M332" s="601">
        <v>26.1</v>
      </c>
      <c r="N332" s="601">
        <v>24.05</v>
      </c>
      <c r="O332" s="601">
        <v>23.05</v>
      </c>
      <c r="P332" s="670">
        <f t="shared" ref="P332:P395" si="35">IFERROR(ROUND((K332*C$70)+(L332*D$70)+(M332*E$70)+(N332*F$70)+(O332*G$70),0),0)</f>
        <v>24</v>
      </c>
    </row>
    <row r="333" spans="2:16" x14ac:dyDescent="0.2">
      <c r="B333" s="671">
        <f t="shared" si="33"/>
        <v>42794</v>
      </c>
      <c r="C333" s="605">
        <v>4</v>
      </c>
      <c r="D333" s="605">
        <v>5</v>
      </c>
      <c r="E333" s="605">
        <v>10</v>
      </c>
      <c r="F333" s="605">
        <v>7</v>
      </c>
      <c r="G333" s="605">
        <v>2</v>
      </c>
      <c r="H333" s="669">
        <f t="shared" si="34"/>
        <v>5</v>
      </c>
      <c r="J333" s="662">
        <f t="shared" ref="J333:J396" si="36">B333</f>
        <v>42794</v>
      </c>
      <c r="K333" s="601">
        <v>24.25</v>
      </c>
      <c r="L333" s="601">
        <v>19.600000000000001</v>
      </c>
      <c r="M333" s="601">
        <v>25.45</v>
      </c>
      <c r="N333" s="601">
        <v>22.85</v>
      </c>
      <c r="O333" s="601">
        <v>21.5</v>
      </c>
      <c r="P333" s="670">
        <f t="shared" si="35"/>
        <v>22</v>
      </c>
    </row>
    <row r="334" spans="2:16" x14ac:dyDescent="0.2">
      <c r="B334" s="671">
        <f t="shared" ref="B334:B397" si="37">B333+1</f>
        <v>42795</v>
      </c>
      <c r="C334" s="605">
        <v>11</v>
      </c>
      <c r="D334" s="605">
        <v>7</v>
      </c>
      <c r="E334" s="605">
        <v>9</v>
      </c>
      <c r="F334" s="605">
        <v>8</v>
      </c>
      <c r="G334" s="605">
        <v>9</v>
      </c>
      <c r="H334" s="669">
        <f t="shared" si="34"/>
        <v>9</v>
      </c>
      <c r="J334" s="662">
        <f t="shared" si="36"/>
        <v>42795</v>
      </c>
      <c r="K334" s="601">
        <v>23.05</v>
      </c>
      <c r="L334" s="601">
        <v>17.600000000000001</v>
      </c>
      <c r="M334" s="601">
        <v>21.9</v>
      </c>
      <c r="N334" s="601">
        <v>20.399999999999999</v>
      </c>
      <c r="O334" s="601">
        <v>20.65</v>
      </c>
      <c r="P334" s="670">
        <f t="shared" si="35"/>
        <v>21</v>
      </c>
    </row>
    <row r="335" spans="2:16" x14ac:dyDescent="0.2">
      <c r="B335" s="671">
        <f t="shared" si="37"/>
        <v>42796</v>
      </c>
      <c r="C335" s="605">
        <v>23</v>
      </c>
      <c r="D335" s="605">
        <v>19</v>
      </c>
      <c r="E335" s="605">
        <v>25</v>
      </c>
      <c r="F335" s="605">
        <v>23</v>
      </c>
      <c r="G335" s="605">
        <v>20</v>
      </c>
      <c r="H335" s="669">
        <f t="shared" si="34"/>
        <v>21</v>
      </c>
      <c r="J335" s="662">
        <f t="shared" si="36"/>
        <v>42796</v>
      </c>
      <c r="K335" s="601">
        <v>25.25</v>
      </c>
      <c r="L335" s="601">
        <v>19.2</v>
      </c>
      <c r="M335" s="601">
        <v>25.05</v>
      </c>
      <c r="N335" s="601">
        <v>22.95</v>
      </c>
      <c r="O335" s="601">
        <v>23.05</v>
      </c>
      <c r="P335" s="670">
        <f t="shared" si="35"/>
        <v>23</v>
      </c>
    </row>
    <row r="336" spans="2:16" x14ac:dyDescent="0.2">
      <c r="B336" s="671">
        <f t="shared" si="37"/>
        <v>42797</v>
      </c>
      <c r="C336" s="605">
        <v>29</v>
      </c>
      <c r="D336" s="605">
        <v>23</v>
      </c>
      <c r="E336" s="605">
        <v>31</v>
      </c>
      <c r="F336" s="605">
        <v>28</v>
      </c>
      <c r="G336" s="605">
        <v>26</v>
      </c>
      <c r="H336" s="669">
        <f t="shared" si="34"/>
        <v>27</v>
      </c>
      <c r="J336" s="662">
        <f t="shared" si="36"/>
        <v>42797</v>
      </c>
      <c r="K336" s="601">
        <v>28.7</v>
      </c>
      <c r="L336" s="601">
        <v>23</v>
      </c>
      <c r="M336" s="601">
        <v>29.2</v>
      </c>
      <c r="N336" s="601">
        <v>27.1</v>
      </c>
      <c r="O336" s="601">
        <v>26.7</v>
      </c>
      <c r="P336" s="670">
        <f t="shared" si="35"/>
        <v>27</v>
      </c>
    </row>
    <row r="337" spans="2:16" x14ac:dyDescent="0.2">
      <c r="B337" s="671">
        <f t="shared" si="37"/>
        <v>42798</v>
      </c>
      <c r="C337" s="605">
        <v>16</v>
      </c>
      <c r="D337" s="605">
        <v>16</v>
      </c>
      <c r="E337" s="605">
        <v>24</v>
      </c>
      <c r="F337" s="605">
        <v>20</v>
      </c>
      <c r="G337" s="605">
        <v>15</v>
      </c>
      <c r="H337" s="669">
        <f t="shared" si="34"/>
        <v>17</v>
      </c>
      <c r="J337" s="662">
        <f t="shared" si="36"/>
        <v>42798</v>
      </c>
      <c r="K337" s="601">
        <v>25.5</v>
      </c>
      <c r="L337" s="601">
        <v>20.8</v>
      </c>
      <c r="M337" s="601">
        <v>27.15</v>
      </c>
      <c r="N337" s="601">
        <v>24.75</v>
      </c>
      <c r="O337" s="601">
        <v>24.15</v>
      </c>
      <c r="P337" s="670">
        <f t="shared" si="35"/>
        <v>24</v>
      </c>
    </row>
    <row r="338" spans="2:16" x14ac:dyDescent="0.2">
      <c r="B338" s="671">
        <f t="shared" si="37"/>
        <v>42799</v>
      </c>
      <c r="C338" s="605">
        <v>14</v>
      </c>
      <c r="D338" s="605">
        <v>9</v>
      </c>
      <c r="E338" s="605">
        <v>14</v>
      </c>
      <c r="F338" s="605">
        <v>12</v>
      </c>
      <c r="G338" s="605">
        <v>10</v>
      </c>
      <c r="H338" s="669">
        <f t="shared" si="34"/>
        <v>11</v>
      </c>
      <c r="J338" s="662">
        <f t="shared" si="36"/>
        <v>42799</v>
      </c>
      <c r="K338" s="601">
        <v>23.4</v>
      </c>
      <c r="L338" s="601">
        <v>19.5</v>
      </c>
      <c r="M338" s="601">
        <v>25.65</v>
      </c>
      <c r="N338" s="601">
        <v>22.6</v>
      </c>
      <c r="O338" s="601">
        <v>21.55</v>
      </c>
      <c r="P338" s="670">
        <f t="shared" si="35"/>
        <v>22</v>
      </c>
    </row>
    <row r="339" spans="2:16" x14ac:dyDescent="0.2">
      <c r="B339" s="671">
        <f t="shared" si="37"/>
        <v>42800</v>
      </c>
      <c r="C339" s="605">
        <v>7</v>
      </c>
      <c r="D339" s="605">
        <v>2</v>
      </c>
      <c r="E339" s="605">
        <v>7</v>
      </c>
      <c r="F339" s="605">
        <v>6</v>
      </c>
      <c r="G339" s="605">
        <v>4</v>
      </c>
      <c r="H339" s="669">
        <f t="shared" si="34"/>
        <v>5</v>
      </c>
      <c r="J339" s="662">
        <f t="shared" si="36"/>
        <v>42800</v>
      </c>
      <c r="K339" s="601">
        <v>23.1</v>
      </c>
      <c r="L339" s="601">
        <v>18.899999999999999</v>
      </c>
      <c r="M339" s="601">
        <v>25.35</v>
      </c>
      <c r="N339" s="601">
        <v>21.9</v>
      </c>
      <c r="O339" s="601">
        <v>21.25</v>
      </c>
      <c r="P339" s="670">
        <f t="shared" si="35"/>
        <v>22</v>
      </c>
    </row>
    <row r="340" spans="2:16" x14ac:dyDescent="0.2">
      <c r="B340" s="671">
        <f t="shared" si="37"/>
        <v>42801</v>
      </c>
      <c r="C340" s="605">
        <v>12</v>
      </c>
      <c r="D340" s="605">
        <v>7</v>
      </c>
      <c r="E340" s="605">
        <v>11</v>
      </c>
      <c r="F340" s="605">
        <v>8</v>
      </c>
      <c r="G340" s="605">
        <v>11</v>
      </c>
      <c r="H340" s="669">
        <f t="shared" si="34"/>
        <v>10</v>
      </c>
      <c r="J340" s="662">
        <f t="shared" si="36"/>
        <v>42801</v>
      </c>
      <c r="K340" s="601">
        <v>18.850000000000001</v>
      </c>
      <c r="L340" s="601">
        <v>15.4</v>
      </c>
      <c r="M340" s="601">
        <v>20.3</v>
      </c>
      <c r="N340" s="601">
        <v>17.45</v>
      </c>
      <c r="O340" s="601">
        <v>17.25</v>
      </c>
      <c r="P340" s="670">
        <f t="shared" si="35"/>
        <v>18</v>
      </c>
    </row>
    <row r="341" spans="2:16" x14ac:dyDescent="0.2">
      <c r="B341" s="671">
        <f t="shared" si="37"/>
        <v>42802</v>
      </c>
      <c r="C341" s="605">
        <v>13</v>
      </c>
      <c r="D341" s="605">
        <v>12</v>
      </c>
      <c r="E341" s="605">
        <v>14</v>
      </c>
      <c r="F341" s="605">
        <v>9</v>
      </c>
      <c r="G341" s="605">
        <v>13</v>
      </c>
      <c r="H341" s="669">
        <f t="shared" si="34"/>
        <v>13</v>
      </c>
      <c r="J341" s="662">
        <f t="shared" si="36"/>
        <v>42802</v>
      </c>
      <c r="K341" s="601">
        <v>17.5</v>
      </c>
      <c r="L341" s="601">
        <v>13.3</v>
      </c>
      <c r="M341" s="601">
        <v>18.05</v>
      </c>
      <c r="N341" s="601">
        <v>15.8</v>
      </c>
      <c r="O341" s="601">
        <v>15.95</v>
      </c>
      <c r="P341" s="670">
        <f t="shared" si="35"/>
        <v>16</v>
      </c>
    </row>
    <row r="342" spans="2:16" x14ac:dyDescent="0.2">
      <c r="B342" s="671">
        <f t="shared" si="37"/>
        <v>42803</v>
      </c>
      <c r="C342" s="605">
        <v>6</v>
      </c>
      <c r="D342" s="605">
        <v>8</v>
      </c>
      <c r="E342" s="605">
        <v>8</v>
      </c>
      <c r="F342" s="605">
        <v>6</v>
      </c>
      <c r="G342" s="605">
        <v>7</v>
      </c>
      <c r="H342" s="669">
        <f t="shared" si="34"/>
        <v>7</v>
      </c>
      <c r="J342" s="662">
        <f t="shared" si="36"/>
        <v>42803</v>
      </c>
      <c r="K342" s="601">
        <v>20</v>
      </c>
      <c r="L342" s="601">
        <v>14.35</v>
      </c>
      <c r="M342" s="601">
        <v>18.75</v>
      </c>
      <c r="N342" s="601">
        <v>17.5</v>
      </c>
      <c r="O342" s="601">
        <v>17.55</v>
      </c>
      <c r="P342" s="670">
        <f t="shared" si="35"/>
        <v>18</v>
      </c>
    </row>
    <row r="343" spans="2:16" x14ac:dyDescent="0.2">
      <c r="B343" s="671">
        <f t="shared" si="37"/>
        <v>42804</v>
      </c>
      <c r="C343" s="605">
        <v>20</v>
      </c>
      <c r="D343" s="605">
        <v>17</v>
      </c>
      <c r="E343" s="605">
        <v>20</v>
      </c>
      <c r="F343" s="605">
        <v>19</v>
      </c>
      <c r="G343" s="605">
        <v>18</v>
      </c>
      <c r="H343" s="669">
        <f t="shared" si="34"/>
        <v>19</v>
      </c>
      <c r="J343" s="662">
        <f t="shared" si="36"/>
        <v>42804</v>
      </c>
      <c r="K343" s="601">
        <v>20.25</v>
      </c>
      <c r="L343" s="601">
        <v>15.1</v>
      </c>
      <c r="M343" s="601">
        <v>20.7</v>
      </c>
      <c r="N343" s="601">
        <v>18.600000000000001</v>
      </c>
      <c r="O343" s="601">
        <v>18.5</v>
      </c>
      <c r="P343" s="670">
        <f t="shared" si="35"/>
        <v>18</v>
      </c>
    </row>
    <row r="344" spans="2:16" x14ac:dyDescent="0.2">
      <c r="B344" s="671">
        <f t="shared" si="37"/>
        <v>42805</v>
      </c>
      <c r="C344" s="605">
        <v>29</v>
      </c>
      <c r="D344" s="605">
        <v>30</v>
      </c>
      <c r="E344" s="605">
        <v>32</v>
      </c>
      <c r="F344" s="605">
        <v>30</v>
      </c>
      <c r="G344" s="605">
        <v>29</v>
      </c>
      <c r="H344" s="669">
        <f t="shared" si="34"/>
        <v>30</v>
      </c>
      <c r="J344" s="662">
        <f t="shared" si="36"/>
        <v>42805</v>
      </c>
      <c r="K344" s="601">
        <v>20.95</v>
      </c>
      <c r="L344" s="601">
        <v>15.7</v>
      </c>
      <c r="M344" s="601">
        <v>21.15</v>
      </c>
      <c r="N344" s="601">
        <v>18.850000000000001</v>
      </c>
      <c r="O344" s="601">
        <v>18.649999999999999</v>
      </c>
      <c r="P344" s="670">
        <f t="shared" si="35"/>
        <v>19</v>
      </c>
    </row>
    <row r="345" spans="2:16" x14ac:dyDescent="0.2">
      <c r="B345" s="671">
        <f t="shared" si="37"/>
        <v>42806</v>
      </c>
      <c r="C345" s="605">
        <v>30</v>
      </c>
      <c r="D345" s="605">
        <v>23</v>
      </c>
      <c r="E345" s="605">
        <v>33</v>
      </c>
      <c r="F345" s="605">
        <v>31</v>
      </c>
      <c r="G345" s="605">
        <v>28</v>
      </c>
      <c r="H345" s="669">
        <f t="shared" si="34"/>
        <v>28</v>
      </c>
      <c r="J345" s="662">
        <f t="shared" si="36"/>
        <v>42806</v>
      </c>
      <c r="K345" s="601">
        <v>18.75</v>
      </c>
      <c r="L345" s="601">
        <v>14.3</v>
      </c>
      <c r="M345" s="601">
        <v>20.05</v>
      </c>
      <c r="N345" s="601">
        <v>17.7</v>
      </c>
      <c r="O345" s="601">
        <v>16.399999999999999</v>
      </c>
      <c r="P345" s="670">
        <f t="shared" si="35"/>
        <v>17</v>
      </c>
    </row>
    <row r="346" spans="2:16" x14ac:dyDescent="0.2">
      <c r="B346" s="671">
        <f t="shared" si="37"/>
        <v>42807</v>
      </c>
      <c r="C346" s="605">
        <v>31</v>
      </c>
      <c r="D346" s="605">
        <v>27</v>
      </c>
      <c r="E346" s="605">
        <v>25</v>
      </c>
      <c r="F346" s="605">
        <v>28</v>
      </c>
      <c r="G346" s="605">
        <v>29</v>
      </c>
      <c r="H346" s="669">
        <f t="shared" si="34"/>
        <v>28</v>
      </c>
      <c r="J346" s="662">
        <f t="shared" si="36"/>
        <v>42807</v>
      </c>
      <c r="K346" s="601">
        <v>18.55</v>
      </c>
      <c r="L346" s="601">
        <v>14.65</v>
      </c>
      <c r="M346" s="601">
        <v>19.350000000000001</v>
      </c>
      <c r="N346" s="601">
        <v>17.350000000000001</v>
      </c>
      <c r="O346" s="601">
        <v>16.100000000000001</v>
      </c>
      <c r="P346" s="670">
        <f t="shared" si="35"/>
        <v>17</v>
      </c>
    </row>
    <row r="347" spans="2:16" x14ac:dyDescent="0.2">
      <c r="B347" s="671">
        <f t="shared" si="37"/>
        <v>42808</v>
      </c>
      <c r="C347" s="605">
        <v>34</v>
      </c>
      <c r="D347" s="605">
        <v>31</v>
      </c>
      <c r="E347" s="605">
        <v>36</v>
      </c>
      <c r="F347" s="605">
        <v>33</v>
      </c>
      <c r="G347" s="605">
        <v>32</v>
      </c>
      <c r="H347" s="669">
        <f t="shared" si="34"/>
        <v>33</v>
      </c>
      <c r="J347" s="662">
        <f t="shared" si="36"/>
        <v>42808</v>
      </c>
      <c r="K347" s="601">
        <v>18.8</v>
      </c>
      <c r="L347" s="601">
        <v>14.8</v>
      </c>
      <c r="M347" s="601">
        <v>19.850000000000001</v>
      </c>
      <c r="N347" s="601">
        <v>17.399999999999999</v>
      </c>
      <c r="O347" s="601">
        <v>16.850000000000001</v>
      </c>
      <c r="P347" s="670">
        <f t="shared" si="35"/>
        <v>17</v>
      </c>
    </row>
    <row r="348" spans="2:16" x14ac:dyDescent="0.2">
      <c r="B348" s="671">
        <f t="shared" si="37"/>
        <v>42809</v>
      </c>
      <c r="C348" s="605">
        <v>35</v>
      </c>
      <c r="D348" s="605">
        <v>33</v>
      </c>
      <c r="E348" s="605">
        <v>38</v>
      </c>
      <c r="F348" s="605">
        <v>34</v>
      </c>
      <c r="G348" s="605">
        <v>34</v>
      </c>
      <c r="H348" s="669">
        <f t="shared" si="34"/>
        <v>35</v>
      </c>
      <c r="J348" s="662">
        <f t="shared" si="36"/>
        <v>42809</v>
      </c>
      <c r="K348" s="601">
        <v>17.5</v>
      </c>
      <c r="L348" s="601">
        <v>12.6</v>
      </c>
      <c r="M348" s="601">
        <v>17.3</v>
      </c>
      <c r="N348" s="601">
        <v>15.7</v>
      </c>
      <c r="O348" s="601">
        <v>15.75</v>
      </c>
      <c r="P348" s="670">
        <f t="shared" si="35"/>
        <v>16</v>
      </c>
    </row>
    <row r="349" spans="2:16" x14ac:dyDescent="0.2">
      <c r="B349" s="671">
        <f t="shared" si="37"/>
        <v>42810</v>
      </c>
      <c r="C349" s="605">
        <v>31</v>
      </c>
      <c r="D349" s="605">
        <v>29</v>
      </c>
      <c r="E349" s="605">
        <v>35</v>
      </c>
      <c r="F349" s="605">
        <v>30</v>
      </c>
      <c r="G349" s="605">
        <v>31</v>
      </c>
      <c r="H349" s="669">
        <f t="shared" si="34"/>
        <v>31</v>
      </c>
      <c r="J349" s="662">
        <f t="shared" si="36"/>
        <v>42810</v>
      </c>
      <c r="K349" s="601">
        <v>16.649999999999999</v>
      </c>
      <c r="L349" s="601">
        <v>12.8</v>
      </c>
      <c r="M349" s="601">
        <v>17.55</v>
      </c>
      <c r="N349" s="601">
        <v>14.65</v>
      </c>
      <c r="O349" s="601">
        <v>15.5</v>
      </c>
      <c r="P349" s="670">
        <f t="shared" si="35"/>
        <v>15</v>
      </c>
    </row>
    <row r="350" spans="2:16" x14ac:dyDescent="0.2">
      <c r="B350" s="671">
        <f t="shared" si="37"/>
        <v>42811</v>
      </c>
      <c r="C350" s="605">
        <v>16</v>
      </c>
      <c r="D350" s="605">
        <v>11</v>
      </c>
      <c r="E350" s="605">
        <v>25</v>
      </c>
      <c r="F350" s="605">
        <v>20</v>
      </c>
      <c r="G350" s="605">
        <v>12</v>
      </c>
      <c r="H350" s="669">
        <f t="shared" si="34"/>
        <v>15</v>
      </c>
      <c r="J350" s="662">
        <f t="shared" si="36"/>
        <v>42811</v>
      </c>
      <c r="K350" s="601">
        <v>16.75</v>
      </c>
      <c r="L350" s="601">
        <v>12.45</v>
      </c>
      <c r="M350" s="601">
        <v>18.05</v>
      </c>
      <c r="N350" s="601">
        <v>15.25</v>
      </c>
      <c r="O350" s="601">
        <v>14.9</v>
      </c>
      <c r="P350" s="670">
        <f t="shared" si="35"/>
        <v>15</v>
      </c>
    </row>
    <row r="351" spans="2:16" x14ac:dyDescent="0.2">
      <c r="B351" s="671">
        <f t="shared" si="37"/>
        <v>42812</v>
      </c>
      <c r="C351" s="605">
        <v>24</v>
      </c>
      <c r="D351" s="605">
        <v>12</v>
      </c>
      <c r="E351" s="605">
        <v>21</v>
      </c>
      <c r="F351" s="605">
        <v>20</v>
      </c>
      <c r="G351" s="605">
        <v>14</v>
      </c>
      <c r="H351" s="669">
        <f t="shared" si="34"/>
        <v>17</v>
      </c>
      <c r="J351" s="662">
        <f t="shared" si="36"/>
        <v>42812</v>
      </c>
      <c r="K351" s="601">
        <v>16.2</v>
      </c>
      <c r="L351" s="601">
        <v>10.9</v>
      </c>
      <c r="M351" s="601">
        <v>16</v>
      </c>
      <c r="N351" s="601">
        <v>13.8</v>
      </c>
      <c r="O351" s="601">
        <v>13.45</v>
      </c>
      <c r="P351" s="670">
        <f t="shared" si="35"/>
        <v>14</v>
      </c>
    </row>
    <row r="352" spans="2:16" x14ac:dyDescent="0.2">
      <c r="B352" s="671">
        <f t="shared" si="37"/>
        <v>42813</v>
      </c>
      <c r="C352" s="605">
        <v>23</v>
      </c>
      <c r="D352" s="605">
        <v>17</v>
      </c>
      <c r="E352" s="605">
        <v>23</v>
      </c>
      <c r="F352" s="605">
        <v>21</v>
      </c>
      <c r="G352" s="605">
        <v>19</v>
      </c>
      <c r="H352" s="669">
        <f t="shared" si="34"/>
        <v>20</v>
      </c>
      <c r="J352" s="662">
        <f t="shared" si="36"/>
        <v>42813</v>
      </c>
      <c r="K352" s="601">
        <v>16.45</v>
      </c>
      <c r="L352" s="601">
        <v>11.4</v>
      </c>
      <c r="M352" s="601">
        <v>17.05</v>
      </c>
      <c r="N352" s="601">
        <v>15.1</v>
      </c>
      <c r="O352" s="601">
        <v>14.25</v>
      </c>
      <c r="P352" s="670">
        <f t="shared" si="35"/>
        <v>15</v>
      </c>
    </row>
    <row r="353" spans="2:16" x14ac:dyDescent="0.2">
      <c r="B353" s="671">
        <f t="shared" si="37"/>
        <v>42814</v>
      </c>
      <c r="C353" s="605">
        <v>1</v>
      </c>
      <c r="D353" s="605">
        <v>1</v>
      </c>
      <c r="E353" s="605">
        <v>14</v>
      </c>
      <c r="F353" s="605">
        <v>8</v>
      </c>
      <c r="G353" s="605">
        <v>1</v>
      </c>
      <c r="H353" s="669">
        <f t="shared" si="34"/>
        <v>3</v>
      </c>
      <c r="J353" s="662">
        <f t="shared" si="36"/>
        <v>42814</v>
      </c>
      <c r="K353" s="601">
        <v>16.2</v>
      </c>
      <c r="L353" s="601">
        <v>11.95</v>
      </c>
      <c r="M353" s="601">
        <v>16.600000000000001</v>
      </c>
      <c r="N353" s="601">
        <v>14.15</v>
      </c>
      <c r="O353" s="601">
        <v>14.85</v>
      </c>
      <c r="P353" s="670">
        <f t="shared" si="35"/>
        <v>15</v>
      </c>
    </row>
    <row r="354" spans="2:16" x14ac:dyDescent="0.2">
      <c r="B354" s="671">
        <f t="shared" si="37"/>
        <v>42815</v>
      </c>
      <c r="C354" s="605">
        <v>8</v>
      </c>
      <c r="D354" s="605">
        <v>0</v>
      </c>
      <c r="E354" s="605">
        <v>10</v>
      </c>
      <c r="F354" s="605">
        <v>7</v>
      </c>
      <c r="G354" s="605">
        <v>7</v>
      </c>
      <c r="H354" s="669">
        <f t="shared" si="34"/>
        <v>6</v>
      </c>
      <c r="J354" s="662">
        <f t="shared" si="36"/>
        <v>42815</v>
      </c>
      <c r="K354" s="601">
        <v>16.45</v>
      </c>
      <c r="L354" s="601">
        <v>13.95</v>
      </c>
      <c r="M354" s="601">
        <v>17.649999999999999</v>
      </c>
      <c r="N354" s="601">
        <v>15.1</v>
      </c>
      <c r="O354" s="601">
        <v>15.55</v>
      </c>
      <c r="P354" s="670">
        <f t="shared" si="35"/>
        <v>16</v>
      </c>
    </row>
    <row r="355" spans="2:16" x14ac:dyDescent="0.2">
      <c r="B355" s="671">
        <f t="shared" si="37"/>
        <v>42816</v>
      </c>
      <c r="C355" s="605">
        <v>20</v>
      </c>
      <c r="D355" s="605">
        <v>14</v>
      </c>
      <c r="E355" s="605">
        <v>26</v>
      </c>
      <c r="F355" s="605">
        <v>21</v>
      </c>
      <c r="G355" s="605">
        <v>16</v>
      </c>
      <c r="H355" s="669">
        <f t="shared" si="34"/>
        <v>18</v>
      </c>
      <c r="J355" s="662">
        <f t="shared" si="36"/>
        <v>42816</v>
      </c>
      <c r="K355" s="601">
        <v>18.55</v>
      </c>
      <c r="L355" s="601">
        <v>13.95</v>
      </c>
      <c r="M355" s="601">
        <v>19.8</v>
      </c>
      <c r="N355" s="601">
        <v>16.95</v>
      </c>
      <c r="O355" s="601">
        <v>15.85</v>
      </c>
      <c r="P355" s="670">
        <f t="shared" si="35"/>
        <v>17</v>
      </c>
    </row>
    <row r="356" spans="2:16" x14ac:dyDescent="0.2">
      <c r="B356" s="671">
        <f t="shared" si="37"/>
        <v>42817</v>
      </c>
      <c r="C356" s="605">
        <v>22</v>
      </c>
      <c r="D356" s="605">
        <v>10</v>
      </c>
      <c r="E356" s="605">
        <v>18</v>
      </c>
      <c r="F356" s="605">
        <v>16</v>
      </c>
      <c r="G356" s="605">
        <v>15</v>
      </c>
      <c r="H356" s="669">
        <f t="shared" si="34"/>
        <v>16</v>
      </c>
      <c r="J356" s="662">
        <f t="shared" si="36"/>
        <v>42817</v>
      </c>
      <c r="K356" s="601">
        <v>16.149999999999999</v>
      </c>
      <c r="L356" s="601">
        <v>11.95</v>
      </c>
      <c r="M356" s="601">
        <v>17.399999999999999</v>
      </c>
      <c r="N356" s="601">
        <v>14.75</v>
      </c>
      <c r="O356" s="601">
        <v>14.5</v>
      </c>
      <c r="P356" s="670">
        <f t="shared" si="35"/>
        <v>15</v>
      </c>
    </row>
    <row r="357" spans="2:16" x14ac:dyDescent="0.2">
      <c r="B357" s="671">
        <f t="shared" si="37"/>
        <v>42818</v>
      </c>
      <c r="C357" s="605">
        <v>1</v>
      </c>
      <c r="D357" s="605">
        <v>0</v>
      </c>
      <c r="E357" s="605">
        <v>0</v>
      </c>
      <c r="F357" s="605">
        <v>0</v>
      </c>
      <c r="G357" s="605">
        <v>0</v>
      </c>
      <c r="H357" s="669">
        <f t="shared" si="34"/>
        <v>0</v>
      </c>
      <c r="J357" s="662">
        <f t="shared" si="36"/>
        <v>42818</v>
      </c>
      <c r="K357" s="601">
        <v>15.15</v>
      </c>
      <c r="L357" s="601">
        <v>12.15</v>
      </c>
      <c r="M357" s="601">
        <v>15.75</v>
      </c>
      <c r="N357" s="601">
        <v>13.5</v>
      </c>
      <c r="O357" s="601">
        <v>12.8</v>
      </c>
      <c r="P357" s="670">
        <f t="shared" si="35"/>
        <v>14</v>
      </c>
    </row>
    <row r="358" spans="2:16" x14ac:dyDescent="0.2">
      <c r="B358" s="671">
        <f t="shared" si="37"/>
        <v>42819</v>
      </c>
      <c r="C358" s="605">
        <v>0</v>
      </c>
      <c r="D358" s="605">
        <v>0</v>
      </c>
      <c r="E358" s="605">
        <v>0</v>
      </c>
      <c r="F358" s="605">
        <v>0</v>
      </c>
      <c r="G358" s="605">
        <v>3</v>
      </c>
      <c r="H358" s="669">
        <f t="shared" si="34"/>
        <v>1</v>
      </c>
      <c r="J358" s="662">
        <f t="shared" si="36"/>
        <v>42819</v>
      </c>
      <c r="K358" s="601">
        <v>14.95</v>
      </c>
      <c r="L358" s="601">
        <v>11.8</v>
      </c>
      <c r="M358" s="601">
        <v>15</v>
      </c>
      <c r="N358" s="601">
        <v>13.35</v>
      </c>
      <c r="O358" s="601">
        <v>13.35</v>
      </c>
      <c r="P358" s="670">
        <f t="shared" si="35"/>
        <v>14</v>
      </c>
    </row>
    <row r="359" spans="2:16" x14ac:dyDescent="0.2">
      <c r="B359" s="671">
        <f t="shared" si="37"/>
        <v>42820</v>
      </c>
      <c r="C359" s="605">
        <v>8</v>
      </c>
      <c r="D359" s="605">
        <v>0</v>
      </c>
      <c r="E359" s="605">
        <v>2</v>
      </c>
      <c r="F359" s="605">
        <v>0</v>
      </c>
      <c r="G359" s="605">
        <v>6</v>
      </c>
      <c r="H359" s="669">
        <f t="shared" si="34"/>
        <v>4</v>
      </c>
      <c r="J359" s="662">
        <f t="shared" si="36"/>
        <v>42820</v>
      </c>
      <c r="K359" s="601">
        <v>16.55</v>
      </c>
      <c r="L359" s="601">
        <v>11.85</v>
      </c>
      <c r="M359" s="601">
        <v>17.25</v>
      </c>
      <c r="N359" s="601">
        <v>15</v>
      </c>
      <c r="O359" s="601">
        <v>15.55</v>
      </c>
      <c r="P359" s="670">
        <f t="shared" si="35"/>
        <v>15</v>
      </c>
    </row>
    <row r="360" spans="2:16" x14ac:dyDescent="0.2">
      <c r="B360" s="671">
        <f t="shared" si="37"/>
        <v>42821</v>
      </c>
      <c r="C360" s="605">
        <v>6</v>
      </c>
      <c r="D360" s="605">
        <v>0</v>
      </c>
      <c r="E360" s="605">
        <v>2</v>
      </c>
      <c r="F360" s="605">
        <v>3</v>
      </c>
      <c r="G360" s="605">
        <v>6</v>
      </c>
      <c r="H360" s="669">
        <f t="shared" si="34"/>
        <v>4</v>
      </c>
      <c r="J360" s="662">
        <f t="shared" si="36"/>
        <v>42821</v>
      </c>
      <c r="K360" s="601">
        <v>14.6</v>
      </c>
      <c r="L360" s="601">
        <v>11.45</v>
      </c>
      <c r="M360" s="601">
        <v>15.3</v>
      </c>
      <c r="N360" s="601">
        <v>13.7</v>
      </c>
      <c r="O360" s="601">
        <v>13</v>
      </c>
      <c r="P360" s="670">
        <f t="shared" si="35"/>
        <v>13</v>
      </c>
    </row>
    <row r="361" spans="2:16" x14ac:dyDescent="0.2">
      <c r="B361" s="671">
        <f t="shared" si="37"/>
        <v>42822</v>
      </c>
      <c r="C361" s="605">
        <v>8</v>
      </c>
      <c r="D361" s="605">
        <v>0</v>
      </c>
      <c r="E361" s="605">
        <v>7</v>
      </c>
      <c r="F361" s="605">
        <v>2</v>
      </c>
      <c r="G361" s="605">
        <v>7</v>
      </c>
      <c r="H361" s="669">
        <f t="shared" si="34"/>
        <v>5</v>
      </c>
      <c r="J361" s="662">
        <f t="shared" si="36"/>
        <v>42822</v>
      </c>
      <c r="K361" s="601">
        <v>13.95</v>
      </c>
      <c r="L361" s="601">
        <v>10.15</v>
      </c>
      <c r="M361" s="601">
        <v>13.9</v>
      </c>
      <c r="N361" s="601">
        <v>11.7</v>
      </c>
      <c r="O361" s="601">
        <v>11.95</v>
      </c>
      <c r="P361" s="670">
        <f t="shared" si="35"/>
        <v>12</v>
      </c>
    </row>
    <row r="362" spans="2:16" x14ac:dyDescent="0.2">
      <c r="B362" s="671">
        <f t="shared" si="37"/>
        <v>42823</v>
      </c>
      <c r="C362" s="605">
        <v>5</v>
      </c>
      <c r="D362" s="605">
        <v>0</v>
      </c>
      <c r="E362" s="605">
        <v>8</v>
      </c>
      <c r="F362" s="605">
        <v>4</v>
      </c>
      <c r="G362" s="605">
        <v>3</v>
      </c>
      <c r="H362" s="669">
        <f t="shared" si="34"/>
        <v>4</v>
      </c>
      <c r="J362" s="662">
        <f t="shared" si="36"/>
        <v>42823</v>
      </c>
      <c r="K362" s="601">
        <v>14.3</v>
      </c>
      <c r="L362" s="601">
        <v>11.6</v>
      </c>
      <c r="M362" s="601">
        <v>16</v>
      </c>
      <c r="N362" s="601">
        <v>13.2</v>
      </c>
      <c r="O362" s="601">
        <v>13.3</v>
      </c>
      <c r="P362" s="670">
        <f t="shared" si="35"/>
        <v>14</v>
      </c>
    </row>
    <row r="363" spans="2:16" x14ac:dyDescent="0.2">
      <c r="B363" s="671">
        <f t="shared" si="37"/>
        <v>42824</v>
      </c>
      <c r="C363" s="605">
        <v>0</v>
      </c>
      <c r="D363" s="605">
        <v>0</v>
      </c>
      <c r="E363" s="605">
        <v>0</v>
      </c>
      <c r="F363" s="605">
        <v>0</v>
      </c>
      <c r="G363" s="605">
        <v>0</v>
      </c>
      <c r="H363" s="669">
        <f t="shared" si="34"/>
        <v>0</v>
      </c>
      <c r="J363" s="662">
        <f t="shared" si="36"/>
        <v>42824</v>
      </c>
      <c r="K363" s="601">
        <v>11.95</v>
      </c>
      <c r="L363" s="601">
        <v>10.1</v>
      </c>
      <c r="M363" s="601">
        <v>12.9</v>
      </c>
      <c r="N363" s="601">
        <v>11.1</v>
      </c>
      <c r="O363" s="601">
        <v>11.2</v>
      </c>
      <c r="P363" s="670">
        <f t="shared" si="35"/>
        <v>11</v>
      </c>
    </row>
    <row r="364" spans="2:16" x14ac:dyDescent="0.2">
      <c r="B364" s="671">
        <f t="shared" si="37"/>
        <v>42825</v>
      </c>
      <c r="C364" s="605">
        <v>15</v>
      </c>
      <c r="D364" s="605">
        <v>7</v>
      </c>
      <c r="E364" s="605">
        <v>12</v>
      </c>
      <c r="F364" s="605">
        <v>11</v>
      </c>
      <c r="G364" s="605">
        <v>11</v>
      </c>
      <c r="H364" s="669">
        <f t="shared" si="34"/>
        <v>11</v>
      </c>
      <c r="J364" s="662">
        <f t="shared" si="36"/>
        <v>42825</v>
      </c>
      <c r="K364" s="601">
        <v>10.1</v>
      </c>
      <c r="L364" s="601">
        <v>8.4499999999999993</v>
      </c>
      <c r="M364" s="601">
        <v>11.75</v>
      </c>
      <c r="N364" s="601">
        <v>8.8000000000000007</v>
      </c>
      <c r="O364" s="601">
        <v>8.4499999999999993</v>
      </c>
      <c r="P364" s="670">
        <f t="shared" si="35"/>
        <v>9</v>
      </c>
    </row>
    <row r="365" spans="2:16" x14ac:dyDescent="0.2">
      <c r="B365" s="671">
        <f t="shared" si="37"/>
        <v>42826</v>
      </c>
      <c r="C365" s="605">
        <v>17</v>
      </c>
      <c r="D365" s="605">
        <v>11</v>
      </c>
      <c r="E365" s="605">
        <v>19</v>
      </c>
      <c r="F365" s="605">
        <v>15</v>
      </c>
      <c r="G365" s="605">
        <v>11</v>
      </c>
      <c r="H365" s="669">
        <f t="shared" si="34"/>
        <v>14</v>
      </c>
      <c r="J365" s="662">
        <f t="shared" si="36"/>
        <v>42826</v>
      </c>
      <c r="K365" s="601">
        <v>11.25</v>
      </c>
      <c r="L365" s="601">
        <v>7.5</v>
      </c>
      <c r="M365" s="601">
        <v>12.15</v>
      </c>
      <c r="N365" s="601">
        <v>9.3000000000000007</v>
      </c>
      <c r="O365" s="601">
        <v>9.0500000000000007</v>
      </c>
      <c r="P365" s="670">
        <f t="shared" si="35"/>
        <v>10</v>
      </c>
    </row>
    <row r="366" spans="2:16" x14ac:dyDescent="0.2">
      <c r="B366" s="671">
        <f t="shared" si="37"/>
        <v>42827</v>
      </c>
      <c r="C366" s="605">
        <v>10</v>
      </c>
      <c r="D366" s="605">
        <v>2</v>
      </c>
      <c r="E366" s="605">
        <v>9</v>
      </c>
      <c r="F366" s="605">
        <v>7</v>
      </c>
      <c r="G366" s="605">
        <v>7</v>
      </c>
      <c r="H366" s="669">
        <f t="shared" si="34"/>
        <v>7</v>
      </c>
      <c r="J366" s="662">
        <f t="shared" si="36"/>
        <v>42827</v>
      </c>
      <c r="K366" s="601">
        <v>8.85</v>
      </c>
      <c r="L366" s="601">
        <v>5.2</v>
      </c>
      <c r="M366" s="601">
        <v>10.15</v>
      </c>
      <c r="N366" s="601">
        <v>7.55</v>
      </c>
      <c r="O366" s="601">
        <v>6.85</v>
      </c>
      <c r="P366" s="670">
        <f t="shared" si="35"/>
        <v>7</v>
      </c>
    </row>
    <row r="367" spans="2:16" x14ac:dyDescent="0.2">
      <c r="B367" s="671">
        <f t="shared" si="37"/>
        <v>42828</v>
      </c>
      <c r="C367" s="605">
        <v>1</v>
      </c>
      <c r="D367" s="605">
        <v>0</v>
      </c>
      <c r="E367" s="605">
        <v>0</v>
      </c>
      <c r="F367" s="605">
        <v>0</v>
      </c>
      <c r="G367" s="605">
        <v>0</v>
      </c>
      <c r="H367" s="669">
        <f t="shared" si="34"/>
        <v>0</v>
      </c>
      <c r="J367" s="662">
        <f t="shared" si="36"/>
        <v>42828</v>
      </c>
      <c r="K367" s="601">
        <v>10.15</v>
      </c>
      <c r="L367" s="601">
        <v>6</v>
      </c>
      <c r="M367" s="601">
        <v>9.75</v>
      </c>
      <c r="N367" s="601">
        <v>8.1999999999999993</v>
      </c>
      <c r="O367" s="601">
        <v>8.35</v>
      </c>
      <c r="P367" s="670">
        <f t="shared" si="35"/>
        <v>8</v>
      </c>
    </row>
    <row r="368" spans="2:16" x14ac:dyDescent="0.2">
      <c r="B368" s="671">
        <f t="shared" si="37"/>
        <v>42829</v>
      </c>
      <c r="C368" s="605">
        <v>1</v>
      </c>
      <c r="D368" s="605">
        <v>0</v>
      </c>
      <c r="E368" s="605">
        <v>2</v>
      </c>
      <c r="F368" s="605">
        <v>0</v>
      </c>
      <c r="G368" s="605">
        <v>0</v>
      </c>
      <c r="H368" s="669">
        <f t="shared" si="34"/>
        <v>1</v>
      </c>
      <c r="J368" s="662">
        <f t="shared" si="36"/>
        <v>42829</v>
      </c>
      <c r="K368" s="601">
        <v>12.4</v>
      </c>
      <c r="L368" s="601">
        <v>8.85</v>
      </c>
      <c r="M368" s="601">
        <v>13.05</v>
      </c>
      <c r="N368" s="601">
        <v>10.55</v>
      </c>
      <c r="O368" s="601">
        <v>10.7</v>
      </c>
      <c r="P368" s="670">
        <f t="shared" si="35"/>
        <v>11</v>
      </c>
    </row>
    <row r="369" spans="2:16" x14ac:dyDescent="0.2">
      <c r="B369" s="671">
        <f t="shared" si="37"/>
        <v>42830</v>
      </c>
      <c r="C369" s="605">
        <v>3</v>
      </c>
      <c r="D369" s="605">
        <v>0</v>
      </c>
      <c r="E369" s="605">
        <v>0</v>
      </c>
      <c r="F369" s="605">
        <v>0</v>
      </c>
      <c r="G369" s="605">
        <v>6</v>
      </c>
      <c r="H369" s="669">
        <f t="shared" si="34"/>
        <v>3</v>
      </c>
      <c r="J369" s="662">
        <f t="shared" si="36"/>
        <v>42830</v>
      </c>
      <c r="K369" s="601">
        <v>13.65</v>
      </c>
      <c r="L369" s="601">
        <v>10.25</v>
      </c>
      <c r="M369" s="601">
        <v>14.5</v>
      </c>
      <c r="N369" s="601">
        <v>12.1</v>
      </c>
      <c r="O369" s="601">
        <v>12.45</v>
      </c>
      <c r="P369" s="670">
        <f t="shared" si="35"/>
        <v>12</v>
      </c>
    </row>
    <row r="370" spans="2:16" x14ac:dyDescent="0.2">
      <c r="B370" s="671">
        <f t="shared" si="37"/>
        <v>42831</v>
      </c>
      <c r="C370" s="605">
        <v>16</v>
      </c>
      <c r="D370" s="605">
        <v>13</v>
      </c>
      <c r="E370" s="605">
        <v>16</v>
      </c>
      <c r="F370" s="605">
        <v>14</v>
      </c>
      <c r="G370" s="605">
        <v>11</v>
      </c>
      <c r="H370" s="669">
        <f t="shared" si="34"/>
        <v>13</v>
      </c>
      <c r="J370" s="662">
        <f t="shared" si="36"/>
        <v>42831</v>
      </c>
      <c r="K370" s="601">
        <v>11.85</v>
      </c>
      <c r="L370" s="601">
        <v>9.3000000000000007</v>
      </c>
      <c r="M370" s="601">
        <v>13.1</v>
      </c>
      <c r="N370" s="601">
        <v>10.5</v>
      </c>
      <c r="O370" s="601">
        <v>10.15</v>
      </c>
      <c r="P370" s="670">
        <f t="shared" si="35"/>
        <v>11</v>
      </c>
    </row>
    <row r="371" spans="2:16" x14ac:dyDescent="0.2">
      <c r="B371" s="671">
        <f t="shared" si="37"/>
        <v>42832</v>
      </c>
      <c r="C371" s="605">
        <v>17</v>
      </c>
      <c r="D371" s="605">
        <v>11</v>
      </c>
      <c r="E371" s="605">
        <v>18</v>
      </c>
      <c r="F371" s="605">
        <v>15</v>
      </c>
      <c r="G371" s="605">
        <v>13</v>
      </c>
      <c r="H371" s="669">
        <f t="shared" si="34"/>
        <v>14</v>
      </c>
      <c r="J371" s="662">
        <f t="shared" si="36"/>
        <v>42832</v>
      </c>
      <c r="K371" s="601">
        <v>8.9</v>
      </c>
      <c r="L371" s="601">
        <v>5.7</v>
      </c>
      <c r="M371" s="601">
        <v>9.1999999999999993</v>
      </c>
      <c r="N371" s="601">
        <v>7.3</v>
      </c>
      <c r="O371" s="601">
        <v>7.25</v>
      </c>
      <c r="P371" s="670">
        <f t="shared" si="35"/>
        <v>8</v>
      </c>
    </row>
    <row r="372" spans="2:16" x14ac:dyDescent="0.2">
      <c r="B372" s="671">
        <f t="shared" si="37"/>
        <v>42833</v>
      </c>
      <c r="C372" s="605">
        <v>12</v>
      </c>
      <c r="D372" s="605">
        <v>10</v>
      </c>
      <c r="E372" s="605">
        <v>16</v>
      </c>
      <c r="F372" s="605">
        <v>11</v>
      </c>
      <c r="G372" s="605">
        <v>9</v>
      </c>
      <c r="H372" s="669">
        <f t="shared" si="34"/>
        <v>11</v>
      </c>
      <c r="J372" s="662">
        <f t="shared" si="36"/>
        <v>42833</v>
      </c>
      <c r="K372" s="601">
        <v>9.6999999999999993</v>
      </c>
      <c r="L372" s="601">
        <v>6.85</v>
      </c>
      <c r="M372" s="601">
        <v>10.050000000000001</v>
      </c>
      <c r="N372" s="601">
        <v>8</v>
      </c>
      <c r="O372" s="601">
        <v>9</v>
      </c>
      <c r="P372" s="670">
        <f t="shared" si="35"/>
        <v>9</v>
      </c>
    </row>
    <row r="373" spans="2:16" x14ac:dyDescent="0.2">
      <c r="B373" s="671">
        <f t="shared" si="37"/>
        <v>42834</v>
      </c>
      <c r="C373" s="605">
        <v>0</v>
      </c>
      <c r="D373" s="605">
        <v>2</v>
      </c>
      <c r="E373" s="605">
        <v>3</v>
      </c>
      <c r="F373" s="605">
        <v>1</v>
      </c>
      <c r="G373" s="605">
        <v>0</v>
      </c>
      <c r="H373" s="669">
        <f t="shared" si="34"/>
        <v>1</v>
      </c>
      <c r="J373" s="662">
        <f t="shared" si="36"/>
        <v>42834</v>
      </c>
      <c r="K373" s="601">
        <v>11.15</v>
      </c>
      <c r="L373" s="601">
        <v>8.1</v>
      </c>
      <c r="M373" s="601">
        <v>11.8</v>
      </c>
      <c r="N373" s="601">
        <v>9.65</v>
      </c>
      <c r="O373" s="601">
        <v>9.9499999999999993</v>
      </c>
      <c r="P373" s="670">
        <f t="shared" si="35"/>
        <v>10</v>
      </c>
    </row>
    <row r="374" spans="2:16" x14ac:dyDescent="0.2">
      <c r="B374" s="671">
        <f t="shared" si="37"/>
        <v>42835</v>
      </c>
      <c r="C374" s="605">
        <v>0</v>
      </c>
      <c r="D374" s="605">
        <v>0</v>
      </c>
      <c r="E374" s="605">
        <v>0</v>
      </c>
      <c r="F374" s="605">
        <v>0</v>
      </c>
      <c r="G374" s="605">
        <v>0</v>
      </c>
      <c r="H374" s="669">
        <f t="shared" si="34"/>
        <v>0</v>
      </c>
      <c r="J374" s="662">
        <f t="shared" si="36"/>
        <v>42835</v>
      </c>
      <c r="K374" s="601">
        <v>7.7</v>
      </c>
      <c r="L374" s="601">
        <v>6.5</v>
      </c>
      <c r="M374" s="601">
        <v>9.25</v>
      </c>
      <c r="N374" s="601">
        <v>7.15</v>
      </c>
      <c r="O374" s="601">
        <v>6.6</v>
      </c>
      <c r="P374" s="670">
        <f t="shared" si="35"/>
        <v>7</v>
      </c>
    </row>
    <row r="375" spans="2:16" x14ac:dyDescent="0.2">
      <c r="B375" s="671">
        <f t="shared" si="37"/>
        <v>42836</v>
      </c>
      <c r="C375" s="605">
        <v>4</v>
      </c>
      <c r="D375" s="605">
        <v>0</v>
      </c>
      <c r="E375" s="605">
        <v>1</v>
      </c>
      <c r="F375" s="605">
        <v>0</v>
      </c>
      <c r="G375" s="605">
        <v>6</v>
      </c>
      <c r="H375" s="669">
        <f t="shared" si="34"/>
        <v>3</v>
      </c>
      <c r="J375" s="662">
        <f t="shared" si="36"/>
        <v>42836</v>
      </c>
      <c r="K375" s="601">
        <v>7.6</v>
      </c>
      <c r="L375" s="601">
        <v>4.7</v>
      </c>
      <c r="M375" s="601">
        <v>7.4</v>
      </c>
      <c r="N375" s="601">
        <v>5.65</v>
      </c>
      <c r="O375" s="601">
        <v>7</v>
      </c>
      <c r="P375" s="670">
        <f t="shared" si="35"/>
        <v>7</v>
      </c>
    </row>
    <row r="376" spans="2:16" x14ac:dyDescent="0.2">
      <c r="B376" s="671">
        <f t="shared" si="37"/>
        <v>42837</v>
      </c>
      <c r="C376" s="605">
        <v>4</v>
      </c>
      <c r="D376" s="605">
        <v>0</v>
      </c>
      <c r="E376" s="605">
        <v>5</v>
      </c>
      <c r="F376" s="605">
        <v>3</v>
      </c>
      <c r="G376" s="605">
        <v>6</v>
      </c>
      <c r="H376" s="669">
        <f t="shared" si="34"/>
        <v>4</v>
      </c>
      <c r="J376" s="662">
        <f t="shared" si="36"/>
        <v>42837</v>
      </c>
      <c r="K376" s="601">
        <v>10.75</v>
      </c>
      <c r="L376" s="601">
        <v>6.85</v>
      </c>
      <c r="M376" s="601">
        <v>11.2</v>
      </c>
      <c r="N376" s="601">
        <v>9.25</v>
      </c>
      <c r="O376" s="601">
        <v>9.0500000000000007</v>
      </c>
      <c r="P376" s="670">
        <f t="shared" si="35"/>
        <v>9</v>
      </c>
    </row>
    <row r="377" spans="2:16" x14ac:dyDescent="0.2">
      <c r="B377" s="671">
        <f t="shared" si="37"/>
        <v>42838</v>
      </c>
      <c r="C377" s="605">
        <v>0</v>
      </c>
      <c r="D377" s="605">
        <v>0</v>
      </c>
      <c r="E377" s="605">
        <v>0</v>
      </c>
      <c r="F377" s="605">
        <v>0</v>
      </c>
      <c r="G377" s="605">
        <v>0</v>
      </c>
      <c r="H377" s="669">
        <f t="shared" si="34"/>
        <v>0</v>
      </c>
      <c r="J377" s="662">
        <f t="shared" si="36"/>
        <v>42838</v>
      </c>
      <c r="K377" s="601">
        <v>9.25</v>
      </c>
      <c r="L377" s="601">
        <v>7</v>
      </c>
      <c r="M377" s="601">
        <v>10.5</v>
      </c>
      <c r="N377" s="601">
        <v>8.3000000000000007</v>
      </c>
      <c r="O377" s="601">
        <v>8.0500000000000007</v>
      </c>
      <c r="P377" s="670">
        <f t="shared" si="35"/>
        <v>8</v>
      </c>
    </row>
    <row r="378" spans="2:16" x14ac:dyDescent="0.2">
      <c r="B378" s="671">
        <f t="shared" si="37"/>
        <v>42839</v>
      </c>
      <c r="C378" s="605">
        <v>0</v>
      </c>
      <c r="D378" s="605">
        <v>0</v>
      </c>
      <c r="E378" s="605">
        <v>0</v>
      </c>
      <c r="F378" s="605">
        <v>0</v>
      </c>
      <c r="G378" s="605">
        <v>0</v>
      </c>
      <c r="H378" s="669">
        <f t="shared" si="34"/>
        <v>0</v>
      </c>
      <c r="J378" s="662">
        <f t="shared" si="36"/>
        <v>42839</v>
      </c>
      <c r="K378" s="601">
        <v>7.4</v>
      </c>
      <c r="L378" s="601">
        <v>4.9000000000000004</v>
      </c>
      <c r="M378" s="601">
        <v>8.1</v>
      </c>
      <c r="N378" s="601">
        <v>6.2</v>
      </c>
      <c r="O378" s="601">
        <v>6.95</v>
      </c>
      <c r="P378" s="670">
        <f t="shared" si="35"/>
        <v>7</v>
      </c>
    </row>
    <row r="379" spans="2:16" x14ac:dyDescent="0.2">
      <c r="B379" s="671">
        <f t="shared" si="37"/>
        <v>42840</v>
      </c>
      <c r="C379" s="605">
        <v>0</v>
      </c>
      <c r="D379" s="605">
        <v>0</v>
      </c>
      <c r="E379" s="605">
        <v>0</v>
      </c>
      <c r="F379" s="605">
        <v>0</v>
      </c>
      <c r="G379" s="605">
        <v>0</v>
      </c>
      <c r="H379" s="669">
        <f t="shared" si="34"/>
        <v>0</v>
      </c>
      <c r="J379" s="662">
        <f t="shared" si="36"/>
        <v>42840</v>
      </c>
      <c r="K379" s="601">
        <v>6.65</v>
      </c>
      <c r="L379" s="601">
        <v>5.55</v>
      </c>
      <c r="M379" s="601">
        <v>7.8</v>
      </c>
      <c r="N379" s="601">
        <v>6.05</v>
      </c>
      <c r="O379" s="601">
        <v>6.1</v>
      </c>
      <c r="P379" s="670">
        <f t="shared" si="35"/>
        <v>6</v>
      </c>
    </row>
    <row r="380" spans="2:16" x14ac:dyDescent="0.2">
      <c r="B380" s="671">
        <f t="shared" si="37"/>
        <v>42841</v>
      </c>
      <c r="C380" s="605">
        <v>0</v>
      </c>
      <c r="D380" s="605">
        <v>0</v>
      </c>
      <c r="E380" s="605">
        <v>0</v>
      </c>
      <c r="F380" s="605">
        <v>0</v>
      </c>
      <c r="G380" s="605">
        <v>0</v>
      </c>
      <c r="H380" s="669">
        <f t="shared" si="34"/>
        <v>0</v>
      </c>
      <c r="J380" s="662">
        <f t="shared" si="36"/>
        <v>42841</v>
      </c>
      <c r="K380" s="601">
        <v>6.6</v>
      </c>
      <c r="L380" s="601">
        <v>5.05</v>
      </c>
      <c r="M380" s="601">
        <v>6.75</v>
      </c>
      <c r="N380" s="601">
        <v>5.3</v>
      </c>
      <c r="O380" s="601">
        <v>6.1</v>
      </c>
      <c r="P380" s="670">
        <f t="shared" si="35"/>
        <v>6</v>
      </c>
    </row>
    <row r="381" spans="2:16" x14ac:dyDescent="0.2">
      <c r="B381" s="671">
        <f t="shared" si="37"/>
        <v>42842</v>
      </c>
      <c r="C381" s="605">
        <v>0</v>
      </c>
      <c r="D381" s="605">
        <v>0</v>
      </c>
      <c r="E381" s="605">
        <v>0</v>
      </c>
      <c r="F381" s="605">
        <v>0</v>
      </c>
      <c r="G381" s="605">
        <v>1</v>
      </c>
      <c r="H381" s="669">
        <f t="shared" si="34"/>
        <v>0</v>
      </c>
      <c r="J381" s="662">
        <f t="shared" si="36"/>
        <v>42842</v>
      </c>
      <c r="K381" s="601">
        <v>6.85</v>
      </c>
      <c r="L381" s="601">
        <v>5.55</v>
      </c>
      <c r="M381" s="601">
        <v>8.6999999999999993</v>
      </c>
      <c r="N381" s="601">
        <v>6.1</v>
      </c>
      <c r="O381" s="601">
        <v>6.5</v>
      </c>
      <c r="P381" s="670">
        <f t="shared" si="35"/>
        <v>7</v>
      </c>
    </row>
    <row r="382" spans="2:16" x14ac:dyDescent="0.2">
      <c r="B382" s="671">
        <f t="shared" si="37"/>
        <v>42843</v>
      </c>
      <c r="C382" s="605">
        <v>0</v>
      </c>
      <c r="D382" s="605">
        <v>0</v>
      </c>
      <c r="E382" s="605">
        <v>0</v>
      </c>
      <c r="F382" s="605">
        <v>0</v>
      </c>
      <c r="G382" s="605">
        <v>0</v>
      </c>
      <c r="H382" s="669">
        <f t="shared" si="34"/>
        <v>0</v>
      </c>
      <c r="J382" s="662">
        <f t="shared" si="36"/>
        <v>42843</v>
      </c>
      <c r="K382" s="601">
        <v>6.05</v>
      </c>
      <c r="L382" s="601">
        <v>4.25</v>
      </c>
      <c r="M382" s="601">
        <v>7</v>
      </c>
      <c r="N382" s="601">
        <v>4.95</v>
      </c>
      <c r="O382" s="601">
        <v>5.7</v>
      </c>
      <c r="P382" s="670">
        <f t="shared" si="35"/>
        <v>6</v>
      </c>
    </row>
    <row r="383" spans="2:16" x14ac:dyDescent="0.2">
      <c r="B383" s="671">
        <f t="shared" si="37"/>
        <v>42844</v>
      </c>
      <c r="C383" s="605">
        <v>0</v>
      </c>
      <c r="D383" s="605">
        <v>0</v>
      </c>
      <c r="E383" s="605">
        <v>0</v>
      </c>
      <c r="F383" s="605">
        <v>0</v>
      </c>
      <c r="G383" s="605">
        <v>0</v>
      </c>
      <c r="H383" s="669">
        <f t="shared" si="34"/>
        <v>0</v>
      </c>
      <c r="J383" s="662">
        <f t="shared" si="36"/>
        <v>42844</v>
      </c>
      <c r="K383" s="601">
        <v>5.85</v>
      </c>
      <c r="L383" s="601">
        <v>4.5</v>
      </c>
      <c r="M383" s="601">
        <v>6.45</v>
      </c>
      <c r="N383" s="601">
        <v>4.8</v>
      </c>
      <c r="O383" s="601">
        <v>4.3499999999999996</v>
      </c>
      <c r="P383" s="670">
        <f t="shared" si="35"/>
        <v>5</v>
      </c>
    </row>
    <row r="384" spans="2:16" x14ac:dyDescent="0.2">
      <c r="B384" s="671">
        <f t="shared" si="37"/>
        <v>42845</v>
      </c>
      <c r="C384" s="605">
        <v>0</v>
      </c>
      <c r="D384" s="605">
        <v>0</v>
      </c>
      <c r="E384" s="605">
        <v>0</v>
      </c>
      <c r="F384" s="605">
        <v>0</v>
      </c>
      <c r="G384" s="605">
        <v>0</v>
      </c>
      <c r="H384" s="669">
        <f t="shared" si="34"/>
        <v>0</v>
      </c>
      <c r="J384" s="662">
        <f t="shared" si="36"/>
        <v>42845</v>
      </c>
      <c r="K384" s="601">
        <v>5.7</v>
      </c>
      <c r="L384" s="601">
        <v>3.45</v>
      </c>
      <c r="M384" s="601">
        <v>6.25</v>
      </c>
      <c r="N384" s="601">
        <v>4.9000000000000004</v>
      </c>
      <c r="O384" s="601">
        <v>4.5</v>
      </c>
      <c r="P384" s="670">
        <f t="shared" si="35"/>
        <v>5</v>
      </c>
    </row>
    <row r="385" spans="2:16" x14ac:dyDescent="0.2">
      <c r="B385" s="671">
        <f t="shared" si="37"/>
        <v>42846</v>
      </c>
      <c r="C385" s="605">
        <v>7</v>
      </c>
      <c r="D385" s="605">
        <v>0</v>
      </c>
      <c r="E385" s="605">
        <v>3</v>
      </c>
      <c r="F385" s="605">
        <v>2</v>
      </c>
      <c r="G385" s="605">
        <v>6</v>
      </c>
      <c r="H385" s="669">
        <f t="shared" si="34"/>
        <v>4</v>
      </c>
      <c r="J385" s="662">
        <f t="shared" si="36"/>
        <v>42846</v>
      </c>
      <c r="K385" s="601">
        <v>7</v>
      </c>
      <c r="L385" s="601">
        <v>4.8</v>
      </c>
      <c r="M385" s="601">
        <v>7.65</v>
      </c>
      <c r="N385" s="601">
        <v>5.85</v>
      </c>
      <c r="O385" s="601">
        <v>6.2</v>
      </c>
      <c r="P385" s="670">
        <f t="shared" si="35"/>
        <v>6</v>
      </c>
    </row>
    <row r="386" spans="2:16" x14ac:dyDescent="0.2">
      <c r="B386" s="671">
        <f t="shared" si="37"/>
        <v>42847</v>
      </c>
      <c r="C386" s="605">
        <v>13</v>
      </c>
      <c r="D386" s="605">
        <v>9</v>
      </c>
      <c r="E386" s="605">
        <v>15</v>
      </c>
      <c r="F386" s="605">
        <v>12</v>
      </c>
      <c r="G386" s="605">
        <v>12</v>
      </c>
      <c r="H386" s="669">
        <f t="shared" si="34"/>
        <v>12</v>
      </c>
      <c r="J386" s="662">
        <f t="shared" si="36"/>
        <v>42847</v>
      </c>
      <c r="K386" s="601">
        <v>6.95</v>
      </c>
      <c r="L386" s="601">
        <v>3.95</v>
      </c>
      <c r="M386" s="601">
        <v>8.5500000000000007</v>
      </c>
      <c r="N386" s="601">
        <v>5.7</v>
      </c>
      <c r="O386" s="601">
        <v>5.35</v>
      </c>
      <c r="P386" s="670">
        <f t="shared" si="35"/>
        <v>6</v>
      </c>
    </row>
    <row r="387" spans="2:16" x14ac:dyDescent="0.2">
      <c r="B387" s="671">
        <f t="shared" si="37"/>
        <v>42848</v>
      </c>
      <c r="C387" s="605">
        <v>5</v>
      </c>
      <c r="D387" s="605">
        <v>13</v>
      </c>
      <c r="E387" s="605">
        <v>15</v>
      </c>
      <c r="F387" s="605">
        <v>9</v>
      </c>
      <c r="G387" s="605">
        <v>6</v>
      </c>
      <c r="H387" s="669">
        <f t="shared" si="34"/>
        <v>9</v>
      </c>
      <c r="J387" s="662">
        <f t="shared" si="36"/>
        <v>42848</v>
      </c>
      <c r="K387" s="601">
        <v>6.8</v>
      </c>
      <c r="L387" s="601">
        <v>4.8499999999999996</v>
      </c>
      <c r="M387" s="601">
        <v>8.65</v>
      </c>
      <c r="N387" s="601">
        <v>6.15</v>
      </c>
      <c r="O387" s="601">
        <v>5.4</v>
      </c>
      <c r="P387" s="670">
        <f t="shared" si="35"/>
        <v>6</v>
      </c>
    </row>
    <row r="388" spans="2:16" x14ac:dyDescent="0.2">
      <c r="B388" s="671">
        <f t="shared" si="37"/>
        <v>42849</v>
      </c>
      <c r="C388" s="605">
        <v>0</v>
      </c>
      <c r="D388" s="605">
        <v>3</v>
      </c>
      <c r="E388" s="605">
        <v>3</v>
      </c>
      <c r="F388" s="605">
        <v>0</v>
      </c>
      <c r="G388" s="605">
        <v>2</v>
      </c>
      <c r="H388" s="669">
        <f t="shared" si="34"/>
        <v>2</v>
      </c>
      <c r="J388" s="662">
        <f t="shared" si="36"/>
        <v>42849</v>
      </c>
      <c r="K388" s="601">
        <v>6.35</v>
      </c>
      <c r="L388" s="601">
        <v>4.55</v>
      </c>
      <c r="M388" s="601">
        <v>7.45</v>
      </c>
      <c r="N388" s="601">
        <v>5.15</v>
      </c>
      <c r="O388" s="601">
        <v>5.2</v>
      </c>
      <c r="P388" s="670">
        <f t="shared" si="35"/>
        <v>6</v>
      </c>
    </row>
    <row r="389" spans="2:16" x14ac:dyDescent="0.2">
      <c r="B389" s="671">
        <f t="shared" si="37"/>
        <v>42850</v>
      </c>
      <c r="C389" s="605">
        <v>0</v>
      </c>
      <c r="D389" s="605">
        <v>1</v>
      </c>
      <c r="E389" s="605">
        <v>2</v>
      </c>
      <c r="F389" s="605">
        <v>0</v>
      </c>
      <c r="G389" s="605">
        <v>0</v>
      </c>
      <c r="H389" s="669">
        <f t="shared" si="34"/>
        <v>1</v>
      </c>
      <c r="J389" s="662">
        <f t="shared" si="36"/>
        <v>42850</v>
      </c>
      <c r="K389" s="601">
        <v>5.5</v>
      </c>
      <c r="L389" s="601">
        <v>3.25</v>
      </c>
      <c r="M389" s="601">
        <v>6.15</v>
      </c>
      <c r="N389" s="601">
        <v>4.5999999999999996</v>
      </c>
      <c r="O389" s="601">
        <v>4.25</v>
      </c>
      <c r="P389" s="670">
        <f t="shared" si="35"/>
        <v>5</v>
      </c>
    </row>
    <row r="390" spans="2:16" x14ac:dyDescent="0.2">
      <c r="B390" s="671">
        <f t="shared" si="37"/>
        <v>42851</v>
      </c>
      <c r="C390" s="605">
        <v>0</v>
      </c>
      <c r="D390" s="605">
        <v>0</v>
      </c>
      <c r="E390" s="605">
        <v>0</v>
      </c>
      <c r="F390" s="605">
        <v>0</v>
      </c>
      <c r="G390" s="605">
        <v>0</v>
      </c>
      <c r="H390" s="669">
        <f t="shared" si="34"/>
        <v>0</v>
      </c>
      <c r="J390" s="662">
        <f t="shared" si="36"/>
        <v>42851</v>
      </c>
      <c r="K390" s="601">
        <v>5.95</v>
      </c>
      <c r="L390" s="601">
        <v>4.3499999999999996</v>
      </c>
      <c r="M390" s="601">
        <v>7.2</v>
      </c>
      <c r="N390" s="601">
        <v>5.05</v>
      </c>
      <c r="O390" s="601">
        <v>5.3</v>
      </c>
      <c r="P390" s="670">
        <f t="shared" si="35"/>
        <v>5</v>
      </c>
    </row>
    <row r="391" spans="2:16" x14ac:dyDescent="0.2">
      <c r="B391" s="671">
        <f t="shared" si="37"/>
        <v>42852</v>
      </c>
      <c r="C391" s="605">
        <v>9</v>
      </c>
      <c r="D391" s="605">
        <v>1</v>
      </c>
      <c r="E391" s="605">
        <v>3</v>
      </c>
      <c r="F391" s="605">
        <v>1</v>
      </c>
      <c r="G391" s="605">
        <v>8</v>
      </c>
      <c r="H391" s="669">
        <f t="shared" si="34"/>
        <v>6</v>
      </c>
      <c r="J391" s="662">
        <f t="shared" si="36"/>
        <v>42852</v>
      </c>
      <c r="K391" s="601">
        <v>7.55</v>
      </c>
      <c r="L391" s="601">
        <v>4.7</v>
      </c>
      <c r="M391" s="601">
        <v>8.35</v>
      </c>
      <c r="N391" s="601">
        <v>6.3</v>
      </c>
      <c r="O391" s="601">
        <v>6.35</v>
      </c>
      <c r="P391" s="670">
        <f t="shared" si="35"/>
        <v>7</v>
      </c>
    </row>
    <row r="392" spans="2:16" x14ac:dyDescent="0.2">
      <c r="B392" s="671">
        <f t="shared" si="37"/>
        <v>42853</v>
      </c>
      <c r="C392" s="605">
        <v>3</v>
      </c>
      <c r="D392" s="605">
        <v>0</v>
      </c>
      <c r="E392" s="605">
        <v>2</v>
      </c>
      <c r="F392" s="605">
        <v>0</v>
      </c>
      <c r="G392" s="605">
        <v>0</v>
      </c>
      <c r="H392" s="669">
        <f t="shared" si="34"/>
        <v>1</v>
      </c>
      <c r="J392" s="662">
        <f t="shared" si="36"/>
        <v>42853</v>
      </c>
      <c r="K392" s="601">
        <v>5.9</v>
      </c>
      <c r="L392" s="601">
        <v>3.85</v>
      </c>
      <c r="M392" s="601">
        <v>7</v>
      </c>
      <c r="N392" s="601">
        <v>4.45</v>
      </c>
      <c r="O392" s="601">
        <v>4.5999999999999996</v>
      </c>
      <c r="P392" s="670">
        <f t="shared" si="35"/>
        <v>5</v>
      </c>
    </row>
    <row r="393" spans="2:16" x14ac:dyDescent="0.2">
      <c r="B393" s="671">
        <f t="shared" si="37"/>
        <v>42854</v>
      </c>
      <c r="C393" s="605">
        <v>0</v>
      </c>
      <c r="D393" s="605">
        <v>0</v>
      </c>
      <c r="E393" s="605">
        <v>0</v>
      </c>
      <c r="F393" s="605">
        <v>0</v>
      </c>
      <c r="G393" s="605">
        <v>0</v>
      </c>
      <c r="H393" s="669">
        <f t="shared" si="34"/>
        <v>0</v>
      </c>
      <c r="J393" s="662">
        <f t="shared" si="36"/>
        <v>42854</v>
      </c>
      <c r="K393" s="601">
        <v>4.25</v>
      </c>
      <c r="L393" s="601">
        <v>3.15</v>
      </c>
      <c r="M393" s="601">
        <v>6.4</v>
      </c>
      <c r="N393" s="601">
        <v>4.1500000000000004</v>
      </c>
      <c r="O393" s="601">
        <v>3.7</v>
      </c>
      <c r="P393" s="670">
        <f t="shared" si="35"/>
        <v>4</v>
      </c>
    </row>
    <row r="394" spans="2:16" x14ac:dyDescent="0.2">
      <c r="B394" s="671">
        <f t="shared" si="37"/>
        <v>42855</v>
      </c>
      <c r="C394" s="605">
        <v>0</v>
      </c>
      <c r="D394" s="605">
        <v>0</v>
      </c>
      <c r="E394" s="605">
        <v>0</v>
      </c>
      <c r="F394" s="605">
        <v>0</v>
      </c>
      <c r="G394" s="605">
        <v>0</v>
      </c>
      <c r="H394" s="669">
        <f t="shared" si="34"/>
        <v>0</v>
      </c>
      <c r="J394" s="662">
        <f t="shared" si="36"/>
        <v>42855</v>
      </c>
      <c r="K394" s="601">
        <v>3.35</v>
      </c>
      <c r="L394" s="601">
        <v>2.5499999999999998</v>
      </c>
      <c r="M394" s="601">
        <v>4.3</v>
      </c>
      <c r="N394" s="601">
        <v>2.8</v>
      </c>
      <c r="O394" s="601">
        <v>3.2</v>
      </c>
      <c r="P394" s="670">
        <f t="shared" si="35"/>
        <v>3</v>
      </c>
    </row>
    <row r="395" spans="2:16" x14ac:dyDescent="0.2">
      <c r="B395" s="671">
        <f t="shared" si="37"/>
        <v>42856</v>
      </c>
      <c r="C395" s="605">
        <v>8</v>
      </c>
      <c r="D395" s="605">
        <v>3</v>
      </c>
      <c r="E395" s="605">
        <v>4</v>
      </c>
      <c r="F395" s="605">
        <v>4</v>
      </c>
      <c r="G395" s="605">
        <v>9</v>
      </c>
      <c r="H395" s="669">
        <f t="shared" si="34"/>
        <v>6</v>
      </c>
      <c r="J395" s="662">
        <f t="shared" si="36"/>
        <v>42856</v>
      </c>
      <c r="K395" s="601">
        <v>3.65</v>
      </c>
      <c r="L395" s="601">
        <v>2.4500000000000002</v>
      </c>
      <c r="M395" s="601">
        <v>3.1</v>
      </c>
      <c r="N395" s="601">
        <v>2.2999999999999998</v>
      </c>
      <c r="O395" s="601">
        <v>3.3</v>
      </c>
      <c r="P395" s="670">
        <f t="shared" si="35"/>
        <v>3</v>
      </c>
    </row>
    <row r="396" spans="2:16" x14ac:dyDescent="0.2">
      <c r="B396" s="671">
        <f t="shared" si="37"/>
        <v>42857</v>
      </c>
      <c r="C396" s="605">
        <v>5</v>
      </c>
      <c r="D396" s="605">
        <v>1</v>
      </c>
      <c r="E396" s="605">
        <v>4</v>
      </c>
      <c r="F396" s="605">
        <v>2</v>
      </c>
      <c r="G396" s="605">
        <v>4</v>
      </c>
      <c r="H396" s="669">
        <f t="shared" ref="H396:H455" si="38">IFERROR(ROUND((C396*C$70)+(D396*D$70)+(E396*E$70)+(F396*F$70)+(G396*G$70),0),0)</f>
        <v>3</v>
      </c>
      <c r="J396" s="662">
        <f t="shared" si="36"/>
        <v>42857</v>
      </c>
      <c r="K396" s="601">
        <v>4.75</v>
      </c>
      <c r="L396" s="601">
        <v>2.0499999999999998</v>
      </c>
      <c r="M396" s="601">
        <v>4.3499999999999996</v>
      </c>
      <c r="N396" s="601">
        <v>3.15</v>
      </c>
      <c r="O396" s="601">
        <v>3.8</v>
      </c>
      <c r="P396" s="670">
        <f t="shared" ref="P396:P440" si="39">IFERROR(ROUND((K396*C$70)+(L396*D$70)+(M396*E$70)+(N396*F$70)+(O396*G$70),0),0)</f>
        <v>4</v>
      </c>
    </row>
    <row r="397" spans="2:16" x14ac:dyDescent="0.2">
      <c r="B397" s="671">
        <f t="shared" si="37"/>
        <v>42858</v>
      </c>
      <c r="C397" s="605">
        <v>10</v>
      </c>
      <c r="D397" s="605">
        <v>0</v>
      </c>
      <c r="E397" s="605">
        <v>11</v>
      </c>
      <c r="F397" s="605">
        <v>7</v>
      </c>
      <c r="G397" s="605">
        <v>6</v>
      </c>
      <c r="H397" s="669">
        <f t="shared" si="38"/>
        <v>6</v>
      </c>
      <c r="J397" s="662">
        <f t="shared" ref="J397:J440" si="40">B397</f>
        <v>42858</v>
      </c>
      <c r="K397" s="601">
        <v>5.55</v>
      </c>
      <c r="L397" s="601">
        <v>3.6</v>
      </c>
      <c r="M397" s="601">
        <v>7</v>
      </c>
      <c r="N397" s="601">
        <v>4.55</v>
      </c>
      <c r="O397" s="601">
        <v>4.8</v>
      </c>
      <c r="P397" s="670">
        <f t="shared" si="39"/>
        <v>5</v>
      </c>
    </row>
    <row r="398" spans="2:16" x14ac:dyDescent="0.2">
      <c r="B398" s="671">
        <f t="shared" ref="B398:B455" si="41">B397+1</f>
        <v>42859</v>
      </c>
      <c r="C398" s="605">
        <v>8</v>
      </c>
      <c r="D398" s="605">
        <v>5</v>
      </c>
      <c r="E398" s="605">
        <v>6</v>
      </c>
      <c r="F398" s="605">
        <v>6</v>
      </c>
      <c r="G398" s="605">
        <v>13</v>
      </c>
      <c r="H398" s="669">
        <f t="shared" si="38"/>
        <v>9</v>
      </c>
      <c r="J398" s="662">
        <f t="shared" si="40"/>
        <v>42859</v>
      </c>
      <c r="K398" s="601">
        <v>5.4</v>
      </c>
      <c r="L398" s="601">
        <v>4.6500000000000004</v>
      </c>
      <c r="M398" s="601">
        <v>6.1</v>
      </c>
      <c r="N398" s="601">
        <v>4.5999999999999996</v>
      </c>
      <c r="O398" s="601">
        <v>4.75</v>
      </c>
      <c r="P398" s="670">
        <f t="shared" si="39"/>
        <v>5</v>
      </c>
    </row>
    <row r="399" spans="2:16" x14ac:dyDescent="0.2">
      <c r="B399" s="671">
        <f t="shared" si="41"/>
        <v>42860</v>
      </c>
      <c r="C399" s="605">
        <v>11</v>
      </c>
      <c r="D399" s="605">
        <v>14</v>
      </c>
      <c r="E399" s="605">
        <v>13</v>
      </c>
      <c r="F399" s="605">
        <v>14</v>
      </c>
      <c r="G399" s="605">
        <v>9</v>
      </c>
      <c r="H399" s="669">
        <f t="shared" si="38"/>
        <v>11</v>
      </c>
      <c r="J399" s="662">
        <f t="shared" si="40"/>
        <v>42860</v>
      </c>
      <c r="K399" s="601">
        <v>3.65</v>
      </c>
      <c r="L399" s="601">
        <v>3.1</v>
      </c>
      <c r="M399" s="601">
        <v>4.7</v>
      </c>
      <c r="N399" s="601">
        <v>3.2</v>
      </c>
      <c r="O399" s="601">
        <v>3.45</v>
      </c>
      <c r="P399" s="670">
        <f t="shared" si="39"/>
        <v>4</v>
      </c>
    </row>
    <row r="400" spans="2:16" x14ac:dyDescent="0.2">
      <c r="B400" s="671">
        <f t="shared" si="41"/>
        <v>42861</v>
      </c>
      <c r="C400" s="605">
        <v>11</v>
      </c>
      <c r="D400" s="605">
        <v>8</v>
      </c>
      <c r="E400" s="605">
        <v>14</v>
      </c>
      <c r="F400" s="605">
        <v>13</v>
      </c>
      <c r="G400" s="605">
        <v>4</v>
      </c>
      <c r="H400" s="669">
        <f t="shared" si="38"/>
        <v>8</v>
      </c>
      <c r="J400" s="662">
        <f t="shared" si="40"/>
        <v>42861</v>
      </c>
      <c r="K400" s="601">
        <v>2.25</v>
      </c>
      <c r="L400" s="601">
        <v>1.85</v>
      </c>
      <c r="M400" s="601">
        <v>3.25</v>
      </c>
      <c r="N400" s="601">
        <v>1.9</v>
      </c>
      <c r="O400" s="601">
        <v>1.65</v>
      </c>
      <c r="P400" s="670">
        <f t="shared" si="39"/>
        <v>2</v>
      </c>
    </row>
    <row r="401" spans="2:16" x14ac:dyDescent="0.2">
      <c r="B401" s="671">
        <f t="shared" si="41"/>
        <v>42862</v>
      </c>
      <c r="C401" s="605">
        <v>8</v>
      </c>
      <c r="D401" s="605">
        <v>7</v>
      </c>
      <c r="E401" s="605">
        <v>13</v>
      </c>
      <c r="F401" s="605">
        <v>10</v>
      </c>
      <c r="G401" s="605">
        <v>7</v>
      </c>
      <c r="H401" s="669">
        <f t="shared" si="38"/>
        <v>8</v>
      </c>
      <c r="J401" s="662">
        <f t="shared" si="40"/>
        <v>42862</v>
      </c>
      <c r="K401" s="601">
        <v>0.9</v>
      </c>
      <c r="L401" s="601">
        <v>1.3</v>
      </c>
      <c r="M401" s="601">
        <v>2.1</v>
      </c>
      <c r="N401" s="601">
        <v>0.85</v>
      </c>
      <c r="O401" s="601">
        <v>1.1000000000000001</v>
      </c>
      <c r="P401" s="670">
        <f t="shared" si="39"/>
        <v>1</v>
      </c>
    </row>
    <row r="402" spans="2:16" x14ac:dyDescent="0.2">
      <c r="B402" s="671">
        <f t="shared" si="41"/>
        <v>42863</v>
      </c>
      <c r="C402" s="605">
        <v>4</v>
      </c>
      <c r="D402" s="605">
        <v>0</v>
      </c>
      <c r="E402" s="605">
        <v>13</v>
      </c>
      <c r="F402" s="605">
        <v>8</v>
      </c>
      <c r="G402" s="605">
        <v>0</v>
      </c>
      <c r="H402" s="669">
        <f t="shared" si="38"/>
        <v>3</v>
      </c>
      <c r="J402" s="662">
        <f t="shared" si="40"/>
        <v>42863</v>
      </c>
      <c r="K402" s="601">
        <v>1.35</v>
      </c>
      <c r="L402" s="601">
        <v>0.45</v>
      </c>
      <c r="M402" s="601">
        <v>2.25</v>
      </c>
      <c r="N402" s="601">
        <v>1.3</v>
      </c>
      <c r="O402" s="601">
        <v>0.9</v>
      </c>
      <c r="P402" s="670">
        <f t="shared" si="39"/>
        <v>1</v>
      </c>
    </row>
    <row r="403" spans="2:16" x14ac:dyDescent="0.2">
      <c r="B403" s="671">
        <f t="shared" si="41"/>
        <v>42864</v>
      </c>
      <c r="C403" s="605">
        <v>0</v>
      </c>
      <c r="D403" s="605">
        <v>0</v>
      </c>
      <c r="E403" s="605">
        <v>0</v>
      </c>
      <c r="F403" s="605">
        <v>0</v>
      </c>
      <c r="G403" s="605">
        <v>0</v>
      </c>
      <c r="H403" s="669">
        <f t="shared" si="38"/>
        <v>0</v>
      </c>
      <c r="J403" s="662">
        <f t="shared" si="40"/>
        <v>42864</v>
      </c>
      <c r="K403" s="601">
        <v>1.85</v>
      </c>
      <c r="L403" s="601">
        <v>0.65</v>
      </c>
      <c r="M403" s="601">
        <v>1.65</v>
      </c>
      <c r="N403" s="601">
        <v>0.9</v>
      </c>
      <c r="O403" s="601">
        <v>0.85</v>
      </c>
      <c r="P403" s="670">
        <f t="shared" si="39"/>
        <v>1</v>
      </c>
    </row>
    <row r="404" spans="2:16" x14ac:dyDescent="0.2">
      <c r="B404" s="671">
        <f t="shared" si="41"/>
        <v>42865</v>
      </c>
      <c r="C404" s="605">
        <v>0</v>
      </c>
      <c r="D404" s="605">
        <v>0</v>
      </c>
      <c r="E404" s="605">
        <v>0</v>
      </c>
      <c r="F404" s="605">
        <v>0</v>
      </c>
      <c r="G404" s="605">
        <v>0</v>
      </c>
      <c r="H404" s="669">
        <f t="shared" si="38"/>
        <v>0</v>
      </c>
      <c r="J404" s="662">
        <f t="shared" si="40"/>
        <v>42865</v>
      </c>
      <c r="K404" s="601">
        <v>1.85</v>
      </c>
      <c r="L404" s="601">
        <v>1.25</v>
      </c>
      <c r="M404" s="601">
        <v>2.4</v>
      </c>
      <c r="N404" s="601">
        <v>1.2</v>
      </c>
      <c r="O404" s="601">
        <v>1.6</v>
      </c>
      <c r="P404" s="670">
        <f t="shared" si="39"/>
        <v>2</v>
      </c>
    </row>
    <row r="405" spans="2:16" x14ac:dyDescent="0.2">
      <c r="B405" s="671">
        <f t="shared" si="41"/>
        <v>42866</v>
      </c>
      <c r="C405" s="605">
        <v>0</v>
      </c>
      <c r="D405" s="605">
        <v>0</v>
      </c>
      <c r="E405" s="605">
        <v>0</v>
      </c>
      <c r="F405" s="605">
        <v>0</v>
      </c>
      <c r="G405" s="605">
        <v>0</v>
      </c>
      <c r="H405" s="669">
        <f t="shared" si="38"/>
        <v>0</v>
      </c>
      <c r="J405" s="662">
        <f t="shared" si="40"/>
        <v>42866</v>
      </c>
      <c r="K405" s="601">
        <v>1.35</v>
      </c>
      <c r="L405" s="601">
        <v>0.95</v>
      </c>
      <c r="M405" s="601">
        <v>2.1</v>
      </c>
      <c r="N405" s="601">
        <v>1.2</v>
      </c>
      <c r="O405" s="601">
        <v>1.25</v>
      </c>
      <c r="P405" s="670">
        <f t="shared" si="39"/>
        <v>1</v>
      </c>
    </row>
    <row r="406" spans="2:16" x14ac:dyDescent="0.2">
      <c r="B406" s="671">
        <f t="shared" si="41"/>
        <v>42867</v>
      </c>
      <c r="C406" s="605">
        <v>2</v>
      </c>
      <c r="D406" s="605">
        <v>0</v>
      </c>
      <c r="E406" s="605">
        <v>6</v>
      </c>
      <c r="F406" s="605">
        <v>5</v>
      </c>
      <c r="G406" s="605">
        <v>4</v>
      </c>
      <c r="H406" s="669">
        <f t="shared" si="38"/>
        <v>3</v>
      </c>
      <c r="J406" s="662">
        <f t="shared" si="40"/>
        <v>42867</v>
      </c>
      <c r="K406" s="601">
        <v>2.4500000000000002</v>
      </c>
      <c r="L406" s="601">
        <v>1.3</v>
      </c>
      <c r="M406" s="601">
        <v>3.25</v>
      </c>
      <c r="N406" s="601">
        <v>2.0499999999999998</v>
      </c>
      <c r="O406" s="601">
        <v>2.15</v>
      </c>
      <c r="P406" s="670">
        <f t="shared" si="39"/>
        <v>2</v>
      </c>
    </row>
    <row r="407" spans="2:16" x14ac:dyDescent="0.2">
      <c r="B407" s="671">
        <f t="shared" si="41"/>
        <v>42868</v>
      </c>
      <c r="C407" s="605">
        <v>1</v>
      </c>
      <c r="D407" s="605">
        <v>0</v>
      </c>
      <c r="E407" s="605">
        <v>5</v>
      </c>
      <c r="F407" s="605">
        <v>1</v>
      </c>
      <c r="G407" s="605">
        <v>1</v>
      </c>
      <c r="H407" s="669">
        <f t="shared" si="38"/>
        <v>1</v>
      </c>
      <c r="J407" s="662">
        <f t="shared" si="40"/>
        <v>42868</v>
      </c>
      <c r="K407" s="601">
        <v>2.95</v>
      </c>
      <c r="L407" s="601">
        <v>1.3</v>
      </c>
      <c r="M407" s="601">
        <v>3.9</v>
      </c>
      <c r="N407" s="601">
        <v>2.2999999999999998</v>
      </c>
      <c r="O407" s="601">
        <v>2.25</v>
      </c>
      <c r="P407" s="670">
        <f t="shared" si="39"/>
        <v>2</v>
      </c>
    </row>
    <row r="408" spans="2:16" x14ac:dyDescent="0.2">
      <c r="B408" s="671">
        <f t="shared" si="41"/>
        <v>42869</v>
      </c>
      <c r="C408" s="605">
        <v>0</v>
      </c>
      <c r="D408" s="605">
        <v>0</v>
      </c>
      <c r="E408" s="605">
        <v>0</v>
      </c>
      <c r="F408" s="605">
        <v>0</v>
      </c>
      <c r="G408" s="605">
        <v>0</v>
      </c>
      <c r="H408" s="669">
        <f t="shared" si="38"/>
        <v>0</v>
      </c>
      <c r="J408" s="662">
        <f t="shared" si="40"/>
        <v>42869</v>
      </c>
      <c r="K408" s="601">
        <v>3.4</v>
      </c>
      <c r="L408" s="601">
        <v>2.1</v>
      </c>
      <c r="M408" s="601">
        <v>3.85</v>
      </c>
      <c r="N408" s="601">
        <v>2.0499999999999998</v>
      </c>
      <c r="O408" s="601">
        <v>2.5499999999999998</v>
      </c>
      <c r="P408" s="670">
        <f t="shared" si="39"/>
        <v>3</v>
      </c>
    </row>
    <row r="409" spans="2:16" x14ac:dyDescent="0.2">
      <c r="B409" s="671">
        <f t="shared" si="41"/>
        <v>42870</v>
      </c>
      <c r="C409" s="605">
        <v>0</v>
      </c>
      <c r="D409" s="605">
        <v>0</v>
      </c>
      <c r="E409" s="605">
        <v>0</v>
      </c>
      <c r="F409" s="605">
        <v>0</v>
      </c>
      <c r="G409" s="605">
        <v>0</v>
      </c>
      <c r="H409" s="669">
        <f t="shared" si="38"/>
        <v>0</v>
      </c>
      <c r="J409" s="662">
        <f t="shared" si="40"/>
        <v>42870</v>
      </c>
      <c r="K409" s="601">
        <v>4.3</v>
      </c>
      <c r="L409" s="601">
        <v>2.65</v>
      </c>
      <c r="M409" s="601">
        <v>4.3499999999999996</v>
      </c>
      <c r="N409" s="601">
        <v>3.1</v>
      </c>
      <c r="O409" s="601">
        <v>3.15</v>
      </c>
      <c r="P409" s="670">
        <f t="shared" si="39"/>
        <v>3</v>
      </c>
    </row>
    <row r="410" spans="2:16" x14ac:dyDescent="0.2">
      <c r="B410" s="671">
        <f t="shared" si="41"/>
        <v>42871</v>
      </c>
      <c r="C410" s="605">
        <v>0</v>
      </c>
      <c r="D410" s="605">
        <v>0</v>
      </c>
      <c r="E410" s="605">
        <v>0</v>
      </c>
      <c r="F410" s="605">
        <v>0</v>
      </c>
      <c r="G410" s="605">
        <v>0</v>
      </c>
      <c r="H410" s="669">
        <f t="shared" si="38"/>
        <v>0</v>
      </c>
      <c r="J410" s="662">
        <f t="shared" si="40"/>
        <v>42871</v>
      </c>
      <c r="K410" s="601">
        <v>3.25</v>
      </c>
      <c r="L410" s="601">
        <v>2.4</v>
      </c>
      <c r="M410" s="601">
        <v>4.8499999999999996</v>
      </c>
      <c r="N410" s="601">
        <v>2.8</v>
      </c>
      <c r="O410" s="601">
        <v>2.4</v>
      </c>
      <c r="P410" s="670">
        <f t="shared" si="39"/>
        <v>3</v>
      </c>
    </row>
    <row r="411" spans="2:16" x14ac:dyDescent="0.2">
      <c r="B411" s="671">
        <f t="shared" si="41"/>
        <v>42872</v>
      </c>
      <c r="C411" s="605">
        <v>0</v>
      </c>
      <c r="D411" s="605">
        <v>0</v>
      </c>
      <c r="E411" s="605">
        <v>0</v>
      </c>
      <c r="F411" s="605">
        <v>0</v>
      </c>
      <c r="G411" s="605">
        <v>0</v>
      </c>
      <c r="H411" s="669">
        <f t="shared" si="38"/>
        <v>0</v>
      </c>
      <c r="J411" s="662">
        <f t="shared" si="40"/>
        <v>42872</v>
      </c>
      <c r="K411" s="601">
        <v>3.6</v>
      </c>
      <c r="L411" s="601">
        <v>2.0499999999999998</v>
      </c>
      <c r="M411" s="601">
        <v>4.9000000000000004</v>
      </c>
      <c r="N411" s="601">
        <v>3.35</v>
      </c>
      <c r="O411" s="601">
        <v>2.7</v>
      </c>
      <c r="P411" s="670">
        <f t="shared" si="39"/>
        <v>3</v>
      </c>
    </row>
    <row r="412" spans="2:16" x14ac:dyDescent="0.2">
      <c r="B412" s="671">
        <f t="shared" si="41"/>
        <v>42873</v>
      </c>
      <c r="C412" s="605">
        <v>0</v>
      </c>
      <c r="D412" s="605">
        <v>0</v>
      </c>
      <c r="E412" s="605">
        <v>0</v>
      </c>
      <c r="F412" s="605">
        <v>0</v>
      </c>
      <c r="G412" s="605">
        <v>0</v>
      </c>
      <c r="H412" s="669">
        <f t="shared" si="38"/>
        <v>0</v>
      </c>
      <c r="J412" s="662">
        <f t="shared" si="40"/>
        <v>42873</v>
      </c>
      <c r="K412" s="601">
        <v>3.2</v>
      </c>
      <c r="L412" s="601">
        <v>2.5499999999999998</v>
      </c>
      <c r="M412" s="601">
        <v>4.75</v>
      </c>
      <c r="N412" s="601">
        <v>3.05</v>
      </c>
      <c r="O412" s="601">
        <v>2.85</v>
      </c>
      <c r="P412" s="670">
        <f t="shared" si="39"/>
        <v>3</v>
      </c>
    </row>
    <row r="413" spans="2:16" x14ac:dyDescent="0.2">
      <c r="B413" s="671">
        <f t="shared" si="41"/>
        <v>42874</v>
      </c>
      <c r="C413" s="605">
        <v>0</v>
      </c>
      <c r="D413" s="605">
        <v>0</v>
      </c>
      <c r="E413" s="605">
        <v>0</v>
      </c>
      <c r="F413" s="605">
        <v>0</v>
      </c>
      <c r="G413" s="605">
        <v>0</v>
      </c>
      <c r="H413" s="669">
        <f t="shared" si="38"/>
        <v>0</v>
      </c>
      <c r="J413" s="662">
        <f t="shared" si="40"/>
        <v>42874</v>
      </c>
      <c r="K413" s="601">
        <v>3.1</v>
      </c>
      <c r="L413" s="601">
        <v>1.45</v>
      </c>
      <c r="M413" s="601">
        <v>4.2</v>
      </c>
      <c r="N413" s="601">
        <v>2.15</v>
      </c>
      <c r="O413" s="601">
        <v>1.65</v>
      </c>
      <c r="P413" s="670">
        <f t="shared" si="39"/>
        <v>2</v>
      </c>
    </row>
    <row r="414" spans="2:16" x14ac:dyDescent="0.2">
      <c r="B414" s="671">
        <f t="shared" si="41"/>
        <v>42875</v>
      </c>
      <c r="C414" s="605">
        <v>0</v>
      </c>
      <c r="D414" s="605">
        <v>0</v>
      </c>
      <c r="E414" s="605">
        <v>0</v>
      </c>
      <c r="F414" s="605">
        <v>0</v>
      </c>
      <c r="G414" s="605">
        <v>0</v>
      </c>
      <c r="H414" s="669">
        <f t="shared" si="38"/>
        <v>0</v>
      </c>
      <c r="J414" s="662">
        <f t="shared" si="40"/>
        <v>42875</v>
      </c>
      <c r="K414" s="601">
        <v>2.85</v>
      </c>
      <c r="L414" s="601">
        <v>0.75</v>
      </c>
      <c r="M414" s="601">
        <v>2.8</v>
      </c>
      <c r="N414" s="601">
        <v>2</v>
      </c>
      <c r="O414" s="601">
        <v>1.8</v>
      </c>
      <c r="P414" s="670">
        <f t="shared" si="39"/>
        <v>2</v>
      </c>
    </row>
    <row r="415" spans="2:16" x14ac:dyDescent="0.2">
      <c r="B415" s="671">
        <f t="shared" si="41"/>
        <v>42876</v>
      </c>
      <c r="C415" s="605">
        <v>0</v>
      </c>
      <c r="D415" s="605">
        <v>0</v>
      </c>
      <c r="E415" s="605">
        <v>0</v>
      </c>
      <c r="F415" s="605">
        <v>0</v>
      </c>
      <c r="G415" s="605">
        <v>0</v>
      </c>
      <c r="H415" s="669">
        <f t="shared" si="38"/>
        <v>0</v>
      </c>
      <c r="J415" s="662">
        <f t="shared" si="40"/>
        <v>42876</v>
      </c>
      <c r="K415" s="601">
        <v>2.35</v>
      </c>
      <c r="L415" s="601">
        <v>1.25</v>
      </c>
      <c r="M415" s="601">
        <v>3.4</v>
      </c>
      <c r="N415" s="601">
        <v>1.9</v>
      </c>
      <c r="O415" s="601">
        <v>1.55</v>
      </c>
      <c r="P415" s="670">
        <f t="shared" si="39"/>
        <v>2</v>
      </c>
    </row>
    <row r="416" spans="2:16" x14ac:dyDescent="0.2">
      <c r="B416" s="671">
        <f t="shared" si="41"/>
        <v>42877</v>
      </c>
      <c r="C416" s="605">
        <v>2</v>
      </c>
      <c r="D416" s="605">
        <v>0</v>
      </c>
      <c r="E416" s="605">
        <v>4</v>
      </c>
      <c r="F416" s="605">
        <v>1</v>
      </c>
      <c r="G416" s="605">
        <v>1</v>
      </c>
      <c r="H416" s="669">
        <f t="shared" si="38"/>
        <v>1</v>
      </c>
      <c r="J416" s="662">
        <f t="shared" si="40"/>
        <v>42877</v>
      </c>
      <c r="K416" s="601">
        <v>1.8</v>
      </c>
      <c r="L416" s="601">
        <v>0.9</v>
      </c>
      <c r="M416" s="601">
        <v>2.8</v>
      </c>
      <c r="N416" s="601">
        <v>1.1000000000000001</v>
      </c>
      <c r="O416" s="601">
        <v>1.2</v>
      </c>
      <c r="P416" s="670">
        <f t="shared" si="39"/>
        <v>1</v>
      </c>
    </row>
    <row r="417" spans="2:16" x14ac:dyDescent="0.2">
      <c r="B417" s="671">
        <f t="shared" si="41"/>
        <v>42878</v>
      </c>
      <c r="C417" s="605">
        <v>0</v>
      </c>
      <c r="D417" s="605">
        <v>0</v>
      </c>
      <c r="E417" s="605">
        <v>0</v>
      </c>
      <c r="F417" s="605">
        <v>0</v>
      </c>
      <c r="G417" s="605">
        <v>0</v>
      </c>
      <c r="H417" s="669">
        <f t="shared" si="38"/>
        <v>0</v>
      </c>
      <c r="J417" s="662">
        <f t="shared" si="40"/>
        <v>42878</v>
      </c>
      <c r="K417" s="601">
        <v>0.7</v>
      </c>
      <c r="L417" s="601">
        <v>0.4</v>
      </c>
      <c r="M417" s="601">
        <v>1.5</v>
      </c>
      <c r="N417" s="601">
        <v>0.75</v>
      </c>
      <c r="O417" s="601">
        <v>0.3</v>
      </c>
      <c r="P417" s="670">
        <f t="shared" si="39"/>
        <v>1</v>
      </c>
    </row>
    <row r="418" spans="2:16" x14ac:dyDescent="0.2">
      <c r="B418" s="671">
        <f t="shared" si="41"/>
        <v>42879</v>
      </c>
      <c r="C418" s="605">
        <v>3</v>
      </c>
      <c r="D418" s="605">
        <v>3</v>
      </c>
      <c r="E418" s="605">
        <v>1</v>
      </c>
      <c r="F418" s="605">
        <v>2</v>
      </c>
      <c r="G418" s="605">
        <v>1</v>
      </c>
      <c r="H418" s="669">
        <f t="shared" si="38"/>
        <v>2</v>
      </c>
      <c r="J418" s="662">
        <f t="shared" si="40"/>
        <v>42879</v>
      </c>
      <c r="K418" s="601">
        <v>1.65</v>
      </c>
      <c r="L418" s="601">
        <v>0.45</v>
      </c>
      <c r="M418" s="601">
        <v>2</v>
      </c>
      <c r="N418" s="601">
        <v>0.95</v>
      </c>
      <c r="O418" s="601">
        <v>0.9</v>
      </c>
      <c r="P418" s="670">
        <f t="shared" si="39"/>
        <v>1</v>
      </c>
    </row>
    <row r="419" spans="2:16" x14ac:dyDescent="0.2">
      <c r="B419" s="671">
        <f t="shared" si="41"/>
        <v>42880</v>
      </c>
      <c r="C419" s="605">
        <v>0</v>
      </c>
      <c r="D419" s="605">
        <v>0</v>
      </c>
      <c r="E419" s="605">
        <v>5</v>
      </c>
      <c r="F419" s="605">
        <v>1</v>
      </c>
      <c r="G419" s="605">
        <v>0</v>
      </c>
      <c r="H419" s="669">
        <f t="shared" si="38"/>
        <v>1</v>
      </c>
      <c r="J419" s="662">
        <f t="shared" si="40"/>
        <v>42880</v>
      </c>
      <c r="K419" s="601">
        <v>1.65</v>
      </c>
      <c r="L419" s="601">
        <v>0.65</v>
      </c>
      <c r="M419" s="601">
        <v>2.25</v>
      </c>
      <c r="N419" s="601">
        <v>1.5</v>
      </c>
      <c r="O419" s="601">
        <v>1.3</v>
      </c>
      <c r="P419" s="670">
        <f t="shared" si="39"/>
        <v>1</v>
      </c>
    </row>
    <row r="420" spans="2:16" x14ac:dyDescent="0.2">
      <c r="B420" s="671">
        <f t="shared" si="41"/>
        <v>42881</v>
      </c>
      <c r="C420" s="605">
        <v>0</v>
      </c>
      <c r="D420" s="605">
        <v>0</v>
      </c>
      <c r="E420" s="605">
        <v>0</v>
      </c>
      <c r="F420" s="605">
        <v>0</v>
      </c>
      <c r="G420" s="605">
        <v>0</v>
      </c>
      <c r="H420" s="669">
        <f t="shared" si="38"/>
        <v>0</v>
      </c>
      <c r="J420" s="662">
        <f t="shared" si="40"/>
        <v>42881</v>
      </c>
      <c r="K420" s="601">
        <v>0.85</v>
      </c>
      <c r="L420" s="601">
        <v>0.2</v>
      </c>
      <c r="M420" s="601">
        <v>1.05</v>
      </c>
      <c r="N420" s="601">
        <v>0.4</v>
      </c>
      <c r="O420" s="601">
        <v>0.5</v>
      </c>
      <c r="P420" s="670">
        <f t="shared" si="39"/>
        <v>1</v>
      </c>
    </row>
    <row r="421" spans="2:16" x14ac:dyDescent="0.2">
      <c r="B421" s="671">
        <f t="shared" si="41"/>
        <v>42882</v>
      </c>
      <c r="C421" s="605">
        <v>0</v>
      </c>
      <c r="D421" s="605">
        <v>0</v>
      </c>
      <c r="E421" s="605">
        <v>0</v>
      </c>
      <c r="F421" s="605">
        <v>0</v>
      </c>
      <c r="G421" s="605">
        <v>0</v>
      </c>
      <c r="H421" s="669">
        <f t="shared" si="38"/>
        <v>0</v>
      </c>
      <c r="J421" s="662">
        <f t="shared" si="40"/>
        <v>42882</v>
      </c>
      <c r="K421" s="601">
        <v>0.7</v>
      </c>
      <c r="L421" s="601">
        <v>0.1</v>
      </c>
      <c r="M421" s="601">
        <v>0.7</v>
      </c>
      <c r="N421" s="601">
        <v>0.5</v>
      </c>
      <c r="O421" s="601">
        <v>0.4</v>
      </c>
      <c r="P421" s="670">
        <f t="shared" si="39"/>
        <v>0</v>
      </c>
    </row>
    <row r="422" spans="2:16" x14ac:dyDescent="0.2">
      <c r="B422" s="671">
        <f t="shared" si="41"/>
        <v>42883</v>
      </c>
      <c r="C422" s="605">
        <v>0</v>
      </c>
      <c r="D422" s="605">
        <v>0</v>
      </c>
      <c r="E422" s="605">
        <v>0</v>
      </c>
      <c r="F422" s="605">
        <v>0</v>
      </c>
      <c r="G422" s="605">
        <v>0</v>
      </c>
      <c r="H422" s="669">
        <f t="shared" si="38"/>
        <v>0</v>
      </c>
      <c r="J422" s="662">
        <f t="shared" si="40"/>
        <v>42883</v>
      </c>
      <c r="K422" s="601">
        <v>0.1</v>
      </c>
      <c r="L422" s="601">
        <v>0</v>
      </c>
      <c r="M422" s="601">
        <v>0.45</v>
      </c>
      <c r="N422" s="601">
        <v>0</v>
      </c>
      <c r="O422" s="601">
        <v>0</v>
      </c>
      <c r="P422" s="670">
        <f t="shared" si="39"/>
        <v>0</v>
      </c>
    </row>
    <row r="423" spans="2:16" x14ac:dyDescent="0.2">
      <c r="B423" s="671">
        <f t="shared" si="41"/>
        <v>42884</v>
      </c>
      <c r="C423" s="605">
        <v>0</v>
      </c>
      <c r="D423" s="605">
        <v>0</v>
      </c>
      <c r="E423" s="605">
        <v>0</v>
      </c>
      <c r="F423" s="605">
        <v>0</v>
      </c>
      <c r="G423" s="605">
        <v>0</v>
      </c>
      <c r="H423" s="669">
        <f t="shared" si="38"/>
        <v>0</v>
      </c>
      <c r="J423" s="662">
        <f t="shared" si="40"/>
        <v>42884</v>
      </c>
      <c r="K423" s="601">
        <v>0</v>
      </c>
      <c r="L423" s="601">
        <v>0</v>
      </c>
      <c r="M423" s="601">
        <v>0.4</v>
      </c>
      <c r="N423" s="601">
        <v>0</v>
      </c>
      <c r="O423" s="601">
        <v>0.1</v>
      </c>
      <c r="P423" s="670">
        <f t="shared" si="39"/>
        <v>0</v>
      </c>
    </row>
    <row r="424" spans="2:16" x14ac:dyDescent="0.2">
      <c r="B424" s="671">
        <f t="shared" si="41"/>
        <v>42885</v>
      </c>
      <c r="C424" s="605">
        <v>0</v>
      </c>
      <c r="D424" s="605">
        <v>0</v>
      </c>
      <c r="E424" s="605">
        <v>0</v>
      </c>
      <c r="F424" s="605">
        <v>0</v>
      </c>
      <c r="G424" s="605">
        <v>0</v>
      </c>
      <c r="H424" s="669">
        <f t="shared" si="38"/>
        <v>0</v>
      </c>
      <c r="J424" s="662">
        <f t="shared" si="40"/>
        <v>42885</v>
      </c>
      <c r="K424" s="601">
        <v>0.05</v>
      </c>
      <c r="L424" s="601">
        <v>0</v>
      </c>
      <c r="M424" s="601">
        <v>0.3</v>
      </c>
      <c r="N424" s="601">
        <v>0</v>
      </c>
      <c r="O424" s="601">
        <v>0</v>
      </c>
      <c r="P424" s="670">
        <f t="shared" si="39"/>
        <v>0</v>
      </c>
    </row>
    <row r="425" spans="2:16" x14ac:dyDescent="0.2">
      <c r="B425" s="671">
        <f t="shared" si="41"/>
        <v>42886</v>
      </c>
      <c r="C425" s="605">
        <v>0</v>
      </c>
      <c r="D425" s="605">
        <v>0</v>
      </c>
      <c r="E425" s="605">
        <v>0</v>
      </c>
      <c r="F425" s="605">
        <v>0</v>
      </c>
      <c r="G425" s="605">
        <v>0</v>
      </c>
      <c r="H425" s="669">
        <f t="shared" si="38"/>
        <v>0</v>
      </c>
      <c r="J425" s="662">
        <f t="shared" si="40"/>
        <v>42886</v>
      </c>
      <c r="K425" s="601">
        <v>0.35</v>
      </c>
      <c r="L425" s="601">
        <v>0</v>
      </c>
      <c r="M425" s="601">
        <v>0.15</v>
      </c>
      <c r="N425" s="601">
        <v>0.05</v>
      </c>
      <c r="O425" s="601">
        <v>0.05</v>
      </c>
      <c r="P425" s="670">
        <f t="shared" si="39"/>
        <v>0</v>
      </c>
    </row>
    <row r="426" spans="2:16" x14ac:dyDescent="0.2">
      <c r="B426" s="671">
        <f t="shared" si="41"/>
        <v>42887</v>
      </c>
      <c r="C426" s="605">
        <v>0</v>
      </c>
      <c r="D426" s="605">
        <v>0</v>
      </c>
      <c r="E426" s="605">
        <v>0</v>
      </c>
      <c r="F426" s="605">
        <v>0</v>
      </c>
      <c r="G426" s="605">
        <v>0</v>
      </c>
      <c r="H426" s="669">
        <f t="shared" si="38"/>
        <v>0</v>
      </c>
      <c r="J426" s="662">
        <f t="shared" si="40"/>
        <v>42887</v>
      </c>
      <c r="K426" s="601">
        <v>1.1000000000000001</v>
      </c>
      <c r="L426" s="601">
        <v>0.45</v>
      </c>
      <c r="M426" s="601">
        <v>1.4</v>
      </c>
      <c r="N426" s="601">
        <v>0.75</v>
      </c>
      <c r="O426" s="601">
        <v>0.55000000000000004</v>
      </c>
      <c r="P426" s="670">
        <f t="shared" si="39"/>
        <v>1</v>
      </c>
    </row>
    <row r="427" spans="2:16" x14ac:dyDescent="0.2">
      <c r="B427" s="671">
        <f t="shared" si="41"/>
        <v>42888</v>
      </c>
      <c r="C427" s="605">
        <v>0</v>
      </c>
      <c r="D427" s="605">
        <v>0</v>
      </c>
      <c r="E427" s="605">
        <v>0</v>
      </c>
      <c r="F427" s="605">
        <v>0</v>
      </c>
      <c r="G427" s="605">
        <v>0</v>
      </c>
      <c r="H427" s="669">
        <f t="shared" si="38"/>
        <v>0</v>
      </c>
      <c r="J427" s="662">
        <f t="shared" si="40"/>
        <v>42888</v>
      </c>
      <c r="K427" s="601">
        <v>0.8</v>
      </c>
      <c r="L427" s="601">
        <v>0.3</v>
      </c>
      <c r="M427" s="601">
        <v>1.25</v>
      </c>
      <c r="N427" s="601">
        <v>0.5</v>
      </c>
      <c r="O427" s="601">
        <v>0.35</v>
      </c>
      <c r="P427" s="670">
        <f t="shared" si="39"/>
        <v>1</v>
      </c>
    </row>
    <row r="428" spans="2:16" x14ac:dyDescent="0.2">
      <c r="B428" s="671">
        <f t="shared" si="41"/>
        <v>42889</v>
      </c>
      <c r="C428" s="605">
        <v>0</v>
      </c>
      <c r="D428" s="605">
        <v>0</v>
      </c>
      <c r="E428" s="605">
        <v>0</v>
      </c>
      <c r="F428" s="605">
        <v>0</v>
      </c>
      <c r="G428" s="605">
        <v>0</v>
      </c>
      <c r="H428" s="669">
        <f t="shared" si="38"/>
        <v>0</v>
      </c>
      <c r="J428" s="662">
        <f t="shared" si="40"/>
        <v>42889</v>
      </c>
      <c r="K428" s="601">
        <v>0.7</v>
      </c>
      <c r="L428" s="601">
        <v>0.2</v>
      </c>
      <c r="M428" s="601">
        <v>0.55000000000000004</v>
      </c>
      <c r="N428" s="601">
        <v>0.3</v>
      </c>
      <c r="O428" s="601">
        <v>0.5</v>
      </c>
      <c r="P428" s="670">
        <f t="shared" si="39"/>
        <v>0</v>
      </c>
    </row>
    <row r="429" spans="2:16" x14ac:dyDescent="0.2">
      <c r="B429" s="671">
        <f t="shared" si="41"/>
        <v>42890</v>
      </c>
      <c r="C429" s="605">
        <v>0</v>
      </c>
      <c r="D429" s="605">
        <v>0</v>
      </c>
      <c r="E429" s="605">
        <v>0</v>
      </c>
      <c r="F429" s="605">
        <v>0</v>
      </c>
      <c r="G429" s="605">
        <v>0</v>
      </c>
      <c r="H429" s="669">
        <f t="shared" si="38"/>
        <v>0</v>
      </c>
      <c r="J429" s="662">
        <f t="shared" si="40"/>
        <v>42890</v>
      </c>
      <c r="K429" s="601">
        <v>0.45</v>
      </c>
      <c r="L429" s="601">
        <v>0.15</v>
      </c>
      <c r="M429" s="601">
        <v>0.9</v>
      </c>
      <c r="N429" s="601">
        <v>0.55000000000000004</v>
      </c>
      <c r="O429" s="601">
        <v>0.3</v>
      </c>
      <c r="P429" s="670">
        <f t="shared" si="39"/>
        <v>0</v>
      </c>
    </row>
    <row r="430" spans="2:16" x14ac:dyDescent="0.2">
      <c r="B430" s="671">
        <f t="shared" si="41"/>
        <v>42891</v>
      </c>
      <c r="C430" s="605">
        <v>0</v>
      </c>
      <c r="D430" s="605">
        <v>0</v>
      </c>
      <c r="E430" s="605">
        <v>0</v>
      </c>
      <c r="F430" s="605">
        <v>0</v>
      </c>
      <c r="G430" s="605">
        <v>0</v>
      </c>
      <c r="H430" s="669">
        <f t="shared" si="38"/>
        <v>0</v>
      </c>
      <c r="J430" s="662">
        <f t="shared" si="40"/>
        <v>42891</v>
      </c>
      <c r="K430" s="601">
        <v>0.35</v>
      </c>
      <c r="L430" s="601">
        <v>0</v>
      </c>
      <c r="M430" s="601">
        <v>0.45</v>
      </c>
      <c r="N430" s="601">
        <v>0.2</v>
      </c>
      <c r="O430" s="601">
        <v>0.1</v>
      </c>
      <c r="P430" s="670">
        <f t="shared" si="39"/>
        <v>0</v>
      </c>
    </row>
    <row r="431" spans="2:16" x14ac:dyDescent="0.2">
      <c r="B431" s="671">
        <f t="shared" si="41"/>
        <v>42892</v>
      </c>
      <c r="C431" s="605">
        <v>0</v>
      </c>
      <c r="D431" s="605">
        <v>0</v>
      </c>
      <c r="E431" s="605">
        <v>0</v>
      </c>
      <c r="F431" s="605">
        <v>0</v>
      </c>
      <c r="G431" s="605">
        <v>0</v>
      </c>
      <c r="H431" s="669">
        <f t="shared" si="38"/>
        <v>0</v>
      </c>
      <c r="J431" s="662">
        <f t="shared" si="40"/>
        <v>42892</v>
      </c>
      <c r="K431" s="601">
        <v>0.5</v>
      </c>
      <c r="L431" s="601">
        <v>0.1</v>
      </c>
      <c r="M431" s="601">
        <v>0.75</v>
      </c>
      <c r="N431" s="601">
        <v>0.4</v>
      </c>
      <c r="O431" s="601">
        <v>0.35</v>
      </c>
      <c r="P431" s="670">
        <f t="shared" si="39"/>
        <v>0</v>
      </c>
    </row>
    <row r="432" spans="2:16" x14ac:dyDescent="0.2">
      <c r="B432" s="671">
        <f t="shared" si="41"/>
        <v>42893</v>
      </c>
      <c r="C432" s="605">
        <v>0</v>
      </c>
      <c r="D432" s="605">
        <v>0</v>
      </c>
      <c r="E432" s="605">
        <v>3</v>
      </c>
      <c r="F432" s="605">
        <v>0</v>
      </c>
      <c r="G432" s="605">
        <v>0</v>
      </c>
      <c r="H432" s="669">
        <f t="shared" si="38"/>
        <v>0</v>
      </c>
      <c r="J432" s="662">
        <f t="shared" si="40"/>
        <v>42893</v>
      </c>
      <c r="K432" s="601">
        <v>0.25</v>
      </c>
      <c r="L432" s="601">
        <v>0.15</v>
      </c>
      <c r="M432" s="601">
        <v>0.75</v>
      </c>
      <c r="N432" s="601">
        <v>0.2</v>
      </c>
      <c r="O432" s="601">
        <v>0.2</v>
      </c>
      <c r="P432" s="670">
        <f t="shared" si="39"/>
        <v>0</v>
      </c>
    </row>
    <row r="433" spans="2:16" x14ac:dyDescent="0.2">
      <c r="B433" s="671">
        <f t="shared" si="41"/>
        <v>42894</v>
      </c>
      <c r="C433" s="605">
        <v>0</v>
      </c>
      <c r="D433" s="605">
        <v>0</v>
      </c>
      <c r="E433" s="605">
        <v>2</v>
      </c>
      <c r="F433" s="605">
        <v>0</v>
      </c>
      <c r="G433" s="605">
        <v>0</v>
      </c>
      <c r="H433" s="669">
        <f t="shared" si="38"/>
        <v>0</v>
      </c>
      <c r="J433" s="662">
        <f t="shared" si="40"/>
        <v>42894</v>
      </c>
      <c r="K433" s="601">
        <v>0.15</v>
      </c>
      <c r="L433" s="601">
        <v>0</v>
      </c>
      <c r="M433" s="601">
        <v>0.25</v>
      </c>
      <c r="N433" s="601">
        <v>0.05</v>
      </c>
      <c r="O433" s="601">
        <v>0</v>
      </c>
      <c r="P433" s="670">
        <f t="shared" si="39"/>
        <v>0</v>
      </c>
    </row>
    <row r="434" spans="2:16" x14ac:dyDescent="0.2">
      <c r="B434" s="671">
        <f t="shared" si="41"/>
        <v>42895</v>
      </c>
      <c r="C434" s="605">
        <v>0</v>
      </c>
      <c r="D434" s="605">
        <v>0</v>
      </c>
      <c r="E434" s="605">
        <v>0</v>
      </c>
      <c r="F434" s="605">
        <v>0</v>
      </c>
      <c r="G434" s="605">
        <v>0</v>
      </c>
      <c r="H434" s="669">
        <f t="shared" si="38"/>
        <v>0</v>
      </c>
      <c r="J434" s="662">
        <f t="shared" si="40"/>
        <v>42895</v>
      </c>
      <c r="K434" s="601">
        <v>0</v>
      </c>
      <c r="L434" s="601">
        <v>0</v>
      </c>
      <c r="M434" s="601">
        <v>0</v>
      </c>
      <c r="N434" s="601">
        <v>0</v>
      </c>
      <c r="O434" s="601">
        <v>0</v>
      </c>
      <c r="P434" s="670">
        <f t="shared" si="39"/>
        <v>0</v>
      </c>
    </row>
    <row r="435" spans="2:16" x14ac:dyDescent="0.2">
      <c r="B435" s="671">
        <f t="shared" si="41"/>
        <v>42896</v>
      </c>
      <c r="C435" s="605">
        <v>0</v>
      </c>
      <c r="D435" s="605">
        <v>0</v>
      </c>
      <c r="E435" s="605">
        <v>0</v>
      </c>
      <c r="F435" s="605">
        <v>0</v>
      </c>
      <c r="G435" s="605">
        <v>0</v>
      </c>
      <c r="H435" s="669">
        <f t="shared" si="38"/>
        <v>0</v>
      </c>
      <c r="J435" s="662">
        <f t="shared" si="40"/>
        <v>42896</v>
      </c>
      <c r="K435" s="601">
        <v>0</v>
      </c>
      <c r="L435" s="601">
        <v>0</v>
      </c>
      <c r="M435" s="601">
        <v>0</v>
      </c>
      <c r="N435" s="601">
        <v>0</v>
      </c>
      <c r="O435" s="601">
        <v>0</v>
      </c>
      <c r="P435" s="670">
        <f t="shared" si="39"/>
        <v>0</v>
      </c>
    </row>
    <row r="436" spans="2:16" x14ac:dyDescent="0.2">
      <c r="B436" s="671">
        <f t="shared" si="41"/>
        <v>42897</v>
      </c>
      <c r="C436" s="605">
        <v>0</v>
      </c>
      <c r="D436" s="605">
        <v>0</v>
      </c>
      <c r="E436" s="605">
        <v>0</v>
      </c>
      <c r="F436" s="605">
        <v>0</v>
      </c>
      <c r="G436" s="605">
        <v>0</v>
      </c>
      <c r="H436" s="669">
        <f t="shared" si="38"/>
        <v>0</v>
      </c>
      <c r="J436" s="662">
        <f t="shared" si="40"/>
        <v>42897</v>
      </c>
      <c r="K436" s="601">
        <v>0</v>
      </c>
      <c r="L436" s="601">
        <v>0</v>
      </c>
      <c r="M436" s="601">
        <v>0.05</v>
      </c>
      <c r="N436" s="601">
        <v>0</v>
      </c>
      <c r="O436" s="601">
        <v>0</v>
      </c>
      <c r="P436" s="670">
        <f t="shared" si="39"/>
        <v>0</v>
      </c>
    </row>
    <row r="437" spans="2:16" x14ac:dyDescent="0.2">
      <c r="B437" s="671">
        <f t="shared" si="41"/>
        <v>42898</v>
      </c>
      <c r="C437" s="605">
        <v>0</v>
      </c>
      <c r="D437" s="605">
        <v>0</v>
      </c>
      <c r="E437" s="605">
        <v>0</v>
      </c>
      <c r="F437" s="605">
        <v>0</v>
      </c>
      <c r="G437" s="605">
        <v>0</v>
      </c>
      <c r="H437" s="669">
        <f t="shared" si="38"/>
        <v>0</v>
      </c>
      <c r="J437" s="662">
        <f t="shared" si="40"/>
        <v>42898</v>
      </c>
      <c r="K437" s="601">
        <v>0</v>
      </c>
      <c r="L437" s="601">
        <v>0</v>
      </c>
      <c r="M437" s="601">
        <v>0</v>
      </c>
      <c r="N437" s="601">
        <v>0</v>
      </c>
      <c r="O437" s="601">
        <v>0</v>
      </c>
      <c r="P437" s="670">
        <f t="shared" si="39"/>
        <v>0</v>
      </c>
    </row>
    <row r="438" spans="2:16" x14ac:dyDescent="0.2">
      <c r="B438" s="671">
        <f t="shared" si="41"/>
        <v>42899</v>
      </c>
      <c r="C438" s="605">
        <v>0</v>
      </c>
      <c r="D438" s="605">
        <v>0</v>
      </c>
      <c r="E438" s="605">
        <v>0</v>
      </c>
      <c r="F438" s="605">
        <v>0</v>
      </c>
      <c r="G438" s="605">
        <v>0</v>
      </c>
      <c r="H438" s="669">
        <f t="shared" si="38"/>
        <v>0</v>
      </c>
      <c r="J438" s="662">
        <f t="shared" si="40"/>
        <v>42899</v>
      </c>
      <c r="K438" s="601">
        <v>0</v>
      </c>
      <c r="L438" s="601">
        <v>0</v>
      </c>
      <c r="M438" s="601">
        <v>0</v>
      </c>
      <c r="N438" s="601">
        <v>0</v>
      </c>
      <c r="O438" s="601">
        <v>0</v>
      </c>
      <c r="P438" s="670">
        <f t="shared" si="39"/>
        <v>0</v>
      </c>
    </row>
    <row r="439" spans="2:16" x14ac:dyDescent="0.2">
      <c r="B439" s="671">
        <f t="shared" si="41"/>
        <v>42900</v>
      </c>
      <c r="C439" s="605">
        <v>0</v>
      </c>
      <c r="D439" s="605">
        <v>0</v>
      </c>
      <c r="E439" s="605">
        <v>0</v>
      </c>
      <c r="F439" s="605">
        <v>0</v>
      </c>
      <c r="G439" s="605">
        <v>0</v>
      </c>
      <c r="H439" s="669">
        <f t="shared" si="38"/>
        <v>0</v>
      </c>
      <c r="J439" s="662">
        <f t="shared" si="40"/>
        <v>42900</v>
      </c>
      <c r="K439" s="601">
        <v>0</v>
      </c>
      <c r="L439" s="601">
        <v>0</v>
      </c>
      <c r="M439" s="601">
        <v>0</v>
      </c>
      <c r="N439" s="601">
        <v>0</v>
      </c>
      <c r="O439" s="601">
        <v>0</v>
      </c>
      <c r="P439" s="670">
        <f t="shared" si="39"/>
        <v>0</v>
      </c>
    </row>
    <row r="440" spans="2:16" x14ac:dyDescent="0.2">
      <c r="B440" s="671">
        <f t="shared" si="41"/>
        <v>42901</v>
      </c>
      <c r="C440" s="605">
        <v>0</v>
      </c>
      <c r="D440" s="605">
        <v>0</v>
      </c>
      <c r="E440" s="605">
        <v>0</v>
      </c>
      <c r="F440" s="605">
        <v>0</v>
      </c>
      <c r="G440" s="605">
        <v>0</v>
      </c>
      <c r="H440" s="669">
        <f t="shared" si="38"/>
        <v>0</v>
      </c>
      <c r="J440" s="662">
        <f t="shared" si="40"/>
        <v>42901</v>
      </c>
      <c r="K440" s="601">
        <v>0</v>
      </c>
      <c r="L440" s="601">
        <v>0</v>
      </c>
      <c r="M440" s="601">
        <v>0</v>
      </c>
      <c r="N440" s="601">
        <v>0</v>
      </c>
      <c r="O440" s="601">
        <v>0</v>
      </c>
      <c r="P440" s="670">
        <f t="shared" si="39"/>
        <v>0</v>
      </c>
    </row>
    <row r="441" spans="2:16" x14ac:dyDescent="0.2">
      <c r="B441" s="671">
        <f t="shared" si="41"/>
        <v>42902</v>
      </c>
      <c r="C441" s="605">
        <v>0</v>
      </c>
      <c r="D441" s="605">
        <v>0</v>
      </c>
      <c r="E441" s="605">
        <v>0</v>
      </c>
      <c r="F441" s="605">
        <v>0</v>
      </c>
      <c r="G441" s="605">
        <v>0</v>
      </c>
      <c r="H441" s="669">
        <f t="shared" si="38"/>
        <v>0</v>
      </c>
      <c r="J441" s="662"/>
      <c r="K441" s="601"/>
      <c r="L441" s="601"/>
      <c r="M441" s="601"/>
      <c r="N441" s="601"/>
      <c r="O441" s="601"/>
      <c r="P441" s="670"/>
    </row>
    <row r="442" spans="2:16" x14ac:dyDescent="0.2">
      <c r="B442" s="671">
        <f t="shared" si="41"/>
        <v>42903</v>
      </c>
      <c r="C442" s="605">
        <v>0</v>
      </c>
      <c r="D442" s="605">
        <v>0</v>
      </c>
      <c r="E442" s="605">
        <v>0</v>
      </c>
      <c r="F442" s="605">
        <v>0</v>
      </c>
      <c r="G442" s="605">
        <v>0</v>
      </c>
      <c r="H442" s="669">
        <f t="shared" si="38"/>
        <v>0</v>
      </c>
      <c r="J442" s="662"/>
      <c r="K442" s="601"/>
      <c r="L442" s="601"/>
      <c r="M442" s="601"/>
      <c r="N442" s="601"/>
      <c r="O442" s="601"/>
      <c r="P442" s="670"/>
    </row>
    <row r="443" spans="2:16" x14ac:dyDescent="0.2">
      <c r="B443" s="671">
        <f t="shared" si="41"/>
        <v>42904</v>
      </c>
      <c r="C443" s="605">
        <v>0</v>
      </c>
      <c r="D443" s="605">
        <v>0</v>
      </c>
      <c r="E443" s="605">
        <v>0</v>
      </c>
      <c r="F443" s="605">
        <v>0</v>
      </c>
      <c r="G443" s="605">
        <v>0</v>
      </c>
      <c r="H443" s="669">
        <f t="shared" si="38"/>
        <v>0</v>
      </c>
      <c r="J443" s="662"/>
      <c r="K443" s="601"/>
      <c r="L443" s="601"/>
      <c r="M443" s="601"/>
      <c r="N443" s="601"/>
      <c r="O443" s="601"/>
      <c r="P443" s="670"/>
    </row>
    <row r="444" spans="2:16" x14ac:dyDescent="0.2">
      <c r="B444" s="671">
        <f t="shared" si="41"/>
        <v>42905</v>
      </c>
      <c r="C444" s="605">
        <v>0</v>
      </c>
      <c r="D444" s="605">
        <v>0</v>
      </c>
      <c r="E444" s="605">
        <v>0</v>
      </c>
      <c r="F444" s="605">
        <v>0</v>
      </c>
      <c r="G444" s="605">
        <v>0</v>
      </c>
      <c r="H444" s="669">
        <f t="shared" si="38"/>
        <v>0</v>
      </c>
      <c r="J444" s="662"/>
      <c r="K444" s="601"/>
      <c r="L444" s="601"/>
      <c r="M444" s="601"/>
      <c r="N444" s="601"/>
      <c r="O444" s="601"/>
      <c r="P444" s="670"/>
    </row>
    <row r="445" spans="2:16" x14ac:dyDescent="0.2">
      <c r="B445" s="671">
        <f t="shared" si="41"/>
        <v>42906</v>
      </c>
      <c r="C445" s="605">
        <v>0</v>
      </c>
      <c r="D445" s="605">
        <v>0</v>
      </c>
      <c r="E445" s="605">
        <v>0</v>
      </c>
      <c r="F445" s="605">
        <v>0</v>
      </c>
      <c r="G445" s="605">
        <v>0</v>
      </c>
      <c r="H445" s="669">
        <f t="shared" si="38"/>
        <v>0</v>
      </c>
      <c r="J445" s="662"/>
      <c r="K445" s="601"/>
      <c r="L445" s="601"/>
      <c r="M445" s="601"/>
      <c r="N445" s="601"/>
      <c r="O445" s="601"/>
      <c r="P445" s="670"/>
    </row>
    <row r="446" spans="2:16" x14ac:dyDescent="0.2">
      <c r="B446" s="671">
        <f t="shared" si="41"/>
        <v>42907</v>
      </c>
      <c r="C446" s="605">
        <v>0</v>
      </c>
      <c r="D446" s="605">
        <v>0</v>
      </c>
      <c r="E446" s="605">
        <v>0</v>
      </c>
      <c r="F446" s="605">
        <v>0</v>
      </c>
      <c r="G446" s="605">
        <v>0</v>
      </c>
      <c r="H446" s="669">
        <f t="shared" si="38"/>
        <v>0</v>
      </c>
      <c r="J446" s="662"/>
      <c r="K446" s="601"/>
      <c r="L446" s="601"/>
      <c r="M446" s="601"/>
      <c r="N446" s="601"/>
      <c r="O446" s="601"/>
      <c r="P446" s="670"/>
    </row>
    <row r="447" spans="2:16" x14ac:dyDescent="0.2">
      <c r="B447" s="671">
        <f t="shared" si="41"/>
        <v>42908</v>
      </c>
      <c r="C447" s="605">
        <v>0</v>
      </c>
      <c r="D447" s="605">
        <v>0</v>
      </c>
      <c r="E447" s="605">
        <v>0</v>
      </c>
      <c r="F447" s="605">
        <v>0</v>
      </c>
      <c r="G447" s="605">
        <v>0</v>
      </c>
      <c r="H447" s="669">
        <f t="shared" si="38"/>
        <v>0</v>
      </c>
      <c r="J447" s="662"/>
      <c r="K447" s="601"/>
      <c r="L447" s="601"/>
      <c r="M447" s="601"/>
      <c r="N447" s="601"/>
      <c r="O447" s="601"/>
      <c r="P447" s="670"/>
    </row>
    <row r="448" spans="2:16" x14ac:dyDescent="0.2">
      <c r="B448" s="671">
        <f t="shared" si="41"/>
        <v>42909</v>
      </c>
      <c r="C448" s="605">
        <v>0</v>
      </c>
      <c r="D448" s="605">
        <v>0</v>
      </c>
      <c r="E448" s="605">
        <v>0</v>
      </c>
      <c r="F448" s="605">
        <v>0</v>
      </c>
      <c r="G448" s="605">
        <v>0</v>
      </c>
      <c r="H448" s="669">
        <f t="shared" si="38"/>
        <v>0</v>
      </c>
      <c r="J448" s="662"/>
      <c r="K448" s="601"/>
      <c r="L448" s="601"/>
      <c r="M448" s="601"/>
      <c r="N448" s="601"/>
      <c r="O448" s="601"/>
      <c r="P448" s="670"/>
    </row>
    <row r="449" spans="2:16" x14ac:dyDescent="0.2">
      <c r="B449" s="671">
        <f t="shared" si="41"/>
        <v>42910</v>
      </c>
      <c r="C449" s="605">
        <v>0</v>
      </c>
      <c r="D449" s="605">
        <v>0</v>
      </c>
      <c r="E449" s="605">
        <v>0</v>
      </c>
      <c r="F449" s="605">
        <v>0</v>
      </c>
      <c r="G449" s="605">
        <v>0</v>
      </c>
      <c r="H449" s="669">
        <f t="shared" si="38"/>
        <v>0</v>
      </c>
      <c r="J449" s="662"/>
      <c r="K449" s="601"/>
      <c r="L449" s="601"/>
      <c r="M449" s="601"/>
      <c r="N449" s="601"/>
      <c r="O449" s="601"/>
      <c r="P449" s="670"/>
    </row>
    <row r="450" spans="2:16" x14ac:dyDescent="0.2">
      <c r="B450" s="671">
        <f t="shared" si="41"/>
        <v>42911</v>
      </c>
      <c r="C450" s="605">
        <v>0</v>
      </c>
      <c r="D450" s="605">
        <v>0</v>
      </c>
      <c r="E450" s="605">
        <v>0</v>
      </c>
      <c r="F450" s="605">
        <v>0</v>
      </c>
      <c r="G450" s="605">
        <v>0</v>
      </c>
      <c r="H450" s="669">
        <f t="shared" si="38"/>
        <v>0</v>
      </c>
      <c r="J450" s="662"/>
      <c r="K450" s="601"/>
      <c r="L450" s="601"/>
      <c r="M450" s="601"/>
      <c r="N450" s="601"/>
      <c r="O450" s="601"/>
      <c r="P450" s="670"/>
    </row>
    <row r="451" spans="2:16" x14ac:dyDescent="0.2">
      <c r="B451" s="671">
        <f t="shared" si="41"/>
        <v>42912</v>
      </c>
      <c r="C451" s="605">
        <v>0</v>
      </c>
      <c r="D451" s="605">
        <v>0</v>
      </c>
      <c r="E451" s="605">
        <v>0</v>
      </c>
      <c r="F451" s="605">
        <v>0</v>
      </c>
      <c r="G451" s="605">
        <v>0</v>
      </c>
      <c r="H451" s="669">
        <f t="shared" si="38"/>
        <v>0</v>
      </c>
      <c r="J451" s="662"/>
      <c r="K451" s="601"/>
      <c r="L451" s="601"/>
      <c r="M451" s="601"/>
      <c r="N451" s="601"/>
      <c r="O451" s="601"/>
      <c r="P451" s="670"/>
    </row>
    <row r="452" spans="2:16" x14ac:dyDescent="0.2">
      <c r="B452" s="671">
        <f t="shared" si="41"/>
        <v>42913</v>
      </c>
      <c r="C452" s="605">
        <v>0</v>
      </c>
      <c r="D452" s="605">
        <v>0</v>
      </c>
      <c r="E452" s="605">
        <v>0</v>
      </c>
      <c r="F452" s="605">
        <v>0</v>
      </c>
      <c r="G452" s="605">
        <v>0</v>
      </c>
      <c r="H452" s="669">
        <f t="shared" si="38"/>
        <v>0</v>
      </c>
      <c r="J452" s="662"/>
      <c r="K452" s="601"/>
      <c r="L452" s="601"/>
      <c r="M452" s="601"/>
      <c r="N452" s="601"/>
      <c r="O452" s="601"/>
      <c r="P452" s="670"/>
    </row>
    <row r="453" spans="2:16" x14ac:dyDescent="0.2">
      <c r="B453" s="671">
        <f t="shared" si="41"/>
        <v>42914</v>
      </c>
      <c r="C453" s="605">
        <v>0</v>
      </c>
      <c r="D453" s="605">
        <v>0</v>
      </c>
      <c r="E453" s="605">
        <v>0</v>
      </c>
      <c r="F453" s="605">
        <v>0</v>
      </c>
      <c r="G453" s="605">
        <v>0</v>
      </c>
      <c r="H453" s="669">
        <f t="shared" si="38"/>
        <v>0</v>
      </c>
      <c r="J453" s="662"/>
      <c r="K453" s="601"/>
      <c r="L453" s="601"/>
      <c r="M453" s="601"/>
      <c r="N453" s="601"/>
      <c r="O453" s="601"/>
      <c r="P453" s="670"/>
    </row>
    <row r="454" spans="2:16" x14ac:dyDescent="0.2">
      <c r="B454" s="671">
        <f t="shared" si="41"/>
        <v>42915</v>
      </c>
      <c r="C454" s="605">
        <v>0</v>
      </c>
      <c r="D454" s="605">
        <v>0</v>
      </c>
      <c r="E454" s="605">
        <v>0</v>
      </c>
      <c r="F454" s="605">
        <v>0</v>
      </c>
      <c r="G454" s="605">
        <v>0</v>
      </c>
      <c r="H454" s="669">
        <f t="shared" si="38"/>
        <v>0</v>
      </c>
      <c r="J454" s="662"/>
      <c r="K454" s="601"/>
      <c r="L454" s="601"/>
      <c r="M454" s="601"/>
      <c r="N454" s="601"/>
      <c r="O454" s="601"/>
      <c r="P454" s="670"/>
    </row>
    <row r="455" spans="2:16" x14ac:dyDescent="0.2">
      <c r="B455" s="671">
        <f t="shared" si="41"/>
        <v>42916</v>
      </c>
      <c r="C455" s="605">
        <v>0</v>
      </c>
      <c r="D455" s="605">
        <v>0</v>
      </c>
      <c r="E455" s="605">
        <v>0</v>
      </c>
      <c r="F455" s="605">
        <v>0</v>
      </c>
      <c r="G455" s="605">
        <v>0</v>
      </c>
      <c r="H455" s="669">
        <f t="shared" si="38"/>
        <v>0</v>
      </c>
      <c r="J455" s="662"/>
      <c r="K455" s="601"/>
      <c r="L455" s="601"/>
      <c r="M455" s="601"/>
      <c r="N455" s="601"/>
      <c r="O455" s="601"/>
      <c r="P455" s="670"/>
    </row>
    <row r="456" spans="2:16" x14ac:dyDescent="0.2">
      <c r="B456" s="671"/>
      <c r="C456" s="605"/>
      <c r="D456" s="605"/>
      <c r="E456" s="605"/>
      <c r="F456" s="605"/>
      <c r="G456" s="605"/>
      <c r="H456" s="669"/>
      <c r="J456" s="662"/>
      <c r="K456" s="601"/>
      <c r="L456" s="601"/>
      <c r="M456" s="601"/>
      <c r="N456" s="601"/>
      <c r="O456" s="601"/>
      <c r="P456" s="670"/>
    </row>
    <row r="457" spans="2:16" x14ac:dyDescent="0.2">
      <c r="J457" s="672"/>
      <c r="P457" s="670"/>
    </row>
    <row r="459" spans="2:16" x14ac:dyDescent="0.2">
      <c r="B459" s="211" t="s">
        <v>571</v>
      </c>
      <c r="C459" s="46">
        <f>SUM(C91:C455)</f>
        <v>3392</v>
      </c>
      <c r="D459" s="46">
        <f t="shared" ref="D459:H459" si="42">SUM(D91:D455)</f>
        <v>2450</v>
      </c>
      <c r="E459" s="46">
        <f t="shared" si="42"/>
        <v>3476</v>
      </c>
      <c r="F459" s="46">
        <f t="shared" si="42"/>
        <v>3087</v>
      </c>
      <c r="G459" s="46">
        <f t="shared" si="42"/>
        <v>3078</v>
      </c>
      <c r="H459" s="46">
        <f t="shared" si="42"/>
        <v>3062</v>
      </c>
      <c r="K459" s="46">
        <f>SUM(K76:K458)</f>
        <v>4285.7500000000009</v>
      </c>
      <c r="L459" s="46">
        <f t="shared" ref="L459:O459" si="43">SUM(L76:L458)</f>
        <v>3387.099999999999</v>
      </c>
      <c r="M459" s="46">
        <f t="shared" si="43"/>
        <v>4416.6000000000004</v>
      </c>
      <c r="N459" s="46">
        <f t="shared" si="43"/>
        <v>3907.400000000001</v>
      </c>
      <c r="O459" s="46">
        <f t="shared" si="43"/>
        <v>3934.4499999999994</v>
      </c>
      <c r="P459" s="46">
        <f t="shared" ref="P459" si="44">SUM(P92:P458)</f>
        <v>3959</v>
      </c>
    </row>
    <row r="461" spans="2:16" x14ac:dyDescent="0.2">
      <c r="B461" s="211" t="s">
        <v>572</v>
      </c>
      <c r="C461" s="628">
        <f>C459/K459</f>
        <v>0.79146007116607342</v>
      </c>
      <c r="D461" s="628">
        <f t="shared" ref="D461:H461" si="45">D459/L459</f>
        <v>0.7233326444451007</v>
      </c>
      <c r="E461" s="628">
        <f t="shared" si="45"/>
        <v>0.78703074763392644</v>
      </c>
      <c r="F461" s="628">
        <f t="shared" si="45"/>
        <v>0.79003941239699016</v>
      </c>
      <c r="G461" s="628">
        <f t="shared" si="45"/>
        <v>0.78232027348168121</v>
      </c>
      <c r="H461" s="628">
        <f t="shared" si="45"/>
        <v>0.77342763324071739</v>
      </c>
      <c r="K461" s="46"/>
      <c r="L461" s="46"/>
      <c r="M461" s="46"/>
      <c r="N461" s="46"/>
      <c r="O461" s="46"/>
      <c r="P461" s="46"/>
    </row>
    <row r="462" spans="2:16" x14ac:dyDescent="0.2">
      <c r="P462" s="670"/>
    </row>
    <row r="463" spans="2:16" x14ac:dyDescent="0.2">
      <c r="C463" s="46"/>
      <c r="D463" s="46"/>
      <c r="E463" s="46"/>
      <c r="F463" s="46"/>
      <c r="G463" s="46"/>
      <c r="H463" s="670"/>
      <c r="K463" s="466"/>
      <c r="L463" s="466"/>
      <c r="M463" s="466"/>
      <c r="N463" s="466"/>
      <c r="O463" s="466"/>
      <c r="P463" s="670"/>
    </row>
  </sheetData>
  <mergeCells count="7">
    <mergeCell ref="B28:F29"/>
    <mergeCell ref="K47:L47"/>
    <mergeCell ref="M47:N47"/>
    <mergeCell ref="C47:D47"/>
    <mergeCell ref="E47:F47"/>
    <mergeCell ref="B44:H44"/>
    <mergeCell ref="J44:P44"/>
  </mergeCells>
  <pageMargins left="0.7" right="0.7" top="0.75" bottom="0.75" header="0.3" footer="0.3"/>
  <pageSetup scale="87" orientation="portrait" r:id="rId1"/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FF00"/>
  </sheetPr>
  <dimension ref="A1:CV151"/>
  <sheetViews>
    <sheetView view="pageBreakPreview" zoomScale="50" zoomScaleNormal="115" zoomScaleSheetLayoutView="50" workbookViewId="0">
      <pane xSplit="2" ySplit="4" topLeftCell="C92" activePane="bottomRight" state="frozen"/>
      <selection activeCell="E28" sqref="E28"/>
      <selection pane="topRight" activeCell="E28" sqref="E28"/>
      <selection pane="bottomLeft" activeCell="E28" sqref="E28"/>
      <selection pane="bottomRight" activeCell="O71" sqref="O71"/>
    </sheetView>
  </sheetViews>
  <sheetFormatPr defaultColWidth="9.140625" defaultRowHeight="12.75" x14ac:dyDescent="0.2"/>
  <cols>
    <col min="1" max="1" width="9.5703125" style="226" customWidth="1"/>
    <col min="2" max="2" width="27" style="226" customWidth="1"/>
    <col min="3" max="7" width="14.42578125" style="226" customWidth="1"/>
    <col min="8" max="8" width="13.140625" style="227" bestFit="1" customWidth="1"/>
    <col min="9" max="9" width="17.5703125" style="227" bestFit="1" customWidth="1"/>
    <col min="10" max="15" width="13" style="227" bestFit="1" customWidth="1"/>
    <col min="16" max="16" width="13.5703125" style="227" bestFit="1" customWidth="1"/>
    <col min="17" max="17" width="13.140625" style="227" bestFit="1" customWidth="1"/>
    <col min="18" max="19" width="13" style="227" bestFit="1" customWidth="1"/>
    <col min="20" max="20" width="15.42578125" style="227" customWidth="1"/>
    <col min="21" max="22" width="13.5703125" style="227" bestFit="1" customWidth="1"/>
    <col min="23" max="23" width="13" style="227" bestFit="1" customWidth="1"/>
    <col min="24" max="24" width="13.42578125" style="227" bestFit="1" customWidth="1"/>
    <col min="25" max="25" width="13.5703125" style="227" bestFit="1" customWidth="1"/>
    <col min="26" max="86" width="13.85546875" style="227" customWidth="1"/>
    <col min="87" max="87" width="11.42578125" style="227" bestFit="1" customWidth="1"/>
    <col min="88" max="88" width="12.42578125" style="227" bestFit="1" customWidth="1"/>
    <col min="89" max="16384" width="9.140625" style="227"/>
  </cols>
  <sheetData>
    <row r="1" spans="1:91" ht="13.5" x14ac:dyDescent="0.25">
      <c r="A1" s="22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</row>
    <row r="2" spans="1:91" ht="13.5" x14ac:dyDescent="0.25">
      <c r="A2" s="225"/>
      <c r="B2" s="226" t="s">
        <v>402</v>
      </c>
      <c r="H2"/>
      <c r="I2"/>
      <c r="N2" s="35"/>
      <c r="O2" s="35"/>
      <c r="P2" s="35"/>
      <c r="Q2" s="35"/>
      <c r="R2" s="35"/>
      <c r="S2" s="35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8"/>
      <c r="BL2" s="228"/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228"/>
      <c r="CB2" s="228"/>
      <c r="CC2" s="228"/>
      <c r="CD2" s="228"/>
      <c r="CE2" s="228"/>
      <c r="CF2" s="228"/>
      <c r="CG2" s="228"/>
      <c r="CH2" s="228"/>
    </row>
    <row r="3" spans="1:91" ht="13.5" x14ac:dyDescent="0.25">
      <c r="A3" s="225"/>
      <c r="G3" s="468" t="s">
        <v>613</v>
      </c>
      <c r="H3" s="227" t="s">
        <v>612</v>
      </c>
      <c r="CE3" s="226"/>
    </row>
    <row r="4" spans="1:91" x14ac:dyDescent="0.2">
      <c r="C4" s="626">
        <f>'Monthly Forecast'!K8</f>
        <v>42794</v>
      </c>
      <c r="D4" s="626">
        <f>'Monthly Forecast'!L8</f>
        <v>42825</v>
      </c>
      <c r="E4" s="626">
        <f>'Monthly Forecast'!M8</f>
        <v>42855</v>
      </c>
      <c r="F4" s="626">
        <f>'Monthly Forecast'!N8</f>
        <v>42886</v>
      </c>
      <c r="G4" s="626">
        <f>'Monthly Forecast'!O8</f>
        <v>42916</v>
      </c>
      <c r="H4" s="626">
        <f>'Monthly Forecast'!P8</f>
        <v>42947</v>
      </c>
      <c r="I4" s="626">
        <f>'Monthly Forecast'!Q8</f>
        <v>42978</v>
      </c>
      <c r="J4" s="626">
        <f>'Monthly Forecast'!R8</f>
        <v>43008</v>
      </c>
      <c r="K4" s="626">
        <f>'Monthly Forecast'!S8</f>
        <v>43039</v>
      </c>
      <c r="L4" s="626">
        <f>'Monthly Forecast'!T8</f>
        <v>43069</v>
      </c>
      <c r="M4" s="626">
        <f>'Monthly Forecast'!U8</f>
        <v>43100</v>
      </c>
      <c r="N4" s="626">
        <f>'Monthly Forecast'!V8</f>
        <v>43131</v>
      </c>
      <c r="O4" s="626">
        <f>'Monthly Forecast'!W8</f>
        <v>43159</v>
      </c>
      <c r="P4" s="626">
        <f>'Monthly Forecast'!X8</f>
        <v>43190</v>
      </c>
      <c r="Q4" s="626">
        <f>'Monthly Forecast'!Y8</f>
        <v>43220</v>
      </c>
      <c r="R4" s="626">
        <f>'Monthly Forecast'!Z8</f>
        <v>43251</v>
      </c>
      <c r="S4" s="626">
        <f>'Monthly Forecast'!AA8</f>
        <v>43281</v>
      </c>
      <c r="T4" s="626">
        <f>'Monthly Forecast'!AB8</f>
        <v>43312</v>
      </c>
      <c r="U4" s="626">
        <f>'Monthly Forecast'!AC8</f>
        <v>43343</v>
      </c>
      <c r="V4" s="626">
        <f>'Monthly Forecast'!AD8</f>
        <v>43373</v>
      </c>
      <c r="W4" s="626">
        <f>'Monthly Forecast'!AE8</f>
        <v>43404</v>
      </c>
      <c r="X4" s="626">
        <f>'Monthly Forecast'!AF8</f>
        <v>43434</v>
      </c>
      <c r="Y4" s="626">
        <f>'Monthly Forecast'!AG8</f>
        <v>43465</v>
      </c>
      <c r="Z4" s="626">
        <f>'Monthly Forecast'!AH8</f>
        <v>43496</v>
      </c>
      <c r="AA4" s="626">
        <f>'Monthly Forecast'!AI8</f>
        <v>43524</v>
      </c>
      <c r="AB4" s="626">
        <f>'Monthly Forecast'!AJ8</f>
        <v>43555</v>
      </c>
      <c r="AC4" s="626">
        <f>'Monthly Forecast'!AK8</f>
        <v>43585</v>
      </c>
      <c r="AD4" s="626">
        <f>'Monthly Forecast'!AL8</f>
        <v>43616</v>
      </c>
      <c r="AE4" s="626">
        <f>'Monthly Forecast'!AM8</f>
        <v>43646</v>
      </c>
      <c r="AF4" s="626">
        <f>'Monthly Forecast'!AN8</f>
        <v>43677</v>
      </c>
      <c r="AG4" s="626">
        <f>'Monthly Forecast'!AO8</f>
        <v>43708</v>
      </c>
      <c r="AH4" s="626">
        <f>'Monthly Forecast'!AP8</f>
        <v>43738</v>
      </c>
      <c r="AI4" s="626">
        <f>'Monthly Forecast'!AQ8</f>
        <v>43769</v>
      </c>
      <c r="AJ4" s="626">
        <f>'Monthly Forecast'!AR8</f>
        <v>43799</v>
      </c>
      <c r="AK4" s="626">
        <f>'Monthly Forecast'!AS8</f>
        <v>43830</v>
      </c>
      <c r="AL4" s="626">
        <f>'Monthly Forecast'!AT8</f>
        <v>43861</v>
      </c>
      <c r="AM4" s="626">
        <f>'Monthly Forecast'!AU8</f>
        <v>43890</v>
      </c>
      <c r="AN4" s="626">
        <f>'Monthly Forecast'!AV8</f>
        <v>43921</v>
      </c>
      <c r="AO4" s="626">
        <f>'Monthly Forecast'!AW8</f>
        <v>43951</v>
      </c>
      <c r="AP4" s="626">
        <f>'Monthly Forecast'!AX8</f>
        <v>43982</v>
      </c>
      <c r="AQ4" s="626">
        <f>'Monthly Forecast'!AY8</f>
        <v>44012</v>
      </c>
      <c r="AR4" s="626">
        <f>'Monthly Forecast'!AZ8</f>
        <v>44043</v>
      </c>
      <c r="AS4" s="626">
        <f>'Monthly Forecast'!BA8</f>
        <v>44074</v>
      </c>
      <c r="AT4" s="626">
        <f>'Monthly Forecast'!BB8</f>
        <v>44104</v>
      </c>
      <c r="AU4" s="626">
        <f>'Monthly Forecast'!BC8</f>
        <v>44135</v>
      </c>
      <c r="AV4" s="626">
        <f>'Monthly Forecast'!BD8</f>
        <v>44165</v>
      </c>
      <c r="AW4" s="626">
        <f>'Monthly Forecast'!BE8</f>
        <v>44196</v>
      </c>
      <c r="AX4" s="626">
        <f>'Monthly Forecast'!BF8</f>
        <v>44227</v>
      </c>
      <c r="AY4" s="626">
        <f>'Monthly Forecast'!BG8</f>
        <v>44255</v>
      </c>
      <c r="AZ4" s="626">
        <f>'Monthly Forecast'!BH8</f>
        <v>44286</v>
      </c>
      <c r="BA4" s="626">
        <f>'Monthly Forecast'!BI8</f>
        <v>44316</v>
      </c>
      <c r="BB4" s="626">
        <f>'Monthly Forecast'!BJ8</f>
        <v>44347</v>
      </c>
      <c r="BC4" s="626">
        <f>'Monthly Forecast'!BK8</f>
        <v>44377</v>
      </c>
      <c r="BD4" s="626">
        <f>'Monthly Forecast'!BL8</f>
        <v>44408</v>
      </c>
      <c r="BE4" s="626">
        <f>'Monthly Forecast'!BM8</f>
        <v>44439</v>
      </c>
      <c r="BF4" s="626">
        <f>'Monthly Forecast'!BN8</f>
        <v>44469</v>
      </c>
      <c r="BG4" s="626">
        <f>'Monthly Forecast'!BO8</f>
        <v>44500</v>
      </c>
      <c r="BH4" s="626">
        <f>'Monthly Forecast'!BP8</f>
        <v>44530</v>
      </c>
      <c r="BI4" s="626">
        <f>'Monthly Forecast'!BQ8</f>
        <v>44561</v>
      </c>
      <c r="BJ4" s="626">
        <f>'Monthly Forecast'!BR8</f>
        <v>44592</v>
      </c>
      <c r="BK4" s="626">
        <f>'Monthly Forecast'!BS8</f>
        <v>44620</v>
      </c>
      <c r="BL4" s="626">
        <f>'Monthly Forecast'!BT8</f>
        <v>44651</v>
      </c>
      <c r="BM4" s="626">
        <f>'Monthly Forecast'!BU8</f>
        <v>44681</v>
      </c>
      <c r="BN4" s="626">
        <f>'Monthly Forecast'!BV8</f>
        <v>44712</v>
      </c>
      <c r="BO4" s="626">
        <f>'Monthly Forecast'!BW8</f>
        <v>44742</v>
      </c>
      <c r="BP4" s="626">
        <f>'Monthly Forecast'!BX8</f>
        <v>44773</v>
      </c>
      <c r="BQ4" s="626">
        <f>'Monthly Forecast'!BY8</f>
        <v>44804</v>
      </c>
      <c r="BR4" s="626">
        <f>'Monthly Forecast'!BZ8</f>
        <v>44834</v>
      </c>
      <c r="BS4" s="626">
        <f>'Monthly Forecast'!CA8</f>
        <v>44865</v>
      </c>
      <c r="BT4" s="626">
        <f>'Monthly Forecast'!CB8</f>
        <v>44895</v>
      </c>
      <c r="BU4" s="626">
        <f>'Monthly Forecast'!CC8</f>
        <v>44926</v>
      </c>
      <c r="BV4" s="626">
        <f>'Monthly Forecast'!CD8</f>
        <v>44957</v>
      </c>
      <c r="BW4" s="626">
        <f>'Monthly Forecast'!CE8</f>
        <v>44985</v>
      </c>
      <c r="BX4" s="626">
        <f>'Monthly Forecast'!CF8</f>
        <v>45016</v>
      </c>
      <c r="BY4" s="626">
        <f>'Monthly Forecast'!CG8</f>
        <v>45046</v>
      </c>
      <c r="BZ4" s="626">
        <f>'Monthly Forecast'!CH8</f>
        <v>45077</v>
      </c>
      <c r="CA4" s="626">
        <f>'Monthly Forecast'!CI8</f>
        <v>45107</v>
      </c>
      <c r="CB4" s="626">
        <f t="shared" ref="CB4" si="0">EOMONTH(CA4,1)</f>
        <v>45138</v>
      </c>
      <c r="CC4" s="626">
        <f t="shared" ref="CC4" si="1">EOMONTH(CB4,1)</f>
        <v>45169</v>
      </c>
      <c r="CD4" s="626">
        <f t="shared" ref="CD4" si="2">EOMONTH(CC4,1)</f>
        <v>45199</v>
      </c>
      <c r="CE4" s="626"/>
      <c r="CF4" s="229"/>
      <c r="CG4" s="229"/>
      <c r="CH4" s="229"/>
      <c r="CI4" s="229"/>
      <c r="CJ4" s="229"/>
      <c r="CK4" s="229"/>
    </row>
    <row r="5" spans="1:91" x14ac:dyDescent="0.2">
      <c r="B5" s="226" t="s">
        <v>403</v>
      </c>
      <c r="C5" s="232">
        <f>+'Monthly Forecast'!K110</f>
        <v>2604191.2896674341</v>
      </c>
      <c r="D5" s="232">
        <f>+'Monthly Forecast'!L110</f>
        <v>1976221.6716501126</v>
      </c>
      <c r="E5" s="232">
        <f>+'Monthly Forecast'!M110</f>
        <v>1011286.6581760312</v>
      </c>
      <c r="F5" s="232">
        <f>+'Monthly Forecast'!N110</f>
        <v>562786.12720545626</v>
      </c>
      <c r="G5" s="232">
        <f>+'Monthly Forecast'!O110</f>
        <v>378086.82728820108</v>
      </c>
      <c r="H5" s="232">
        <f>+'Monthly Forecast'!P110</f>
        <v>361294.50078427762</v>
      </c>
      <c r="I5" s="232">
        <f>+'Monthly Forecast'!Q110</f>
        <v>365647.46365276381</v>
      </c>
      <c r="J5" s="232">
        <f>+'Monthly Forecast'!R110</f>
        <v>429677.64670083456</v>
      </c>
      <c r="K5" s="232">
        <f>+'Monthly Forecast'!S110</f>
        <v>973910.02681584761</v>
      </c>
      <c r="L5" s="232">
        <f>+'Monthly Forecast'!T110</f>
        <v>1819677.200256163</v>
      </c>
      <c r="M5" s="232">
        <f>+'Monthly Forecast'!U110</f>
        <v>2805108.1534254691</v>
      </c>
      <c r="N5" s="232">
        <f>+'Monthly Forecast'!V110</f>
        <v>3131352.5901000341</v>
      </c>
      <c r="O5" s="232">
        <f>+'Monthly Forecast'!W110</f>
        <v>2607348.0086610056</v>
      </c>
      <c r="P5" s="232">
        <f>+'Monthly Forecast'!X110</f>
        <v>1978557.8757279455</v>
      </c>
      <c r="Q5" s="232">
        <f>+'Monthly Forecast'!Y110</f>
        <v>1012417.4520241295</v>
      </c>
      <c r="R5" s="232">
        <f>+'Monthly Forecast'!Z110</f>
        <v>563316.32670742925</v>
      </c>
      <c r="S5" s="232">
        <f>+'Monthly Forecast'!AA110</f>
        <v>378393.25070227083</v>
      </c>
      <c r="T5" s="232">
        <f>+'Monthly Forecast'!AB110</f>
        <v>361592.8386688864</v>
      </c>
      <c r="U5" s="232">
        <f>+'Monthly Forecast'!AC110</f>
        <v>365945.79832608468</v>
      </c>
      <c r="V5" s="232">
        <f>+'Monthly Forecast'!AD110</f>
        <v>430070.20462820004</v>
      </c>
      <c r="W5" s="232">
        <f>+'Monthly Forecast'!AE110</f>
        <v>975044.53535411053</v>
      </c>
      <c r="X5" s="232">
        <f>+'Monthly Forecast'!AF110</f>
        <v>1821938.5007860286</v>
      </c>
      <c r="Y5" s="232">
        <f>+'Monthly Forecast'!AG110</f>
        <v>2808579.1823036298</v>
      </c>
      <c r="Z5" s="232">
        <f>+'Monthly Forecast'!AH110</f>
        <v>3135161.4848993984</v>
      </c>
      <c r="AA5" s="232">
        <f>+'Monthly Forecast'!AI110</f>
        <v>2610505.1533652595</v>
      </c>
      <c r="AB5" s="232">
        <f>+'Monthly Forecast'!AJ110</f>
        <v>1980894.3124820809</v>
      </c>
      <c r="AC5" s="232">
        <f>+'Monthly Forecast'!AK110</f>
        <v>1013548.1954398041</v>
      </c>
      <c r="AD5" s="232">
        <f>+'Monthly Forecast'!AL110</f>
        <v>563846.33362069004</v>
      </c>
      <c r="AE5" s="232">
        <f>+'Monthly Forecast'!AM110</f>
        <v>378699.43234611402</v>
      </c>
      <c r="AF5" s="232">
        <f>+'Monthly Forecast'!AN110</f>
        <v>361891.17724215507</v>
      </c>
      <c r="AG5" s="232">
        <f>+'Monthly Forecast'!AO110</f>
        <v>366244.13388471253</v>
      </c>
      <c r="AH5" s="232">
        <f>+'Monthly Forecast'!AP110</f>
        <v>430462.76708812773</v>
      </c>
      <c r="AI5" s="232">
        <f>+'Monthly Forecast'!AQ110</f>
        <v>976179.07869753893</v>
      </c>
      <c r="AJ5" s="232">
        <f>+'Monthly Forecast'!AR110</f>
        <v>1824199.8820058678</v>
      </c>
      <c r="AK5" s="232">
        <f>+'Monthly Forecast'!AS110</f>
        <v>2812050.3411758915</v>
      </c>
      <c r="AL5" s="232">
        <f>+'Monthly Forecast'!AT110</f>
        <v>3138970.5235226923</v>
      </c>
      <c r="AM5" s="232">
        <f>+'Monthly Forecast'!AU110</f>
        <v>2613662.415265413</v>
      </c>
      <c r="AN5" s="232">
        <f>+'Monthly Forecast'!AV110</f>
        <v>1983230.8332311446</v>
      </c>
      <c r="AO5" s="232">
        <f>+'Monthly Forecast'!AW110</f>
        <v>1014678.9732410865</v>
      </c>
      <c r="AP5" s="232">
        <f>+'Monthly Forecast'!AX110</f>
        <v>564376.35080614465</v>
      </c>
      <c r="AQ5" s="232">
        <f>+'Monthly Forecast'!AY110</f>
        <v>379005.61502163153</v>
      </c>
      <c r="AR5" s="232">
        <f>+'Monthly Forecast'!AZ110</f>
        <v>362189.50346844713</v>
      </c>
      <c r="AS5" s="232">
        <f>+'Monthly Forecast'!BA110</f>
        <v>366542.45650682942</v>
      </c>
      <c r="AT5" s="232">
        <f>+'Monthly Forecast'!BB110</f>
        <v>430855.31924611068</v>
      </c>
      <c r="AU5" s="232">
        <f>+'Monthly Forecast'!BC110</f>
        <v>977313.62788950815</v>
      </c>
      <c r="AV5" s="232">
        <f>+'Monthly Forecast'!BD110</f>
        <v>1826461.2939910197</v>
      </c>
      <c r="AW5" s="232">
        <f>+'Monthly Forecast'!BE110</f>
        <v>2815521.5578236035</v>
      </c>
      <c r="AX5" s="232">
        <f>+'Monthly Forecast'!BF110</f>
        <v>3142779.627414708</v>
      </c>
      <c r="AY5" s="232">
        <f>+'Monthly Forecast'!BG110</f>
        <v>2616819.7281720121</v>
      </c>
      <c r="AZ5" s="232">
        <f>+'Monthly Forecast'!BH110</f>
        <v>1985567.3863374442</v>
      </c>
      <c r="BA5" s="232">
        <f>+'Monthly Forecast'!BI110</f>
        <v>1015809.7575063595</v>
      </c>
      <c r="BB5" s="232">
        <f>+'Monthly Forecast'!BJ110</f>
        <v>564906.3603574041</v>
      </c>
      <c r="BC5" s="232">
        <f>+'Monthly Forecast'!BK110</f>
        <v>379311.7854310752</v>
      </c>
      <c r="BD5" s="232">
        <f>+'Monthly Forecast'!BL110</f>
        <v>362488.08143246348</v>
      </c>
      <c r="BE5" s="232">
        <f>+'Monthly Forecast'!BM110</f>
        <v>366841.03263059253</v>
      </c>
      <c r="BF5" s="232">
        <f>+'Monthly Forecast'!BN110</f>
        <v>431248.19856152876</v>
      </c>
      <c r="BG5" s="232">
        <f>+'Monthly Forecast'!BO110</f>
        <v>978449.11897931481</v>
      </c>
      <c r="BH5" s="232">
        <f>+'Monthly Forecast'!BP110</f>
        <v>1828724.5953257757</v>
      </c>
      <c r="BI5" s="232">
        <f>+'Monthly Forecast'!BQ110</f>
        <v>2818995.7332882821</v>
      </c>
      <c r="BJ5" s="232">
        <f>+'Monthly Forecast'!BR110</f>
        <v>3146591.9972766023</v>
      </c>
      <c r="BK5" s="232">
        <f>+'Monthly Forecast'!BS110</f>
        <v>2619979.7602278148</v>
      </c>
      <c r="BL5" s="232">
        <f>+'Monthly Forecast'!BT110</f>
        <v>1987905.9556390033</v>
      </c>
      <c r="BM5" s="232">
        <f>+'Monthly Forecast'!BU110</f>
        <v>1016941.5043127219</v>
      </c>
      <c r="BN5" s="232">
        <f>+'Monthly Forecast'!BV110</f>
        <v>565436.82847387413</v>
      </c>
      <c r="BO5" s="232">
        <f>+'Monthly Forecast'!BW110</f>
        <v>379618.21815866878</v>
      </c>
      <c r="BP5" s="232">
        <f>+'Monthly Forecast'!BX110</f>
        <v>362786.42560598021</v>
      </c>
      <c r="BQ5" s="232">
        <f>+'Monthly Forecast'!BY110</f>
        <v>367139.37367663387</v>
      </c>
      <c r="BR5" s="232">
        <f>+'Monthly Forecast'!BZ110</f>
        <v>431640.86996950267</v>
      </c>
      <c r="BS5" s="232">
        <f>+'Monthly Forecast'!CA110</f>
        <v>979584.58787798288</v>
      </c>
      <c r="BT5" s="232">
        <f>+'Monthly Forecast'!CB110</f>
        <v>1830988.1587511532</v>
      </c>
      <c r="BU5" s="232">
        <f>+'Monthly Forecast'!CC110</f>
        <v>2822470.4863012335</v>
      </c>
      <c r="BV5" s="232">
        <f>+'Monthly Forecast'!CD110</f>
        <v>3150405.0349754137</v>
      </c>
      <c r="BW5" s="232">
        <f>+'Monthly Forecast'!CE110</f>
        <v>2623140.2932346514</v>
      </c>
      <c r="BX5" s="232">
        <f>+'Monthly Forecast'!CF110</f>
        <v>1990244.8131097485</v>
      </c>
      <c r="BY5" s="232">
        <f>+'Monthly Forecast'!CG110</f>
        <v>1018073.2266192232</v>
      </c>
      <c r="BZ5" s="232">
        <f>+'Monthly Forecast'!CH110</f>
        <v>565967.11567549512</v>
      </c>
      <c r="CA5" s="232">
        <f>+'Monthly Forecast'!CI110</f>
        <v>379924.41547174368</v>
      </c>
      <c r="CB5" s="232">
        <f>BP5</f>
        <v>362786.42560598021</v>
      </c>
      <c r="CC5" s="232">
        <f t="shared" ref="CC5:CD6" si="3">BQ5</f>
        <v>367139.37367663387</v>
      </c>
      <c r="CD5" s="232">
        <f t="shared" si="3"/>
        <v>431640.86996950267</v>
      </c>
      <c r="CE5" s="232"/>
      <c r="CF5" s="228"/>
      <c r="CG5" s="228"/>
      <c r="CH5" s="228"/>
      <c r="CI5" s="228"/>
      <c r="CJ5" s="228"/>
      <c r="CK5" s="228"/>
    </row>
    <row r="6" spans="1:91" x14ac:dyDescent="0.2">
      <c r="B6" s="226" t="s">
        <v>228</v>
      </c>
      <c r="C6" s="232">
        <f>+'Monthly Forecast'!K115</f>
        <v>46679.46</v>
      </c>
      <c r="D6" s="232">
        <f>+'Monthly Forecast'!L115</f>
        <v>35066.94</v>
      </c>
      <c r="E6" s="232">
        <f>+'Monthly Forecast'!M115</f>
        <v>18780.86</v>
      </c>
      <c r="F6" s="232">
        <f>+'Monthly Forecast'!N115</f>
        <v>24881.560000000005</v>
      </c>
      <c r="G6" s="232">
        <f>+'Monthly Forecast'!O115</f>
        <v>16545.89</v>
      </c>
      <c r="H6" s="232">
        <f>+'Monthly Forecast'!P115</f>
        <v>49105.030000000006</v>
      </c>
      <c r="I6" s="232">
        <f>+'Monthly Forecast'!Q115</f>
        <v>27879.34</v>
      </c>
      <c r="J6" s="232">
        <f>+'Monthly Forecast'!R115</f>
        <v>33473.670000000006</v>
      </c>
      <c r="K6" s="232">
        <f>+'Monthly Forecast'!S115</f>
        <v>14666.34</v>
      </c>
      <c r="L6" s="232">
        <f>+'Monthly Forecast'!T115</f>
        <v>26534.969999999998</v>
      </c>
      <c r="M6" s="232">
        <f>+'Monthly Forecast'!U115</f>
        <v>54829.590000000004</v>
      </c>
      <c r="N6" s="232">
        <f>+'Monthly Forecast'!V115</f>
        <v>66585.36</v>
      </c>
      <c r="O6" s="232">
        <f>+'Monthly Forecast'!W115</f>
        <v>46679.46</v>
      </c>
      <c r="P6" s="232">
        <f>+'Monthly Forecast'!X115</f>
        <v>35066.94</v>
      </c>
      <c r="Q6" s="232">
        <f>+'Monthly Forecast'!Y115</f>
        <v>18780.86</v>
      </c>
      <c r="R6" s="232">
        <f>+'Monthly Forecast'!Z115</f>
        <v>24881.560000000005</v>
      </c>
      <c r="S6" s="232">
        <f>+'Monthly Forecast'!AA115</f>
        <v>16545.89</v>
      </c>
      <c r="T6" s="232">
        <f>+'Monthly Forecast'!AB115</f>
        <v>49105.030000000006</v>
      </c>
      <c r="U6" s="232">
        <f>+'Monthly Forecast'!AC115</f>
        <v>27879.34</v>
      </c>
      <c r="V6" s="232">
        <f>+'Monthly Forecast'!AD115</f>
        <v>33473.670000000006</v>
      </c>
      <c r="W6" s="232">
        <f>+'Monthly Forecast'!AE115</f>
        <v>14666.34</v>
      </c>
      <c r="X6" s="232">
        <f>+'Monthly Forecast'!AF115</f>
        <v>26534.969999999998</v>
      </c>
      <c r="Y6" s="232">
        <f>+'Monthly Forecast'!AG115</f>
        <v>54829.590000000004</v>
      </c>
      <c r="Z6" s="232">
        <f>+'Monthly Forecast'!AH115</f>
        <v>66585.36</v>
      </c>
      <c r="AA6" s="232">
        <f>+'Monthly Forecast'!AI115</f>
        <v>46679.46</v>
      </c>
      <c r="AB6" s="232">
        <f>+'Monthly Forecast'!AJ115</f>
        <v>35066.94</v>
      </c>
      <c r="AC6" s="232">
        <f>+'Monthly Forecast'!AK115</f>
        <v>18780.86</v>
      </c>
      <c r="AD6" s="232">
        <f>+'Monthly Forecast'!AL115</f>
        <v>24881.560000000005</v>
      </c>
      <c r="AE6" s="232">
        <f>+'Monthly Forecast'!AM115</f>
        <v>16545.89</v>
      </c>
      <c r="AF6" s="232">
        <f>+'Monthly Forecast'!AN115</f>
        <v>49105.030000000006</v>
      </c>
      <c r="AG6" s="232">
        <f>+'Monthly Forecast'!AO115</f>
        <v>27879.34</v>
      </c>
      <c r="AH6" s="232">
        <f>+'Monthly Forecast'!AP115</f>
        <v>33473.670000000006</v>
      </c>
      <c r="AI6" s="232">
        <f>+'Monthly Forecast'!AQ115</f>
        <v>14666.34</v>
      </c>
      <c r="AJ6" s="232">
        <f>+'Monthly Forecast'!AR115</f>
        <v>26534.969999999998</v>
      </c>
      <c r="AK6" s="232">
        <f>+'Monthly Forecast'!AS115</f>
        <v>54829.590000000004</v>
      </c>
      <c r="AL6" s="232">
        <f>+'Monthly Forecast'!AT115</f>
        <v>66585.36</v>
      </c>
      <c r="AM6" s="232">
        <f>+'Monthly Forecast'!AU115</f>
        <v>46679.46</v>
      </c>
      <c r="AN6" s="232">
        <f>+'Monthly Forecast'!AV115</f>
        <v>35066.94</v>
      </c>
      <c r="AO6" s="232">
        <f>+'Monthly Forecast'!AW115</f>
        <v>18780.86</v>
      </c>
      <c r="AP6" s="232">
        <f>+'Monthly Forecast'!AX115</f>
        <v>24881.560000000005</v>
      </c>
      <c r="AQ6" s="232">
        <f>+'Monthly Forecast'!AY115</f>
        <v>16545.89</v>
      </c>
      <c r="AR6" s="232">
        <f>+'Monthly Forecast'!AZ115</f>
        <v>49105.030000000006</v>
      </c>
      <c r="AS6" s="232">
        <f>+'Monthly Forecast'!BA115</f>
        <v>27879.34</v>
      </c>
      <c r="AT6" s="232">
        <f>+'Monthly Forecast'!BB115</f>
        <v>33473.670000000006</v>
      </c>
      <c r="AU6" s="232">
        <f>+'Monthly Forecast'!BC115</f>
        <v>14666.34</v>
      </c>
      <c r="AV6" s="232">
        <f>+'Monthly Forecast'!BD115</f>
        <v>26534.969999999998</v>
      </c>
      <c r="AW6" s="232">
        <f>+'Monthly Forecast'!BE115</f>
        <v>54829.590000000004</v>
      </c>
      <c r="AX6" s="232">
        <f>+'Monthly Forecast'!BF115</f>
        <v>66585.36</v>
      </c>
      <c r="AY6" s="232">
        <f>+'Monthly Forecast'!BG115</f>
        <v>46679.46</v>
      </c>
      <c r="AZ6" s="232">
        <f>+'Monthly Forecast'!BH115</f>
        <v>35066.94</v>
      </c>
      <c r="BA6" s="232">
        <f>+'Monthly Forecast'!BI115</f>
        <v>18780.86</v>
      </c>
      <c r="BB6" s="232">
        <f>+'Monthly Forecast'!BJ115</f>
        <v>24881.560000000005</v>
      </c>
      <c r="BC6" s="232">
        <f>+'Monthly Forecast'!BK115</f>
        <v>16545.89</v>
      </c>
      <c r="BD6" s="232">
        <f>+'Monthly Forecast'!BL115</f>
        <v>49105.030000000006</v>
      </c>
      <c r="BE6" s="232">
        <f>+'Monthly Forecast'!BM115</f>
        <v>27879.34</v>
      </c>
      <c r="BF6" s="232">
        <f>+'Monthly Forecast'!BN115</f>
        <v>33473.670000000006</v>
      </c>
      <c r="BG6" s="232">
        <f>+'Monthly Forecast'!BO115</f>
        <v>14666.34</v>
      </c>
      <c r="BH6" s="232">
        <f>+'Monthly Forecast'!BP115</f>
        <v>26534.969999999998</v>
      </c>
      <c r="BI6" s="232">
        <f>+'Monthly Forecast'!BQ115</f>
        <v>54829.590000000004</v>
      </c>
      <c r="BJ6" s="232">
        <f>+'Monthly Forecast'!BR115</f>
        <v>66585.36</v>
      </c>
      <c r="BK6" s="232">
        <f>+'Monthly Forecast'!BS115</f>
        <v>46679.46</v>
      </c>
      <c r="BL6" s="232">
        <f>+'Monthly Forecast'!BT115</f>
        <v>35066.94</v>
      </c>
      <c r="BM6" s="232">
        <f>+'Monthly Forecast'!BU115</f>
        <v>18780.86</v>
      </c>
      <c r="BN6" s="232">
        <f>+'Monthly Forecast'!BV115</f>
        <v>24881.560000000005</v>
      </c>
      <c r="BO6" s="232">
        <f>+'Monthly Forecast'!BW115</f>
        <v>16545.89</v>
      </c>
      <c r="BP6" s="232">
        <f>+'Monthly Forecast'!BX115</f>
        <v>49105.030000000006</v>
      </c>
      <c r="BQ6" s="232">
        <f>+'Monthly Forecast'!BY115</f>
        <v>27879.34</v>
      </c>
      <c r="BR6" s="232">
        <f>+'Monthly Forecast'!BZ115</f>
        <v>33473.670000000006</v>
      </c>
      <c r="BS6" s="232">
        <f>+'Monthly Forecast'!CA115</f>
        <v>14666.34</v>
      </c>
      <c r="BT6" s="232">
        <f>+'Monthly Forecast'!CB115</f>
        <v>26534.969999999998</v>
      </c>
      <c r="BU6" s="232">
        <f>+'Monthly Forecast'!CC115</f>
        <v>54829.590000000004</v>
      </c>
      <c r="BV6" s="232">
        <f>+'Monthly Forecast'!CD115</f>
        <v>66585.36</v>
      </c>
      <c r="BW6" s="232">
        <f>+'Monthly Forecast'!CE115</f>
        <v>46679.46</v>
      </c>
      <c r="BX6" s="232">
        <f>+'Monthly Forecast'!CF115</f>
        <v>35066.94</v>
      </c>
      <c r="BY6" s="232">
        <f>+'Monthly Forecast'!CG115</f>
        <v>18780.86</v>
      </c>
      <c r="BZ6" s="232">
        <f>+'Monthly Forecast'!CH115</f>
        <v>24881.560000000005</v>
      </c>
      <c r="CA6" s="232">
        <f>+'Monthly Forecast'!CI115</f>
        <v>16545.89</v>
      </c>
      <c r="CB6" s="232">
        <f>BP6</f>
        <v>49105.030000000006</v>
      </c>
      <c r="CC6" s="232">
        <f t="shared" si="3"/>
        <v>27879.34</v>
      </c>
      <c r="CD6" s="232">
        <f t="shared" si="3"/>
        <v>33473.670000000006</v>
      </c>
      <c r="CE6" s="232"/>
      <c r="CF6" s="228"/>
      <c r="CG6" s="228"/>
      <c r="CH6" s="228"/>
      <c r="CI6" s="228"/>
      <c r="CJ6" s="228"/>
      <c r="CK6" s="228"/>
    </row>
    <row r="7" spans="1:91" x14ac:dyDescent="0.2">
      <c r="B7" s="226" t="s">
        <v>404</v>
      </c>
      <c r="C7" s="232">
        <f t="shared" ref="C7:G7" si="4">SUM(C5:C6)</f>
        <v>2650870.749667434</v>
      </c>
      <c r="D7" s="232">
        <f t="shared" si="4"/>
        <v>2011288.6116501126</v>
      </c>
      <c r="E7" s="232">
        <f t="shared" si="4"/>
        <v>1030067.5181760312</v>
      </c>
      <c r="F7" s="232">
        <f t="shared" si="4"/>
        <v>587667.68720545631</v>
      </c>
      <c r="G7" s="232">
        <f t="shared" si="4"/>
        <v>394632.71728820109</v>
      </c>
      <c r="H7" s="232">
        <f t="shared" ref="H7:AM7" si="5">SUM(H5:H6)</f>
        <v>410399.53078427765</v>
      </c>
      <c r="I7" s="232">
        <f t="shared" si="5"/>
        <v>393526.80365276383</v>
      </c>
      <c r="J7" s="232">
        <f t="shared" si="5"/>
        <v>463151.31670083455</v>
      </c>
      <c r="K7" s="232">
        <f t="shared" si="5"/>
        <v>988576.36681584758</v>
      </c>
      <c r="L7" s="232">
        <f t="shared" si="5"/>
        <v>1846212.170256163</v>
      </c>
      <c r="M7" s="232">
        <f t="shared" si="5"/>
        <v>2859937.7434254689</v>
      </c>
      <c r="N7" s="232">
        <f t="shared" si="5"/>
        <v>3197937.950100034</v>
      </c>
      <c r="O7" s="232">
        <f t="shared" si="5"/>
        <v>2654027.4686610056</v>
      </c>
      <c r="P7" s="232">
        <f t="shared" si="5"/>
        <v>2013624.8157279454</v>
      </c>
      <c r="Q7" s="232">
        <f t="shared" si="5"/>
        <v>1031198.3120241294</v>
      </c>
      <c r="R7" s="232">
        <f t="shared" si="5"/>
        <v>588197.88670742931</v>
      </c>
      <c r="S7" s="232">
        <f t="shared" si="5"/>
        <v>394939.14070227084</v>
      </c>
      <c r="T7" s="232">
        <f t="shared" si="5"/>
        <v>410697.86866888643</v>
      </c>
      <c r="U7" s="232">
        <f t="shared" si="5"/>
        <v>393825.13832608471</v>
      </c>
      <c r="V7" s="232">
        <f t="shared" si="5"/>
        <v>463543.87462820002</v>
      </c>
      <c r="W7" s="232">
        <f t="shared" si="5"/>
        <v>989710.8753541105</v>
      </c>
      <c r="X7" s="232">
        <f t="shared" si="5"/>
        <v>1848473.4707860285</v>
      </c>
      <c r="Y7" s="232">
        <f t="shared" si="5"/>
        <v>2863408.7723036297</v>
      </c>
      <c r="Z7" s="232">
        <f t="shared" si="5"/>
        <v>3201746.8448993983</v>
      </c>
      <c r="AA7" s="46">
        <f t="shared" si="5"/>
        <v>2657184.6133652595</v>
      </c>
      <c r="AB7" s="46">
        <f t="shared" si="5"/>
        <v>2015961.2524820808</v>
      </c>
      <c r="AC7" s="46">
        <f t="shared" si="5"/>
        <v>1032329.0554398041</v>
      </c>
      <c r="AD7" s="46">
        <f t="shared" si="5"/>
        <v>588727.8936206901</v>
      </c>
      <c r="AE7" s="46">
        <f t="shared" si="5"/>
        <v>395245.32234611403</v>
      </c>
      <c r="AF7" s="46">
        <f t="shared" si="5"/>
        <v>410996.2072421551</v>
      </c>
      <c r="AG7" s="46">
        <f t="shared" si="5"/>
        <v>394123.47388471256</v>
      </c>
      <c r="AH7" s="46">
        <f t="shared" si="5"/>
        <v>463936.43708812771</v>
      </c>
      <c r="AI7" s="46">
        <f t="shared" si="5"/>
        <v>990845.4186975389</v>
      </c>
      <c r="AJ7" s="46">
        <f t="shared" si="5"/>
        <v>1850734.8520058678</v>
      </c>
      <c r="AK7" s="46">
        <f t="shared" si="5"/>
        <v>2866879.9311758913</v>
      </c>
      <c r="AL7" s="46">
        <f t="shared" si="5"/>
        <v>3205555.8835226921</v>
      </c>
      <c r="AM7" s="46">
        <f t="shared" si="5"/>
        <v>2660341.875265413</v>
      </c>
      <c r="AN7" s="46">
        <f t="shared" ref="AN7:BS7" si="6">SUM(AN5:AN6)</f>
        <v>2018297.7732311445</v>
      </c>
      <c r="AO7" s="46">
        <f t="shared" si="6"/>
        <v>1033459.8332410865</v>
      </c>
      <c r="AP7" s="46">
        <f t="shared" si="6"/>
        <v>589257.9108061447</v>
      </c>
      <c r="AQ7" s="46">
        <f t="shared" si="6"/>
        <v>395551.50502163154</v>
      </c>
      <c r="AR7" s="46">
        <f t="shared" si="6"/>
        <v>411294.53346844716</v>
      </c>
      <c r="AS7" s="46">
        <f t="shared" si="6"/>
        <v>394421.79650682944</v>
      </c>
      <c r="AT7" s="46">
        <f t="shared" si="6"/>
        <v>464328.98924611066</v>
      </c>
      <c r="AU7" s="46">
        <f t="shared" si="6"/>
        <v>991979.96788950812</v>
      </c>
      <c r="AV7" s="46">
        <f t="shared" si="6"/>
        <v>1852996.2639910197</v>
      </c>
      <c r="AW7" s="46">
        <f t="shared" si="6"/>
        <v>2870351.1478236034</v>
      </c>
      <c r="AX7" s="46">
        <f t="shared" si="6"/>
        <v>3209364.9874147079</v>
      </c>
      <c r="AY7" s="46">
        <f t="shared" si="6"/>
        <v>2663499.1881720121</v>
      </c>
      <c r="AZ7" s="46">
        <f t="shared" si="6"/>
        <v>2020634.3263374441</v>
      </c>
      <c r="BA7" s="46">
        <f t="shared" si="6"/>
        <v>1034590.6175063595</v>
      </c>
      <c r="BB7" s="46">
        <f t="shared" si="6"/>
        <v>589787.92035740416</v>
      </c>
      <c r="BC7" s="46">
        <f t="shared" si="6"/>
        <v>395857.67543107521</v>
      </c>
      <c r="BD7" s="46">
        <f t="shared" si="6"/>
        <v>411593.11143246351</v>
      </c>
      <c r="BE7" s="46">
        <f t="shared" si="6"/>
        <v>394720.37263059255</v>
      </c>
      <c r="BF7" s="46">
        <f t="shared" si="6"/>
        <v>464721.86856152874</v>
      </c>
      <c r="BG7" s="46">
        <f t="shared" si="6"/>
        <v>993115.45897931478</v>
      </c>
      <c r="BH7" s="46">
        <f t="shared" si="6"/>
        <v>1855259.5653257756</v>
      </c>
      <c r="BI7" s="46">
        <f t="shared" si="6"/>
        <v>2873825.3232882819</v>
      </c>
      <c r="BJ7" s="46">
        <f t="shared" si="6"/>
        <v>3213177.3572766022</v>
      </c>
      <c r="BK7" s="46">
        <f t="shared" si="6"/>
        <v>2666659.2202278147</v>
      </c>
      <c r="BL7" s="46">
        <f t="shared" si="6"/>
        <v>2022972.8956390033</v>
      </c>
      <c r="BM7" s="46">
        <f t="shared" si="6"/>
        <v>1035722.3643127219</v>
      </c>
      <c r="BN7" s="46">
        <f t="shared" si="6"/>
        <v>590318.38847387419</v>
      </c>
      <c r="BO7" s="46">
        <f t="shared" si="6"/>
        <v>396164.10815866879</v>
      </c>
      <c r="BP7" s="46">
        <f t="shared" si="6"/>
        <v>411891.45560598024</v>
      </c>
      <c r="BQ7" s="46">
        <f t="shared" si="6"/>
        <v>395018.7136766339</v>
      </c>
      <c r="BR7" s="46">
        <f t="shared" si="6"/>
        <v>465114.53996950266</v>
      </c>
      <c r="BS7" s="46">
        <f t="shared" si="6"/>
        <v>994250.92787798285</v>
      </c>
      <c r="BT7" s="46">
        <f t="shared" ref="BT7:CD7" si="7">SUM(BT5:BT6)</f>
        <v>1857523.1287511531</v>
      </c>
      <c r="BU7" s="46">
        <f t="shared" si="7"/>
        <v>2877300.0763012334</v>
      </c>
      <c r="BV7" s="46">
        <f t="shared" si="7"/>
        <v>3216990.3949754136</v>
      </c>
      <c r="BW7" s="46">
        <f t="shared" si="7"/>
        <v>2669819.7532346514</v>
      </c>
      <c r="BX7" s="46">
        <f t="shared" si="7"/>
        <v>2025311.7531097485</v>
      </c>
      <c r="BY7" s="46">
        <f t="shared" si="7"/>
        <v>1036854.0866192232</v>
      </c>
      <c r="BZ7" s="46">
        <f t="shared" si="7"/>
        <v>590848.67567549518</v>
      </c>
      <c r="CA7" s="46">
        <f t="shared" si="7"/>
        <v>396470.30547174369</v>
      </c>
      <c r="CB7" s="46">
        <f t="shared" si="7"/>
        <v>411891.45560598024</v>
      </c>
      <c r="CC7" s="46">
        <f t="shared" si="7"/>
        <v>395018.7136766339</v>
      </c>
      <c r="CD7" s="46">
        <f t="shared" si="7"/>
        <v>465114.53996950266</v>
      </c>
      <c r="CE7" s="246"/>
      <c r="CF7" s="230"/>
      <c r="CG7" s="230"/>
      <c r="CH7" s="230"/>
      <c r="CI7" s="230"/>
      <c r="CJ7" s="230"/>
      <c r="CK7" s="231"/>
    </row>
    <row r="8" spans="1:91" x14ac:dyDescent="0.2">
      <c r="A8" s="712">
        <v>1.2800000000000001E-2</v>
      </c>
      <c r="B8" s="226" t="s">
        <v>405</v>
      </c>
      <c r="C8" s="232">
        <f t="shared" ref="C8:G8" si="8">ROUND(((C5+C6)*$A$8),0)</f>
        <v>33931</v>
      </c>
      <c r="D8" s="232">
        <f t="shared" si="8"/>
        <v>25744</v>
      </c>
      <c r="E8" s="232">
        <f t="shared" si="8"/>
        <v>13185</v>
      </c>
      <c r="F8" s="232">
        <f t="shared" si="8"/>
        <v>7522</v>
      </c>
      <c r="G8" s="232">
        <f t="shared" si="8"/>
        <v>5051</v>
      </c>
      <c r="H8" s="232">
        <f t="shared" ref="H8:AM8" si="9">ROUND(((H5+H6)*$A$8),0)</f>
        <v>5253</v>
      </c>
      <c r="I8" s="232">
        <f t="shared" si="9"/>
        <v>5037</v>
      </c>
      <c r="J8" s="232">
        <f t="shared" si="9"/>
        <v>5928</v>
      </c>
      <c r="K8" s="232">
        <f t="shared" si="9"/>
        <v>12654</v>
      </c>
      <c r="L8" s="232">
        <f t="shared" si="9"/>
        <v>23632</v>
      </c>
      <c r="M8" s="232">
        <f t="shared" si="9"/>
        <v>36607</v>
      </c>
      <c r="N8" s="232">
        <f t="shared" si="9"/>
        <v>40934</v>
      </c>
      <c r="O8" s="232">
        <f t="shared" si="9"/>
        <v>33972</v>
      </c>
      <c r="P8" s="232">
        <f t="shared" si="9"/>
        <v>25774</v>
      </c>
      <c r="Q8" s="232">
        <f t="shared" si="9"/>
        <v>13199</v>
      </c>
      <c r="R8" s="232">
        <f t="shared" si="9"/>
        <v>7529</v>
      </c>
      <c r="S8" s="232">
        <f t="shared" si="9"/>
        <v>5055</v>
      </c>
      <c r="T8" s="232">
        <f t="shared" si="9"/>
        <v>5257</v>
      </c>
      <c r="U8" s="232">
        <f t="shared" si="9"/>
        <v>5041</v>
      </c>
      <c r="V8" s="232">
        <f t="shared" si="9"/>
        <v>5933</v>
      </c>
      <c r="W8" s="232">
        <f t="shared" si="9"/>
        <v>12668</v>
      </c>
      <c r="X8" s="232">
        <f t="shared" si="9"/>
        <v>23660</v>
      </c>
      <c r="Y8" s="232">
        <f t="shared" si="9"/>
        <v>36652</v>
      </c>
      <c r="Z8" s="232">
        <f t="shared" si="9"/>
        <v>40982</v>
      </c>
      <c r="AA8" s="46">
        <f t="shared" si="9"/>
        <v>34012</v>
      </c>
      <c r="AB8" s="46">
        <f t="shared" si="9"/>
        <v>25804</v>
      </c>
      <c r="AC8" s="46">
        <f t="shared" si="9"/>
        <v>13214</v>
      </c>
      <c r="AD8" s="46">
        <f t="shared" si="9"/>
        <v>7536</v>
      </c>
      <c r="AE8" s="46">
        <f t="shared" si="9"/>
        <v>5059</v>
      </c>
      <c r="AF8" s="46">
        <f t="shared" si="9"/>
        <v>5261</v>
      </c>
      <c r="AG8" s="46">
        <f t="shared" si="9"/>
        <v>5045</v>
      </c>
      <c r="AH8" s="46">
        <f t="shared" si="9"/>
        <v>5938</v>
      </c>
      <c r="AI8" s="46">
        <f t="shared" si="9"/>
        <v>12683</v>
      </c>
      <c r="AJ8" s="46">
        <f t="shared" si="9"/>
        <v>23689</v>
      </c>
      <c r="AK8" s="46">
        <f t="shared" si="9"/>
        <v>36696</v>
      </c>
      <c r="AL8" s="46">
        <f t="shared" si="9"/>
        <v>41031</v>
      </c>
      <c r="AM8" s="46">
        <f t="shared" si="9"/>
        <v>34052</v>
      </c>
      <c r="AN8" s="46">
        <f t="shared" ref="AN8:BS8" si="10">ROUND(((AN5+AN6)*$A$8),0)</f>
        <v>25834</v>
      </c>
      <c r="AO8" s="46">
        <f t="shared" si="10"/>
        <v>13228</v>
      </c>
      <c r="AP8" s="46">
        <f t="shared" si="10"/>
        <v>7543</v>
      </c>
      <c r="AQ8" s="46">
        <f t="shared" si="10"/>
        <v>5063</v>
      </c>
      <c r="AR8" s="46">
        <f t="shared" si="10"/>
        <v>5265</v>
      </c>
      <c r="AS8" s="46">
        <f t="shared" si="10"/>
        <v>5049</v>
      </c>
      <c r="AT8" s="46">
        <f t="shared" si="10"/>
        <v>5943</v>
      </c>
      <c r="AU8" s="46">
        <f t="shared" si="10"/>
        <v>12697</v>
      </c>
      <c r="AV8" s="46">
        <f t="shared" si="10"/>
        <v>23718</v>
      </c>
      <c r="AW8" s="46">
        <f t="shared" si="10"/>
        <v>36740</v>
      </c>
      <c r="AX8" s="46">
        <f t="shared" si="10"/>
        <v>41080</v>
      </c>
      <c r="AY8" s="46">
        <f t="shared" si="10"/>
        <v>34093</v>
      </c>
      <c r="AZ8" s="46">
        <f t="shared" si="10"/>
        <v>25864</v>
      </c>
      <c r="BA8" s="46">
        <f t="shared" si="10"/>
        <v>13243</v>
      </c>
      <c r="BB8" s="46">
        <f t="shared" si="10"/>
        <v>7549</v>
      </c>
      <c r="BC8" s="46">
        <f t="shared" si="10"/>
        <v>5067</v>
      </c>
      <c r="BD8" s="46">
        <f t="shared" si="10"/>
        <v>5268</v>
      </c>
      <c r="BE8" s="46">
        <f t="shared" si="10"/>
        <v>5052</v>
      </c>
      <c r="BF8" s="46">
        <f t="shared" si="10"/>
        <v>5948</v>
      </c>
      <c r="BG8" s="46">
        <f t="shared" si="10"/>
        <v>12712</v>
      </c>
      <c r="BH8" s="46">
        <f t="shared" si="10"/>
        <v>23747</v>
      </c>
      <c r="BI8" s="46">
        <f t="shared" si="10"/>
        <v>36785</v>
      </c>
      <c r="BJ8" s="46">
        <f t="shared" si="10"/>
        <v>41129</v>
      </c>
      <c r="BK8" s="46">
        <f t="shared" si="10"/>
        <v>34133</v>
      </c>
      <c r="BL8" s="46">
        <f t="shared" si="10"/>
        <v>25894</v>
      </c>
      <c r="BM8" s="46">
        <f t="shared" si="10"/>
        <v>13257</v>
      </c>
      <c r="BN8" s="46">
        <f t="shared" si="10"/>
        <v>7556</v>
      </c>
      <c r="BO8" s="46">
        <f t="shared" si="10"/>
        <v>5071</v>
      </c>
      <c r="BP8" s="46">
        <f t="shared" si="10"/>
        <v>5272</v>
      </c>
      <c r="BQ8" s="46">
        <f t="shared" si="10"/>
        <v>5056</v>
      </c>
      <c r="BR8" s="46">
        <f t="shared" si="10"/>
        <v>5953</v>
      </c>
      <c r="BS8" s="46">
        <f t="shared" si="10"/>
        <v>12726</v>
      </c>
      <c r="BT8" s="46">
        <f t="shared" ref="BT8:CD8" si="11">ROUND(((BT5+BT6)*$A$8),0)</f>
        <v>23776</v>
      </c>
      <c r="BU8" s="46">
        <f t="shared" si="11"/>
        <v>36829</v>
      </c>
      <c r="BV8" s="46">
        <f t="shared" si="11"/>
        <v>41177</v>
      </c>
      <c r="BW8" s="46">
        <f t="shared" si="11"/>
        <v>34174</v>
      </c>
      <c r="BX8" s="46">
        <f t="shared" si="11"/>
        <v>25924</v>
      </c>
      <c r="BY8" s="46">
        <f t="shared" si="11"/>
        <v>13272</v>
      </c>
      <c r="BZ8" s="46">
        <f t="shared" si="11"/>
        <v>7563</v>
      </c>
      <c r="CA8" s="46">
        <f t="shared" si="11"/>
        <v>5075</v>
      </c>
      <c r="CB8" s="46">
        <f t="shared" si="11"/>
        <v>5272</v>
      </c>
      <c r="CC8" s="46">
        <f t="shared" si="11"/>
        <v>5056</v>
      </c>
      <c r="CD8" s="46">
        <f t="shared" si="11"/>
        <v>5953</v>
      </c>
      <c r="CE8" s="246"/>
      <c r="CF8" s="230"/>
      <c r="CG8" s="230"/>
      <c r="CH8" s="230"/>
      <c r="CI8" s="230"/>
      <c r="CJ8" s="230"/>
      <c r="CK8" s="231"/>
    </row>
    <row r="9" spans="1:91" x14ac:dyDescent="0.2">
      <c r="B9" s="226" t="s">
        <v>406</v>
      </c>
      <c r="C9" s="232">
        <f t="shared" ref="C9:G9" si="12">+C8+C5+C6</f>
        <v>2684801.749667434</v>
      </c>
      <c r="D9" s="232">
        <f t="shared" si="12"/>
        <v>2037032.6116501126</v>
      </c>
      <c r="E9" s="232">
        <f t="shared" si="12"/>
        <v>1043252.5181760312</v>
      </c>
      <c r="F9" s="232">
        <f t="shared" si="12"/>
        <v>595189.68720545631</v>
      </c>
      <c r="G9" s="232">
        <f t="shared" si="12"/>
        <v>399683.71728820109</v>
      </c>
      <c r="H9" s="232">
        <f t="shared" ref="H9:AM9" si="13">+H8+H5+H6</f>
        <v>415652.53078427765</v>
      </c>
      <c r="I9" s="232">
        <f t="shared" si="13"/>
        <v>398563.80365276383</v>
      </c>
      <c r="J9" s="232">
        <f t="shared" si="13"/>
        <v>469079.31670083455</v>
      </c>
      <c r="K9" s="232">
        <f t="shared" si="13"/>
        <v>1001230.3668158476</v>
      </c>
      <c r="L9" s="232">
        <f t="shared" si="13"/>
        <v>1869844.170256163</v>
      </c>
      <c r="M9" s="232">
        <f t="shared" si="13"/>
        <v>2896544.7434254689</v>
      </c>
      <c r="N9" s="232">
        <f t="shared" si="13"/>
        <v>3238871.950100034</v>
      </c>
      <c r="O9" s="232">
        <f t="shared" si="13"/>
        <v>2687999.4686610056</v>
      </c>
      <c r="P9" s="232">
        <f t="shared" si="13"/>
        <v>2039398.8157279454</v>
      </c>
      <c r="Q9" s="232">
        <f t="shared" si="13"/>
        <v>1044397.3120241294</v>
      </c>
      <c r="R9" s="232">
        <f t="shared" si="13"/>
        <v>595726.88670742931</v>
      </c>
      <c r="S9" s="232">
        <f t="shared" si="13"/>
        <v>399994.14070227084</v>
      </c>
      <c r="T9" s="232">
        <f t="shared" si="13"/>
        <v>415954.86866888643</v>
      </c>
      <c r="U9" s="232">
        <f t="shared" si="13"/>
        <v>398866.13832608471</v>
      </c>
      <c r="V9" s="232">
        <f t="shared" si="13"/>
        <v>469476.87462820002</v>
      </c>
      <c r="W9" s="232">
        <f t="shared" si="13"/>
        <v>1002378.8753541105</v>
      </c>
      <c r="X9" s="232">
        <f t="shared" si="13"/>
        <v>1872133.4707860285</v>
      </c>
      <c r="Y9" s="232">
        <f t="shared" si="13"/>
        <v>2900060.7723036297</v>
      </c>
      <c r="Z9" s="232">
        <f t="shared" si="13"/>
        <v>3242728.8448993983</v>
      </c>
      <c r="AA9" s="46">
        <f t="shared" si="13"/>
        <v>2691196.6133652595</v>
      </c>
      <c r="AB9" s="46">
        <f t="shared" si="13"/>
        <v>2041765.2524820808</v>
      </c>
      <c r="AC9" s="46">
        <f t="shared" si="13"/>
        <v>1045543.0554398041</v>
      </c>
      <c r="AD9" s="46">
        <f t="shared" si="13"/>
        <v>596263.8936206901</v>
      </c>
      <c r="AE9" s="46">
        <f t="shared" si="13"/>
        <v>400304.32234611403</v>
      </c>
      <c r="AF9" s="46">
        <f t="shared" si="13"/>
        <v>416257.2072421551</v>
      </c>
      <c r="AG9" s="46">
        <f t="shared" si="13"/>
        <v>399168.47388471256</v>
      </c>
      <c r="AH9" s="46">
        <f t="shared" si="13"/>
        <v>469874.43708812771</v>
      </c>
      <c r="AI9" s="46">
        <f t="shared" si="13"/>
        <v>1003528.4186975389</v>
      </c>
      <c r="AJ9" s="46">
        <f t="shared" si="13"/>
        <v>1874423.8520058678</v>
      </c>
      <c r="AK9" s="46">
        <f t="shared" si="13"/>
        <v>2903575.9311758913</v>
      </c>
      <c r="AL9" s="46">
        <f t="shared" si="13"/>
        <v>3246586.8835226921</v>
      </c>
      <c r="AM9" s="46">
        <f t="shared" si="13"/>
        <v>2694393.875265413</v>
      </c>
      <c r="AN9" s="46">
        <f t="shared" ref="AN9:BS9" si="14">+AN8+AN5+AN6</f>
        <v>2044131.7732311445</v>
      </c>
      <c r="AO9" s="46">
        <f t="shared" si="14"/>
        <v>1046687.8332410865</v>
      </c>
      <c r="AP9" s="46">
        <f t="shared" si="14"/>
        <v>596800.9108061447</v>
      </c>
      <c r="AQ9" s="46">
        <f t="shared" si="14"/>
        <v>400614.50502163154</v>
      </c>
      <c r="AR9" s="46">
        <f t="shared" si="14"/>
        <v>416559.53346844716</v>
      </c>
      <c r="AS9" s="46">
        <f t="shared" si="14"/>
        <v>399470.79650682944</v>
      </c>
      <c r="AT9" s="46">
        <f t="shared" si="14"/>
        <v>470271.98924611066</v>
      </c>
      <c r="AU9" s="46">
        <f t="shared" si="14"/>
        <v>1004676.9678895081</v>
      </c>
      <c r="AV9" s="46">
        <f t="shared" si="14"/>
        <v>1876714.2639910197</v>
      </c>
      <c r="AW9" s="46">
        <f t="shared" si="14"/>
        <v>2907091.1478236034</v>
      </c>
      <c r="AX9" s="46">
        <f t="shared" si="14"/>
        <v>3250444.9874147079</v>
      </c>
      <c r="AY9" s="46">
        <f t="shared" si="14"/>
        <v>2697592.1881720121</v>
      </c>
      <c r="AZ9" s="46">
        <f t="shared" si="14"/>
        <v>2046498.3263374441</v>
      </c>
      <c r="BA9" s="46">
        <f t="shared" si="14"/>
        <v>1047833.6175063595</v>
      </c>
      <c r="BB9" s="46">
        <f t="shared" si="14"/>
        <v>597336.92035740416</v>
      </c>
      <c r="BC9" s="46">
        <f t="shared" si="14"/>
        <v>400924.67543107521</v>
      </c>
      <c r="BD9" s="46">
        <f t="shared" si="14"/>
        <v>416861.11143246351</v>
      </c>
      <c r="BE9" s="46">
        <f t="shared" si="14"/>
        <v>399772.37263059255</v>
      </c>
      <c r="BF9" s="46">
        <f t="shared" si="14"/>
        <v>470669.86856152874</v>
      </c>
      <c r="BG9" s="46">
        <f t="shared" si="14"/>
        <v>1005827.4589793148</v>
      </c>
      <c r="BH9" s="46">
        <f t="shared" si="14"/>
        <v>1879006.5653257756</v>
      </c>
      <c r="BI9" s="46">
        <f t="shared" si="14"/>
        <v>2910610.3232882819</v>
      </c>
      <c r="BJ9" s="46">
        <f t="shared" si="14"/>
        <v>3254306.3572766022</v>
      </c>
      <c r="BK9" s="46">
        <f t="shared" si="14"/>
        <v>2700792.2202278147</v>
      </c>
      <c r="BL9" s="46">
        <f t="shared" si="14"/>
        <v>2048866.8956390033</v>
      </c>
      <c r="BM9" s="46">
        <f t="shared" si="14"/>
        <v>1048979.3643127219</v>
      </c>
      <c r="BN9" s="46">
        <f t="shared" si="14"/>
        <v>597874.38847387419</v>
      </c>
      <c r="BO9" s="46">
        <f t="shared" si="14"/>
        <v>401235.10815866879</v>
      </c>
      <c r="BP9" s="46">
        <f t="shared" si="14"/>
        <v>417163.45560598024</v>
      </c>
      <c r="BQ9" s="46">
        <f t="shared" si="14"/>
        <v>400074.7136766339</v>
      </c>
      <c r="BR9" s="46">
        <f t="shared" si="14"/>
        <v>471067.53996950266</v>
      </c>
      <c r="BS9" s="46">
        <f t="shared" si="14"/>
        <v>1006976.9278779828</v>
      </c>
      <c r="BT9" s="46">
        <f t="shared" ref="BT9:CD9" si="15">+BT8+BT5+BT6</f>
        <v>1881299.1287511531</v>
      </c>
      <c r="BU9" s="46">
        <f t="shared" si="15"/>
        <v>2914129.0763012334</v>
      </c>
      <c r="BV9" s="46">
        <f t="shared" si="15"/>
        <v>3258167.3949754136</v>
      </c>
      <c r="BW9" s="46">
        <f t="shared" si="15"/>
        <v>2703993.7532346514</v>
      </c>
      <c r="BX9" s="46">
        <f t="shared" si="15"/>
        <v>2051235.7531097485</v>
      </c>
      <c r="BY9" s="46">
        <f t="shared" si="15"/>
        <v>1050126.0866192232</v>
      </c>
      <c r="BZ9" s="46">
        <f t="shared" si="15"/>
        <v>598411.67567549518</v>
      </c>
      <c r="CA9" s="46">
        <f t="shared" si="15"/>
        <v>401545.30547174369</v>
      </c>
      <c r="CB9" s="46">
        <f t="shared" si="15"/>
        <v>417163.45560598024</v>
      </c>
      <c r="CC9" s="46">
        <f t="shared" si="15"/>
        <v>400074.7136766339</v>
      </c>
      <c r="CD9" s="46">
        <f t="shared" si="15"/>
        <v>471067.53996950266</v>
      </c>
      <c r="CE9" s="246"/>
      <c r="CF9" s="230"/>
      <c r="CG9" s="230"/>
      <c r="CH9" s="230"/>
      <c r="CI9" s="230"/>
      <c r="CJ9" s="230"/>
      <c r="CK9" s="231"/>
    </row>
    <row r="10" spans="1:91" x14ac:dyDescent="0.2">
      <c r="A10" s="627">
        <v>1.01</v>
      </c>
      <c r="B10" s="226" t="s">
        <v>407</v>
      </c>
      <c r="C10" s="232">
        <f t="shared" ref="C10:G10" si="16">+C9*$A$10</f>
        <v>2711649.7671641083</v>
      </c>
      <c r="D10" s="232">
        <f t="shared" si="16"/>
        <v>2057402.9377666137</v>
      </c>
      <c r="E10" s="232">
        <f t="shared" si="16"/>
        <v>1053685.0433577916</v>
      </c>
      <c r="F10" s="232">
        <f t="shared" si="16"/>
        <v>601141.58407751087</v>
      </c>
      <c r="G10" s="232">
        <f t="shared" si="16"/>
        <v>403680.55446108308</v>
      </c>
      <c r="H10" s="232">
        <f>+H9*$A$10</f>
        <v>419809.05609212042</v>
      </c>
      <c r="I10" s="232">
        <f t="shared" ref="I10:BT10" si="17">+I9*$A$10</f>
        <v>402549.4416892915</v>
      </c>
      <c r="J10" s="232">
        <f t="shared" si="17"/>
        <v>473770.10986784293</v>
      </c>
      <c r="K10" s="232">
        <f t="shared" si="17"/>
        <v>1011242.6704840061</v>
      </c>
      <c r="L10" s="232">
        <f t="shared" si="17"/>
        <v>1888542.6119587247</v>
      </c>
      <c r="M10" s="232">
        <f t="shared" si="17"/>
        <v>2925510.1908597238</v>
      </c>
      <c r="N10" s="232">
        <f t="shared" si="17"/>
        <v>3271260.6696010344</v>
      </c>
      <c r="O10" s="232">
        <f t="shared" si="17"/>
        <v>2714879.4633476157</v>
      </c>
      <c r="P10" s="232">
        <f t="shared" si="17"/>
        <v>2059792.803885225</v>
      </c>
      <c r="Q10" s="232">
        <f t="shared" si="17"/>
        <v>1054841.2851443707</v>
      </c>
      <c r="R10" s="232">
        <f t="shared" si="17"/>
        <v>601684.15557450359</v>
      </c>
      <c r="S10" s="232">
        <f t="shared" si="17"/>
        <v>403994.08210929355</v>
      </c>
      <c r="T10" s="232">
        <f t="shared" si="17"/>
        <v>420114.41735557531</v>
      </c>
      <c r="U10" s="232">
        <f t="shared" si="17"/>
        <v>402854.79970934556</v>
      </c>
      <c r="V10" s="232">
        <f t="shared" si="17"/>
        <v>474171.64337448205</v>
      </c>
      <c r="W10" s="232">
        <f t="shared" si="17"/>
        <v>1012402.6641076516</v>
      </c>
      <c r="X10" s="232">
        <f t="shared" si="17"/>
        <v>1890854.8054938889</v>
      </c>
      <c r="Y10" s="232">
        <f t="shared" si="17"/>
        <v>2929061.380026666</v>
      </c>
      <c r="Z10" s="232">
        <f t="shared" si="17"/>
        <v>3275156.1333483923</v>
      </c>
      <c r="AA10" s="232">
        <f t="shared" si="17"/>
        <v>2718108.5794989122</v>
      </c>
      <c r="AB10" s="232">
        <f t="shared" si="17"/>
        <v>2062182.9050069016</v>
      </c>
      <c r="AC10" s="232">
        <f t="shared" si="17"/>
        <v>1055998.4859942021</v>
      </c>
      <c r="AD10" s="232">
        <f t="shared" si="17"/>
        <v>602226.53255689703</v>
      </c>
      <c r="AE10" s="232">
        <f t="shared" si="17"/>
        <v>404307.36556957517</v>
      </c>
      <c r="AF10" s="232">
        <f t="shared" si="17"/>
        <v>420419.77931457665</v>
      </c>
      <c r="AG10" s="232">
        <f t="shared" si="17"/>
        <v>403160.15862355969</v>
      </c>
      <c r="AH10" s="232">
        <f t="shared" si="17"/>
        <v>474573.18145900901</v>
      </c>
      <c r="AI10" s="232">
        <f t="shared" si="17"/>
        <v>1013563.7028845144</v>
      </c>
      <c r="AJ10" s="232">
        <f t="shared" si="17"/>
        <v>1893168.0905259266</v>
      </c>
      <c r="AK10" s="232">
        <f t="shared" si="17"/>
        <v>2932611.6904876502</v>
      </c>
      <c r="AL10" s="232">
        <f t="shared" si="17"/>
        <v>3279052.7523579192</v>
      </c>
      <c r="AM10" s="232">
        <f t="shared" si="17"/>
        <v>2721337.814018067</v>
      </c>
      <c r="AN10" s="232">
        <f t="shared" si="17"/>
        <v>2064573.0909634561</v>
      </c>
      <c r="AO10" s="232">
        <f t="shared" si="17"/>
        <v>1057154.7115734974</v>
      </c>
      <c r="AP10" s="232">
        <f t="shared" si="17"/>
        <v>602768.91991420614</v>
      </c>
      <c r="AQ10" s="232">
        <f t="shared" si="17"/>
        <v>404620.65007184783</v>
      </c>
      <c r="AR10" s="232">
        <f t="shared" si="17"/>
        <v>420725.12880313164</v>
      </c>
      <c r="AS10" s="232">
        <f t="shared" si="17"/>
        <v>403465.50447189773</v>
      </c>
      <c r="AT10" s="232">
        <f t="shared" si="17"/>
        <v>474974.70913857175</v>
      </c>
      <c r="AU10" s="232">
        <f t="shared" si="17"/>
        <v>1014723.7375684032</v>
      </c>
      <c r="AV10" s="232">
        <f t="shared" si="17"/>
        <v>1895481.4066309298</v>
      </c>
      <c r="AW10" s="232">
        <f t="shared" si="17"/>
        <v>2936162.0593018392</v>
      </c>
      <c r="AX10" s="232">
        <f t="shared" si="17"/>
        <v>3282949.4372888552</v>
      </c>
      <c r="AY10" s="232">
        <f t="shared" si="17"/>
        <v>2724568.1100537321</v>
      </c>
      <c r="AZ10" s="232">
        <f t="shared" si="17"/>
        <v>2066963.3096008187</v>
      </c>
      <c r="BA10" s="232">
        <f t="shared" si="17"/>
        <v>1058311.9536814231</v>
      </c>
      <c r="BB10" s="232">
        <f t="shared" si="17"/>
        <v>603310.28956097818</v>
      </c>
      <c r="BC10" s="232">
        <f t="shared" si="17"/>
        <v>404933.92218538595</v>
      </c>
      <c r="BD10" s="232">
        <f t="shared" si="17"/>
        <v>421029.72254678817</v>
      </c>
      <c r="BE10" s="232">
        <f t="shared" si="17"/>
        <v>403770.09635689849</v>
      </c>
      <c r="BF10" s="232">
        <f t="shared" si="17"/>
        <v>475376.567247144</v>
      </c>
      <c r="BG10" s="232">
        <f t="shared" si="17"/>
        <v>1015885.7335691079</v>
      </c>
      <c r="BH10" s="232">
        <f t="shared" si="17"/>
        <v>1897796.6309790334</v>
      </c>
      <c r="BI10" s="232">
        <f t="shared" si="17"/>
        <v>2939716.4265211648</v>
      </c>
      <c r="BJ10" s="232">
        <f t="shared" si="17"/>
        <v>3286849.4208493684</v>
      </c>
      <c r="BK10" s="232">
        <f t="shared" si="17"/>
        <v>2727800.1424300931</v>
      </c>
      <c r="BL10" s="232">
        <f t="shared" si="17"/>
        <v>2069355.5645953934</v>
      </c>
      <c r="BM10" s="232">
        <f t="shared" si="17"/>
        <v>1059469.1579558491</v>
      </c>
      <c r="BN10" s="232">
        <f t="shared" si="17"/>
        <v>603853.13235861296</v>
      </c>
      <c r="BO10" s="232">
        <f t="shared" si="17"/>
        <v>405247.45924025547</v>
      </c>
      <c r="BP10" s="232">
        <f t="shared" si="17"/>
        <v>421335.09016204003</v>
      </c>
      <c r="BQ10" s="232">
        <f t="shared" si="17"/>
        <v>404075.46081340022</v>
      </c>
      <c r="BR10" s="232">
        <f t="shared" si="17"/>
        <v>475778.21536919771</v>
      </c>
      <c r="BS10" s="232">
        <f t="shared" si="17"/>
        <v>1017046.6971567627</v>
      </c>
      <c r="BT10" s="232">
        <f t="shared" si="17"/>
        <v>1900112.1200386647</v>
      </c>
      <c r="BU10" s="232">
        <f t="shared" ref="BU10:CD10" si="18">+BU9*$A$10</f>
        <v>2943270.3670642455</v>
      </c>
      <c r="BV10" s="232">
        <f t="shared" si="18"/>
        <v>3290749.0689251679</v>
      </c>
      <c r="BW10" s="232">
        <f t="shared" si="18"/>
        <v>2731033.6907669981</v>
      </c>
      <c r="BX10" s="232">
        <f t="shared" si="18"/>
        <v>2071748.110640846</v>
      </c>
      <c r="BY10" s="232">
        <f t="shared" si="18"/>
        <v>1060627.3474854154</v>
      </c>
      <c r="BZ10" s="232">
        <f t="shared" si="18"/>
        <v>604395.79243225011</v>
      </c>
      <c r="CA10" s="232">
        <f t="shared" si="18"/>
        <v>405560.75852646114</v>
      </c>
      <c r="CB10" s="232">
        <f t="shared" si="18"/>
        <v>421335.09016204003</v>
      </c>
      <c r="CC10" s="232">
        <f t="shared" si="18"/>
        <v>404075.46081340022</v>
      </c>
      <c r="CD10" s="232">
        <f t="shared" si="18"/>
        <v>475778.21536919771</v>
      </c>
      <c r="CE10" s="232"/>
      <c r="CF10" s="228"/>
      <c r="CG10" s="228"/>
      <c r="CH10" s="228"/>
      <c r="CI10" s="228"/>
      <c r="CJ10" s="228"/>
      <c r="CK10" s="231"/>
    </row>
    <row r="11" spans="1:91" x14ac:dyDescent="0.2">
      <c r="H11" s="226"/>
      <c r="I11" s="226"/>
      <c r="J11" s="226"/>
      <c r="K11" s="226"/>
      <c r="L11" s="226"/>
      <c r="M11" s="226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  <c r="AA11" s="232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6"/>
      <c r="AP11" s="226"/>
      <c r="AQ11" s="226"/>
      <c r="AR11" s="226"/>
      <c r="AS11" s="226"/>
      <c r="AT11" s="226"/>
      <c r="AU11" s="226"/>
      <c r="AV11" s="226"/>
      <c r="AW11" s="226"/>
      <c r="AX11" s="226"/>
      <c r="AY11" s="226"/>
      <c r="AZ11" s="226"/>
      <c r="BA11" s="226"/>
      <c r="BB11" s="226"/>
      <c r="BC11" s="226"/>
      <c r="BD11" s="226"/>
      <c r="BE11" s="226"/>
      <c r="BF11" s="226"/>
      <c r="BG11" s="226"/>
      <c r="BH11" s="226"/>
      <c r="BI11" s="226"/>
      <c r="BJ11" s="226"/>
      <c r="BK11" s="226"/>
      <c r="BL11" s="226"/>
      <c r="BM11" s="226"/>
      <c r="BN11" s="226"/>
      <c r="BO11" s="226"/>
      <c r="BP11" s="226"/>
      <c r="BQ11" s="226"/>
      <c r="BR11" s="226"/>
      <c r="BS11" s="226"/>
      <c r="BT11" s="226"/>
      <c r="BU11" s="226"/>
      <c r="BV11" s="226"/>
      <c r="BW11" s="226"/>
      <c r="BX11" s="226"/>
      <c r="BY11" s="226"/>
      <c r="BZ11" s="226"/>
      <c r="CA11" s="226"/>
      <c r="CB11" s="226"/>
      <c r="CC11" s="226"/>
      <c r="CD11" s="226"/>
      <c r="CE11" s="226"/>
    </row>
    <row r="12" spans="1:91" x14ac:dyDescent="0.2">
      <c r="A12" s="226" t="s">
        <v>401</v>
      </c>
      <c r="B12" s="226" t="s">
        <v>408</v>
      </c>
      <c r="H12" s="226"/>
      <c r="I12" s="226"/>
      <c r="J12" s="226"/>
      <c r="K12" s="226"/>
      <c r="L12" s="226"/>
      <c r="M12" s="226"/>
      <c r="N12" s="232"/>
      <c r="O12" s="628"/>
      <c r="P12" s="628"/>
      <c r="Q12" s="628"/>
      <c r="R12" s="628"/>
      <c r="S12" s="628"/>
      <c r="T12" s="232"/>
      <c r="U12" s="232"/>
      <c r="V12" s="232"/>
      <c r="W12" s="232"/>
      <c r="X12" s="232"/>
      <c r="Y12" s="232"/>
      <c r="Z12" s="232"/>
      <c r="AA12" s="232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6"/>
      <c r="AP12" s="226"/>
      <c r="AQ12" s="226"/>
      <c r="AR12" s="226"/>
      <c r="AS12" s="226"/>
      <c r="AT12" s="226"/>
      <c r="AU12" s="226"/>
      <c r="AV12" s="226"/>
      <c r="AW12" s="226"/>
      <c r="AX12" s="226"/>
      <c r="AY12" s="226"/>
      <c r="AZ12" s="226"/>
      <c r="BA12" s="226"/>
      <c r="BB12" s="226"/>
      <c r="BC12" s="226"/>
      <c r="BD12" s="226"/>
      <c r="BE12" s="226"/>
      <c r="BF12" s="226"/>
      <c r="BG12" s="226"/>
      <c r="BH12" s="226"/>
      <c r="BI12" s="226"/>
      <c r="BJ12" s="226"/>
      <c r="BK12" s="226"/>
      <c r="BL12" s="226"/>
      <c r="BM12" s="226"/>
      <c r="BN12" s="226"/>
      <c r="BO12" s="226"/>
      <c r="BP12" s="226"/>
      <c r="BQ12" s="226"/>
      <c r="BR12" s="226"/>
      <c r="BS12" s="226"/>
      <c r="BT12" s="226"/>
      <c r="BU12" s="226"/>
      <c r="BV12" s="226"/>
      <c r="BW12" s="226"/>
      <c r="BX12" s="226"/>
      <c r="BY12" s="226"/>
      <c r="BZ12" s="226"/>
      <c r="CA12" s="226"/>
      <c r="CB12" s="226"/>
      <c r="CC12" s="226"/>
      <c r="CD12" s="226"/>
      <c r="CE12" s="226"/>
    </row>
    <row r="13" spans="1:91" x14ac:dyDescent="0.2">
      <c r="B13" s="226" t="s">
        <v>409</v>
      </c>
      <c r="C13" s="46">
        <f t="shared" ref="C13:G13" si="19">+C121*$A$121</f>
        <v>0</v>
      </c>
      <c r="D13" s="46">
        <f t="shared" si="19"/>
        <v>0</v>
      </c>
      <c r="E13" s="46">
        <f t="shared" si="19"/>
        <v>0</v>
      </c>
      <c r="F13" s="46">
        <f t="shared" si="19"/>
        <v>0</v>
      </c>
      <c r="G13" s="46">
        <f t="shared" si="19"/>
        <v>0</v>
      </c>
      <c r="H13" s="46">
        <f t="shared" ref="H13:I13" si="20">+H121*$A$121</f>
        <v>0</v>
      </c>
      <c r="I13" s="46">
        <f t="shared" si="20"/>
        <v>0</v>
      </c>
      <c r="J13" s="46">
        <f t="shared" ref="J13:N13" si="21">+J121*$A$121</f>
        <v>0</v>
      </c>
      <c r="K13" s="46">
        <f t="shared" si="21"/>
        <v>0</v>
      </c>
      <c r="L13" s="46">
        <f t="shared" si="21"/>
        <v>163650</v>
      </c>
      <c r="M13" s="46">
        <f t="shared" si="21"/>
        <v>256463</v>
      </c>
      <c r="N13" s="46">
        <f t="shared" si="21"/>
        <v>301661</v>
      </c>
      <c r="O13" s="46">
        <f t="shared" ref="O13:S15" si="22">+O121*$A$121</f>
        <v>249144</v>
      </c>
      <c r="P13" s="46">
        <f t="shared" si="22"/>
        <v>211296</v>
      </c>
      <c r="Q13" s="46">
        <f t="shared" si="22"/>
        <v>0</v>
      </c>
      <c r="R13" s="46">
        <f t="shared" si="22"/>
        <v>0</v>
      </c>
      <c r="S13" s="46">
        <f t="shared" si="22"/>
        <v>0</v>
      </c>
      <c r="T13" s="46">
        <f t="shared" ref="T13:CA13" si="23">+T121*$A$121</f>
        <v>0</v>
      </c>
      <c r="U13" s="46">
        <f t="shared" si="23"/>
        <v>0</v>
      </c>
      <c r="V13" s="46">
        <f t="shared" si="23"/>
        <v>0</v>
      </c>
      <c r="W13" s="46">
        <f t="shared" si="23"/>
        <v>0</v>
      </c>
      <c r="X13" s="46">
        <f t="shared" si="23"/>
        <v>163650</v>
      </c>
      <c r="Y13" s="46">
        <f t="shared" si="23"/>
        <v>256463</v>
      </c>
      <c r="Z13" s="46">
        <f t="shared" si="23"/>
        <v>301661</v>
      </c>
      <c r="AA13" s="46">
        <f t="shared" si="23"/>
        <v>249144</v>
      </c>
      <c r="AB13" s="46">
        <f t="shared" si="23"/>
        <v>211296</v>
      </c>
      <c r="AC13" s="46">
        <f t="shared" si="23"/>
        <v>0</v>
      </c>
      <c r="AD13" s="46">
        <f t="shared" si="23"/>
        <v>0</v>
      </c>
      <c r="AE13" s="46">
        <f t="shared" si="23"/>
        <v>0</v>
      </c>
      <c r="AF13" s="46">
        <f t="shared" si="23"/>
        <v>0</v>
      </c>
      <c r="AG13" s="46">
        <f t="shared" si="23"/>
        <v>0</v>
      </c>
      <c r="AH13" s="46">
        <f t="shared" si="23"/>
        <v>0</v>
      </c>
      <c r="AI13" s="46">
        <f t="shared" si="23"/>
        <v>0</v>
      </c>
      <c r="AJ13" s="46">
        <f t="shared" si="23"/>
        <v>163650</v>
      </c>
      <c r="AK13" s="46">
        <f t="shared" si="23"/>
        <v>256463</v>
      </c>
      <c r="AL13" s="46">
        <f t="shared" si="23"/>
        <v>301661</v>
      </c>
      <c r="AM13" s="46">
        <f t="shared" si="23"/>
        <v>249144</v>
      </c>
      <c r="AN13" s="46">
        <f t="shared" si="23"/>
        <v>211296</v>
      </c>
      <c r="AO13" s="46">
        <f t="shared" si="23"/>
        <v>0</v>
      </c>
      <c r="AP13" s="46">
        <f t="shared" si="23"/>
        <v>0</v>
      </c>
      <c r="AQ13" s="46">
        <f t="shared" si="23"/>
        <v>0</v>
      </c>
      <c r="AR13" s="46">
        <f t="shared" si="23"/>
        <v>0</v>
      </c>
      <c r="AS13" s="46">
        <f t="shared" si="23"/>
        <v>0</v>
      </c>
      <c r="AT13" s="46">
        <f t="shared" si="23"/>
        <v>0</v>
      </c>
      <c r="AU13" s="46">
        <f t="shared" si="23"/>
        <v>0</v>
      </c>
      <c r="AV13" s="46">
        <f t="shared" si="23"/>
        <v>163650</v>
      </c>
      <c r="AW13" s="46">
        <f t="shared" si="23"/>
        <v>256463</v>
      </c>
      <c r="AX13" s="46">
        <f t="shared" si="23"/>
        <v>301661</v>
      </c>
      <c r="AY13" s="46">
        <f t="shared" si="23"/>
        <v>249144</v>
      </c>
      <c r="AZ13" s="46">
        <f t="shared" si="23"/>
        <v>211296</v>
      </c>
      <c r="BA13" s="46">
        <f t="shared" si="23"/>
        <v>0</v>
      </c>
      <c r="BB13" s="46">
        <f t="shared" si="23"/>
        <v>0</v>
      </c>
      <c r="BC13" s="46">
        <f t="shared" si="23"/>
        <v>0</v>
      </c>
      <c r="BD13" s="46">
        <f t="shared" si="23"/>
        <v>0</v>
      </c>
      <c r="BE13" s="46">
        <f t="shared" si="23"/>
        <v>0</v>
      </c>
      <c r="BF13" s="46">
        <f t="shared" si="23"/>
        <v>0</v>
      </c>
      <c r="BG13" s="46">
        <f t="shared" si="23"/>
        <v>0</v>
      </c>
      <c r="BH13" s="46">
        <f t="shared" si="23"/>
        <v>163650</v>
      </c>
      <c r="BI13" s="46">
        <f t="shared" si="23"/>
        <v>256463</v>
      </c>
      <c r="BJ13" s="46">
        <f t="shared" si="23"/>
        <v>301661</v>
      </c>
      <c r="BK13" s="46">
        <f t="shared" si="23"/>
        <v>249144</v>
      </c>
      <c r="BL13" s="46">
        <f t="shared" si="23"/>
        <v>211296</v>
      </c>
      <c r="BM13" s="46">
        <f t="shared" si="23"/>
        <v>0</v>
      </c>
      <c r="BN13" s="46">
        <f t="shared" si="23"/>
        <v>0</v>
      </c>
      <c r="BO13" s="46">
        <f t="shared" si="23"/>
        <v>0</v>
      </c>
      <c r="BP13" s="46">
        <f t="shared" si="23"/>
        <v>0</v>
      </c>
      <c r="BQ13" s="46">
        <f t="shared" si="23"/>
        <v>0</v>
      </c>
      <c r="BR13" s="46">
        <f t="shared" si="23"/>
        <v>0</v>
      </c>
      <c r="BS13" s="46">
        <f t="shared" si="23"/>
        <v>0</v>
      </c>
      <c r="BT13" s="46">
        <f t="shared" si="23"/>
        <v>163650</v>
      </c>
      <c r="BU13" s="46">
        <f t="shared" si="23"/>
        <v>256463</v>
      </c>
      <c r="BV13" s="46">
        <f t="shared" si="23"/>
        <v>301661</v>
      </c>
      <c r="BW13" s="46">
        <f t="shared" si="23"/>
        <v>249144</v>
      </c>
      <c r="BX13" s="46">
        <f t="shared" si="23"/>
        <v>211296</v>
      </c>
      <c r="BY13" s="46">
        <f t="shared" si="23"/>
        <v>0</v>
      </c>
      <c r="BZ13" s="46">
        <f t="shared" si="23"/>
        <v>0</v>
      </c>
      <c r="CA13" s="46">
        <f t="shared" si="23"/>
        <v>0</v>
      </c>
      <c r="CB13" s="46">
        <f t="shared" ref="CB13:CD13" si="24">+CB121*$A$121</f>
        <v>0</v>
      </c>
      <c r="CC13" s="46">
        <f t="shared" si="24"/>
        <v>0</v>
      </c>
      <c r="CD13" s="46">
        <f t="shared" si="24"/>
        <v>0</v>
      </c>
      <c r="CE13" s="226"/>
      <c r="CH13" s="228"/>
      <c r="CI13" s="35"/>
      <c r="CJ13" s="35"/>
      <c r="CK13" s="35"/>
      <c r="CL13" s="35"/>
      <c r="CM13" s="35"/>
    </row>
    <row r="14" spans="1:91" x14ac:dyDescent="0.2">
      <c r="B14" s="226" t="s">
        <v>410</v>
      </c>
      <c r="C14" s="46">
        <f t="shared" ref="C14:G14" si="25">+C122*$A$121</f>
        <v>0</v>
      </c>
      <c r="D14" s="46">
        <f t="shared" si="25"/>
        <v>0</v>
      </c>
      <c r="E14" s="46">
        <f t="shared" si="25"/>
        <v>0</v>
      </c>
      <c r="F14" s="46">
        <f t="shared" si="25"/>
        <v>0</v>
      </c>
      <c r="G14" s="46">
        <f t="shared" si="25"/>
        <v>0</v>
      </c>
      <c r="H14" s="46">
        <f t="shared" ref="H14:I14" si="26">+H122*$A$121</f>
        <v>0</v>
      </c>
      <c r="I14" s="46">
        <f t="shared" si="26"/>
        <v>0</v>
      </c>
      <c r="J14" s="46">
        <f t="shared" ref="J14:N14" si="27">+J122*$A$121</f>
        <v>0</v>
      </c>
      <c r="K14" s="46">
        <f t="shared" si="27"/>
        <v>0</v>
      </c>
      <c r="L14" s="46">
        <f t="shared" si="27"/>
        <v>384114.99999999994</v>
      </c>
      <c r="M14" s="46">
        <f t="shared" si="27"/>
        <v>768230</v>
      </c>
      <c r="N14" s="46">
        <f t="shared" si="27"/>
        <v>921876</v>
      </c>
      <c r="O14" s="46">
        <f t="shared" si="22"/>
        <v>806641.5</v>
      </c>
      <c r="P14" s="46">
        <f t="shared" si="22"/>
        <v>576172.5</v>
      </c>
      <c r="Q14" s="46">
        <f t="shared" si="22"/>
        <v>0</v>
      </c>
      <c r="R14" s="46">
        <f t="shared" si="22"/>
        <v>0</v>
      </c>
      <c r="S14" s="46">
        <f t="shared" si="22"/>
        <v>0</v>
      </c>
      <c r="T14" s="46">
        <f t="shared" ref="T14:CA14" si="28">+T122*$A$121</f>
        <v>0</v>
      </c>
      <c r="U14" s="46">
        <f t="shared" si="28"/>
        <v>0</v>
      </c>
      <c r="V14" s="46">
        <f t="shared" si="28"/>
        <v>0</v>
      </c>
      <c r="W14" s="46">
        <f t="shared" si="28"/>
        <v>0</v>
      </c>
      <c r="X14" s="46">
        <f t="shared" si="28"/>
        <v>384114.99999999994</v>
      </c>
      <c r="Y14" s="46">
        <f t="shared" si="28"/>
        <v>768230</v>
      </c>
      <c r="Z14" s="46">
        <f t="shared" si="28"/>
        <v>921876</v>
      </c>
      <c r="AA14" s="46">
        <f t="shared" si="28"/>
        <v>806641.5</v>
      </c>
      <c r="AB14" s="46">
        <f t="shared" si="28"/>
        <v>576172.5</v>
      </c>
      <c r="AC14" s="46">
        <f t="shared" si="28"/>
        <v>0</v>
      </c>
      <c r="AD14" s="46">
        <f t="shared" si="28"/>
        <v>0</v>
      </c>
      <c r="AE14" s="46">
        <f t="shared" si="28"/>
        <v>0</v>
      </c>
      <c r="AF14" s="46">
        <f t="shared" si="28"/>
        <v>0</v>
      </c>
      <c r="AG14" s="46">
        <f t="shared" si="28"/>
        <v>0</v>
      </c>
      <c r="AH14" s="46">
        <f t="shared" si="28"/>
        <v>0</v>
      </c>
      <c r="AI14" s="46">
        <f t="shared" si="28"/>
        <v>0</v>
      </c>
      <c r="AJ14" s="46">
        <f t="shared" si="28"/>
        <v>384114.99999999994</v>
      </c>
      <c r="AK14" s="46">
        <f t="shared" si="28"/>
        <v>768230</v>
      </c>
      <c r="AL14" s="46">
        <f t="shared" si="28"/>
        <v>921876</v>
      </c>
      <c r="AM14" s="46">
        <f t="shared" si="28"/>
        <v>806641.5</v>
      </c>
      <c r="AN14" s="46">
        <f t="shared" si="28"/>
        <v>576172.5</v>
      </c>
      <c r="AO14" s="46">
        <f t="shared" si="28"/>
        <v>0</v>
      </c>
      <c r="AP14" s="46">
        <f t="shared" si="28"/>
        <v>0</v>
      </c>
      <c r="AQ14" s="46">
        <f t="shared" si="28"/>
        <v>0</v>
      </c>
      <c r="AR14" s="46">
        <f t="shared" si="28"/>
        <v>0</v>
      </c>
      <c r="AS14" s="46">
        <f t="shared" si="28"/>
        <v>0</v>
      </c>
      <c r="AT14" s="46">
        <f t="shared" si="28"/>
        <v>0</v>
      </c>
      <c r="AU14" s="46">
        <f t="shared" si="28"/>
        <v>0</v>
      </c>
      <c r="AV14" s="46">
        <f t="shared" si="28"/>
        <v>384114.99999999994</v>
      </c>
      <c r="AW14" s="46">
        <f t="shared" si="28"/>
        <v>768230</v>
      </c>
      <c r="AX14" s="46">
        <f t="shared" si="28"/>
        <v>921876</v>
      </c>
      <c r="AY14" s="46">
        <f t="shared" si="28"/>
        <v>806641.5</v>
      </c>
      <c r="AZ14" s="46">
        <f t="shared" si="28"/>
        <v>576172.5</v>
      </c>
      <c r="BA14" s="46">
        <f t="shared" si="28"/>
        <v>0</v>
      </c>
      <c r="BB14" s="46">
        <f t="shared" si="28"/>
        <v>0</v>
      </c>
      <c r="BC14" s="46">
        <f t="shared" si="28"/>
        <v>0</v>
      </c>
      <c r="BD14" s="46">
        <f t="shared" si="28"/>
        <v>0</v>
      </c>
      <c r="BE14" s="46">
        <f t="shared" si="28"/>
        <v>0</v>
      </c>
      <c r="BF14" s="46">
        <f t="shared" si="28"/>
        <v>0</v>
      </c>
      <c r="BG14" s="46">
        <f t="shared" si="28"/>
        <v>0</v>
      </c>
      <c r="BH14" s="46">
        <f t="shared" si="28"/>
        <v>384114.99999999994</v>
      </c>
      <c r="BI14" s="46">
        <f t="shared" si="28"/>
        <v>768230</v>
      </c>
      <c r="BJ14" s="46">
        <f t="shared" si="28"/>
        <v>921876</v>
      </c>
      <c r="BK14" s="46">
        <f t="shared" si="28"/>
        <v>806641.5</v>
      </c>
      <c r="BL14" s="46">
        <f t="shared" si="28"/>
        <v>576172.5</v>
      </c>
      <c r="BM14" s="46">
        <f t="shared" si="28"/>
        <v>0</v>
      </c>
      <c r="BN14" s="46">
        <f t="shared" si="28"/>
        <v>0</v>
      </c>
      <c r="BO14" s="46">
        <f t="shared" si="28"/>
        <v>0</v>
      </c>
      <c r="BP14" s="46">
        <f t="shared" si="28"/>
        <v>0</v>
      </c>
      <c r="BQ14" s="46">
        <f t="shared" si="28"/>
        <v>0</v>
      </c>
      <c r="BR14" s="46">
        <f t="shared" si="28"/>
        <v>0</v>
      </c>
      <c r="BS14" s="46">
        <f t="shared" si="28"/>
        <v>0</v>
      </c>
      <c r="BT14" s="46">
        <f t="shared" si="28"/>
        <v>384114.99999999994</v>
      </c>
      <c r="BU14" s="46">
        <f t="shared" si="28"/>
        <v>768230</v>
      </c>
      <c r="BV14" s="46">
        <f t="shared" si="28"/>
        <v>921876</v>
      </c>
      <c r="BW14" s="46">
        <f t="shared" si="28"/>
        <v>806641.5</v>
      </c>
      <c r="BX14" s="46">
        <f t="shared" si="28"/>
        <v>576172.5</v>
      </c>
      <c r="BY14" s="46">
        <f t="shared" si="28"/>
        <v>0</v>
      </c>
      <c r="BZ14" s="46">
        <f t="shared" si="28"/>
        <v>0</v>
      </c>
      <c r="CA14" s="46">
        <f t="shared" si="28"/>
        <v>0</v>
      </c>
      <c r="CB14" s="46">
        <f t="shared" ref="CB14:CD14" si="29">+CB122*$A$121</f>
        <v>0</v>
      </c>
      <c r="CC14" s="46">
        <f t="shared" si="29"/>
        <v>0</v>
      </c>
      <c r="CD14" s="46">
        <f t="shared" si="29"/>
        <v>0</v>
      </c>
      <c r="CE14" s="226"/>
      <c r="CH14" s="228"/>
      <c r="CI14" s="35"/>
      <c r="CJ14" s="35"/>
      <c r="CK14" s="35"/>
      <c r="CL14" s="35"/>
      <c r="CM14" s="35"/>
    </row>
    <row r="15" spans="1:91" x14ac:dyDescent="0.2">
      <c r="B15" s="226" t="s">
        <v>411</v>
      </c>
      <c r="C15" s="46">
        <f t="shared" ref="C15:G15" si="30">+C123*$A$121</f>
        <v>0</v>
      </c>
      <c r="D15" s="46">
        <f t="shared" si="30"/>
        <v>0</v>
      </c>
      <c r="E15" s="46">
        <f t="shared" si="30"/>
        <v>0</v>
      </c>
      <c r="F15" s="46">
        <f t="shared" si="30"/>
        <v>0</v>
      </c>
      <c r="G15" s="46">
        <f t="shared" si="30"/>
        <v>0</v>
      </c>
      <c r="H15" s="46">
        <f t="shared" ref="H15:I15" si="31">+H123*$A$121</f>
        <v>0</v>
      </c>
      <c r="I15" s="46">
        <f t="shared" si="31"/>
        <v>0</v>
      </c>
      <c r="J15" s="46">
        <f t="shared" ref="J15:N15" si="32">+J123*$A$121</f>
        <v>0</v>
      </c>
      <c r="K15" s="46">
        <f t="shared" si="32"/>
        <v>0</v>
      </c>
      <c r="L15" s="46">
        <f t="shared" si="32"/>
        <v>182160.91999999998</v>
      </c>
      <c r="M15" s="46">
        <f t="shared" si="32"/>
        <v>737526.82000000007</v>
      </c>
      <c r="N15" s="46">
        <f t="shared" si="32"/>
        <v>1174139.71</v>
      </c>
      <c r="O15" s="46">
        <f t="shared" si="22"/>
        <v>1453422.75</v>
      </c>
      <c r="P15" s="46">
        <f t="shared" si="22"/>
        <v>980213</v>
      </c>
      <c r="Q15" s="46">
        <f t="shared" si="22"/>
        <v>0</v>
      </c>
      <c r="R15" s="46">
        <f t="shared" si="22"/>
        <v>0</v>
      </c>
      <c r="S15" s="46">
        <f t="shared" si="22"/>
        <v>0</v>
      </c>
      <c r="T15" s="46">
        <f t="shared" ref="T15:CA15" si="33">+T123*$A$121</f>
        <v>0</v>
      </c>
      <c r="U15" s="46">
        <f t="shared" si="33"/>
        <v>0</v>
      </c>
      <c r="V15" s="46">
        <f t="shared" si="33"/>
        <v>0</v>
      </c>
      <c r="W15" s="46">
        <f t="shared" si="33"/>
        <v>0</v>
      </c>
      <c r="X15" s="46">
        <f t="shared" si="33"/>
        <v>182160.91999999998</v>
      </c>
      <c r="Y15" s="46">
        <f t="shared" si="33"/>
        <v>737526.82000000007</v>
      </c>
      <c r="Z15" s="46">
        <f t="shared" si="33"/>
        <v>1174139.71</v>
      </c>
      <c r="AA15" s="46">
        <f t="shared" si="33"/>
        <v>1453422.75</v>
      </c>
      <c r="AB15" s="46">
        <f t="shared" si="33"/>
        <v>980213</v>
      </c>
      <c r="AC15" s="46">
        <f t="shared" si="33"/>
        <v>0</v>
      </c>
      <c r="AD15" s="46">
        <f t="shared" si="33"/>
        <v>0</v>
      </c>
      <c r="AE15" s="46">
        <f t="shared" si="33"/>
        <v>0</v>
      </c>
      <c r="AF15" s="46">
        <f t="shared" si="33"/>
        <v>0</v>
      </c>
      <c r="AG15" s="46">
        <f t="shared" si="33"/>
        <v>0</v>
      </c>
      <c r="AH15" s="46">
        <f t="shared" si="33"/>
        <v>0</v>
      </c>
      <c r="AI15" s="46">
        <f t="shared" si="33"/>
        <v>0</v>
      </c>
      <c r="AJ15" s="46">
        <f t="shared" si="33"/>
        <v>182160.91999999998</v>
      </c>
      <c r="AK15" s="46">
        <f t="shared" si="33"/>
        <v>737526.82000000007</v>
      </c>
      <c r="AL15" s="46">
        <f t="shared" si="33"/>
        <v>1174139.71</v>
      </c>
      <c r="AM15" s="46">
        <f t="shared" si="33"/>
        <v>1453422.75</v>
      </c>
      <c r="AN15" s="46">
        <f t="shared" si="33"/>
        <v>980213</v>
      </c>
      <c r="AO15" s="46">
        <f t="shared" si="33"/>
        <v>0</v>
      </c>
      <c r="AP15" s="46">
        <f t="shared" si="33"/>
        <v>0</v>
      </c>
      <c r="AQ15" s="46">
        <f t="shared" si="33"/>
        <v>0</v>
      </c>
      <c r="AR15" s="46">
        <f t="shared" si="33"/>
        <v>0</v>
      </c>
      <c r="AS15" s="46">
        <f t="shared" si="33"/>
        <v>0</v>
      </c>
      <c r="AT15" s="46">
        <f t="shared" si="33"/>
        <v>0</v>
      </c>
      <c r="AU15" s="46">
        <f t="shared" si="33"/>
        <v>0</v>
      </c>
      <c r="AV15" s="46">
        <f t="shared" si="33"/>
        <v>182160.91999999998</v>
      </c>
      <c r="AW15" s="46">
        <f t="shared" si="33"/>
        <v>737526.82000000007</v>
      </c>
      <c r="AX15" s="46">
        <f t="shared" si="33"/>
        <v>1174139.71</v>
      </c>
      <c r="AY15" s="46">
        <f t="shared" si="33"/>
        <v>1453422.75</v>
      </c>
      <c r="AZ15" s="46">
        <f t="shared" si="33"/>
        <v>980213</v>
      </c>
      <c r="BA15" s="46">
        <f t="shared" si="33"/>
        <v>0</v>
      </c>
      <c r="BB15" s="46">
        <f t="shared" si="33"/>
        <v>0</v>
      </c>
      <c r="BC15" s="46">
        <f t="shared" si="33"/>
        <v>0</v>
      </c>
      <c r="BD15" s="46">
        <f t="shared" si="33"/>
        <v>0</v>
      </c>
      <c r="BE15" s="46">
        <f t="shared" si="33"/>
        <v>0</v>
      </c>
      <c r="BF15" s="46">
        <f t="shared" si="33"/>
        <v>0</v>
      </c>
      <c r="BG15" s="46">
        <f t="shared" si="33"/>
        <v>0</v>
      </c>
      <c r="BH15" s="46">
        <f t="shared" si="33"/>
        <v>182160.91999999998</v>
      </c>
      <c r="BI15" s="46">
        <f t="shared" si="33"/>
        <v>737526.82000000007</v>
      </c>
      <c r="BJ15" s="46">
        <f t="shared" si="33"/>
        <v>1174139.71</v>
      </c>
      <c r="BK15" s="46">
        <f t="shared" si="33"/>
        <v>1453422.75</v>
      </c>
      <c r="BL15" s="46">
        <f t="shared" si="33"/>
        <v>980213</v>
      </c>
      <c r="BM15" s="46">
        <f t="shared" si="33"/>
        <v>0</v>
      </c>
      <c r="BN15" s="46">
        <f t="shared" si="33"/>
        <v>0</v>
      </c>
      <c r="BO15" s="46">
        <f t="shared" si="33"/>
        <v>0</v>
      </c>
      <c r="BP15" s="46">
        <f t="shared" si="33"/>
        <v>0</v>
      </c>
      <c r="BQ15" s="46">
        <f t="shared" si="33"/>
        <v>0</v>
      </c>
      <c r="BR15" s="46">
        <f t="shared" si="33"/>
        <v>0</v>
      </c>
      <c r="BS15" s="46">
        <f t="shared" si="33"/>
        <v>0</v>
      </c>
      <c r="BT15" s="46">
        <f t="shared" si="33"/>
        <v>182160.91999999998</v>
      </c>
      <c r="BU15" s="46">
        <f t="shared" si="33"/>
        <v>737526.82000000007</v>
      </c>
      <c r="BV15" s="46">
        <f t="shared" si="33"/>
        <v>1174139.71</v>
      </c>
      <c r="BW15" s="46">
        <f t="shared" si="33"/>
        <v>1453422.75</v>
      </c>
      <c r="BX15" s="46">
        <f t="shared" si="33"/>
        <v>980213</v>
      </c>
      <c r="BY15" s="46">
        <f t="shared" si="33"/>
        <v>0</v>
      </c>
      <c r="BZ15" s="46">
        <f t="shared" si="33"/>
        <v>0</v>
      </c>
      <c r="CA15" s="46">
        <f t="shared" si="33"/>
        <v>0</v>
      </c>
      <c r="CB15" s="46">
        <f t="shared" ref="CB15:CD15" si="34">+CB123*$A$121</f>
        <v>0</v>
      </c>
      <c r="CC15" s="46">
        <f t="shared" si="34"/>
        <v>0</v>
      </c>
      <c r="CD15" s="46">
        <f t="shared" si="34"/>
        <v>0</v>
      </c>
      <c r="CE15" s="226"/>
      <c r="CH15" s="228"/>
      <c r="CI15" s="35"/>
      <c r="CJ15" s="35"/>
      <c r="CK15" s="35"/>
      <c r="CL15" s="35"/>
      <c r="CM15" s="35"/>
    </row>
    <row r="16" spans="1:91" x14ac:dyDescent="0.2">
      <c r="B16" s="226" t="s">
        <v>412</v>
      </c>
      <c r="C16" s="232">
        <f t="shared" ref="C16:G16" si="35">SUM(C13+C14+C15)</f>
        <v>0</v>
      </c>
      <c r="D16" s="232">
        <f t="shared" si="35"/>
        <v>0</v>
      </c>
      <c r="E16" s="232">
        <f t="shared" si="35"/>
        <v>0</v>
      </c>
      <c r="F16" s="232">
        <f t="shared" si="35"/>
        <v>0</v>
      </c>
      <c r="G16" s="232">
        <f t="shared" si="35"/>
        <v>0</v>
      </c>
      <c r="H16" s="232">
        <f t="shared" ref="H16" si="36">SUM(H13+H14+H15)</f>
        <v>0</v>
      </c>
      <c r="I16" s="232">
        <f t="shared" ref="I16" si="37">SUM(I13+I14+I15)</f>
        <v>0</v>
      </c>
      <c r="J16" s="232">
        <f t="shared" ref="J16:N16" si="38">SUM(J13+J14+J15)</f>
        <v>0</v>
      </c>
      <c r="K16" s="232">
        <f t="shared" si="38"/>
        <v>0</v>
      </c>
      <c r="L16" s="232">
        <f t="shared" si="38"/>
        <v>729925.91999999993</v>
      </c>
      <c r="M16" s="232">
        <f t="shared" si="38"/>
        <v>1762219.82</v>
      </c>
      <c r="N16" s="232">
        <f t="shared" si="38"/>
        <v>2397676.71</v>
      </c>
      <c r="O16" s="232">
        <f>SUM(O13+O14+O15)</f>
        <v>2509208.25</v>
      </c>
      <c r="P16" s="232">
        <f>SUM(P13+P14+P15)</f>
        <v>1767681.5</v>
      </c>
      <c r="Q16" s="232">
        <f>SUM(Q13+Q14+Q15)</f>
        <v>0</v>
      </c>
      <c r="R16" s="232">
        <f>SUM(R13+R14+R15)</f>
        <v>0</v>
      </c>
      <c r="S16" s="232">
        <f>SUM(S13+S14+S15)</f>
        <v>0</v>
      </c>
      <c r="T16" s="232">
        <f t="shared" ref="T16:CA16" si="39">SUM(T13+T14+T15)</f>
        <v>0</v>
      </c>
      <c r="U16" s="232">
        <f t="shared" si="39"/>
        <v>0</v>
      </c>
      <c r="V16" s="232">
        <f t="shared" si="39"/>
        <v>0</v>
      </c>
      <c r="W16" s="232">
        <f t="shared" si="39"/>
        <v>0</v>
      </c>
      <c r="X16" s="232">
        <f t="shared" si="39"/>
        <v>729925.91999999993</v>
      </c>
      <c r="Y16" s="232">
        <f t="shared" si="39"/>
        <v>1762219.82</v>
      </c>
      <c r="Z16" s="232">
        <f t="shared" si="39"/>
        <v>2397676.71</v>
      </c>
      <c r="AA16" s="232">
        <f t="shared" si="39"/>
        <v>2509208.25</v>
      </c>
      <c r="AB16" s="232">
        <f t="shared" si="39"/>
        <v>1767681.5</v>
      </c>
      <c r="AC16" s="232">
        <f t="shared" si="39"/>
        <v>0</v>
      </c>
      <c r="AD16" s="232">
        <f t="shared" si="39"/>
        <v>0</v>
      </c>
      <c r="AE16" s="232">
        <f t="shared" si="39"/>
        <v>0</v>
      </c>
      <c r="AF16" s="232">
        <f t="shared" si="39"/>
        <v>0</v>
      </c>
      <c r="AG16" s="232">
        <f t="shared" si="39"/>
        <v>0</v>
      </c>
      <c r="AH16" s="232">
        <f t="shared" si="39"/>
        <v>0</v>
      </c>
      <c r="AI16" s="232">
        <f t="shared" si="39"/>
        <v>0</v>
      </c>
      <c r="AJ16" s="232">
        <f t="shared" si="39"/>
        <v>729925.91999999993</v>
      </c>
      <c r="AK16" s="232">
        <f t="shared" si="39"/>
        <v>1762219.82</v>
      </c>
      <c r="AL16" s="232">
        <f t="shared" si="39"/>
        <v>2397676.71</v>
      </c>
      <c r="AM16" s="232">
        <f t="shared" si="39"/>
        <v>2509208.25</v>
      </c>
      <c r="AN16" s="232">
        <f t="shared" si="39"/>
        <v>1767681.5</v>
      </c>
      <c r="AO16" s="232">
        <f t="shared" si="39"/>
        <v>0</v>
      </c>
      <c r="AP16" s="232">
        <f t="shared" si="39"/>
        <v>0</v>
      </c>
      <c r="AQ16" s="232">
        <f t="shared" si="39"/>
        <v>0</v>
      </c>
      <c r="AR16" s="232">
        <f t="shared" si="39"/>
        <v>0</v>
      </c>
      <c r="AS16" s="232">
        <f t="shared" si="39"/>
        <v>0</v>
      </c>
      <c r="AT16" s="232">
        <f t="shared" si="39"/>
        <v>0</v>
      </c>
      <c r="AU16" s="232">
        <f t="shared" si="39"/>
        <v>0</v>
      </c>
      <c r="AV16" s="232">
        <f t="shared" si="39"/>
        <v>729925.91999999993</v>
      </c>
      <c r="AW16" s="232">
        <f t="shared" si="39"/>
        <v>1762219.82</v>
      </c>
      <c r="AX16" s="232">
        <f t="shared" si="39"/>
        <v>2397676.71</v>
      </c>
      <c r="AY16" s="232">
        <f t="shared" si="39"/>
        <v>2509208.25</v>
      </c>
      <c r="AZ16" s="232">
        <f t="shared" si="39"/>
        <v>1767681.5</v>
      </c>
      <c r="BA16" s="232">
        <f t="shared" si="39"/>
        <v>0</v>
      </c>
      <c r="BB16" s="232">
        <f t="shared" si="39"/>
        <v>0</v>
      </c>
      <c r="BC16" s="232">
        <f t="shared" si="39"/>
        <v>0</v>
      </c>
      <c r="BD16" s="232">
        <f t="shared" si="39"/>
        <v>0</v>
      </c>
      <c r="BE16" s="232">
        <f t="shared" si="39"/>
        <v>0</v>
      </c>
      <c r="BF16" s="232">
        <f t="shared" si="39"/>
        <v>0</v>
      </c>
      <c r="BG16" s="232">
        <f t="shared" si="39"/>
        <v>0</v>
      </c>
      <c r="BH16" s="232">
        <f t="shared" si="39"/>
        <v>729925.91999999993</v>
      </c>
      <c r="BI16" s="232">
        <f t="shared" si="39"/>
        <v>1762219.82</v>
      </c>
      <c r="BJ16" s="232">
        <f t="shared" si="39"/>
        <v>2397676.71</v>
      </c>
      <c r="BK16" s="232">
        <f t="shared" si="39"/>
        <v>2509208.25</v>
      </c>
      <c r="BL16" s="232">
        <f t="shared" si="39"/>
        <v>1767681.5</v>
      </c>
      <c r="BM16" s="232">
        <f t="shared" si="39"/>
        <v>0</v>
      </c>
      <c r="BN16" s="232">
        <f t="shared" si="39"/>
        <v>0</v>
      </c>
      <c r="BO16" s="232">
        <f t="shared" si="39"/>
        <v>0</v>
      </c>
      <c r="BP16" s="232">
        <f t="shared" si="39"/>
        <v>0</v>
      </c>
      <c r="BQ16" s="232">
        <f t="shared" si="39"/>
        <v>0</v>
      </c>
      <c r="BR16" s="232">
        <f t="shared" si="39"/>
        <v>0</v>
      </c>
      <c r="BS16" s="232">
        <f t="shared" si="39"/>
        <v>0</v>
      </c>
      <c r="BT16" s="232">
        <f t="shared" si="39"/>
        <v>729925.91999999993</v>
      </c>
      <c r="BU16" s="232">
        <f t="shared" si="39"/>
        <v>1762219.82</v>
      </c>
      <c r="BV16" s="232">
        <f t="shared" si="39"/>
        <v>2397676.71</v>
      </c>
      <c r="BW16" s="232">
        <f t="shared" si="39"/>
        <v>2509208.25</v>
      </c>
      <c r="BX16" s="232">
        <f t="shared" si="39"/>
        <v>1767681.5</v>
      </c>
      <c r="BY16" s="232">
        <f t="shared" si="39"/>
        <v>0</v>
      </c>
      <c r="BZ16" s="232">
        <f t="shared" si="39"/>
        <v>0</v>
      </c>
      <c r="CA16" s="232">
        <f t="shared" si="39"/>
        <v>0</v>
      </c>
      <c r="CB16" s="232">
        <f t="shared" ref="CB16:CD16" si="40">SUM(CB13+CB14+CB15)</f>
        <v>0</v>
      </c>
      <c r="CC16" s="232">
        <f t="shared" si="40"/>
        <v>0</v>
      </c>
      <c r="CD16" s="232">
        <f t="shared" si="40"/>
        <v>0</v>
      </c>
      <c r="CE16" s="226"/>
      <c r="CH16" s="228"/>
      <c r="CI16" s="228"/>
      <c r="CJ16" s="228"/>
      <c r="CK16" s="228"/>
      <c r="CL16" s="228"/>
      <c r="CM16" s="228"/>
    </row>
    <row r="17" spans="1:91" x14ac:dyDescent="0.2">
      <c r="H17" s="226"/>
      <c r="I17" s="226"/>
      <c r="J17" s="226"/>
      <c r="K17" s="226"/>
      <c r="L17" s="226"/>
      <c r="M17" s="226"/>
      <c r="N17" s="232"/>
      <c r="O17" s="232"/>
      <c r="P17" s="232"/>
      <c r="Q17" s="232"/>
      <c r="R17" s="232"/>
      <c r="S17" s="232"/>
      <c r="T17" s="226"/>
      <c r="U17" s="226"/>
      <c r="V17" s="226"/>
      <c r="W17" s="226"/>
      <c r="X17" s="226"/>
      <c r="Y17" s="226"/>
      <c r="Z17" s="232"/>
      <c r="AA17" s="232"/>
      <c r="AB17" s="232"/>
      <c r="AC17" s="232"/>
      <c r="AD17" s="232"/>
      <c r="AE17" s="232"/>
      <c r="AF17" s="226"/>
      <c r="AG17" s="226"/>
      <c r="AH17" s="226"/>
      <c r="AI17" s="226"/>
      <c r="AJ17" s="226"/>
      <c r="AK17" s="226"/>
      <c r="AL17" s="232"/>
      <c r="AM17" s="232"/>
      <c r="AN17" s="232"/>
      <c r="AO17" s="232"/>
      <c r="AP17" s="232"/>
      <c r="AQ17" s="232"/>
      <c r="AR17" s="226"/>
      <c r="AS17" s="226"/>
      <c r="AT17" s="226"/>
      <c r="AU17" s="226"/>
      <c r="AV17" s="226"/>
      <c r="AW17" s="226"/>
      <c r="AX17" s="232"/>
      <c r="AY17" s="232"/>
      <c r="AZ17" s="232"/>
      <c r="BA17" s="232"/>
      <c r="BB17" s="232"/>
      <c r="BC17" s="232"/>
      <c r="BD17" s="226"/>
      <c r="BE17" s="226"/>
      <c r="BF17" s="226"/>
      <c r="BG17" s="226"/>
      <c r="BH17" s="226"/>
      <c r="BI17" s="226"/>
      <c r="BJ17" s="232"/>
      <c r="BK17" s="232"/>
      <c r="BL17" s="232"/>
      <c r="BM17" s="232"/>
      <c r="BN17" s="232"/>
      <c r="BO17" s="232"/>
      <c r="BP17" s="226"/>
      <c r="BQ17" s="226"/>
      <c r="BR17" s="226"/>
      <c r="BS17" s="226"/>
      <c r="BT17" s="226"/>
      <c r="BU17" s="226"/>
      <c r="BV17" s="232"/>
      <c r="BW17" s="232"/>
      <c r="BX17" s="232"/>
      <c r="BY17" s="232"/>
      <c r="BZ17" s="232"/>
      <c r="CA17" s="232"/>
      <c r="CB17" s="226"/>
      <c r="CC17" s="226"/>
      <c r="CD17" s="226"/>
      <c r="CE17" s="226"/>
      <c r="CH17" s="228"/>
      <c r="CI17" s="228"/>
      <c r="CJ17" s="228"/>
      <c r="CK17" s="228"/>
      <c r="CL17" s="228"/>
      <c r="CM17" s="228"/>
    </row>
    <row r="18" spans="1:91" x14ac:dyDescent="0.2">
      <c r="B18" s="226" t="s">
        <v>413</v>
      </c>
      <c r="C18" s="46">
        <f t="shared" ref="C18:G18" si="41">+C126*$A$121</f>
        <v>0</v>
      </c>
      <c r="D18" s="46">
        <f t="shared" si="41"/>
        <v>0</v>
      </c>
      <c r="E18" s="46">
        <f t="shared" si="41"/>
        <v>0</v>
      </c>
      <c r="F18" s="46">
        <f t="shared" si="41"/>
        <v>0</v>
      </c>
      <c r="G18" s="46">
        <f t="shared" si="41"/>
        <v>0</v>
      </c>
      <c r="H18" s="46">
        <f>+H126*$A$121</f>
        <v>0</v>
      </c>
      <c r="I18" s="46">
        <f t="shared" ref="I18:N18" si="42">+I126*$A$121</f>
        <v>168887.71428571429</v>
      </c>
      <c r="J18" s="46">
        <f t="shared" si="42"/>
        <v>168887.71428571429</v>
      </c>
      <c r="K18" s="46">
        <f t="shared" si="42"/>
        <v>168887.71428571429</v>
      </c>
      <c r="L18" s="46">
        <f t="shared" si="42"/>
        <v>0</v>
      </c>
      <c r="M18" s="46">
        <f t="shared" si="42"/>
        <v>0</v>
      </c>
      <c r="N18" s="46">
        <f t="shared" si="42"/>
        <v>0</v>
      </c>
      <c r="O18" s="46">
        <f t="shared" ref="O18:S18" si="43">+O126*$A$121</f>
        <v>0</v>
      </c>
      <c r="P18" s="46">
        <f t="shared" si="43"/>
        <v>0</v>
      </c>
      <c r="Q18" s="46">
        <f t="shared" si="43"/>
        <v>168887.71428571429</v>
      </c>
      <c r="R18" s="46">
        <f t="shared" si="43"/>
        <v>168887.71428571429</v>
      </c>
      <c r="S18" s="46">
        <f t="shared" si="43"/>
        <v>168887.71428571429</v>
      </c>
      <c r="T18" s="46">
        <f t="shared" ref="T18:CA18" si="44">+T126*$A$121</f>
        <v>168887.71428571429</v>
      </c>
      <c r="U18" s="46">
        <f t="shared" si="44"/>
        <v>168887.71428571429</v>
      </c>
      <c r="V18" s="46">
        <f t="shared" si="44"/>
        <v>168887.71428571429</v>
      </c>
      <c r="W18" s="46">
        <f t="shared" si="44"/>
        <v>168887.71428571429</v>
      </c>
      <c r="X18" s="46">
        <f t="shared" si="44"/>
        <v>0</v>
      </c>
      <c r="Y18" s="46">
        <f t="shared" si="44"/>
        <v>0</v>
      </c>
      <c r="Z18" s="46">
        <f t="shared" si="44"/>
        <v>0</v>
      </c>
      <c r="AA18" s="46">
        <f t="shared" si="44"/>
        <v>0</v>
      </c>
      <c r="AB18" s="46">
        <f t="shared" si="44"/>
        <v>0</v>
      </c>
      <c r="AC18" s="46">
        <f t="shared" si="44"/>
        <v>168887.71428571429</v>
      </c>
      <c r="AD18" s="46">
        <f t="shared" si="44"/>
        <v>168887.71428571429</v>
      </c>
      <c r="AE18" s="46">
        <f t="shared" si="44"/>
        <v>168887.71428571429</v>
      </c>
      <c r="AF18" s="46">
        <f t="shared" si="44"/>
        <v>168887.71428571429</v>
      </c>
      <c r="AG18" s="46">
        <f t="shared" si="44"/>
        <v>168887.71428571429</v>
      </c>
      <c r="AH18" s="46">
        <f t="shared" si="44"/>
        <v>168887.71428571429</v>
      </c>
      <c r="AI18" s="46">
        <f t="shared" si="44"/>
        <v>168887.71428571429</v>
      </c>
      <c r="AJ18" s="46">
        <f t="shared" si="44"/>
        <v>0</v>
      </c>
      <c r="AK18" s="46">
        <f t="shared" si="44"/>
        <v>0</v>
      </c>
      <c r="AL18" s="46">
        <f t="shared" si="44"/>
        <v>0</v>
      </c>
      <c r="AM18" s="46">
        <f t="shared" si="44"/>
        <v>0</v>
      </c>
      <c r="AN18" s="46">
        <f t="shared" si="44"/>
        <v>0</v>
      </c>
      <c r="AO18" s="46">
        <f t="shared" si="44"/>
        <v>168887.71428571429</v>
      </c>
      <c r="AP18" s="46">
        <f t="shared" si="44"/>
        <v>168887.71428571429</v>
      </c>
      <c r="AQ18" s="46">
        <f t="shared" si="44"/>
        <v>168887.71428571429</v>
      </c>
      <c r="AR18" s="46">
        <f t="shared" si="44"/>
        <v>168887.71428571429</v>
      </c>
      <c r="AS18" s="46">
        <f t="shared" si="44"/>
        <v>168887.71428571429</v>
      </c>
      <c r="AT18" s="46">
        <f t="shared" si="44"/>
        <v>168887.71428571429</v>
      </c>
      <c r="AU18" s="46">
        <f t="shared" si="44"/>
        <v>168887.71428571429</v>
      </c>
      <c r="AV18" s="46">
        <f t="shared" si="44"/>
        <v>0</v>
      </c>
      <c r="AW18" s="46">
        <f t="shared" si="44"/>
        <v>0</v>
      </c>
      <c r="AX18" s="46">
        <f t="shared" si="44"/>
        <v>0</v>
      </c>
      <c r="AY18" s="46">
        <f t="shared" si="44"/>
        <v>0</v>
      </c>
      <c r="AZ18" s="46">
        <f t="shared" si="44"/>
        <v>0</v>
      </c>
      <c r="BA18" s="46">
        <f t="shared" si="44"/>
        <v>168887.71428571429</v>
      </c>
      <c r="BB18" s="46">
        <f t="shared" si="44"/>
        <v>168887.71428571429</v>
      </c>
      <c r="BC18" s="46">
        <f t="shared" si="44"/>
        <v>168887.71428571429</v>
      </c>
      <c r="BD18" s="46">
        <f t="shared" si="44"/>
        <v>168887.71428571429</v>
      </c>
      <c r="BE18" s="46">
        <f t="shared" si="44"/>
        <v>168887.71428571429</v>
      </c>
      <c r="BF18" s="46">
        <f t="shared" si="44"/>
        <v>168887.71428571429</v>
      </c>
      <c r="BG18" s="46">
        <f t="shared" si="44"/>
        <v>168887.71428571429</v>
      </c>
      <c r="BH18" s="46">
        <f t="shared" si="44"/>
        <v>0</v>
      </c>
      <c r="BI18" s="46">
        <f t="shared" si="44"/>
        <v>0</v>
      </c>
      <c r="BJ18" s="46">
        <f t="shared" si="44"/>
        <v>0</v>
      </c>
      <c r="BK18" s="46">
        <f t="shared" si="44"/>
        <v>0</v>
      </c>
      <c r="BL18" s="46">
        <f t="shared" si="44"/>
        <v>0</v>
      </c>
      <c r="BM18" s="46">
        <f t="shared" si="44"/>
        <v>168887.71428571429</v>
      </c>
      <c r="BN18" s="46">
        <f t="shared" si="44"/>
        <v>168887.71428571429</v>
      </c>
      <c r="BO18" s="46">
        <f t="shared" si="44"/>
        <v>168887.71428571429</v>
      </c>
      <c r="BP18" s="46">
        <f t="shared" si="44"/>
        <v>168887.71428571429</v>
      </c>
      <c r="BQ18" s="46">
        <f t="shared" si="44"/>
        <v>168887.71428571429</v>
      </c>
      <c r="BR18" s="46">
        <f t="shared" si="44"/>
        <v>168887.71428571429</v>
      </c>
      <c r="BS18" s="46">
        <f t="shared" si="44"/>
        <v>168887.71428571429</v>
      </c>
      <c r="BT18" s="46">
        <f t="shared" si="44"/>
        <v>0</v>
      </c>
      <c r="BU18" s="46">
        <f t="shared" si="44"/>
        <v>0</v>
      </c>
      <c r="BV18" s="46">
        <f t="shared" si="44"/>
        <v>0</v>
      </c>
      <c r="BW18" s="46">
        <f t="shared" si="44"/>
        <v>0</v>
      </c>
      <c r="BX18" s="46">
        <f t="shared" si="44"/>
        <v>0</v>
      </c>
      <c r="BY18" s="46">
        <f t="shared" si="44"/>
        <v>168887.71428571429</v>
      </c>
      <c r="BZ18" s="46">
        <f t="shared" si="44"/>
        <v>168887.71428571429</v>
      </c>
      <c r="CA18" s="46">
        <f t="shared" si="44"/>
        <v>168887.71428571429</v>
      </c>
      <c r="CB18" s="46">
        <f t="shared" ref="CB18:CD18" si="45">+CB126*$A$121</f>
        <v>168887.71428571429</v>
      </c>
      <c r="CC18" s="46">
        <f t="shared" si="45"/>
        <v>168887.71428571429</v>
      </c>
      <c r="CD18" s="46">
        <f t="shared" si="45"/>
        <v>168887.71428571429</v>
      </c>
      <c r="CE18" s="46"/>
      <c r="CF18" s="35"/>
      <c r="CG18" s="35"/>
      <c r="CH18" s="35"/>
      <c r="CI18" s="228"/>
      <c r="CJ18" s="228"/>
      <c r="CK18" s="228"/>
      <c r="CL18" s="228"/>
      <c r="CM18" s="228"/>
    </row>
    <row r="19" spans="1:91" x14ac:dyDescent="0.2">
      <c r="B19" s="226" t="s">
        <v>414</v>
      </c>
      <c r="C19" s="46">
        <f t="shared" ref="C19:G19" si="46">+C127*$A$121</f>
        <v>0</v>
      </c>
      <c r="D19" s="46">
        <f t="shared" si="46"/>
        <v>0</v>
      </c>
      <c r="E19" s="46">
        <f t="shared" si="46"/>
        <v>0</v>
      </c>
      <c r="F19" s="46">
        <f t="shared" si="46"/>
        <v>0</v>
      </c>
      <c r="G19" s="46">
        <f t="shared" si="46"/>
        <v>0</v>
      </c>
      <c r="H19" s="46">
        <f t="shared" ref="H19:N19" si="47">+H127*$A$121</f>
        <v>0</v>
      </c>
      <c r="I19" s="46">
        <f t="shared" si="47"/>
        <v>493862.14285714284</v>
      </c>
      <c r="J19" s="46">
        <f t="shared" si="47"/>
        <v>493862.14285714284</v>
      </c>
      <c r="K19" s="46">
        <f t="shared" si="47"/>
        <v>493862.14285714284</v>
      </c>
      <c r="L19" s="46">
        <f t="shared" si="47"/>
        <v>0</v>
      </c>
      <c r="M19" s="46">
        <f t="shared" si="47"/>
        <v>0</v>
      </c>
      <c r="N19" s="46">
        <f t="shared" si="47"/>
        <v>0</v>
      </c>
      <c r="O19" s="46">
        <f t="shared" ref="O19:S19" si="48">+O127*$A$121</f>
        <v>0</v>
      </c>
      <c r="P19" s="46">
        <f t="shared" si="48"/>
        <v>0</v>
      </c>
      <c r="Q19" s="46">
        <f t="shared" si="48"/>
        <v>493862.14285714284</v>
      </c>
      <c r="R19" s="46">
        <f t="shared" si="48"/>
        <v>493862.14285714284</v>
      </c>
      <c r="S19" s="46">
        <f t="shared" si="48"/>
        <v>493862.14285714284</v>
      </c>
      <c r="T19" s="46">
        <f t="shared" ref="T19:CA19" si="49">+T127*$A$121</f>
        <v>493862.14285714284</v>
      </c>
      <c r="U19" s="46">
        <f t="shared" si="49"/>
        <v>493862.14285714284</v>
      </c>
      <c r="V19" s="46">
        <f t="shared" si="49"/>
        <v>493862.14285714284</v>
      </c>
      <c r="W19" s="46">
        <f t="shared" si="49"/>
        <v>493862.14285714284</v>
      </c>
      <c r="X19" s="46">
        <f t="shared" si="49"/>
        <v>0</v>
      </c>
      <c r="Y19" s="46">
        <f t="shared" si="49"/>
        <v>0</v>
      </c>
      <c r="Z19" s="46">
        <f t="shared" si="49"/>
        <v>0</v>
      </c>
      <c r="AA19" s="46">
        <f t="shared" si="49"/>
        <v>0</v>
      </c>
      <c r="AB19" s="46">
        <f t="shared" si="49"/>
        <v>0</v>
      </c>
      <c r="AC19" s="46">
        <f t="shared" si="49"/>
        <v>493862.14285714284</v>
      </c>
      <c r="AD19" s="46">
        <f t="shared" si="49"/>
        <v>493862.14285714284</v>
      </c>
      <c r="AE19" s="46">
        <f t="shared" si="49"/>
        <v>493862.14285714284</v>
      </c>
      <c r="AF19" s="46">
        <f t="shared" si="49"/>
        <v>493862.14285714284</v>
      </c>
      <c r="AG19" s="46">
        <f t="shared" si="49"/>
        <v>493862.14285714284</v>
      </c>
      <c r="AH19" s="46">
        <f t="shared" si="49"/>
        <v>493862.14285714284</v>
      </c>
      <c r="AI19" s="46">
        <f t="shared" si="49"/>
        <v>493862.14285714284</v>
      </c>
      <c r="AJ19" s="46">
        <f t="shared" si="49"/>
        <v>0</v>
      </c>
      <c r="AK19" s="46">
        <f t="shared" si="49"/>
        <v>0</v>
      </c>
      <c r="AL19" s="46">
        <f t="shared" si="49"/>
        <v>0</v>
      </c>
      <c r="AM19" s="46">
        <f t="shared" si="49"/>
        <v>0</v>
      </c>
      <c r="AN19" s="46">
        <f t="shared" si="49"/>
        <v>0</v>
      </c>
      <c r="AO19" s="46">
        <f t="shared" si="49"/>
        <v>493862.14285714284</v>
      </c>
      <c r="AP19" s="46">
        <f t="shared" si="49"/>
        <v>493862.14285714284</v>
      </c>
      <c r="AQ19" s="46">
        <f t="shared" si="49"/>
        <v>493862.14285714284</v>
      </c>
      <c r="AR19" s="46">
        <f t="shared" si="49"/>
        <v>493862.14285714284</v>
      </c>
      <c r="AS19" s="46">
        <f t="shared" si="49"/>
        <v>493862.14285714284</v>
      </c>
      <c r="AT19" s="46">
        <f t="shared" si="49"/>
        <v>493862.14285714284</v>
      </c>
      <c r="AU19" s="46">
        <f t="shared" si="49"/>
        <v>493862.14285714284</v>
      </c>
      <c r="AV19" s="46">
        <f t="shared" si="49"/>
        <v>0</v>
      </c>
      <c r="AW19" s="46">
        <f t="shared" si="49"/>
        <v>0</v>
      </c>
      <c r="AX19" s="46">
        <f t="shared" si="49"/>
        <v>0</v>
      </c>
      <c r="AY19" s="46">
        <f t="shared" si="49"/>
        <v>0</v>
      </c>
      <c r="AZ19" s="46">
        <f t="shared" si="49"/>
        <v>0</v>
      </c>
      <c r="BA19" s="46">
        <f t="shared" si="49"/>
        <v>493862.14285714284</v>
      </c>
      <c r="BB19" s="46">
        <f t="shared" si="49"/>
        <v>493862.14285714284</v>
      </c>
      <c r="BC19" s="46">
        <f t="shared" si="49"/>
        <v>493862.14285714284</v>
      </c>
      <c r="BD19" s="46">
        <f t="shared" si="49"/>
        <v>493862.14285714284</v>
      </c>
      <c r="BE19" s="46">
        <f t="shared" si="49"/>
        <v>493862.14285714284</v>
      </c>
      <c r="BF19" s="46">
        <f t="shared" si="49"/>
        <v>493862.14285714284</v>
      </c>
      <c r="BG19" s="46">
        <f t="shared" si="49"/>
        <v>493862.14285714284</v>
      </c>
      <c r="BH19" s="46">
        <f t="shared" si="49"/>
        <v>0</v>
      </c>
      <c r="BI19" s="46">
        <f t="shared" si="49"/>
        <v>0</v>
      </c>
      <c r="BJ19" s="46">
        <f t="shared" si="49"/>
        <v>0</v>
      </c>
      <c r="BK19" s="46">
        <f t="shared" si="49"/>
        <v>0</v>
      </c>
      <c r="BL19" s="46">
        <f t="shared" si="49"/>
        <v>0</v>
      </c>
      <c r="BM19" s="46">
        <f t="shared" si="49"/>
        <v>493862.14285714284</v>
      </c>
      <c r="BN19" s="46">
        <f t="shared" si="49"/>
        <v>493862.14285714284</v>
      </c>
      <c r="BO19" s="46">
        <f t="shared" si="49"/>
        <v>493862.14285714284</v>
      </c>
      <c r="BP19" s="46">
        <f t="shared" si="49"/>
        <v>493862.14285714284</v>
      </c>
      <c r="BQ19" s="46">
        <f t="shared" si="49"/>
        <v>493862.14285714284</v>
      </c>
      <c r="BR19" s="46">
        <f t="shared" si="49"/>
        <v>493862.14285714284</v>
      </c>
      <c r="BS19" s="46">
        <f t="shared" si="49"/>
        <v>493862.14285714284</v>
      </c>
      <c r="BT19" s="46">
        <f t="shared" si="49"/>
        <v>0</v>
      </c>
      <c r="BU19" s="46">
        <f t="shared" si="49"/>
        <v>0</v>
      </c>
      <c r="BV19" s="46">
        <f t="shared" si="49"/>
        <v>0</v>
      </c>
      <c r="BW19" s="46">
        <f t="shared" si="49"/>
        <v>0</v>
      </c>
      <c r="BX19" s="46">
        <f t="shared" si="49"/>
        <v>0</v>
      </c>
      <c r="BY19" s="46">
        <f t="shared" si="49"/>
        <v>493862.14285714284</v>
      </c>
      <c r="BZ19" s="46">
        <f t="shared" si="49"/>
        <v>493862.14285714284</v>
      </c>
      <c r="CA19" s="46">
        <f t="shared" si="49"/>
        <v>493862.14285714284</v>
      </c>
      <c r="CB19" s="46">
        <f t="shared" ref="CB19:CD19" si="50">+CB127*$A$121</f>
        <v>493862.14285714284</v>
      </c>
      <c r="CC19" s="46">
        <f t="shared" si="50"/>
        <v>493862.14285714284</v>
      </c>
      <c r="CD19" s="46">
        <f t="shared" si="50"/>
        <v>493862.14285714284</v>
      </c>
      <c r="CE19" s="46"/>
      <c r="CF19" s="35"/>
      <c r="CG19" s="35"/>
      <c r="CH19" s="35"/>
      <c r="CI19" s="228"/>
      <c r="CJ19" s="228"/>
      <c r="CK19" s="228"/>
      <c r="CL19" s="228"/>
      <c r="CM19" s="228"/>
    </row>
    <row r="20" spans="1:91" x14ac:dyDescent="0.2">
      <c r="B20" s="226" t="s">
        <v>415</v>
      </c>
      <c r="C20" s="46">
        <f t="shared" ref="C20:G20" si="51">+C128*$A$121</f>
        <v>0</v>
      </c>
      <c r="D20" s="46">
        <f t="shared" si="51"/>
        <v>0</v>
      </c>
      <c r="E20" s="46">
        <f t="shared" si="51"/>
        <v>0</v>
      </c>
      <c r="F20" s="46">
        <f t="shared" si="51"/>
        <v>0</v>
      </c>
      <c r="G20" s="46">
        <f t="shared" si="51"/>
        <v>0</v>
      </c>
      <c r="H20" s="46">
        <f t="shared" ref="H20:N20" si="52">+H128*$A$121</f>
        <v>0</v>
      </c>
      <c r="I20" s="46">
        <f t="shared" si="52"/>
        <v>646780.45714285714</v>
      </c>
      <c r="J20" s="46">
        <f t="shared" si="52"/>
        <v>646780.45714285714</v>
      </c>
      <c r="K20" s="46">
        <f t="shared" si="52"/>
        <v>646780.45714285714</v>
      </c>
      <c r="L20" s="46">
        <f t="shared" si="52"/>
        <v>0</v>
      </c>
      <c r="M20" s="46">
        <f t="shared" si="52"/>
        <v>0</v>
      </c>
      <c r="N20" s="46">
        <f t="shared" si="52"/>
        <v>0</v>
      </c>
      <c r="O20" s="46">
        <f t="shared" ref="O20:S20" si="53">+O128*$A$121</f>
        <v>0</v>
      </c>
      <c r="P20" s="46">
        <f t="shared" si="53"/>
        <v>0</v>
      </c>
      <c r="Q20" s="46">
        <f t="shared" si="53"/>
        <v>646780.45714285714</v>
      </c>
      <c r="R20" s="46">
        <f t="shared" si="53"/>
        <v>646780.45714285714</v>
      </c>
      <c r="S20" s="46">
        <f t="shared" si="53"/>
        <v>646780.45714285714</v>
      </c>
      <c r="T20" s="46">
        <f t="shared" ref="T20:CA20" si="54">+T128*$A$121</f>
        <v>646780.45714285714</v>
      </c>
      <c r="U20" s="46">
        <f t="shared" si="54"/>
        <v>646780.45714285714</v>
      </c>
      <c r="V20" s="46">
        <f t="shared" si="54"/>
        <v>646780.45714285714</v>
      </c>
      <c r="W20" s="46">
        <f t="shared" si="54"/>
        <v>646780.45714285714</v>
      </c>
      <c r="X20" s="46">
        <f t="shared" si="54"/>
        <v>0</v>
      </c>
      <c r="Y20" s="46">
        <f t="shared" si="54"/>
        <v>0</v>
      </c>
      <c r="Z20" s="46">
        <f t="shared" si="54"/>
        <v>0</v>
      </c>
      <c r="AA20" s="46">
        <f t="shared" si="54"/>
        <v>0</v>
      </c>
      <c r="AB20" s="46">
        <f t="shared" si="54"/>
        <v>0</v>
      </c>
      <c r="AC20" s="46">
        <f t="shared" si="54"/>
        <v>646780.45714285714</v>
      </c>
      <c r="AD20" s="46">
        <f t="shared" si="54"/>
        <v>646780.45714285714</v>
      </c>
      <c r="AE20" s="46">
        <f t="shared" si="54"/>
        <v>646780.45714285714</v>
      </c>
      <c r="AF20" s="46">
        <f t="shared" si="54"/>
        <v>646780.45714285714</v>
      </c>
      <c r="AG20" s="46">
        <f t="shared" si="54"/>
        <v>646780.45714285714</v>
      </c>
      <c r="AH20" s="46">
        <f t="shared" si="54"/>
        <v>646780.45714285714</v>
      </c>
      <c r="AI20" s="46">
        <f t="shared" si="54"/>
        <v>646780.45714285714</v>
      </c>
      <c r="AJ20" s="46">
        <f t="shared" si="54"/>
        <v>0</v>
      </c>
      <c r="AK20" s="46">
        <f t="shared" si="54"/>
        <v>0</v>
      </c>
      <c r="AL20" s="46">
        <f t="shared" si="54"/>
        <v>0</v>
      </c>
      <c r="AM20" s="46">
        <f t="shared" si="54"/>
        <v>0</v>
      </c>
      <c r="AN20" s="46">
        <f t="shared" si="54"/>
        <v>0</v>
      </c>
      <c r="AO20" s="46">
        <f t="shared" si="54"/>
        <v>646780.45714285714</v>
      </c>
      <c r="AP20" s="46">
        <f t="shared" si="54"/>
        <v>646780.45714285714</v>
      </c>
      <c r="AQ20" s="46">
        <f t="shared" si="54"/>
        <v>646780.45714285714</v>
      </c>
      <c r="AR20" s="46">
        <f t="shared" si="54"/>
        <v>646780.45714285714</v>
      </c>
      <c r="AS20" s="46">
        <f t="shared" si="54"/>
        <v>646780.45714285714</v>
      </c>
      <c r="AT20" s="46">
        <f t="shared" si="54"/>
        <v>646780.45714285714</v>
      </c>
      <c r="AU20" s="46">
        <f t="shared" si="54"/>
        <v>646780.45714285714</v>
      </c>
      <c r="AV20" s="46">
        <f t="shared" si="54"/>
        <v>0</v>
      </c>
      <c r="AW20" s="46">
        <f t="shared" si="54"/>
        <v>0</v>
      </c>
      <c r="AX20" s="46">
        <f t="shared" si="54"/>
        <v>0</v>
      </c>
      <c r="AY20" s="46">
        <f t="shared" si="54"/>
        <v>0</v>
      </c>
      <c r="AZ20" s="46">
        <f t="shared" si="54"/>
        <v>0</v>
      </c>
      <c r="BA20" s="46">
        <f t="shared" si="54"/>
        <v>646780.45714285714</v>
      </c>
      <c r="BB20" s="46">
        <f t="shared" si="54"/>
        <v>646780.45714285714</v>
      </c>
      <c r="BC20" s="46">
        <f t="shared" si="54"/>
        <v>646780.45714285714</v>
      </c>
      <c r="BD20" s="46">
        <f t="shared" si="54"/>
        <v>646780.45714285714</v>
      </c>
      <c r="BE20" s="46">
        <f t="shared" si="54"/>
        <v>646780.45714285714</v>
      </c>
      <c r="BF20" s="46">
        <f t="shared" si="54"/>
        <v>646780.45714285714</v>
      </c>
      <c r="BG20" s="46">
        <f t="shared" si="54"/>
        <v>646780.45714285714</v>
      </c>
      <c r="BH20" s="46">
        <f t="shared" si="54"/>
        <v>0</v>
      </c>
      <c r="BI20" s="46">
        <f t="shared" si="54"/>
        <v>0</v>
      </c>
      <c r="BJ20" s="46">
        <f t="shared" si="54"/>
        <v>0</v>
      </c>
      <c r="BK20" s="46">
        <f t="shared" si="54"/>
        <v>0</v>
      </c>
      <c r="BL20" s="46">
        <f t="shared" si="54"/>
        <v>0</v>
      </c>
      <c r="BM20" s="46">
        <f t="shared" si="54"/>
        <v>646780.45714285714</v>
      </c>
      <c r="BN20" s="46">
        <f t="shared" si="54"/>
        <v>646780.45714285714</v>
      </c>
      <c r="BO20" s="46">
        <f t="shared" si="54"/>
        <v>646780.45714285714</v>
      </c>
      <c r="BP20" s="46">
        <f t="shared" si="54"/>
        <v>646780.45714285714</v>
      </c>
      <c r="BQ20" s="46">
        <f t="shared" si="54"/>
        <v>646780.45714285714</v>
      </c>
      <c r="BR20" s="46">
        <f t="shared" si="54"/>
        <v>646780.45714285714</v>
      </c>
      <c r="BS20" s="46">
        <f t="shared" si="54"/>
        <v>646780.45714285714</v>
      </c>
      <c r="BT20" s="46">
        <f t="shared" si="54"/>
        <v>0</v>
      </c>
      <c r="BU20" s="46">
        <f t="shared" si="54"/>
        <v>0</v>
      </c>
      <c r="BV20" s="46">
        <f t="shared" si="54"/>
        <v>0</v>
      </c>
      <c r="BW20" s="46">
        <f t="shared" si="54"/>
        <v>0</v>
      </c>
      <c r="BX20" s="46">
        <f t="shared" si="54"/>
        <v>0</v>
      </c>
      <c r="BY20" s="46">
        <f t="shared" si="54"/>
        <v>646780.45714285714</v>
      </c>
      <c r="BZ20" s="46">
        <f t="shared" si="54"/>
        <v>646780.45714285714</v>
      </c>
      <c r="CA20" s="46">
        <f t="shared" si="54"/>
        <v>646780.45714285714</v>
      </c>
      <c r="CB20" s="46">
        <f t="shared" ref="CB20:CD20" si="55">+CB128*$A$121</f>
        <v>646780.45714285714</v>
      </c>
      <c r="CC20" s="46">
        <f t="shared" si="55"/>
        <v>646780.45714285714</v>
      </c>
      <c r="CD20" s="46">
        <f t="shared" si="55"/>
        <v>646780.45714285714</v>
      </c>
      <c r="CE20" s="46"/>
      <c r="CF20" s="35"/>
      <c r="CG20" s="35"/>
      <c r="CH20" s="35"/>
      <c r="CI20" s="228"/>
      <c r="CJ20" s="228"/>
      <c r="CK20" s="228"/>
      <c r="CL20" s="228"/>
      <c r="CM20" s="228"/>
    </row>
    <row r="21" spans="1:91" x14ac:dyDescent="0.2">
      <c r="B21" s="226" t="s">
        <v>416</v>
      </c>
      <c r="C21" s="232">
        <f t="shared" ref="C21:G21" si="56">C18+C19+C20</f>
        <v>0</v>
      </c>
      <c r="D21" s="232">
        <f t="shared" si="56"/>
        <v>0</v>
      </c>
      <c r="E21" s="232">
        <f t="shared" si="56"/>
        <v>0</v>
      </c>
      <c r="F21" s="232">
        <f t="shared" si="56"/>
        <v>0</v>
      </c>
      <c r="G21" s="232">
        <f t="shared" si="56"/>
        <v>0</v>
      </c>
      <c r="H21" s="232">
        <f t="shared" ref="H21:M21" si="57">H18+H19+H20</f>
        <v>0</v>
      </c>
      <c r="I21" s="232">
        <f t="shared" si="57"/>
        <v>1309530.3142857142</v>
      </c>
      <c r="J21" s="232">
        <f t="shared" si="57"/>
        <v>1309530.3142857142</v>
      </c>
      <c r="K21" s="232">
        <f t="shared" si="57"/>
        <v>1309530.3142857142</v>
      </c>
      <c r="L21" s="232">
        <f t="shared" si="57"/>
        <v>0</v>
      </c>
      <c r="M21" s="232">
        <f t="shared" si="57"/>
        <v>0</v>
      </c>
      <c r="N21" s="232">
        <f>N18+N19+N20</f>
        <v>0</v>
      </c>
      <c r="O21" s="232">
        <f t="shared" ref="O21:S21" si="58">O18+O19+O20</f>
        <v>0</v>
      </c>
      <c r="P21" s="232">
        <f t="shared" si="58"/>
        <v>0</v>
      </c>
      <c r="Q21" s="232">
        <f t="shared" si="58"/>
        <v>1309530.3142857142</v>
      </c>
      <c r="R21" s="232">
        <f t="shared" si="58"/>
        <v>1309530.3142857142</v>
      </c>
      <c r="S21" s="232">
        <f t="shared" si="58"/>
        <v>1309530.3142857142</v>
      </c>
      <c r="T21" s="232">
        <f t="shared" ref="T21" si="59">T18+T19+T20</f>
        <v>1309530.3142857142</v>
      </c>
      <c r="U21" s="232">
        <f t="shared" ref="U21" si="60">U18+U19+U20</f>
        <v>1309530.3142857142</v>
      </c>
      <c r="V21" s="232">
        <f t="shared" ref="V21" si="61">V18+V19+V20</f>
        <v>1309530.3142857142</v>
      </c>
      <c r="W21" s="232">
        <f t="shared" ref="W21" si="62">W18+W19+W20</f>
        <v>1309530.3142857142</v>
      </c>
      <c r="X21" s="232">
        <f t="shared" ref="X21" si="63">X18+X19+X20</f>
        <v>0</v>
      </c>
      <c r="Y21" s="232">
        <f t="shared" ref="Y21" si="64">Y18+Y19+Y20</f>
        <v>0</v>
      </c>
      <c r="Z21" s="232">
        <f t="shared" ref="Z21" si="65">Z18+Z19+Z20</f>
        <v>0</v>
      </c>
      <c r="AA21" s="232">
        <f t="shared" ref="AA21" si="66">AA18+AA19+AA20</f>
        <v>0</v>
      </c>
      <c r="AB21" s="232">
        <f t="shared" ref="AB21" si="67">AB18+AB19+AB20</f>
        <v>0</v>
      </c>
      <c r="AC21" s="232">
        <f t="shared" ref="AC21" si="68">AC18+AC19+AC20</f>
        <v>1309530.3142857142</v>
      </c>
      <c r="AD21" s="232">
        <f t="shared" ref="AD21" si="69">AD18+AD19+AD20</f>
        <v>1309530.3142857142</v>
      </c>
      <c r="AE21" s="232">
        <f t="shared" ref="AE21" si="70">AE18+AE19+AE20</f>
        <v>1309530.3142857142</v>
      </c>
      <c r="AF21" s="232">
        <f t="shared" ref="AF21" si="71">AF18+AF19+AF20</f>
        <v>1309530.3142857142</v>
      </c>
      <c r="AG21" s="232">
        <f t="shared" ref="AG21" si="72">AG18+AG19+AG20</f>
        <v>1309530.3142857142</v>
      </c>
      <c r="AH21" s="232">
        <f t="shared" ref="AH21" si="73">AH18+AH19+AH20</f>
        <v>1309530.3142857142</v>
      </c>
      <c r="AI21" s="232">
        <f t="shared" ref="AI21" si="74">AI18+AI19+AI20</f>
        <v>1309530.3142857142</v>
      </c>
      <c r="AJ21" s="232">
        <f t="shared" ref="AJ21" si="75">AJ18+AJ19+AJ20</f>
        <v>0</v>
      </c>
      <c r="AK21" s="232">
        <f t="shared" ref="AK21" si="76">AK18+AK19+AK20</f>
        <v>0</v>
      </c>
      <c r="AL21" s="232">
        <f t="shared" ref="AL21" si="77">AL18+AL19+AL20</f>
        <v>0</v>
      </c>
      <c r="AM21" s="232">
        <f t="shared" ref="AM21" si="78">AM18+AM19+AM20</f>
        <v>0</v>
      </c>
      <c r="AN21" s="232">
        <f t="shared" ref="AN21" si="79">AN18+AN19+AN20</f>
        <v>0</v>
      </c>
      <c r="AO21" s="232">
        <f t="shared" ref="AO21" si="80">AO18+AO19+AO20</f>
        <v>1309530.3142857142</v>
      </c>
      <c r="AP21" s="232">
        <f t="shared" ref="AP21" si="81">AP18+AP19+AP20</f>
        <v>1309530.3142857142</v>
      </c>
      <c r="AQ21" s="232">
        <f t="shared" ref="AQ21" si="82">AQ18+AQ19+AQ20</f>
        <v>1309530.3142857142</v>
      </c>
      <c r="AR21" s="232">
        <f t="shared" ref="AR21" si="83">AR18+AR19+AR20</f>
        <v>1309530.3142857142</v>
      </c>
      <c r="AS21" s="232">
        <f t="shared" ref="AS21" si="84">AS18+AS19+AS20</f>
        <v>1309530.3142857142</v>
      </c>
      <c r="AT21" s="232">
        <f t="shared" ref="AT21" si="85">AT18+AT19+AT20</f>
        <v>1309530.3142857142</v>
      </c>
      <c r="AU21" s="232">
        <f t="shared" ref="AU21" si="86">AU18+AU19+AU20</f>
        <v>1309530.3142857142</v>
      </c>
      <c r="AV21" s="232">
        <f t="shared" ref="AV21" si="87">AV18+AV19+AV20</f>
        <v>0</v>
      </c>
      <c r="AW21" s="232">
        <f t="shared" ref="AW21" si="88">AW18+AW19+AW20</f>
        <v>0</v>
      </c>
      <c r="AX21" s="232">
        <f t="shared" ref="AX21" si="89">AX18+AX19+AX20</f>
        <v>0</v>
      </c>
      <c r="AY21" s="232">
        <f t="shared" ref="AY21" si="90">AY18+AY19+AY20</f>
        <v>0</v>
      </c>
      <c r="AZ21" s="232">
        <f t="shared" ref="AZ21" si="91">AZ18+AZ19+AZ20</f>
        <v>0</v>
      </c>
      <c r="BA21" s="232">
        <f t="shared" ref="BA21" si="92">BA18+BA19+BA20</f>
        <v>1309530.3142857142</v>
      </c>
      <c r="BB21" s="232">
        <f t="shared" ref="BB21" si="93">BB18+BB19+BB20</f>
        <v>1309530.3142857142</v>
      </c>
      <c r="BC21" s="232">
        <f t="shared" ref="BC21" si="94">BC18+BC19+BC20</f>
        <v>1309530.3142857142</v>
      </c>
      <c r="BD21" s="232">
        <f t="shared" ref="BD21" si="95">BD18+BD19+BD20</f>
        <v>1309530.3142857142</v>
      </c>
      <c r="BE21" s="232">
        <f t="shared" ref="BE21" si="96">BE18+BE19+BE20</f>
        <v>1309530.3142857142</v>
      </c>
      <c r="BF21" s="232">
        <f t="shared" ref="BF21" si="97">BF18+BF19+BF20</f>
        <v>1309530.3142857142</v>
      </c>
      <c r="BG21" s="232">
        <f t="shared" ref="BG21" si="98">BG18+BG19+BG20</f>
        <v>1309530.3142857142</v>
      </c>
      <c r="BH21" s="232">
        <f t="shared" ref="BH21" si="99">BH18+BH19+BH20</f>
        <v>0</v>
      </c>
      <c r="BI21" s="232">
        <f t="shared" ref="BI21" si="100">BI18+BI19+BI20</f>
        <v>0</v>
      </c>
      <c r="BJ21" s="232">
        <f t="shared" ref="BJ21" si="101">BJ18+BJ19+BJ20</f>
        <v>0</v>
      </c>
      <c r="BK21" s="232">
        <f t="shared" ref="BK21" si="102">BK18+BK19+BK20</f>
        <v>0</v>
      </c>
      <c r="BL21" s="232">
        <f t="shared" ref="BL21" si="103">BL18+BL19+BL20</f>
        <v>0</v>
      </c>
      <c r="BM21" s="232">
        <f t="shared" ref="BM21" si="104">BM18+BM19+BM20</f>
        <v>1309530.3142857142</v>
      </c>
      <c r="BN21" s="232">
        <f t="shared" ref="BN21" si="105">BN18+BN19+BN20</f>
        <v>1309530.3142857142</v>
      </c>
      <c r="BO21" s="232">
        <f t="shared" ref="BO21" si="106">BO18+BO19+BO20</f>
        <v>1309530.3142857142</v>
      </c>
      <c r="BP21" s="232">
        <f t="shared" ref="BP21" si="107">BP18+BP19+BP20</f>
        <v>1309530.3142857142</v>
      </c>
      <c r="BQ21" s="232">
        <f t="shared" ref="BQ21" si="108">BQ18+BQ19+BQ20</f>
        <v>1309530.3142857142</v>
      </c>
      <c r="BR21" s="232">
        <f t="shared" ref="BR21" si="109">BR18+BR19+BR20</f>
        <v>1309530.3142857142</v>
      </c>
      <c r="BS21" s="232">
        <f t="shared" ref="BS21" si="110">BS18+BS19+BS20</f>
        <v>1309530.3142857142</v>
      </c>
      <c r="BT21" s="232">
        <f t="shared" ref="BT21" si="111">BT18+BT19+BT20</f>
        <v>0</v>
      </c>
      <c r="BU21" s="232">
        <f t="shared" ref="BU21" si="112">BU18+BU19+BU20</f>
        <v>0</v>
      </c>
      <c r="BV21" s="232">
        <f t="shared" ref="BV21" si="113">BV18+BV19+BV20</f>
        <v>0</v>
      </c>
      <c r="BW21" s="232">
        <f t="shared" ref="BW21" si="114">BW18+BW19+BW20</f>
        <v>0</v>
      </c>
      <c r="BX21" s="232">
        <f t="shared" ref="BX21" si="115">BX18+BX19+BX20</f>
        <v>0</v>
      </c>
      <c r="BY21" s="232">
        <f t="shared" ref="BY21" si="116">BY18+BY19+BY20</f>
        <v>1309530.3142857142</v>
      </c>
      <c r="BZ21" s="232">
        <f t="shared" ref="BZ21" si="117">BZ18+BZ19+BZ20</f>
        <v>1309530.3142857142</v>
      </c>
      <c r="CA21" s="232">
        <f t="shared" ref="CA21:CD21" si="118">CA18+CA19+CA20</f>
        <v>1309530.3142857142</v>
      </c>
      <c r="CB21" s="232">
        <f t="shared" si="118"/>
        <v>1309530.3142857142</v>
      </c>
      <c r="CC21" s="232">
        <f t="shared" si="118"/>
        <v>1309530.3142857142</v>
      </c>
      <c r="CD21" s="232">
        <f t="shared" si="118"/>
        <v>1309530.3142857142</v>
      </c>
      <c r="CE21" s="232"/>
      <c r="CF21" s="228"/>
      <c r="CG21" s="228"/>
      <c r="CH21" s="228"/>
      <c r="CI21" s="228"/>
      <c r="CJ21" s="228"/>
      <c r="CK21" s="228"/>
      <c r="CL21" s="228"/>
      <c r="CM21" s="228"/>
    </row>
    <row r="22" spans="1:91" x14ac:dyDescent="0.2">
      <c r="H22" s="226"/>
      <c r="I22" s="226"/>
      <c r="J22" s="226"/>
      <c r="K22" s="226"/>
      <c r="L22" s="226"/>
      <c r="M22" s="226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2"/>
      <c r="BN22" s="232"/>
      <c r="BO22" s="232"/>
      <c r="BP22" s="232"/>
      <c r="BQ22" s="232"/>
      <c r="BR22" s="232"/>
      <c r="BS22" s="232"/>
      <c r="BT22" s="232"/>
      <c r="BU22" s="232"/>
      <c r="BV22" s="226"/>
      <c r="BW22" s="226"/>
      <c r="BX22" s="226"/>
      <c r="BY22" s="226"/>
      <c r="BZ22" s="226"/>
      <c r="CA22" s="226"/>
      <c r="CB22" s="232"/>
      <c r="CC22" s="232"/>
      <c r="CD22" s="232"/>
      <c r="CE22" s="226"/>
    </row>
    <row r="23" spans="1:91" x14ac:dyDescent="0.2">
      <c r="A23" s="226" t="s">
        <v>417</v>
      </c>
      <c r="H23" s="226"/>
      <c r="I23" s="226"/>
      <c r="J23" s="226"/>
      <c r="K23" s="226"/>
      <c r="L23" s="226"/>
      <c r="M23" s="226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  <c r="BM23" s="232"/>
      <c r="BN23" s="232"/>
      <c r="BO23" s="232"/>
      <c r="BP23" s="232"/>
      <c r="BQ23" s="232"/>
      <c r="BR23" s="232"/>
      <c r="BS23" s="232"/>
      <c r="BT23" s="232"/>
      <c r="BU23" s="232"/>
      <c r="BV23" s="226"/>
      <c r="BW23" s="226"/>
      <c r="BX23" s="226"/>
      <c r="BY23" s="226"/>
      <c r="BZ23" s="226"/>
      <c r="CA23" s="226"/>
      <c r="CB23" s="232"/>
      <c r="CC23" s="232"/>
      <c r="CD23" s="232"/>
      <c r="CE23" s="226"/>
    </row>
    <row r="24" spans="1:91" x14ac:dyDescent="0.2">
      <c r="B24" s="226" t="s">
        <v>418</v>
      </c>
      <c r="C24" s="711">
        <v>1938.3333333333333</v>
      </c>
      <c r="D24" s="232">
        <f>C24</f>
        <v>1938.3333333333333</v>
      </c>
      <c r="E24" s="232">
        <f t="shared" ref="E24:BP24" si="119">D24</f>
        <v>1938.3333333333333</v>
      </c>
      <c r="F24" s="232">
        <f t="shared" si="119"/>
        <v>1938.3333333333333</v>
      </c>
      <c r="G24" s="232">
        <f t="shared" si="119"/>
        <v>1938.3333333333333</v>
      </c>
      <c r="H24" s="232">
        <f t="shared" si="119"/>
        <v>1938.3333333333333</v>
      </c>
      <c r="I24" s="232">
        <f t="shared" si="119"/>
        <v>1938.3333333333333</v>
      </c>
      <c r="J24" s="232">
        <f t="shared" si="119"/>
        <v>1938.3333333333333</v>
      </c>
      <c r="K24" s="232">
        <f t="shared" si="119"/>
        <v>1938.3333333333333</v>
      </c>
      <c r="L24" s="232">
        <f t="shared" si="119"/>
        <v>1938.3333333333333</v>
      </c>
      <c r="M24" s="232">
        <f t="shared" si="119"/>
        <v>1938.3333333333333</v>
      </c>
      <c r="N24" s="232">
        <f t="shared" si="119"/>
        <v>1938.3333333333333</v>
      </c>
      <c r="O24" s="232">
        <f t="shared" si="119"/>
        <v>1938.3333333333333</v>
      </c>
      <c r="P24" s="232">
        <f t="shared" si="119"/>
        <v>1938.3333333333333</v>
      </c>
      <c r="Q24" s="232">
        <f t="shared" si="119"/>
        <v>1938.3333333333333</v>
      </c>
      <c r="R24" s="232">
        <f t="shared" si="119"/>
        <v>1938.3333333333333</v>
      </c>
      <c r="S24" s="232">
        <f t="shared" si="119"/>
        <v>1938.3333333333333</v>
      </c>
      <c r="T24" s="232">
        <f t="shared" si="119"/>
        <v>1938.3333333333333</v>
      </c>
      <c r="U24" s="232">
        <f t="shared" si="119"/>
        <v>1938.3333333333333</v>
      </c>
      <c r="V24" s="232">
        <f t="shared" si="119"/>
        <v>1938.3333333333333</v>
      </c>
      <c r="W24" s="232">
        <f t="shared" si="119"/>
        <v>1938.3333333333333</v>
      </c>
      <c r="X24" s="232">
        <f t="shared" si="119"/>
        <v>1938.3333333333333</v>
      </c>
      <c r="Y24" s="232">
        <f t="shared" si="119"/>
        <v>1938.3333333333333</v>
      </c>
      <c r="Z24" s="232">
        <f t="shared" si="119"/>
        <v>1938.3333333333333</v>
      </c>
      <c r="AA24" s="232">
        <f t="shared" si="119"/>
        <v>1938.3333333333333</v>
      </c>
      <c r="AB24" s="232">
        <f t="shared" si="119"/>
        <v>1938.3333333333333</v>
      </c>
      <c r="AC24" s="232">
        <f t="shared" si="119"/>
        <v>1938.3333333333333</v>
      </c>
      <c r="AD24" s="232">
        <f t="shared" si="119"/>
        <v>1938.3333333333333</v>
      </c>
      <c r="AE24" s="232">
        <f t="shared" si="119"/>
        <v>1938.3333333333333</v>
      </c>
      <c r="AF24" s="232">
        <f t="shared" si="119"/>
        <v>1938.3333333333333</v>
      </c>
      <c r="AG24" s="232">
        <f t="shared" si="119"/>
        <v>1938.3333333333333</v>
      </c>
      <c r="AH24" s="232">
        <f t="shared" si="119"/>
        <v>1938.3333333333333</v>
      </c>
      <c r="AI24" s="232">
        <f t="shared" si="119"/>
        <v>1938.3333333333333</v>
      </c>
      <c r="AJ24" s="232">
        <f t="shared" si="119"/>
        <v>1938.3333333333333</v>
      </c>
      <c r="AK24" s="232">
        <f t="shared" si="119"/>
        <v>1938.3333333333333</v>
      </c>
      <c r="AL24" s="232">
        <f t="shared" si="119"/>
        <v>1938.3333333333333</v>
      </c>
      <c r="AM24" s="232">
        <f t="shared" si="119"/>
        <v>1938.3333333333333</v>
      </c>
      <c r="AN24" s="232">
        <f t="shared" si="119"/>
        <v>1938.3333333333333</v>
      </c>
      <c r="AO24" s="232">
        <f t="shared" si="119"/>
        <v>1938.3333333333333</v>
      </c>
      <c r="AP24" s="232">
        <f t="shared" si="119"/>
        <v>1938.3333333333333</v>
      </c>
      <c r="AQ24" s="232">
        <f t="shared" si="119"/>
        <v>1938.3333333333333</v>
      </c>
      <c r="AR24" s="232">
        <f t="shared" si="119"/>
        <v>1938.3333333333333</v>
      </c>
      <c r="AS24" s="232">
        <f t="shared" si="119"/>
        <v>1938.3333333333333</v>
      </c>
      <c r="AT24" s="232">
        <f t="shared" si="119"/>
        <v>1938.3333333333333</v>
      </c>
      <c r="AU24" s="232">
        <f t="shared" si="119"/>
        <v>1938.3333333333333</v>
      </c>
      <c r="AV24" s="232">
        <f t="shared" si="119"/>
        <v>1938.3333333333333</v>
      </c>
      <c r="AW24" s="232">
        <f t="shared" si="119"/>
        <v>1938.3333333333333</v>
      </c>
      <c r="AX24" s="232">
        <f t="shared" si="119"/>
        <v>1938.3333333333333</v>
      </c>
      <c r="AY24" s="232">
        <f t="shared" si="119"/>
        <v>1938.3333333333333</v>
      </c>
      <c r="AZ24" s="232">
        <f t="shared" si="119"/>
        <v>1938.3333333333333</v>
      </c>
      <c r="BA24" s="232">
        <f t="shared" si="119"/>
        <v>1938.3333333333333</v>
      </c>
      <c r="BB24" s="232">
        <f t="shared" si="119"/>
        <v>1938.3333333333333</v>
      </c>
      <c r="BC24" s="232">
        <f t="shared" si="119"/>
        <v>1938.3333333333333</v>
      </c>
      <c r="BD24" s="232">
        <f t="shared" si="119"/>
        <v>1938.3333333333333</v>
      </c>
      <c r="BE24" s="232">
        <f t="shared" si="119"/>
        <v>1938.3333333333333</v>
      </c>
      <c r="BF24" s="232">
        <f t="shared" si="119"/>
        <v>1938.3333333333333</v>
      </c>
      <c r="BG24" s="232">
        <f t="shared" si="119"/>
        <v>1938.3333333333333</v>
      </c>
      <c r="BH24" s="232">
        <f t="shared" si="119"/>
        <v>1938.3333333333333</v>
      </c>
      <c r="BI24" s="232">
        <f t="shared" si="119"/>
        <v>1938.3333333333333</v>
      </c>
      <c r="BJ24" s="232">
        <f t="shared" si="119"/>
        <v>1938.3333333333333</v>
      </c>
      <c r="BK24" s="232">
        <f t="shared" si="119"/>
        <v>1938.3333333333333</v>
      </c>
      <c r="BL24" s="232">
        <f t="shared" si="119"/>
        <v>1938.3333333333333</v>
      </c>
      <c r="BM24" s="232">
        <f t="shared" si="119"/>
        <v>1938.3333333333333</v>
      </c>
      <c r="BN24" s="232">
        <f t="shared" si="119"/>
        <v>1938.3333333333333</v>
      </c>
      <c r="BO24" s="232">
        <f t="shared" si="119"/>
        <v>1938.3333333333333</v>
      </c>
      <c r="BP24" s="232">
        <f t="shared" si="119"/>
        <v>1938.3333333333333</v>
      </c>
      <c r="BQ24" s="232">
        <f t="shared" ref="BQ24:CD24" si="120">BP24</f>
        <v>1938.3333333333333</v>
      </c>
      <c r="BR24" s="232">
        <f t="shared" si="120"/>
        <v>1938.3333333333333</v>
      </c>
      <c r="BS24" s="232">
        <f t="shared" si="120"/>
        <v>1938.3333333333333</v>
      </c>
      <c r="BT24" s="232">
        <f t="shared" si="120"/>
        <v>1938.3333333333333</v>
      </c>
      <c r="BU24" s="232">
        <f t="shared" si="120"/>
        <v>1938.3333333333333</v>
      </c>
      <c r="BV24" s="232">
        <f t="shared" si="120"/>
        <v>1938.3333333333333</v>
      </c>
      <c r="BW24" s="232">
        <f t="shared" si="120"/>
        <v>1938.3333333333333</v>
      </c>
      <c r="BX24" s="232">
        <f t="shared" si="120"/>
        <v>1938.3333333333333</v>
      </c>
      <c r="BY24" s="232">
        <f t="shared" si="120"/>
        <v>1938.3333333333333</v>
      </c>
      <c r="BZ24" s="232">
        <f t="shared" si="120"/>
        <v>1938.3333333333333</v>
      </c>
      <c r="CA24" s="232">
        <f t="shared" si="120"/>
        <v>1938.3333333333333</v>
      </c>
      <c r="CB24" s="232">
        <f t="shared" si="120"/>
        <v>1938.3333333333333</v>
      </c>
      <c r="CC24" s="232">
        <f t="shared" si="120"/>
        <v>1938.3333333333333</v>
      </c>
      <c r="CD24" s="232">
        <f t="shared" si="120"/>
        <v>1938.3333333333333</v>
      </c>
      <c r="CE24" s="232"/>
      <c r="CF24" s="232"/>
      <c r="CG24" s="232"/>
      <c r="CH24" s="232"/>
      <c r="CI24" s="232"/>
      <c r="CJ24" s="232"/>
    </row>
    <row r="25" spans="1:91" x14ac:dyDescent="0.2">
      <c r="H25" s="226"/>
      <c r="I25" s="226"/>
      <c r="J25" s="226"/>
      <c r="K25" s="226"/>
      <c r="L25" s="226"/>
      <c r="M25" s="226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  <c r="AV25" s="232"/>
      <c r="AW25" s="232"/>
      <c r="AX25" s="232"/>
      <c r="AY25" s="232"/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32"/>
      <c r="BN25" s="232"/>
      <c r="BO25" s="232"/>
      <c r="BP25" s="232"/>
      <c r="BQ25" s="232"/>
      <c r="BR25" s="232"/>
      <c r="BS25" s="232"/>
      <c r="BT25" s="232"/>
      <c r="BU25" s="232"/>
      <c r="BV25" s="226"/>
      <c r="BW25" s="226"/>
      <c r="BX25" s="226"/>
      <c r="BY25" s="226"/>
      <c r="BZ25" s="226"/>
      <c r="CA25" s="226"/>
      <c r="CB25" s="232"/>
      <c r="CC25" s="232"/>
      <c r="CD25" s="232"/>
      <c r="CE25" s="226"/>
    </row>
    <row r="26" spans="1:91" customFormat="1" x14ac:dyDescent="0.2">
      <c r="A26" s="226"/>
      <c r="B26" s="226" t="s">
        <v>419</v>
      </c>
      <c r="C26" s="226"/>
      <c r="D26" s="226"/>
      <c r="E26" s="226"/>
      <c r="F26" s="226"/>
      <c r="G26" s="226"/>
      <c r="H26" s="226"/>
      <c r="I26" s="226"/>
      <c r="J26" s="713">
        <v>0</v>
      </c>
      <c r="K26" s="713">
        <v>0</v>
      </c>
      <c r="L26" s="713">
        <v>0</v>
      </c>
      <c r="M26" s="713">
        <v>0</v>
      </c>
      <c r="N26" s="713">
        <v>0</v>
      </c>
      <c r="O26" s="580"/>
      <c r="P26" s="580"/>
      <c r="Q26" s="580"/>
      <c r="R26" s="580"/>
      <c r="S26" s="580"/>
      <c r="T26" s="580"/>
      <c r="U26" s="580"/>
      <c r="V26" s="580"/>
      <c r="W26" s="580"/>
      <c r="X26" s="580"/>
      <c r="Y26" s="580"/>
      <c r="Z26" s="580"/>
      <c r="AA26" s="580"/>
      <c r="AB26" s="580"/>
      <c r="AC26" s="580"/>
      <c r="AD26" s="580"/>
      <c r="AE26" s="580"/>
      <c r="AF26" s="580"/>
      <c r="AG26" s="580"/>
      <c r="AH26" s="580"/>
      <c r="AI26" s="580"/>
      <c r="AJ26" s="580"/>
      <c r="AK26" s="580"/>
      <c r="AL26" s="580"/>
      <c r="AM26" s="580"/>
      <c r="AN26" s="580"/>
      <c r="AO26" s="580"/>
      <c r="AP26" s="580"/>
      <c r="AQ26" s="580"/>
      <c r="AR26" s="580"/>
      <c r="AS26" s="580"/>
      <c r="AT26" s="580"/>
      <c r="AU26" s="580"/>
      <c r="AV26" s="580"/>
      <c r="AW26" s="580"/>
      <c r="AX26" s="580"/>
      <c r="AY26" s="580"/>
      <c r="AZ26" s="580"/>
      <c r="BA26" s="580"/>
      <c r="BB26" s="580"/>
      <c r="BC26" s="580"/>
      <c r="BD26" s="580"/>
      <c r="BE26" s="580"/>
      <c r="BF26" s="580"/>
      <c r="BG26" s="580"/>
      <c r="BH26" s="580"/>
      <c r="BI26" s="580"/>
      <c r="BJ26" s="580"/>
      <c r="BK26" s="580"/>
      <c r="BL26" s="580"/>
      <c r="BM26" s="580"/>
      <c r="BN26" s="580"/>
      <c r="BO26" s="580"/>
      <c r="BP26" s="580"/>
      <c r="BQ26" s="580"/>
      <c r="BR26" s="580"/>
      <c r="BS26" s="580"/>
      <c r="BT26" s="580"/>
      <c r="BU26" s="580"/>
      <c r="BV26" s="580"/>
      <c r="BW26" s="580"/>
      <c r="BX26" s="580"/>
      <c r="BY26" s="580"/>
      <c r="BZ26" s="580"/>
      <c r="CA26" s="580"/>
      <c r="CB26" s="580"/>
      <c r="CC26" s="580"/>
      <c r="CD26" s="580"/>
      <c r="CE26" s="580"/>
    </row>
    <row r="27" spans="1:91" x14ac:dyDescent="0.2">
      <c r="H27" s="226"/>
      <c r="I27" s="226"/>
      <c r="J27" s="226"/>
      <c r="K27" s="226"/>
      <c r="L27" s="226"/>
      <c r="M27" s="226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AT27" s="232"/>
      <c r="AU27" s="232"/>
      <c r="AV27" s="232"/>
      <c r="AW27" s="232"/>
      <c r="AX27" s="232"/>
      <c r="AY27" s="232"/>
      <c r="AZ27" s="232"/>
      <c r="BA27" s="232"/>
      <c r="BB27" s="232"/>
      <c r="BC27" s="232"/>
      <c r="BD27" s="232"/>
      <c r="BE27" s="232"/>
      <c r="BF27" s="232"/>
      <c r="BG27" s="232"/>
      <c r="BH27" s="232"/>
      <c r="BI27" s="232"/>
      <c r="BJ27" s="232"/>
      <c r="BK27" s="232"/>
      <c r="BL27" s="232"/>
      <c r="BM27" s="232"/>
      <c r="BN27" s="232"/>
      <c r="BO27" s="232"/>
      <c r="BP27" s="232"/>
      <c r="BQ27" s="232"/>
      <c r="BR27" s="232"/>
      <c r="BS27" s="232"/>
      <c r="BT27" s="232"/>
      <c r="BU27" s="232"/>
      <c r="BV27" s="226"/>
      <c r="BW27" s="226"/>
      <c r="BX27" s="226"/>
      <c r="BY27" s="226"/>
      <c r="BZ27" s="226"/>
      <c r="CA27" s="226"/>
      <c r="CB27" s="232"/>
      <c r="CC27" s="232"/>
      <c r="CD27" s="232"/>
      <c r="CE27" s="226"/>
    </row>
    <row r="28" spans="1:91" x14ac:dyDescent="0.2">
      <c r="A28" s="226" t="s">
        <v>420</v>
      </c>
      <c r="C28" s="232">
        <f t="shared" ref="C28:G28" si="121">SUM(C10-C24)</f>
        <v>2709711.4338307749</v>
      </c>
      <c r="D28" s="232">
        <f t="shared" si="121"/>
        <v>2055464.6044332804</v>
      </c>
      <c r="E28" s="232">
        <f t="shared" si="121"/>
        <v>1051746.7100244584</v>
      </c>
      <c r="F28" s="232">
        <f t="shared" si="121"/>
        <v>599203.25074417749</v>
      </c>
      <c r="G28" s="232">
        <f t="shared" si="121"/>
        <v>401742.22112774977</v>
      </c>
      <c r="H28" s="232">
        <f t="shared" ref="H28:AM28" si="122">SUM(H10-H24)</f>
        <v>417870.7227587871</v>
      </c>
      <c r="I28" s="232">
        <f t="shared" si="122"/>
        <v>400611.10835595819</v>
      </c>
      <c r="J28" s="232">
        <f t="shared" si="122"/>
        <v>471831.77653450961</v>
      </c>
      <c r="K28" s="232">
        <f t="shared" si="122"/>
        <v>1009304.3371506727</v>
      </c>
      <c r="L28" s="232">
        <f t="shared" si="122"/>
        <v>1886604.2786253914</v>
      </c>
      <c r="M28" s="232">
        <f t="shared" si="122"/>
        <v>2923571.8575263903</v>
      </c>
      <c r="N28" s="232">
        <f t="shared" si="122"/>
        <v>3269322.3362677009</v>
      </c>
      <c r="O28" s="232">
        <f t="shared" si="122"/>
        <v>2712941.1300142822</v>
      </c>
      <c r="P28" s="232">
        <f t="shared" si="122"/>
        <v>2057854.4705518917</v>
      </c>
      <c r="Q28" s="232">
        <f t="shared" si="122"/>
        <v>1052902.9518110375</v>
      </c>
      <c r="R28" s="232">
        <f t="shared" si="122"/>
        <v>599745.82224117022</v>
      </c>
      <c r="S28" s="232">
        <f t="shared" si="122"/>
        <v>402055.74877596024</v>
      </c>
      <c r="T28" s="232">
        <f t="shared" si="122"/>
        <v>418176.08402224199</v>
      </c>
      <c r="U28" s="232">
        <f t="shared" si="122"/>
        <v>400916.46637601225</v>
      </c>
      <c r="V28" s="232">
        <f t="shared" si="122"/>
        <v>472233.31004114874</v>
      </c>
      <c r="W28" s="232">
        <f t="shared" si="122"/>
        <v>1010464.3307743182</v>
      </c>
      <c r="X28" s="232">
        <f t="shared" si="122"/>
        <v>1888916.4721605557</v>
      </c>
      <c r="Y28" s="232">
        <f t="shared" si="122"/>
        <v>2927123.0466933325</v>
      </c>
      <c r="Z28" s="232">
        <f t="shared" si="122"/>
        <v>3273217.8000150588</v>
      </c>
      <c r="AA28" s="232">
        <f t="shared" si="122"/>
        <v>2716170.2461655787</v>
      </c>
      <c r="AB28" s="232">
        <f t="shared" si="122"/>
        <v>2060244.5716735683</v>
      </c>
      <c r="AC28" s="232">
        <f t="shared" si="122"/>
        <v>1054060.1526608688</v>
      </c>
      <c r="AD28" s="232">
        <f t="shared" si="122"/>
        <v>600288.19922356366</v>
      </c>
      <c r="AE28" s="232">
        <f t="shared" si="122"/>
        <v>402369.03223624185</v>
      </c>
      <c r="AF28" s="232">
        <f t="shared" si="122"/>
        <v>418481.44598124333</v>
      </c>
      <c r="AG28" s="232">
        <f t="shared" si="122"/>
        <v>401221.82529022638</v>
      </c>
      <c r="AH28" s="232">
        <f t="shared" si="122"/>
        <v>472634.84812567569</v>
      </c>
      <c r="AI28" s="232">
        <f t="shared" si="122"/>
        <v>1011625.369551181</v>
      </c>
      <c r="AJ28" s="232">
        <f t="shared" si="122"/>
        <v>1891229.7571925933</v>
      </c>
      <c r="AK28" s="232">
        <f t="shared" si="122"/>
        <v>2930673.3571543167</v>
      </c>
      <c r="AL28" s="232">
        <f t="shared" si="122"/>
        <v>3277114.4190245857</v>
      </c>
      <c r="AM28" s="232">
        <f t="shared" si="122"/>
        <v>2719399.4806847335</v>
      </c>
      <c r="AN28" s="232">
        <f t="shared" ref="AN28:CA28" si="123">SUM(AN10-AN24)</f>
        <v>2062634.7576301228</v>
      </c>
      <c r="AO28" s="232">
        <f t="shared" si="123"/>
        <v>1055216.3782401641</v>
      </c>
      <c r="AP28" s="232">
        <f t="shared" si="123"/>
        <v>600830.58658087277</v>
      </c>
      <c r="AQ28" s="232">
        <f t="shared" si="123"/>
        <v>402682.31673851452</v>
      </c>
      <c r="AR28" s="232">
        <f t="shared" si="123"/>
        <v>418786.79546979832</v>
      </c>
      <c r="AS28" s="232">
        <f t="shared" si="123"/>
        <v>401527.17113856442</v>
      </c>
      <c r="AT28" s="232">
        <f t="shared" si="123"/>
        <v>473036.37580523844</v>
      </c>
      <c r="AU28" s="232">
        <f t="shared" si="123"/>
        <v>1012785.4042350699</v>
      </c>
      <c r="AV28" s="232">
        <f t="shared" si="123"/>
        <v>1893543.0732975965</v>
      </c>
      <c r="AW28" s="232">
        <f t="shared" si="123"/>
        <v>2934223.7259685057</v>
      </c>
      <c r="AX28" s="232">
        <f t="shared" si="123"/>
        <v>3281011.1039555217</v>
      </c>
      <c r="AY28" s="232">
        <f t="shared" si="123"/>
        <v>2722629.7767203986</v>
      </c>
      <c r="AZ28" s="232">
        <f t="shared" si="123"/>
        <v>2065024.9762674854</v>
      </c>
      <c r="BA28" s="232">
        <f t="shared" si="123"/>
        <v>1056373.6203480898</v>
      </c>
      <c r="BB28" s="232">
        <f t="shared" si="123"/>
        <v>601371.95622764481</v>
      </c>
      <c r="BC28" s="232">
        <f t="shared" si="123"/>
        <v>402995.58885205264</v>
      </c>
      <c r="BD28" s="232">
        <f t="shared" si="123"/>
        <v>419091.38921345485</v>
      </c>
      <c r="BE28" s="232">
        <f t="shared" si="123"/>
        <v>401831.76302356517</v>
      </c>
      <c r="BF28" s="232">
        <f t="shared" si="123"/>
        <v>473438.23391381069</v>
      </c>
      <c r="BG28" s="232">
        <f t="shared" si="123"/>
        <v>1013947.4002357746</v>
      </c>
      <c r="BH28" s="232">
        <f t="shared" si="123"/>
        <v>1895858.2976457002</v>
      </c>
      <c r="BI28" s="232">
        <f t="shared" si="123"/>
        <v>2937778.0931878313</v>
      </c>
      <c r="BJ28" s="232">
        <f t="shared" si="123"/>
        <v>3284911.087516035</v>
      </c>
      <c r="BK28" s="232">
        <f t="shared" si="123"/>
        <v>2725861.8090967597</v>
      </c>
      <c r="BL28" s="232">
        <f t="shared" si="123"/>
        <v>2067417.2312620601</v>
      </c>
      <c r="BM28" s="232">
        <f t="shared" si="123"/>
        <v>1057530.8246225158</v>
      </c>
      <c r="BN28" s="232">
        <f t="shared" si="123"/>
        <v>601914.79902527959</v>
      </c>
      <c r="BO28" s="232">
        <f t="shared" si="123"/>
        <v>403309.12590692216</v>
      </c>
      <c r="BP28" s="232">
        <f t="shared" si="123"/>
        <v>419396.75682870671</v>
      </c>
      <c r="BQ28" s="232">
        <f t="shared" si="123"/>
        <v>402137.12748006691</v>
      </c>
      <c r="BR28" s="232">
        <f t="shared" si="123"/>
        <v>473839.8820358644</v>
      </c>
      <c r="BS28" s="232">
        <f t="shared" si="123"/>
        <v>1015108.3638234293</v>
      </c>
      <c r="BT28" s="232">
        <f t="shared" si="123"/>
        <v>1898173.7867053314</v>
      </c>
      <c r="BU28" s="232">
        <f t="shared" si="123"/>
        <v>2941332.033730912</v>
      </c>
      <c r="BV28" s="232">
        <f t="shared" si="123"/>
        <v>3288810.7355918344</v>
      </c>
      <c r="BW28" s="232">
        <f t="shared" si="123"/>
        <v>2729095.3574336646</v>
      </c>
      <c r="BX28" s="232">
        <f t="shared" si="123"/>
        <v>2069809.7773075127</v>
      </c>
      <c r="BY28" s="232">
        <f t="shared" si="123"/>
        <v>1058689.0141520821</v>
      </c>
      <c r="BZ28" s="232">
        <f t="shared" si="123"/>
        <v>602457.45909891673</v>
      </c>
      <c r="CA28" s="232">
        <f t="shared" si="123"/>
        <v>403622.42519312783</v>
      </c>
      <c r="CB28" s="232">
        <f t="shared" ref="CB28:CD28" si="124">SUM(CB10-CB24)</f>
        <v>419396.75682870671</v>
      </c>
      <c r="CC28" s="232">
        <f t="shared" si="124"/>
        <v>402137.12748006691</v>
      </c>
      <c r="CD28" s="232">
        <f t="shared" si="124"/>
        <v>473839.8820358644</v>
      </c>
      <c r="CE28" s="232"/>
      <c r="CF28" s="228"/>
      <c r="CG28" s="228"/>
      <c r="CH28" s="228"/>
      <c r="CI28" s="228"/>
      <c r="CJ28" s="228"/>
    </row>
    <row r="29" spans="1:91" x14ac:dyDescent="0.2">
      <c r="H29" s="226"/>
      <c r="I29" s="226"/>
      <c r="J29" s="226"/>
      <c r="K29" s="226"/>
      <c r="L29" s="226"/>
      <c r="M29" s="226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  <c r="BB29" s="226"/>
      <c r="BC29" s="226"/>
      <c r="BD29" s="226"/>
      <c r="BE29" s="226"/>
      <c r="BF29" s="226"/>
      <c r="BG29" s="226"/>
      <c r="BH29" s="226"/>
      <c r="BI29" s="226"/>
      <c r="BJ29" s="226"/>
      <c r="BK29" s="226"/>
      <c r="BL29" s="226"/>
      <c r="BM29" s="226"/>
      <c r="BN29" s="226"/>
      <c r="BO29" s="226"/>
      <c r="BP29" s="226"/>
      <c r="BQ29" s="226"/>
      <c r="BR29" s="226"/>
      <c r="BS29" s="226"/>
      <c r="BT29" s="226"/>
      <c r="BU29" s="226"/>
      <c r="BV29" s="226"/>
      <c r="BW29" s="226"/>
      <c r="BX29" s="226"/>
      <c r="BY29" s="226"/>
      <c r="BZ29" s="226"/>
      <c r="CA29" s="226"/>
      <c r="CB29" s="226"/>
      <c r="CC29" s="226"/>
      <c r="CD29" s="226"/>
      <c r="CE29" s="226"/>
    </row>
    <row r="30" spans="1:91" x14ac:dyDescent="0.2">
      <c r="H30" s="226"/>
      <c r="I30" s="226"/>
      <c r="J30" s="226"/>
      <c r="K30" s="226"/>
      <c r="L30" s="226"/>
      <c r="M30" s="226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  <c r="BB30" s="226"/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6"/>
      <c r="BO30" s="226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6"/>
      <c r="CB30" s="226"/>
      <c r="CC30" s="226"/>
      <c r="CD30" s="226"/>
      <c r="CE30" s="226"/>
    </row>
    <row r="31" spans="1:91" x14ac:dyDescent="0.2">
      <c r="A31" s="226" t="s">
        <v>421</v>
      </c>
      <c r="H31" s="226"/>
      <c r="I31" s="226"/>
      <c r="J31" s="226"/>
      <c r="K31" s="226"/>
      <c r="L31" s="226"/>
      <c r="M31" s="226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32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6"/>
      <c r="AP31" s="226"/>
      <c r="AQ31" s="226"/>
      <c r="AR31" s="226"/>
      <c r="AS31" s="226"/>
      <c r="AT31" s="226"/>
      <c r="AU31" s="226"/>
      <c r="AV31" s="226"/>
      <c r="AW31" s="226"/>
      <c r="AX31" s="226"/>
      <c r="AY31" s="226"/>
      <c r="AZ31" s="226"/>
      <c r="BA31" s="226"/>
      <c r="BB31" s="226"/>
      <c r="BC31" s="226"/>
      <c r="BD31" s="226"/>
      <c r="BE31" s="226"/>
      <c r="BF31" s="226"/>
      <c r="BG31" s="226"/>
      <c r="BH31" s="226"/>
      <c r="BI31" s="226"/>
      <c r="BJ31" s="226"/>
      <c r="BK31" s="226"/>
      <c r="BL31" s="226"/>
      <c r="BM31" s="226"/>
      <c r="BN31" s="226"/>
      <c r="BO31" s="226"/>
      <c r="BP31" s="226"/>
      <c r="BQ31" s="226"/>
      <c r="BR31" s="226"/>
      <c r="BS31" s="226"/>
      <c r="BT31" s="226"/>
      <c r="BU31" s="226"/>
      <c r="BV31" s="226"/>
      <c r="BW31" s="226"/>
      <c r="BX31" s="226"/>
      <c r="BY31" s="226"/>
      <c r="BZ31" s="226"/>
      <c r="CA31" s="226"/>
      <c r="CB31" s="226"/>
      <c r="CC31" s="226"/>
      <c r="CD31" s="226"/>
      <c r="CE31" s="226"/>
    </row>
    <row r="32" spans="1:91" customFormat="1" x14ac:dyDescent="0.2">
      <c r="A32" s="226"/>
      <c r="B32" s="226" t="s">
        <v>422</v>
      </c>
      <c r="C32" s="719"/>
      <c r="D32" s="719"/>
      <c r="E32" s="719"/>
      <c r="F32" s="719"/>
      <c r="G32" s="719"/>
      <c r="H32" s="719"/>
      <c r="I32" s="719"/>
      <c r="J32" s="714">
        <v>0</v>
      </c>
      <c r="K32" s="714">
        <v>0</v>
      </c>
      <c r="L32" s="714">
        <v>0</v>
      </c>
      <c r="M32" s="714">
        <v>0</v>
      </c>
      <c r="N32" s="714">
        <v>0</v>
      </c>
      <c r="O32" s="580"/>
      <c r="P32" s="580"/>
      <c r="Q32" s="580"/>
      <c r="R32" s="580"/>
      <c r="S32" s="580"/>
      <c r="T32" s="580"/>
      <c r="U32" s="580"/>
      <c r="V32" s="580"/>
      <c r="W32" s="580"/>
      <c r="X32" s="580"/>
      <c r="Y32" s="580"/>
      <c r="Z32" s="580"/>
      <c r="AA32" s="580"/>
      <c r="AB32" s="580"/>
      <c r="AC32" s="580"/>
      <c r="AD32" s="580"/>
      <c r="AE32" s="580"/>
      <c r="AF32" s="580"/>
      <c r="AG32" s="580"/>
      <c r="AH32" s="580"/>
      <c r="AI32" s="580"/>
      <c r="AJ32" s="580"/>
      <c r="AK32" s="580"/>
      <c r="AL32" s="580"/>
      <c r="AM32" s="580"/>
      <c r="AN32" s="580"/>
      <c r="AO32" s="580"/>
      <c r="AP32" s="580"/>
      <c r="AQ32" s="580"/>
      <c r="AR32" s="580"/>
      <c r="AS32" s="580"/>
      <c r="AT32" s="580"/>
      <c r="AU32" s="580"/>
      <c r="AV32" s="580"/>
      <c r="AW32" s="580"/>
      <c r="AX32" s="580"/>
      <c r="AY32" s="580"/>
      <c r="AZ32" s="580"/>
      <c r="BA32" s="580"/>
      <c r="BB32" s="580"/>
      <c r="BC32" s="580"/>
      <c r="BD32" s="580"/>
      <c r="BE32" s="580"/>
      <c r="BF32" s="580"/>
      <c r="BG32" s="580"/>
      <c r="BH32" s="580"/>
      <c r="BI32" s="580"/>
      <c r="BJ32" s="580"/>
      <c r="BK32" s="580"/>
      <c r="BL32" s="580"/>
      <c r="BM32" s="580"/>
      <c r="BN32" s="580"/>
      <c r="BO32" s="580"/>
      <c r="BP32" s="580"/>
      <c r="BQ32" s="580"/>
      <c r="BR32" s="580"/>
      <c r="BS32" s="580"/>
      <c r="BT32" s="580"/>
      <c r="BU32" s="580"/>
      <c r="BV32" s="580"/>
      <c r="BW32" s="580"/>
      <c r="BX32" s="580"/>
      <c r="BY32" s="580"/>
      <c r="BZ32" s="580"/>
      <c r="CA32" s="580"/>
      <c r="CB32" s="580"/>
      <c r="CC32" s="580"/>
      <c r="CD32" s="580"/>
      <c r="CE32" s="580"/>
    </row>
    <row r="33" spans="1:88" ht="13.5" thickBot="1" x14ac:dyDescent="0.25">
      <c r="C33" s="46"/>
      <c r="D33" s="46"/>
      <c r="E33" s="46"/>
      <c r="F33" s="46"/>
      <c r="G33" s="46"/>
      <c r="H33" s="46"/>
      <c r="I33" s="46"/>
      <c r="J33" s="226"/>
      <c r="K33" s="226"/>
      <c r="L33" s="226"/>
      <c r="M33" s="226"/>
      <c r="N33" s="232"/>
      <c r="O33" s="232"/>
      <c r="P33" s="629"/>
      <c r="Q33" s="629"/>
      <c r="R33" s="629"/>
      <c r="S33" s="629"/>
      <c r="T33" s="629"/>
      <c r="U33" s="629"/>
      <c r="V33" s="629"/>
      <c r="W33" s="629"/>
      <c r="X33" s="629"/>
      <c r="Y33" s="629"/>
      <c r="Z33" s="629"/>
      <c r="AA33" s="629"/>
      <c r="AB33" s="629"/>
      <c r="AC33" s="629"/>
      <c r="AD33" s="629"/>
      <c r="AE33" s="629"/>
      <c r="AF33" s="629"/>
      <c r="AG33" s="629"/>
      <c r="AH33" s="629"/>
      <c r="AI33" s="629"/>
      <c r="AJ33" s="629"/>
      <c r="AK33" s="629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6"/>
      <c r="AY33" s="226"/>
      <c r="AZ33" s="226"/>
      <c r="BA33" s="226"/>
      <c r="BB33" s="226"/>
      <c r="BC33" s="226"/>
      <c r="BD33" s="226"/>
      <c r="BE33" s="226"/>
      <c r="BF33" s="226"/>
      <c r="BG33" s="226"/>
      <c r="BH33" s="226"/>
      <c r="BI33" s="226"/>
      <c r="BJ33" s="226"/>
      <c r="BK33" s="226"/>
      <c r="BL33" s="226"/>
      <c r="BM33" s="226"/>
      <c r="BN33" s="226"/>
      <c r="BO33" s="226"/>
      <c r="BP33" s="226"/>
      <c r="BQ33" s="226"/>
      <c r="BR33" s="226"/>
      <c r="BS33" s="226"/>
      <c r="BT33" s="226"/>
      <c r="BU33" s="226"/>
      <c r="BV33" s="226"/>
      <c r="BW33" s="226"/>
      <c r="BX33" s="226"/>
      <c r="BY33" s="226"/>
      <c r="BZ33" s="226"/>
      <c r="CA33" s="226"/>
      <c r="CB33" s="226"/>
      <c r="CC33" s="226"/>
      <c r="CD33" s="226"/>
      <c r="CE33" s="226"/>
    </row>
    <row r="34" spans="1:88" customFormat="1" ht="13.5" thickBot="1" x14ac:dyDescent="0.25">
      <c r="A34" s="226"/>
      <c r="B34" s="226" t="s">
        <v>423</v>
      </c>
      <c r="C34" s="630"/>
      <c r="D34" s="630"/>
      <c r="E34" s="630"/>
      <c r="F34" s="630"/>
      <c r="G34" s="630"/>
      <c r="H34" s="630"/>
      <c r="I34" s="726">
        <v>2.9904999999999999</v>
      </c>
      <c r="J34" s="726">
        <v>2.9809000000000005</v>
      </c>
      <c r="K34" s="726">
        <v>3.0078</v>
      </c>
      <c r="L34" s="726">
        <v>3.0680000000000001</v>
      </c>
      <c r="M34" s="726">
        <v>3.2050000000000001</v>
      </c>
      <c r="N34" s="726">
        <v>3.3069999999999999</v>
      </c>
      <c r="O34" s="726">
        <v>3.2970000000000002</v>
      </c>
      <c r="P34" s="726">
        <v>3.246</v>
      </c>
      <c r="Q34" s="726">
        <v>2.903</v>
      </c>
      <c r="R34" s="726">
        <v>2.8690000000000002</v>
      </c>
      <c r="S34" s="726">
        <v>2.8940000000000001</v>
      </c>
      <c r="T34" s="726">
        <v>2.92</v>
      </c>
      <c r="U34" s="726">
        <v>2.9239999999999999</v>
      </c>
      <c r="V34" s="726">
        <v>2.9</v>
      </c>
      <c r="W34" s="726">
        <v>2.919</v>
      </c>
      <c r="X34" s="726">
        <v>2.9670000000000001</v>
      </c>
      <c r="Y34" s="726">
        <v>3.0939999999999999</v>
      </c>
      <c r="Z34" s="726">
        <v>3.1789999999999998</v>
      </c>
      <c r="AA34" s="726">
        <v>3.1539999999999999</v>
      </c>
      <c r="AB34" s="726">
        <v>3.085</v>
      </c>
      <c r="AC34" s="726">
        <v>2.72</v>
      </c>
      <c r="AD34" s="726">
        <v>2.69</v>
      </c>
      <c r="AE34" s="726">
        <v>2.7120000000000002</v>
      </c>
      <c r="AF34" s="726">
        <v>2.734</v>
      </c>
      <c r="AG34" s="726">
        <v>2.742</v>
      </c>
      <c r="AH34" s="726">
        <v>2.7240000000000002</v>
      </c>
      <c r="AI34" s="726">
        <v>2.746</v>
      </c>
      <c r="AJ34" s="726">
        <v>2.81</v>
      </c>
      <c r="AK34" s="726">
        <v>2.9420000000000002</v>
      </c>
      <c r="AL34" s="726">
        <v>3.0459999999999998</v>
      </c>
      <c r="AM34" s="726">
        <v>3.0209999999999999</v>
      </c>
      <c r="AN34" s="726">
        <v>2.9630000000000001</v>
      </c>
      <c r="AO34" s="726">
        <v>2.653</v>
      </c>
      <c r="AP34" s="726">
        <v>2.633</v>
      </c>
      <c r="AQ34" s="726">
        <v>2.6589999999999998</v>
      </c>
      <c r="AR34" s="726">
        <v>2.6890000000000001</v>
      </c>
      <c r="AS34" s="726">
        <v>2.71</v>
      </c>
      <c r="AT34" s="726">
        <v>2.7050000000000001</v>
      </c>
      <c r="AU34" s="726">
        <v>2.7320000000000002</v>
      </c>
      <c r="AV34" s="726">
        <v>2.8029999999999999</v>
      </c>
      <c r="AW34" s="726">
        <v>2.9470000000000001</v>
      </c>
      <c r="AX34" s="726">
        <v>3.052</v>
      </c>
      <c r="AY34" s="726">
        <v>3.0259999999999998</v>
      </c>
      <c r="AZ34" s="726">
        <v>2.9660000000000002</v>
      </c>
      <c r="BA34" s="726">
        <v>2.6509999999999998</v>
      </c>
      <c r="BB34" s="726">
        <v>2.633</v>
      </c>
      <c r="BC34" s="726">
        <v>2.66</v>
      </c>
      <c r="BD34" s="726">
        <v>2.69</v>
      </c>
      <c r="BE34" s="726">
        <v>2.7120000000000002</v>
      </c>
      <c r="BF34" s="726">
        <v>2.714</v>
      </c>
      <c r="BG34" s="726">
        <v>2.7410000000000001</v>
      </c>
      <c r="BH34" s="726">
        <v>2.8170000000000002</v>
      </c>
      <c r="BI34" s="726">
        <v>2.9670000000000001</v>
      </c>
      <c r="BJ34" s="726">
        <v>3.0790000000000002</v>
      </c>
      <c r="BK34" s="726">
        <v>3.0529999999999999</v>
      </c>
      <c r="BL34" s="726">
        <v>2.9929999999999999</v>
      </c>
      <c r="BM34" s="726">
        <v>2.6749999999999998</v>
      </c>
      <c r="BN34" s="726">
        <v>2.6629999999999998</v>
      </c>
      <c r="BO34" s="726">
        <v>2.69</v>
      </c>
      <c r="BP34" s="726">
        <v>2.72</v>
      </c>
      <c r="BQ34" s="726">
        <v>2.7450000000000001</v>
      </c>
      <c r="BR34" s="726">
        <v>2.7480000000000002</v>
      </c>
      <c r="BS34" s="726">
        <v>2.778</v>
      </c>
      <c r="BT34" s="726">
        <v>2.855</v>
      </c>
      <c r="BU34" s="726">
        <v>3.0049999999999999</v>
      </c>
      <c r="BV34" s="726">
        <v>3.1179999999999999</v>
      </c>
      <c r="BW34" s="726">
        <v>3.0910000000000002</v>
      </c>
      <c r="BX34" s="726">
        <v>3.0310000000000001</v>
      </c>
      <c r="BY34" s="726">
        <v>2.7109999999999999</v>
      </c>
      <c r="BZ34" s="726">
        <v>2.6989999999999998</v>
      </c>
      <c r="CA34" s="726">
        <v>2.7269999999999999</v>
      </c>
      <c r="CB34" s="726">
        <v>2.7589999999999999</v>
      </c>
      <c r="CC34" s="726">
        <v>2.7869999999999999</v>
      </c>
      <c r="CD34" s="726">
        <v>2.7919999999999998</v>
      </c>
      <c r="CE34" s="580"/>
    </row>
    <row r="35" spans="1:88" ht="13.5" thickBot="1" x14ac:dyDescent="0.25">
      <c r="A35" s="715">
        <v>5.7999999999999996E-3</v>
      </c>
      <c r="B35" s="226" t="s">
        <v>549</v>
      </c>
      <c r="C35" s="233">
        <f t="shared" ref="C35:G35" si="125">+((1/(1-$A$35))-1)*C34</f>
        <v>0</v>
      </c>
      <c r="D35" s="233">
        <f t="shared" si="125"/>
        <v>0</v>
      </c>
      <c r="E35" s="233">
        <f t="shared" si="125"/>
        <v>0</v>
      </c>
      <c r="F35" s="233">
        <f t="shared" si="125"/>
        <v>0</v>
      </c>
      <c r="G35" s="233">
        <f t="shared" si="125"/>
        <v>0</v>
      </c>
      <c r="H35" s="233">
        <f>+((1/(1-$A$35))-1)*H34</f>
        <v>0</v>
      </c>
      <c r="I35" s="233">
        <f t="shared" ref="I35:BT35" si="126">+((1/(1-$A$35))-1)*I34</f>
        <v>1.7446087306377013E-2</v>
      </c>
      <c r="J35" s="233">
        <f t="shared" si="126"/>
        <v>1.7390082478374601E-2</v>
      </c>
      <c r="K35" s="233">
        <f t="shared" si="126"/>
        <v>1.7547012673506363E-2</v>
      </c>
      <c r="L35" s="233">
        <f t="shared" si="126"/>
        <v>1.7898209615771501E-2</v>
      </c>
      <c r="M35" s="233">
        <f t="shared" si="126"/>
        <v>1.8697445182055954E-2</v>
      </c>
      <c r="N35" s="233">
        <f t="shared" si="126"/>
        <v>1.9292496479581603E-2</v>
      </c>
      <c r="O35" s="233">
        <f t="shared" si="126"/>
        <v>1.9234158117079087E-2</v>
      </c>
      <c r="P35" s="233">
        <f t="shared" si="126"/>
        <v>1.8936632468316263E-2</v>
      </c>
      <c r="Q35" s="233">
        <f t="shared" si="126"/>
        <v>1.6935626634480009E-2</v>
      </c>
      <c r="R35" s="233">
        <f t="shared" si="126"/>
        <v>1.6737276201971463E-2</v>
      </c>
      <c r="S35" s="233">
        <f t="shared" si="126"/>
        <v>1.6883122108227747E-2</v>
      </c>
      <c r="T35" s="233">
        <f t="shared" si="126"/>
        <v>1.7034801850734284E-2</v>
      </c>
      <c r="U35" s="233">
        <f t="shared" si="126"/>
        <v>1.705813719573529E-2</v>
      </c>
      <c r="V35" s="233">
        <f t="shared" si="126"/>
        <v>1.6918125125729256E-2</v>
      </c>
      <c r="W35" s="233">
        <f t="shared" si="126"/>
        <v>1.7028968014484034E-2</v>
      </c>
      <c r="X35" s="233">
        <f t="shared" si="126"/>
        <v>1.7308992154496106E-2</v>
      </c>
      <c r="Y35" s="233">
        <f t="shared" si="126"/>
        <v>1.8049889358278039E-2</v>
      </c>
      <c r="Z35" s="233">
        <f t="shared" si="126"/>
        <v>1.8545765439549413E-2</v>
      </c>
      <c r="AA35" s="233">
        <f t="shared" si="126"/>
        <v>1.8399919533293129E-2</v>
      </c>
      <c r="AB35" s="233">
        <f t="shared" si="126"/>
        <v>1.7997384832025776E-2</v>
      </c>
      <c r="AC35" s="233">
        <f t="shared" si="126"/>
        <v>1.5868034600683992E-2</v>
      </c>
      <c r="AD35" s="233">
        <f t="shared" si="126"/>
        <v>1.5693019513176448E-2</v>
      </c>
      <c r="AE35" s="233">
        <f t="shared" si="126"/>
        <v>1.5821363910681979E-2</v>
      </c>
      <c r="AF35" s="233">
        <f t="shared" si="126"/>
        <v>1.594970830818751E-2</v>
      </c>
      <c r="AG35" s="233">
        <f t="shared" si="126"/>
        <v>1.5996378998189523E-2</v>
      </c>
      <c r="AH35" s="233">
        <f t="shared" si="126"/>
        <v>1.5891369945684998E-2</v>
      </c>
      <c r="AI35" s="233">
        <f t="shared" si="126"/>
        <v>1.6019714343190529E-2</v>
      </c>
      <c r="AJ35" s="233">
        <f t="shared" si="126"/>
        <v>1.6393079863206622E-2</v>
      </c>
      <c r="AK35" s="233">
        <f t="shared" si="126"/>
        <v>1.7163146248239818E-2</v>
      </c>
      <c r="AL35" s="233">
        <f t="shared" si="126"/>
        <v>1.7769865218265967E-2</v>
      </c>
      <c r="AM35" s="233">
        <f t="shared" si="126"/>
        <v>1.7624019312009683E-2</v>
      </c>
      <c r="AN35" s="233">
        <f t="shared" si="126"/>
        <v>1.7285656809495099E-2</v>
      </c>
      <c r="AO35" s="233">
        <f t="shared" si="126"/>
        <v>1.5477167571917144E-2</v>
      </c>
      <c r="AP35" s="233">
        <f t="shared" si="126"/>
        <v>1.5360490846912114E-2</v>
      </c>
      <c r="AQ35" s="233">
        <f t="shared" si="126"/>
        <v>1.551217058941865E-2</v>
      </c>
      <c r="AR35" s="233">
        <f t="shared" si="126"/>
        <v>1.5687185676926195E-2</v>
      </c>
      <c r="AS35" s="233">
        <f t="shared" si="126"/>
        <v>1.5809696238181476E-2</v>
      </c>
      <c r="AT35" s="233">
        <f t="shared" si="126"/>
        <v>1.578052705693022E-2</v>
      </c>
      <c r="AU35" s="233">
        <f t="shared" si="126"/>
        <v>1.5938040635687011E-2</v>
      </c>
      <c r="AV35" s="233">
        <f t="shared" si="126"/>
        <v>1.6352243009454863E-2</v>
      </c>
      <c r="AW35" s="233">
        <f t="shared" si="126"/>
        <v>1.7192315429491074E-2</v>
      </c>
      <c r="AX35" s="233">
        <f t="shared" si="126"/>
        <v>1.780486823576748E-2</v>
      </c>
      <c r="AY35" s="233">
        <f t="shared" si="126"/>
        <v>1.7653188493260939E-2</v>
      </c>
      <c r="AZ35" s="233">
        <f t="shared" si="126"/>
        <v>1.7303158318245852E-2</v>
      </c>
      <c r="BA35" s="233">
        <f t="shared" si="126"/>
        <v>1.5465499899416639E-2</v>
      </c>
      <c r="BB35" s="233">
        <f t="shared" si="126"/>
        <v>1.5360490846912114E-2</v>
      </c>
      <c r="BC35" s="233">
        <f t="shared" si="126"/>
        <v>1.5518004425668905E-2</v>
      </c>
      <c r="BD35" s="233">
        <f t="shared" si="126"/>
        <v>1.5693019513176448E-2</v>
      </c>
      <c r="BE35" s="233">
        <f t="shared" si="126"/>
        <v>1.5821363910681979E-2</v>
      </c>
      <c r="BF35" s="233">
        <f t="shared" si="126"/>
        <v>1.5833031583182482E-2</v>
      </c>
      <c r="BG35" s="233">
        <f t="shared" si="126"/>
        <v>1.5990545161939273E-2</v>
      </c>
      <c r="BH35" s="233">
        <f t="shared" si="126"/>
        <v>1.6433916716958385E-2</v>
      </c>
      <c r="BI35" s="233">
        <f t="shared" si="126"/>
        <v>1.7308992154496106E-2</v>
      </c>
      <c r="BJ35" s="233">
        <f t="shared" si="126"/>
        <v>1.796238181452427E-2</v>
      </c>
      <c r="BK35" s="233">
        <f t="shared" si="126"/>
        <v>1.781070207201773E-2</v>
      </c>
      <c r="BL35" s="233">
        <f t="shared" si="126"/>
        <v>1.7460671897002639E-2</v>
      </c>
      <c r="BM35" s="233">
        <f t="shared" si="126"/>
        <v>1.5605511969422675E-2</v>
      </c>
      <c r="BN35" s="233">
        <f t="shared" si="126"/>
        <v>1.5535505934419656E-2</v>
      </c>
      <c r="BO35" s="233">
        <f t="shared" si="126"/>
        <v>1.5693019513176448E-2</v>
      </c>
      <c r="BP35" s="233">
        <f t="shared" si="126"/>
        <v>1.5868034600683992E-2</v>
      </c>
      <c r="BQ35" s="233">
        <f t="shared" si="126"/>
        <v>1.6013880506940279E-2</v>
      </c>
      <c r="BR35" s="233">
        <f t="shared" si="126"/>
        <v>1.6031382015691032E-2</v>
      </c>
      <c r="BS35" s="233">
        <f t="shared" si="126"/>
        <v>1.6206397103198576E-2</v>
      </c>
      <c r="BT35" s="233">
        <f t="shared" si="126"/>
        <v>1.6655602494467941E-2</v>
      </c>
      <c r="BU35" s="233">
        <f t="shared" ref="BU35:CD35" si="127">+((1/(1-$A$35))-1)*BU34</f>
        <v>1.7530677932005658E-2</v>
      </c>
      <c r="BV35" s="233">
        <f t="shared" si="127"/>
        <v>1.8189901428284073E-2</v>
      </c>
      <c r="BW35" s="233">
        <f t="shared" si="127"/>
        <v>1.8032387849527286E-2</v>
      </c>
      <c r="BX35" s="233">
        <f t="shared" si="127"/>
        <v>1.7682357674512199E-2</v>
      </c>
      <c r="BY35" s="233">
        <f t="shared" si="127"/>
        <v>1.5815530074431726E-2</v>
      </c>
      <c r="BZ35" s="233">
        <f t="shared" si="127"/>
        <v>1.5745524039428711E-2</v>
      </c>
      <c r="CA35" s="233">
        <f t="shared" si="127"/>
        <v>1.5908871454435751E-2</v>
      </c>
      <c r="CB35" s="233">
        <f t="shared" si="127"/>
        <v>1.6095554214443798E-2</v>
      </c>
      <c r="CC35" s="233">
        <f t="shared" si="127"/>
        <v>1.6258901629450838E-2</v>
      </c>
      <c r="CD35" s="233">
        <f t="shared" si="127"/>
        <v>1.6288070810702097E-2</v>
      </c>
      <c r="CE35" s="233"/>
      <c r="CF35" s="224"/>
      <c r="CG35" s="224"/>
      <c r="CH35" s="224"/>
      <c r="CI35" s="224"/>
      <c r="CJ35" s="224"/>
    </row>
    <row r="36" spans="1:88" ht="13.5" thickBot="1" x14ac:dyDescent="0.25">
      <c r="B36" s="226" t="s">
        <v>424</v>
      </c>
      <c r="C36" s="716">
        <v>3.15E-2</v>
      </c>
      <c r="D36" s="631">
        <f>C36</f>
        <v>3.15E-2</v>
      </c>
      <c r="E36" s="631">
        <f t="shared" ref="E36:H36" si="128">D36</f>
        <v>3.15E-2</v>
      </c>
      <c r="F36" s="631">
        <f t="shared" si="128"/>
        <v>3.15E-2</v>
      </c>
      <c r="G36" s="631">
        <f t="shared" si="128"/>
        <v>3.15E-2</v>
      </c>
      <c r="H36" s="631">
        <f t="shared" si="128"/>
        <v>3.15E-2</v>
      </c>
      <c r="I36" s="233">
        <f>+H36</f>
        <v>3.15E-2</v>
      </c>
      <c r="J36" s="233">
        <f t="shared" ref="J36:BU36" si="129">+I36</f>
        <v>3.15E-2</v>
      </c>
      <c r="K36" s="233">
        <f t="shared" si="129"/>
        <v>3.15E-2</v>
      </c>
      <c r="L36" s="233">
        <f t="shared" si="129"/>
        <v>3.15E-2</v>
      </c>
      <c r="M36" s="233">
        <f t="shared" si="129"/>
        <v>3.15E-2</v>
      </c>
      <c r="N36" s="233">
        <f t="shared" si="129"/>
        <v>3.15E-2</v>
      </c>
      <c r="O36" s="233">
        <f t="shared" si="129"/>
        <v>3.15E-2</v>
      </c>
      <c r="P36" s="233">
        <f t="shared" si="129"/>
        <v>3.15E-2</v>
      </c>
      <c r="Q36" s="233">
        <f t="shared" si="129"/>
        <v>3.15E-2</v>
      </c>
      <c r="R36" s="233">
        <f t="shared" si="129"/>
        <v>3.15E-2</v>
      </c>
      <c r="S36" s="233">
        <f t="shared" si="129"/>
        <v>3.15E-2</v>
      </c>
      <c r="T36" s="233">
        <f t="shared" si="129"/>
        <v>3.15E-2</v>
      </c>
      <c r="U36" s="233">
        <f t="shared" si="129"/>
        <v>3.15E-2</v>
      </c>
      <c r="V36" s="233">
        <f t="shared" si="129"/>
        <v>3.15E-2</v>
      </c>
      <c r="W36" s="233">
        <f t="shared" si="129"/>
        <v>3.15E-2</v>
      </c>
      <c r="X36" s="233">
        <f t="shared" si="129"/>
        <v>3.15E-2</v>
      </c>
      <c r="Y36" s="233">
        <f t="shared" si="129"/>
        <v>3.15E-2</v>
      </c>
      <c r="Z36" s="233">
        <f t="shared" si="129"/>
        <v>3.15E-2</v>
      </c>
      <c r="AA36" s="233">
        <f t="shared" si="129"/>
        <v>3.15E-2</v>
      </c>
      <c r="AB36" s="233">
        <f t="shared" si="129"/>
        <v>3.15E-2</v>
      </c>
      <c r="AC36" s="233">
        <f t="shared" si="129"/>
        <v>3.15E-2</v>
      </c>
      <c r="AD36" s="233">
        <f t="shared" si="129"/>
        <v>3.15E-2</v>
      </c>
      <c r="AE36" s="233">
        <f t="shared" si="129"/>
        <v>3.15E-2</v>
      </c>
      <c r="AF36" s="233">
        <f t="shared" si="129"/>
        <v>3.15E-2</v>
      </c>
      <c r="AG36" s="233">
        <f t="shared" si="129"/>
        <v>3.15E-2</v>
      </c>
      <c r="AH36" s="233">
        <f t="shared" si="129"/>
        <v>3.15E-2</v>
      </c>
      <c r="AI36" s="233">
        <f t="shared" si="129"/>
        <v>3.15E-2</v>
      </c>
      <c r="AJ36" s="233">
        <f t="shared" si="129"/>
        <v>3.15E-2</v>
      </c>
      <c r="AK36" s="233">
        <f t="shared" si="129"/>
        <v>3.15E-2</v>
      </c>
      <c r="AL36" s="233">
        <f t="shared" si="129"/>
        <v>3.15E-2</v>
      </c>
      <c r="AM36" s="233">
        <f t="shared" si="129"/>
        <v>3.15E-2</v>
      </c>
      <c r="AN36" s="233">
        <f t="shared" si="129"/>
        <v>3.15E-2</v>
      </c>
      <c r="AO36" s="233">
        <f t="shared" si="129"/>
        <v>3.15E-2</v>
      </c>
      <c r="AP36" s="233">
        <f t="shared" si="129"/>
        <v>3.15E-2</v>
      </c>
      <c r="AQ36" s="233">
        <f t="shared" si="129"/>
        <v>3.15E-2</v>
      </c>
      <c r="AR36" s="233">
        <f t="shared" si="129"/>
        <v>3.15E-2</v>
      </c>
      <c r="AS36" s="233">
        <f t="shared" si="129"/>
        <v>3.15E-2</v>
      </c>
      <c r="AT36" s="233">
        <f t="shared" si="129"/>
        <v>3.15E-2</v>
      </c>
      <c r="AU36" s="233">
        <f t="shared" si="129"/>
        <v>3.15E-2</v>
      </c>
      <c r="AV36" s="233">
        <f t="shared" si="129"/>
        <v>3.15E-2</v>
      </c>
      <c r="AW36" s="233">
        <f t="shared" si="129"/>
        <v>3.15E-2</v>
      </c>
      <c r="AX36" s="233">
        <f t="shared" si="129"/>
        <v>3.15E-2</v>
      </c>
      <c r="AY36" s="233">
        <f t="shared" si="129"/>
        <v>3.15E-2</v>
      </c>
      <c r="AZ36" s="233">
        <f t="shared" si="129"/>
        <v>3.15E-2</v>
      </c>
      <c r="BA36" s="233">
        <f t="shared" si="129"/>
        <v>3.15E-2</v>
      </c>
      <c r="BB36" s="233">
        <f t="shared" si="129"/>
        <v>3.15E-2</v>
      </c>
      <c r="BC36" s="233">
        <f t="shared" si="129"/>
        <v>3.15E-2</v>
      </c>
      <c r="BD36" s="233">
        <f t="shared" si="129"/>
        <v>3.15E-2</v>
      </c>
      <c r="BE36" s="233">
        <f t="shared" si="129"/>
        <v>3.15E-2</v>
      </c>
      <c r="BF36" s="233">
        <f t="shared" si="129"/>
        <v>3.15E-2</v>
      </c>
      <c r="BG36" s="233">
        <f t="shared" si="129"/>
        <v>3.15E-2</v>
      </c>
      <c r="BH36" s="233">
        <f t="shared" si="129"/>
        <v>3.15E-2</v>
      </c>
      <c r="BI36" s="233">
        <f t="shared" si="129"/>
        <v>3.15E-2</v>
      </c>
      <c r="BJ36" s="233">
        <f t="shared" si="129"/>
        <v>3.15E-2</v>
      </c>
      <c r="BK36" s="233">
        <f t="shared" si="129"/>
        <v>3.15E-2</v>
      </c>
      <c r="BL36" s="233">
        <f t="shared" si="129"/>
        <v>3.15E-2</v>
      </c>
      <c r="BM36" s="233">
        <f t="shared" si="129"/>
        <v>3.15E-2</v>
      </c>
      <c r="BN36" s="233">
        <f t="shared" si="129"/>
        <v>3.15E-2</v>
      </c>
      <c r="BO36" s="233">
        <f t="shared" si="129"/>
        <v>3.15E-2</v>
      </c>
      <c r="BP36" s="233">
        <f t="shared" si="129"/>
        <v>3.15E-2</v>
      </c>
      <c r="BQ36" s="233">
        <f t="shared" si="129"/>
        <v>3.15E-2</v>
      </c>
      <c r="BR36" s="233">
        <f t="shared" si="129"/>
        <v>3.15E-2</v>
      </c>
      <c r="BS36" s="233">
        <f t="shared" si="129"/>
        <v>3.15E-2</v>
      </c>
      <c r="BT36" s="233">
        <f t="shared" si="129"/>
        <v>3.15E-2</v>
      </c>
      <c r="BU36" s="233">
        <f t="shared" si="129"/>
        <v>3.15E-2</v>
      </c>
      <c r="BV36" s="233">
        <f t="shared" ref="BV36:CA36" si="130">+BU36</f>
        <v>3.15E-2</v>
      </c>
      <c r="BW36" s="233">
        <f t="shared" si="130"/>
        <v>3.15E-2</v>
      </c>
      <c r="BX36" s="233">
        <f t="shared" si="130"/>
        <v>3.15E-2</v>
      </c>
      <c r="BY36" s="233">
        <f t="shared" si="130"/>
        <v>3.15E-2</v>
      </c>
      <c r="BZ36" s="233">
        <f t="shared" si="130"/>
        <v>3.15E-2</v>
      </c>
      <c r="CA36" s="233">
        <f t="shared" si="130"/>
        <v>3.15E-2</v>
      </c>
      <c r="CB36" s="233">
        <f t="shared" ref="CB36:CB38" si="131">+CA36</f>
        <v>3.15E-2</v>
      </c>
      <c r="CC36" s="233">
        <f t="shared" ref="CC36:CC38" si="132">+CB36</f>
        <v>3.15E-2</v>
      </c>
      <c r="CD36" s="233">
        <f t="shared" ref="CD36:CD38" si="133">+CC36</f>
        <v>3.15E-2</v>
      </c>
      <c r="CE36" s="233"/>
      <c r="CF36" s="233"/>
      <c r="CG36" s="233"/>
      <c r="CH36" s="233"/>
      <c r="CI36" s="233"/>
      <c r="CJ36" s="233"/>
    </row>
    <row r="37" spans="1:88" ht="13.5" thickBot="1" x14ac:dyDescent="0.25">
      <c r="B37" s="226" t="s">
        <v>425</v>
      </c>
      <c r="C37" s="717">
        <v>0.86970000000000003</v>
      </c>
      <c r="D37" s="632">
        <f>C37</f>
        <v>0.86970000000000003</v>
      </c>
      <c r="E37" s="632">
        <f t="shared" ref="E37:H37" si="134">D37</f>
        <v>0.86970000000000003</v>
      </c>
      <c r="F37" s="632">
        <f t="shared" si="134"/>
        <v>0.86970000000000003</v>
      </c>
      <c r="G37" s="632">
        <f t="shared" si="134"/>
        <v>0.86970000000000003</v>
      </c>
      <c r="H37" s="632">
        <f t="shared" si="134"/>
        <v>0.86970000000000003</v>
      </c>
      <c r="I37" s="233">
        <f t="shared" ref="I37:BT37" si="135">+H37</f>
        <v>0.86970000000000003</v>
      </c>
      <c r="J37" s="233">
        <f t="shared" si="135"/>
        <v>0.86970000000000003</v>
      </c>
      <c r="K37" s="233">
        <f t="shared" si="135"/>
        <v>0.86970000000000003</v>
      </c>
      <c r="L37" s="233">
        <f t="shared" si="135"/>
        <v>0.86970000000000003</v>
      </c>
      <c r="M37" s="233">
        <f t="shared" si="135"/>
        <v>0.86970000000000003</v>
      </c>
      <c r="N37" s="233">
        <f t="shared" si="135"/>
        <v>0.86970000000000003</v>
      </c>
      <c r="O37" s="233">
        <f t="shared" si="135"/>
        <v>0.86970000000000003</v>
      </c>
      <c r="P37" s="233">
        <f t="shared" si="135"/>
        <v>0.86970000000000003</v>
      </c>
      <c r="Q37" s="233">
        <f t="shared" si="135"/>
        <v>0.86970000000000003</v>
      </c>
      <c r="R37" s="233">
        <f t="shared" si="135"/>
        <v>0.86970000000000003</v>
      </c>
      <c r="S37" s="233">
        <f t="shared" si="135"/>
        <v>0.86970000000000003</v>
      </c>
      <c r="T37" s="233">
        <f t="shared" si="135"/>
        <v>0.86970000000000003</v>
      </c>
      <c r="U37" s="233">
        <f t="shared" si="135"/>
        <v>0.86970000000000003</v>
      </c>
      <c r="V37" s="233">
        <f t="shared" si="135"/>
        <v>0.86970000000000003</v>
      </c>
      <c r="W37" s="233">
        <f t="shared" si="135"/>
        <v>0.86970000000000003</v>
      </c>
      <c r="X37" s="233">
        <f t="shared" si="135"/>
        <v>0.86970000000000003</v>
      </c>
      <c r="Y37" s="233">
        <f t="shared" si="135"/>
        <v>0.86970000000000003</v>
      </c>
      <c r="Z37" s="233">
        <f t="shared" si="135"/>
        <v>0.86970000000000003</v>
      </c>
      <c r="AA37" s="233">
        <f t="shared" si="135"/>
        <v>0.86970000000000003</v>
      </c>
      <c r="AB37" s="233">
        <f t="shared" si="135"/>
        <v>0.86970000000000003</v>
      </c>
      <c r="AC37" s="233">
        <f t="shared" si="135"/>
        <v>0.86970000000000003</v>
      </c>
      <c r="AD37" s="233">
        <f t="shared" si="135"/>
        <v>0.86970000000000003</v>
      </c>
      <c r="AE37" s="233">
        <f t="shared" si="135"/>
        <v>0.86970000000000003</v>
      </c>
      <c r="AF37" s="233">
        <f t="shared" si="135"/>
        <v>0.86970000000000003</v>
      </c>
      <c r="AG37" s="233">
        <f t="shared" si="135"/>
        <v>0.86970000000000003</v>
      </c>
      <c r="AH37" s="233">
        <f t="shared" si="135"/>
        <v>0.86970000000000003</v>
      </c>
      <c r="AI37" s="233">
        <f t="shared" si="135"/>
        <v>0.86970000000000003</v>
      </c>
      <c r="AJ37" s="233">
        <f t="shared" si="135"/>
        <v>0.86970000000000003</v>
      </c>
      <c r="AK37" s="233">
        <f t="shared" si="135"/>
        <v>0.86970000000000003</v>
      </c>
      <c r="AL37" s="233">
        <f t="shared" si="135"/>
        <v>0.86970000000000003</v>
      </c>
      <c r="AM37" s="233">
        <f t="shared" si="135"/>
        <v>0.86970000000000003</v>
      </c>
      <c r="AN37" s="233">
        <f t="shared" si="135"/>
        <v>0.86970000000000003</v>
      </c>
      <c r="AO37" s="233">
        <f t="shared" si="135"/>
        <v>0.86970000000000003</v>
      </c>
      <c r="AP37" s="233">
        <f t="shared" si="135"/>
        <v>0.86970000000000003</v>
      </c>
      <c r="AQ37" s="233">
        <f t="shared" si="135"/>
        <v>0.86970000000000003</v>
      </c>
      <c r="AR37" s="233">
        <f t="shared" si="135"/>
        <v>0.86970000000000003</v>
      </c>
      <c r="AS37" s="233">
        <f t="shared" si="135"/>
        <v>0.86970000000000003</v>
      </c>
      <c r="AT37" s="233">
        <f t="shared" si="135"/>
        <v>0.86970000000000003</v>
      </c>
      <c r="AU37" s="233">
        <f t="shared" si="135"/>
        <v>0.86970000000000003</v>
      </c>
      <c r="AV37" s="233">
        <f t="shared" si="135"/>
        <v>0.86970000000000003</v>
      </c>
      <c r="AW37" s="233">
        <f t="shared" si="135"/>
        <v>0.86970000000000003</v>
      </c>
      <c r="AX37" s="233">
        <f t="shared" si="135"/>
        <v>0.86970000000000003</v>
      </c>
      <c r="AY37" s="233">
        <f t="shared" si="135"/>
        <v>0.86970000000000003</v>
      </c>
      <c r="AZ37" s="233">
        <f t="shared" si="135"/>
        <v>0.86970000000000003</v>
      </c>
      <c r="BA37" s="233">
        <f t="shared" si="135"/>
        <v>0.86970000000000003</v>
      </c>
      <c r="BB37" s="233">
        <f t="shared" si="135"/>
        <v>0.86970000000000003</v>
      </c>
      <c r="BC37" s="233">
        <f t="shared" si="135"/>
        <v>0.86970000000000003</v>
      </c>
      <c r="BD37" s="233">
        <f t="shared" si="135"/>
        <v>0.86970000000000003</v>
      </c>
      <c r="BE37" s="233">
        <f t="shared" si="135"/>
        <v>0.86970000000000003</v>
      </c>
      <c r="BF37" s="233">
        <f t="shared" si="135"/>
        <v>0.86970000000000003</v>
      </c>
      <c r="BG37" s="233">
        <f t="shared" si="135"/>
        <v>0.86970000000000003</v>
      </c>
      <c r="BH37" s="233">
        <f t="shared" si="135"/>
        <v>0.86970000000000003</v>
      </c>
      <c r="BI37" s="233">
        <f t="shared" si="135"/>
        <v>0.86970000000000003</v>
      </c>
      <c r="BJ37" s="233">
        <f t="shared" si="135"/>
        <v>0.86970000000000003</v>
      </c>
      <c r="BK37" s="233">
        <f t="shared" si="135"/>
        <v>0.86970000000000003</v>
      </c>
      <c r="BL37" s="233">
        <f t="shared" si="135"/>
        <v>0.86970000000000003</v>
      </c>
      <c r="BM37" s="233">
        <f t="shared" si="135"/>
        <v>0.86970000000000003</v>
      </c>
      <c r="BN37" s="233">
        <f t="shared" si="135"/>
        <v>0.86970000000000003</v>
      </c>
      <c r="BO37" s="233">
        <f t="shared" si="135"/>
        <v>0.86970000000000003</v>
      </c>
      <c r="BP37" s="233">
        <f t="shared" si="135"/>
        <v>0.86970000000000003</v>
      </c>
      <c r="BQ37" s="233">
        <f t="shared" si="135"/>
        <v>0.86970000000000003</v>
      </c>
      <c r="BR37" s="233">
        <f t="shared" si="135"/>
        <v>0.86970000000000003</v>
      </c>
      <c r="BS37" s="233">
        <f t="shared" si="135"/>
        <v>0.86970000000000003</v>
      </c>
      <c r="BT37" s="233">
        <f t="shared" si="135"/>
        <v>0.86970000000000003</v>
      </c>
      <c r="BU37" s="233">
        <f t="shared" ref="BU37:CA37" si="136">+BT37</f>
        <v>0.86970000000000003</v>
      </c>
      <c r="BV37" s="233">
        <f t="shared" si="136"/>
        <v>0.86970000000000003</v>
      </c>
      <c r="BW37" s="233">
        <f t="shared" si="136"/>
        <v>0.86970000000000003</v>
      </c>
      <c r="BX37" s="233">
        <f t="shared" si="136"/>
        <v>0.86970000000000003</v>
      </c>
      <c r="BY37" s="233">
        <f t="shared" si="136"/>
        <v>0.86970000000000003</v>
      </c>
      <c r="BZ37" s="233">
        <f t="shared" si="136"/>
        <v>0.86970000000000003</v>
      </c>
      <c r="CA37" s="233">
        <f t="shared" si="136"/>
        <v>0.86970000000000003</v>
      </c>
      <c r="CB37" s="233">
        <f t="shared" si="131"/>
        <v>0.86970000000000003</v>
      </c>
      <c r="CC37" s="233">
        <f t="shared" si="132"/>
        <v>0.86970000000000003</v>
      </c>
      <c r="CD37" s="233">
        <f t="shared" si="133"/>
        <v>0.86970000000000003</v>
      </c>
      <c r="CE37" s="233"/>
      <c r="CF37" s="233"/>
      <c r="CG37" s="233"/>
      <c r="CH37" s="233"/>
      <c r="CI37" s="233"/>
      <c r="CJ37" s="233"/>
    </row>
    <row r="38" spans="1:88" ht="13.5" thickBot="1" x14ac:dyDescent="0.25">
      <c r="B38" s="226" t="s">
        <v>426</v>
      </c>
      <c r="C38" s="718">
        <v>1.7797599999999997E-2</v>
      </c>
      <c r="D38" s="633">
        <f>C38</f>
        <v>1.7797599999999997E-2</v>
      </c>
      <c r="E38" s="633">
        <f t="shared" ref="E38:H38" si="137">D38</f>
        <v>1.7797599999999997E-2</v>
      </c>
      <c r="F38" s="633">
        <f t="shared" si="137"/>
        <v>1.7797599999999997E-2</v>
      </c>
      <c r="G38" s="633">
        <f t="shared" si="137"/>
        <v>1.7797599999999997E-2</v>
      </c>
      <c r="H38" s="633">
        <f t="shared" si="137"/>
        <v>1.7797599999999997E-2</v>
      </c>
      <c r="I38" s="233">
        <f t="shared" ref="I38:BT38" si="138">+H38</f>
        <v>1.7797599999999997E-2</v>
      </c>
      <c r="J38" s="233">
        <f t="shared" si="138"/>
        <v>1.7797599999999997E-2</v>
      </c>
      <c r="K38" s="233">
        <f t="shared" si="138"/>
        <v>1.7797599999999997E-2</v>
      </c>
      <c r="L38" s="233">
        <f t="shared" si="138"/>
        <v>1.7797599999999997E-2</v>
      </c>
      <c r="M38" s="233">
        <f t="shared" si="138"/>
        <v>1.7797599999999997E-2</v>
      </c>
      <c r="N38" s="233">
        <f t="shared" si="138"/>
        <v>1.7797599999999997E-2</v>
      </c>
      <c r="O38" s="233">
        <f t="shared" si="138"/>
        <v>1.7797599999999997E-2</v>
      </c>
      <c r="P38" s="233">
        <f t="shared" si="138"/>
        <v>1.7797599999999997E-2</v>
      </c>
      <c r="Q38" s="233">
        <f t="shared" si="138"/>
        <v>1.7797599999999997E-2</v>
      </c>
      <c r="R38" s="233">
        <f t="shared" si="138"/>
        <v>1.7797599999999997E-2</v>
      </c>
      <c r="S38" s="233">
        <f t="shared" si="138"/>
        <v>1.7797599999999997E-2</v>
      </c>
      <c r="T38" s="233">
        <f t="shared" si="138"/>
        <v>1.7797599999999997E-2</v>
      </c>
      <c r="U38" s="233">
        <f t="shared" si="138"/>
        <v>1.7797599999999997E-2</v>
      </c>
      <c r="V38" s="233">
        <f t="shared" si="138"/>
        <v>1.7797599999999997E-2</v>
      </c>
      <c r="W38" s="233">
        <f t="shared" si="138"/>
        <v>1.7797599999999997E-2</v>
      </c>
      <c r="X38" s="233">
        <f t="shared" si="138"/>
        <v>1.7797599999999997E-2</v>
      </c>
      <c r="Y38" s="233">
        <f t="shared" si="138"/>
        <v>1.7797599999999997E-2</v>
      </c>
      <c r="Z38" s="233">
        <f t="shared" si="138"/>
        <v>1.7797599999999997E-2</v>
      </c>
      <c r="AA38" s="233">
        <f t="shared" si="138"/>
        <v>1.7797599999999997E-2</v>
      </c>
      <c r="AB38" s="233">
        <f t="shared" si="138"/>
        <v>1.7797599999999997E-2</v>
      </c>
      <c r="AC38" s="233">
        <f t="shared" si="138"/>
        <v>1.7797599999999997E-2</v>
      </c>
      <c r="AD38" s="233">
        <f t="shared" si="138"/>
        <v>1.7797599999999997E-2</v>
      </c>
      <c r="AE38" s="233">
        <f t="shared" si="138"/>
        <v>1.7797599999999997E-2</v>
      </c>
      <c r="AF38" s="233">
        <f t="shared" si="138"/>
        <v>1.7797599999999997E-2</v>
      </c>
      <c r="AG38" s="233">
        <f t="shared" si="138"/>
        <v>1.7797599999999997E-2</v>
      </c>
      <c r="AH38" s="233">
        <f t="shared" si="138"/>
        <v>1.7797599999999997E-2</v>
      </c>
      <c r="AI38" s="233">
        <f t="shared" si="138"/>
        <v>1.7797599999999997E-2</v>
      </c>
      <c r="AJ38" s="233">
        <f t="shared" si="138"/>
        <v>1.7797599999999997E-2</v>
      </c>
      <c r="AK38" s="233">
        <f t="shared" si="138"/>
        <v>1.7797599999999997E-2</v>
      </c>
      <c r="AL38" s="233">
        <f t="shared" si="138"/>
        <v>1.7797599999999997E-2</v>
      </c>
      <c r="AM38" s="233">
        <f t="shared" si="138"/>
        <v>1.7797599999999997E-2</v>
      </c>
      <c r="AN38" s="233">
        <f t="shared" si="138"/>
        <v>1.7797599999999997E-2</v>
      </c>
      <c r="AO38" s="233">
        <f t="shared" si="138"/>
        <v>1.7797599999999997E-2</v>
      </c>
      <c r="AP38" s="233">
        <f t="shared" si="138"/>
        <v>1.7797599999999997E-2</v>
      </c>
      <c r="AQ38" s="233">
        <f t="shared" si="138"/>
        <v>1.7797599999999997E-2</v>
      </c>
      <c r="AR38" s="233">
        <f t="shared" si="138"/>
        <v>1.7797599999999997E-2</v>
      </c>
      <c r="AS38" s="233">
        <f t="shared" si="138"/>
        <v>1.7797599999999997E-2</v>
      </c>
      <c r="AT38" s="233">
        <f t="shared" si="138"/>
        <v>1.7797599999999997E-2</v>
      </c>
      <c r="AU38" s="233">
        <f t="shared" si="138"/>
        <v>1.7797599999999997E-2</v>
      </c>
      <c r="AV38" s="233">
        <f t="shared" si="138"/>
        <v>1.7797599999999997E-2</v>
      </c>
      <c r="AW38" s="233">
        <f t="shared" si="138"/>
        <v>1.7797599999999997E-2</v>
      </c>
      <c r="AX38" s="233">
        <f t="shared" si="138"/>
        <v>1.7797599999999997E-2</v>
      </c>
      <c r="AY38" s="233">
        <f t="shared" si="138"/>
        <v>1.7797599999999997E-2</v>
      </c>
      <c r="AZ38" s="233">
        <f t="shared" si="138"/>
        <v>1.7797599999999997E-2</v>
      </c>
      <c r="BA38" s="233">
        <f t="shared" si="138"/>
        <v>1.7797599999999997E-2</v>
      </c>
      <c r="BB38" s="233">
        <f t="shared" si="138"/>
        <v>1.7797599999999997E-2</v>
      </c>
      <c r="BC38" s="233">
        <f t="shared" si="138"/>
        <v>1.7797599999999997E-2</v>
      </c>
      <c r="BD38" s="233">
        <f t="shared" si="138"/>
        <v>1.7797599999999997E-2</v>
      </c>
      <c r="BE38" s="233">
        <f t="shared" si="138"/>
        <v>1.7797599999999997E-2</v>
      </c>
      <c r="BF38" s="233">
        <f t="shared" si="138"/>
        <v>1.7797599999999997E-2</v>
      </c>
      <c r="BG38" s="233">
        <f t="shared" si="138"/>
        <v>1.7797599999999997E-2</v>
      </c>
      <c r="BH38" s="233">
        <f t="shared" si="138"/>
        <v>1.7797599999999997E-2</v>
      </c>
      <c r="BI38" s="233">
        <f t="shared" si="138"/>
        <v>1.7797599999999997E-2</v>
      </c>
      <c r="BJ38" s="233">
        <f t="shared" si="138"/>
        <v>1.7797599999999997E-2</v>
      </c>
      <c r="BK38" s="233">
        <f t="shared" si="138"/>
        <v>1.7797599999999997E-2</v>
      </c>
      <c r="BL38" s="233">
        <f t="shared" si="138"/>
        <v>1.7797599999999997E-2</v>
      </c>
      <c r="BM38" s="233">
        <f t="shared" si="138"/>
        <v>1.7797599999999997E-2</v>
      </c>
      <c r="BN38" s="233">
        <f t="shared" si="138"/>
        <v>1.7797599999999997E-2</v>
      </c>
      <c r="BO38" s="233">
        <f t="shared" si="138"/>
        <v>1.7797599999999997E-2</v>
      </c>
      <c r="BP38" s="233">
        <f t="shared" si="138"/>
        <v>1.7797599999999997E-2</v>
      </c>
      <c r="BQ38" s="233">
        <f t="shared" si="138"/>
        <v>1.7797599999999997E-2</v>
      </c>
      <c r="BR38" s="233">
        <f t="shared" si="138"/>
        <v>1.7797599999999997E-2</v>
      </c>
      <c r="BS38" s="233">
        <f t="shared" si="138"/>
        <v>1.7797599999999997E-2</v>
      </c>
      <c r="BT38" s="233">
        <f t="shared" si="138"/>
        <v>1.7797599999999997E-2</v>
      </c>
      <c r="BU38" s="233">
        <f t="shared" ref="BU38:CA38" si="139">+BT38</f>
        <v>1.7797599999999997E-2</v>
      </c>
      <c r="BV38" s="233">
        <f t="shared" si="139"/>
        <v>1.7797599999999997E-2</v>
      </c>
      <c r="BW38" s="233">
        <f t="shared" si="139"/>
        <v>1.7797599999999997E-2</v>
      </c>
      <c r="BX38" s="233">
        <f t="shared" si="139"/>
        <v>1.7797599999999997E-2</v>
      </c>
      <c r="BY38" s="233">
        <f t="shared" si="139"/>
        <v>1.7797599999999997E-2</v>
      </c>
      <c r="BZ38" s="233">
        <f t="shared" si="139"/>
        <v>1.7797599999999997E-2</v>
      </c>
      <c r="CA38" s="233">
        <f t="shared" si="139"/>
        <v>1.7797599999999997E-2</v>
      </c>
      <c r="CB38" s="233">
        <f t="shared" si="131"/>
        <v>1.7797599999999997E-2</v>
      </c>
      <c r="CC38" s="233">
        <f t="shared" si="132"/>
        <v>1.7797599999999997E-2</v>
      </c>
      <c r="CD38" s="233">
        <f t="shared" si="133"/>
        <v>1.7797599999999997E-2</v>
      </c>
      <c r="CE38" s="233"/>
      <c r="CF38" s="233"/>
      <c r="CG38" s="233"/>
      <c r="CH38" s="233"/>
      <c r="CI38" s="233"/>
      <c r="CJ38" s="233"/>
    </row>
    <row r="39" spans="1:88" x14ac:dyDescent="0.2">
      <c r="D39" s="580"/>
      <c r="E39" s="580"/>
      <c r="F39" s="580"/>
      <c r="G39" s="580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634"/>
      <c r="AA39" s="232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6"/>
      <c r="AP39" s="226"/>
      <c r="AQ39" s="226"/>
      <c r="AR39" s="226"/>
      <c r="AS39" s="226"/>
      <c r="AT39" s="226"/>
      <c r="AU39" s="226"/>
      <c r="AV39" s="226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226"/>
      <c r="BN39" s="226"/>
      <c r="BO39" s="226"/>
      <c r="BP39" s="226"/>
      <c r="BQ39" s="226"/>
      <c r="BR39" s="226"/>
      <c r="BS39" s="226"/>
      <c r="BT39" s="226"/>
      <c r="BU39" s="226"/>
      <c r="BV39" s="226"/>
      <c r="BW39" s="226"/>
      <c r="BX39" s="226"/>
      <c r="BY39" s="226"/>
      <c r="BZ39" s="226"/>
      <c r="CA39" s="226"/>
      <c r="CB39" s="226"/>
      <c r="CC39" s="226"/>
      <c r="CD39" s="226"/>
      <c r="CE39" s="226"/>
    </row>
    <row r="40" spans="1:88" x14ac:dyDescent="0.2">
      <c r="A40" s="226" t="s">
        <v>427</v>
      </c>
      <c r="D40" s="233"/>
      <c r="E40" s="233"/>
      <c r="F40" s="233"/>
      <c r="G40" s="233"/>
      <c r="H40" s="380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46"/>
      <c r="U40" s="46"/>
      <c r="V40" s="46"/>
      <c r="W40" s="46"/>
      <c r="X40" s="46"/>
      <c r="Y40" s="46"/>
      <c r="Z40" s="46"/>
      <c r="AA40" s="232"/>
      <c r="AB40" s="232"/>
      <c r="AC40" s="232"/>
      <c r="AD40" s="232"/>
      <c r="AE40" s="232"/>
      <c r="AF40" s="232"/>
      <c r="AG40" s="232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226"/>
      <c r="BN40" s="226"/>
      <c r="BO40" s="226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/>
      <c r="CA40" s="226"/>
      <c r="CB40" s="226"/>
      <c r="CC40" s="226"/>
      <c r="CD40" s="226"/>
      <c r="CE40" s="226"/>
    </row>
    <row r="41" spans="1:88" x14ac:dyDescent="0.2">
      <c r="B41" s="226" t="s">
        <v>630</v>
      </c>
      <c r="C41" s="170">
        <v>3977743</v>
      </c>
      <c r="D41" s="170">
        <v>2983034</v>
      </c>
      <c r="E41" s="170">
        <v>3607436</v>
      </c>
      <c r="F41" s="170">
        <v>4151466</v>
      </c>
      <c r="G41" s="170">
        <v>4694753</v>
      </c>
      <c r="H41" s="170">
        <v>5208280</v>
      </c>
      <c r="I41" s="46">
        <f>H41+(I18+I20)-(I13+I15)</f>
        <v>6023948.1714285715</v>
      </c>
      <c r="J41" s="46">
        <f t="shared" ref="J41" si="140">I41+(J18+J20)-(J13+J15)</f>
        <v>6839616.3428571429</v>
      </c>
      <c r="K41" s="46">
        <f>J41+(K18+K20)-(K13+K15)</f>
        <v>7655284.5142857144</v>
      </c>
      <c r="L41" s="46">
        <f t="shared" ref="L41" si="141">K41+(L18+L20)-(L13+L15)</f>
        <v>7309473.5942857144</v>
      </c>
      <c r="M41" s="46">
        <f t="shared" ref="M41" si="142">L41+(M18+M20)-(M13+M15)</f>
        <v>6315483.7742857141</v>
      </c>
      <c r="N41" s="46">
        <f t="shared" ref="N41" si="143">M41+(N18+N20)-(N13+N15)</f>
        <v>4839683.0642857142</v>
      </c>
      <c r="O41" s="46">
        <f t="shared" ref="O41" si="144">N41+(O18+O20)-(O13+O15)</f>
        <v>3137116.3142857142</v>
      </c>
      <c r="P41" s="46">
        <f t="shared" ref="P41" si="145">O41+(P18+P20)-(P13+P15)</f>
        <v>1945607.3142857142</v>
      </c>
      <c r="Q41" s="46">
        <f t="shared" ref="Q41" si="146">P41+(Q18+Q20)-(Q13+Q15)</f>
        <v>2761275.4857142856</v>
      </c>
      <c r="R41" s="46">
        <f t="shared" ref="R41" si="147">Q41+(R18+R20)-(R13+R15)</f>
        <v>3576943.6571428571</v>
      </c>
      <c r="S41" s="46">
        <f t="shared" ref="S41" si="148">R41+(S18+S20)-(S13+S15)</f>
        <v>4392611.8285714285</v>
      </c>
      <c r="T41" s="46">
        <f t="shared" ref="T41" si="149">S41+(T18+T20)-(T13+T15)</f>
        <v>5208280</v>
      </c>
      <c r="U41" s="46">
        <f t="shared" ref="U41" si="150">T41+(U18+U20)-(U13+U15)</f>
        <v>6023948.1714285715</v>
      </c>
      <c r="V41" s="46">
        <f t="shared" ref="V41" si="151">U41+(V18+V20)-(V13+V15)</f>
        <v>6839616.3428571429</v>
      </c>
      <c r="W41" s="46">
        <f t="shared" ref="W41" si="152">V41+(W18+W20)-(W13+W15)</f>
        <v>7655284.5142857144</v>
      </c>
      <c r="X41" s="46">
        <f t="shared" ref="X41" si="153">W41+(X18+X20)-(X13+X15)</f>
        <v>7309473.5942857144</v>
      </c>
      <c r="Y41" s="46">
        <f t="shared" ref="Y41" si="154">X41+(Y18+Y20)-(Y13+Y15)</f>
        <v>6315483.7742857141</v>
      </c>
      <c r="Z41" s="46">
        <f t="shared" ref="Z41" si="155">Y41+(Z18+Z20)-(Z13+Z15)</f>
        <v>4839683.0642857142</v>
      </c>
      <c r="AA41" s="46">
        <f t="shared" ref="AA41" si="156">Z41+(AA18+AA20)-(AA13+AA15)</f>
        <v>3137116.3142857142</v>
      </c>
      <c r="AB41" s="46">
        <f t="shared" ref="AB41" si="157">AA41+(AB18+AB20)-(AB13+AB15)</f>
        <v>1945607.3142857142</v>
      </c>
      <c r="AC41" s="46">
        <f t="shared" ref="AC41" si="158">AB41+(AC18+AC20)-(AC13+AC15)</f>
        <v>2761275.4857142856</v>
      </c>
      <c r="AD41" s="46">
        <f t="shared" ref="AD41" si="159">AC41+(AD18+AD20)-(AD13+AD15)</f>
        <v>3576943.6571428571</v>
      </c>
      <c r="AE41" s="46">
        <f t="shared" ref="AE41" si="160">AD41+(AE18+AE20)-(AE13+AE15)</f>
        <v>4392611.8285714285</v>
      </c>
      <c r="AF41" s="46">
        <f t="shared" ref="AF41" si="161">AE41+(AF18+AF20)-(AF13+AF15)</f>
        <v>5208280</v>
      </c>
      <c r="AG41" s="46">
        <f t="shared" ref="AG41" si="162">AF41+(AG18+AG20)-(AG13+AG15)</f>
        <v>6023948.1714285715</v>
      </c>
      <c r="AH41" s="46">
        <f t="shared" ref="AH41" si="163">AG41+(AH18+AH20)-(AH13+AH15)</f>
        <v>6839616.3428571429</v>
      </c>
      <c r="AI41" s="46">
        <f t="shared" ref="AI41" si="164">AH41+(AI18+AI20)-(AI13+AI15)</f>
        <v>7655284.5142857144</v>
      </c>
      <c r="AJ41" s="46">
        <f t="shared" ref="AJ41" si="165">AI41+(AJ18+AJ20)-(AJ13+AJ15)</f>
        <v>7309473.5942857144</v>
      </c>
      <c r="AK41" s="46">
        <f t="shared" ref="AK41" si="166">AJ41+(AK18+AK20)-(AK13+AK15)</f>
        <v>6315483.7742857141</v>
      </c>
      <c r="AL41" s="46">
        <f t="shared" ref="AL41" si="167">AK41+(AL18+AL20)-(AL13+AL15)</f>
        <v>4839683.0642857142</v>
      </c>
      <c r="AM41" s="46">
        <f t="shared" ref="AM41" si="168">AL41+(AM18+AM20)-(AM13+AM15)</f>
        <v>3137116.3142857142</v>
      </c>
      <c r="AN41" s="46">
        <f t="shared" ref="AN41" si="169">AM41+(AN18+AN20)-(AN13+AN15)</f>
        <v>1945607.3142857142</v>
      </c>
      <c r="AO41" s="46">
        <f t="shared" ref="AO41" si="170">AN41+(AO18+AO20)-(AO13+AO15)</f>
        <v>2761275.4857142856</v>
      </c>
      <c r="AP41" s="46">
        <f t="shared" ref="AP41" si="171">AO41+(AP18+AP20)-(AP13+AP15)</f>
        <v>3576943.6571428571</v>
      </c>
      <c r="AQ41" s="46">
        <f t="shared" ref="AQ41" si="172">AP41+(AQ18+AQ20)-(AQ13+AQ15)</f>
        <v>4392611.8285714285</v>
      </c>
      <c r="AR41" s="46">
        <f t="shared" ref="AR41" si="173">AQ41+(AR18+AR20)-(AR13+AR15)</f>
        <v>5208280</v>
      </c>
      <c r="AS41" s="46">
        <f t="shared" ref="AS41" si="174">AR41+(AS18+AS20)-(AS13+AS15)</f>
        <v>6023948.1714285715</v>
      </c>
      <c r="AT41" s="46">
        <f t="shared" ref="AT41" si="175">AS41+(AT18+AT20)-(AT13+AT15)</f>
        <v>6839616.3428571429</v>
      </c>
      <c r="AU41" s="46">
        <f t="shared" ref="AU41" si="176">AT41+(AU18+AU20)-(AU13+AU15)</f>
        <v>7655284.5142857144</v>
      </c>
      <c r="AV41" s="46">
        <f t="shared" ref="AV41" si="177">AU41+(AV18+AV20)-(AV13+AV15)</f>
        <v>7309473.5942857144</v>
      </c>
      <c r="AW41" s="46">
        <f t="shared" ref="AW41" si="178">AV41+(AW18+AW20)-(AW13+AW15)</f>
        <v>6315483.7742857141</v>
      </c>
      <c r="AX41" s="46">
        <f t="shared" ref="AX41" si="179">AW41+(AX18+AX20)-(AX13+AX15)</f>
        <v>4839683.0642857142</v>
      </c>
      <c r="AY41" s="46">
        <f t="shared" ref="AY41" si="180">AX41+(AY18+AY20)-(AY13+AY15)</f>
        <v>3137116.3142857142</v>
      </c>
      <c r="AZ41" s="46">
        <f t="shared" ref="AZ41" si="181">AY41+(AZ18+AZ20)-(AZ13+AZ15)</f>
        <v>1945607.3142857142</v>
      </c>
      <c r="BA41" s="46">
        <f t="shared" ref="BA41" si="182">AZ41+(BA18+BA20)-(BA13+BA15)</f>
        <v>2761275.4857142856</v>
      </c>
      <c r="BB41" s="46">
        <f t="shared" ref="BB41" si="183">BA41+(BB18+BB20)-(BB13+BB15)</f>
        <v>3576943.6571428571</v>
      </c>
      <c r="BC41" s="46">
        <f t="shared" ref="BC41" si="184">BB41+(BC18+BC20)-(BC13+BC15)</f>
        <v>4392611.8285714285</v>
      </c>
      <c r="BD41" s="46">
        <f t="shared" ref="BD41" si="185">BC41+(BD18+BD20)-(BD13+BD15)</f>
        <v>5208280</v>
      </c>
      <c r="BE41" s="46">
        <f t="shared" ref="BE41" si="186">BD41+(BE18+BE20)-(BE13+BE15)</f>
        <v>6023948.1714285715</v>
      </c>
      <c r="BF41" s="46">
        <f t="shared" ref="BF41" si="187">BE41+(BF18+BF20)-(BF13+BF15)</f>
        <v>6839616.3428571429</v>
      </c>
      <c r="BG41" s="46">
        <f t="shared" ref="BG41" si="188">BF41+(BG18+BG20)-(BG13+BG15)</f>
        <v>7655284.5142857144</v>
      </c>
      <c r="BH41" s="46">
        <f t="shared" ref="BH41" si="189">BG41+(BH18+BH20)-(BH13+BH15)</f>
        <v>7309473.5942857144</v>
      </c>
      <c r="BI41" s="46">
        <f t="shared" ref="BI41" si="190">BH41+(BI18+BI20)-(BI13+BI15)</f>
        <v>6315483.7742857141</v>
      </c>
      <c r="BJ41" s="46">
        <f t="shared" ref="BJ41" si="191">BI41+(BJ18+BJ20)-(BJ13+BJ15)</f>
        <v>4839683.0642857142</v>
      </c>
      <c r="BK41" s="46">
        <f t="shared" ref="BK41" si="192">BJ41+(BK18+BK20)-(BK13+BK15)</f>
        <v>3137116.3142857142</v>
      </c>
      <c r="BL41" s="46">
        <f t="shared" ref="BL41" si="193">BK41+(BL18+BL20)-(BL13+BL15)</f>
        <v>1945607.3142857142</v>
      </c>
      <c r="BM41" s="46">
        <f t="shared" ref="BM41" si="194">BL41+(BM18+BM20)-(BM13+BM15)</f>
        <v>2761275.4857142856</v>
      </c>
      <c r="BN41" s="46">
        <f t="shared" ref="BN41" si="195">BM41+(BN18+BN20)-(BN13+BN15)</f>
        <v>3576943.6571428571</v>
      </c>
      <c r="BO41" s="46">
        <f t="shared" ref="BO41" si="196">BN41+(BO18+BO20)-(BO13+BO15)</f>
        <v>4392611.8285714285</v>
      </c>
      <c r="BP41" s="46">
        <f t="shared" ref="BP41" si="197">BO41+(BP18+BP20)-(BP13+BP15)</f>
        <v>5208280</v>
      </c>
      <c r="BQ41" s="46">
        <f t="shared" ref="BQ41" si="198">BP41+(BQ18+BQ20)-(BQ13+BQ15)</f>
        <v>6023948.1714285715</v>
      </c>
      <c r="BR41" s="46">
        <f t="shared" ref="BR41" si="199">BQ41+(BR18+BR20)-(BR13+BR15)</f>
        <v>6839616.3428571429</v>
      </c>
      <c r="BS41" s="46">
        <f t="shared" ref="BS41" si="200">BR41+(BS18+BS20)-(BS13+BS15)</f>
        <v>7655284.5142857144</v>
      </c>
      <c r="BT41" s="46">
        <f t="shared" ref="BT41" si="201">BS41+(BT18+BT20)-(BT13+BT15)</f>
        <v>7309473.5942857144</v>
      </c>
      <c r="BU41" s="46">
        <f t="shared" ref="BU41" si="202">BT41+(BU18+BU20)-(BU13+BU15)</f>
        <v>6315483.7742857141</v>
      </c>
      <c r="BV41" s="46">
        <f t="shared" ref="BV41" si="203">BU41+(BV18+BV20)-(BV13+BV15)</f>
        <v>4839683.0642857142</v>
      </c>
      <c r="BW41" s="46">
        <f t="shared" ref="BW41" si="204">BV41+(BW18+BW20)-(BW13+BW15)</f>
        <v>3137116.3142857142</v>
      </c>
      <c r="BX41" s="46">
        <f t="shared" ref="BX41" si="205">BW41+(BX18+BX20)-(BX13+BX15)</f>
        <v>1945607.3142857142</v>
      </c>
      <c r="BY41" s="46">
        <f t="shared" ref="BY41" si="206">BX41+(BY18+BY20)-(BY13+BY15)</f>
        <v>2761275.4857142856</v>
      </c>
      <c r="BZ41" s="46">
        <f t="shared" ref="BZ41" si="207">BY41+(BZ18+BZ20)-(BZ13+BZ15)</f>
        <v>3576943.6571428571</v>
      </c>
      <c r="CA41" s="46">
        <f t="shared" ref="CA41" si="208">BZ41+(CA18+CA20)-(CA13+CA15)</f>
        <v>4392611.8285714285</v>
      </c>
      <c r="CB41" s="46">
        <f t="shared" ref="CB41" si="209">CA41+(CB18+CB20)-(CB13+CB15)</f>
        <v>5208280</v>
      </c>
      <c r="CC41" s="46">
        <f t="shared" ref="CC41" si="210">CB41+(CC18+CC20)-(CC13+CC15)</f>
        <v>6023948.1714285715</v>
      </c>
      <c r="CD41" s="46">
        <f t="shared" ref="CD41" si="211">CC41+(CD18+CD20)-(CD13+CD15)</f>
        <v>6839616.3428571429</v>
      </c>
      <c r="CE41" s="46">
        <f t="shared" ref="CE41" si="212">CD41+(CE18+CE20)-(CE13+CE15)</f>
        <v>6839616.3428571429</v>
      </c>
      <c r="CF41" s="46">
        <f t="shared" ref="CF41" si="213">CE41+(CF18+CF20)-(CF13+CF15)</f>
        <v>6839616.3428571429</v>
      </c>
    </row>
    <row r="42" spans="1:88" x14ac:dyDescent="0.2">
      <c r="B42" s="226" t="s">
        <v>428</v>
      </c>
      <c r="C42" s="237">
        <v>-2677256.3499999996</v>
      </c>
      <c r="D42" s="237">
        <v>-2419784.540000001</v>
      </c>
      <c r="E42" s="237">
        <v>1881319.33</v>
      </c>
      <c r="F42" s="237">
        <v>1546452.6999999993</v>
      </c>
      <c r="G42" s="237">
        <v>1654526.3399999999</v>
      </c>
      <c r="H42" s="237">
        <v>1461038.8100000005</v>
      </c>
      <c r="I42" s="197">
        <f t="shared" ref="I42:J42" si="214">+(I34+I35)*(I18+I20)+(I18*I38)+(I20*I36)</f>
        <v>2476865.2651726897</v>
      </c>
      <c r="J42" s="197">
        <f t="shared" si="214"/>
        <v>2468989.1693713283</v>
      </c>
      <c r="K42" s="197">
        <f>+(K34+K35)*(K18+K20)+(K18*K38)+(K20*K36)</f>
        <v>2491058.6461480614</v>
      </c>
      <c r="L42" s="197">
        <f>-K44*(L13+L15)</f>
        <v>-958654.82754637091</v>
      </c>
      <c r="M42" s="197">
        <f>-K44*(M13+M15)</f>
        <v>-2755532.2413616907</v>
      </c>
      <c r="N42" s="197">
        <f>-K44*(N13+N15)</f>
        <v>-4091205.3186112852</v>
      </c>
      <c r="O42" s="197">
        <f>-K44*(O13+O15)</f>
        <v>-4719844.6888474058</v>
      </c>
      <c r="P42" s="197">
        <f>-K44*(P13+P15)</f>
        <v>-3303093.6527827079</v>
      </c>
      <c r="Q42" s="197">
        <f t="shared" ref="Q42" si="215">+(Q34+Q35)*(Q18+Q20)+(Q18*Q38)+(Q20*Q36)</f>
        <v>2405077.9336498575</v>
      </c>
      <c r="R42" s="197">
        <f t="shared" ref="R42" si="216">+(R34+R35)*(R18+R20)+(R18*R38)+(R20*R36)</f>
        <v>2377183.4276867001</v>
      </c>
      <c r="S42" s="197">
        <f t="shared" ref="S42" si="217">+(S34+S35)*(S18+S20)+(S18*S38)+(S20*S36)</f>
        <v>2397694.0938360807</v>
      </c>
      <c r="T42" s="197">
        <f t="shared" ref="T42" si="218">+(T34+T35)*(T18+T20)+(T18*T38)+(T20*T36)</f>
        <v>2419025.1866314365</v>
      </c>
      <c r="U42" s="197">
        <f t="shared" ref="U42:W42" si="219">+(U34+U35)*(U18+U20)+(U18*U38)+(U20*U36)</f>
        <v>2422306.8932153373</v>
      </c>
      <c r="V42" s="197">
        <f t="shared" si="219"/>
        <v>2402616.6537119318</v>
      </c>
      <c r="W42" s="197">
        <f t="shared" si="219"/>
        <v>2418204.7599854614</v>
      </c>
      <c r="X42" s="197">
        <f t="shared" ref="X42" si="220">-W44*(X13+X15)</f>
        <v>-1004450.0658723046</v>
      </c>
      <c r="Y42" s="197">
        <f t="shared" ref="Y42" si="221">-W44*(Y13+Y15)</f>
        <v>-2887164.8708357746</v>
      </c>
      <c r="Z42" s="197">
        <f t="shared" ref="Z42" si="222">-W44*(Z13+Z15)</f>
        <v>-4286643.465087493</v>
      </c>
      <c r="AA42" s="197">
        <f t="shared" ref="AA42" si="223">-W44*(AA13+AA15)</f>
        <v>-4945313.1329383571</v>
      </c>
      <c r="AB42" s="197">
        <f t="shared" ref="AB42" si="224">-W44*(AB13+AB15)</f>
        <v>-3460883.4606421445</v>
      </c>
      <c r="AC42" s="197">
        <f t="shared" ref="AC42:AI42" si="225">+(AC34+AC35)*(AC18+AC20)+(AC18*AC38)+(AC20*AC36)</f>
        <v>2254939.8574363911</v>
      </c>
      <c r="AD42" s="197">
        <f t="shared" si="225"/>
        <v>2230327.058057134</v>
      </c>
      <c r="AE42" s="197">
        <f t="shared" si="225"/>
        <v>2248376.4442685894</v>
      </c>
      <c r="AF42" s="197">
        <f t="shared" si="225"/>
        <v>2266425.8304800442</v>
      </c>
      <c r="AG42" s="197">
        <f t="shared" si="225"/>
        <v>2272989.2436478459</v>
      </c>
      <c r="AH42" s="197">
        <f t="shared" si="225"/>
        <v>2258221.5640202919</v>
      </c>
      <c r="AI42" s="197">
        <f t="shared" si="225"/>
        <v>2276270.9502317468</v>
      </c>
      <c r="AJ42" s="197">
        <f t="shared" ref="AJ42" si="226">-AI44*(AJ13+AJ15)</f>
        <v>-969355.1059365418</v>
      </c>
      <c r="AK42" s="197">
        <f t="shared" ref="AK42" si="227">-AI44*(AK13+AK15)</f>
        <v>-2786288.8403464654</v>
      </c>
      <c r="AL42" s="197">
        <f t="shared" ref="AL42" si="228">-AI44*(AL13+AL15)</f>
        <v>-4136870.3844958791</v>
      </c>
      <c r="AM42" s="197">
        <f t="shared" ref="AM42" si="229">-AI44*(AM13+AM15)</f>
        <v>-4772526.478661471</v>
      </c>
      <c r="AN42" s="197">
        <f t="shared" ref="AN42" si="230">-AI44*(AN13+AN15)</f>
        <v>-3339962.0027017742</v>
      </c>
      <c r="AO42" s="197">
        <f t="shared" ref="AO42:AU42" si="231">+(AO34+AO35)*(AO18+AO20)+(AO18*AO38)+(AO20*AO36)</f>
        <v>2199971.2721560504</v>
      </c>
      <c r="AP42" s="197">
        <f t="shared" si="231"/>
        <v>2183562.7392365462</v>
      </c>
      <c r="AQ42" s="197">
        <f t="shared" si="231"/>
        <v>2204893.8320319019</v>
      </c>
      <c r="AR42" s="197">
        <f t="shared" si="231"/>
        <v>2229506.6314111589</v>
      </c>
      <c r="AS42" s="197">
        <f t="shared" si="231"/>
        <v>2246735.5909766387</v>
      </c>
      <c r="AT42" s="197">
        <f t="shared" si="231"/>
        <v>2242633.4577467623</v>
      </c>
      <c r="AU42" s="197">
        <f t="shared" si="231"/>
        <v>2264784.9771880941</v>
      </c>
      <c r="AV42" s="197">
        <f t="shared" ref="AV42" si="232">-AU44*(AV13+AV15)</f>
        <v>-949799.13828761992</v>
      </c>
      <c r="AW42" s="197">
        <f t="shared" ref="AW42" si="233">-AU44*(AW13+AW15)</f>
        <v>-2730077.6808976033</v>
      </c>
      <c r="AX42" s="197">
        <f t="shared" ref="AX42" si="234">-AU44*(AX13+AX15)</f>
        <v>-4053412.3174660238</v>
      </c>
      <c r="AY42" s="197">
        <f t="shared" ref="AY42" si="235">-AU44*(AY13+AY15)</f>
        <v>-4676244.5559184588</v>
      </c>
      <c r="AZ42" s="197">
        <f t="shared" ref="AZ42" si="236">-AU44*(AZ13+AZ15)</f>
        <v>-3272580.9279300487</v>
      </c>
      <c r="BA42" s="197">
        <f t="shared" ref="BA42:BG42" si="237">+(BA34+BA35)*(BA18+BA20)+(BA18*BA38)+(BA20*BA36)</f>
        <v>2198330.4188641002</v>
      </c>
      <c r="BB42" s="197">
        <f t="shared" si="237"/>
        <v>2183562.7392365462</v>
      </c>
      <c r="BC42" s="197">
        <f t="shared" si="237"/>
        <v>2205714.2586778775</v>
      </c>
      <c r="BD42" s="197">
        <f t="shared" si="237"/>
        <v>2230327.058057134</v>
      </c>
      <c r="BE42" s="197">
        <f t="shared" si="237"/>
        <v>2248376.4442685894</v>
      </c>
      <c r="BF42" s="197">
        <f t="shared" si="237"/>
        <v>2250017.2975605396</v>
      </c>
      <c r="BG42" s="197">
        <f t="shared" si="237"/>
        <v>2272168.8170018708</v>
      </c>
      <c r="BH42" s="197">
        <f t="shared" ref="BH42" si="238">-BG44*(BH13+BH15)</f>
        <v>-945570.16629180219</v>
      </c>
      <c r="BI42" s="197">
        <f t="shared" ref="BI42" si="239">-BG44*(BI13+BI15)</f>
        <v>-2717922.0349367759</v>
      </c>
      <c r="BJ42" s="197">
        <f t="shared" ref="BJ42" si="240">-BG44*(BJ13+BJ15)</f>
        <v>-4035364.5361119877</v>
      </c>
      <c r="BK42" s="197">
        <f t="shared" ref="BK42" si="241">-BG44*(BK13+BK15)</f>
        <v>-4655423.6197063792</v>
      </c>
      <c r="BL42" s="197">
        <f t="shared" ref="BL42" si="242">-BG44*(BL13+BL15)</f>
        <v>-3258009.7912124316</v>
      </c>
      <c r="BM42" s="197">
        <f t="shared" ref="BM42:BS42" si="243">+(BM34+BM35)*(BM18+BM20)+(BM18*BM38)+(BM20*BM36)</f>
        <v>2218020.6583675058</v>
      </c>
      <c r="BN42" s="197">
        <f t="shared" si="243"/>
        <v>2208175.5386158028</v>
      </c>
      <c r="BO42" s="197">
        <f t="shared" si="243"/>
        <v>2230327.058057134</v>
      </c>
      <c r="BP42" s="197">
        <f t="shared" si="243"/>
        <v>2254939.8574363911</v>
      </c>
      <c r="BQ42" s="197">
        <f t="shared" si="243"/>
        <v>2275450.5235857717</v>
      </c>
      <c r="BR42" s="197">
        <f t="shared" si="243"/>
        <v>2277911.8035236974</v>
      </c>
      <c r="BS42" s="197">
        <f t="shared" si="243"/>
        <v>2302524.6029029544</v>
      </c>
      <c r="BT42" s="197">
        <f t="shared" ref="BT42" si="244">-BS44*(BT13+BT15)</f>
        <v>-952574.66162815108</v>
      </c>
      <c r="BU42" s="197">
        <f t="shared" ref="BU42" si="245">-BS44*(BU13+BU15)</f>
        <v>-2738055.5722425622</v>
      </c>
      <c r="BV42" s="197">
        <f t="shared" ref="BV42" si="246">-BS44*(BV13+BV15)</f>
        <v>-4065257.2855676017</v>
      </c>
      <c r="BW42" s="197">
        <f t="shared" ref="BW42" si="247">-BS44*(BW13+BW15)</f>
        <v>-4689909.5776980985</v>
      </c>
      <c r="BX42" s="197">
        <f t="shared" ref="BX42" si="248">-BS44*(BX13+BX15)</f>
        <v>-3282144.1338575911</v>
      </c>
      <c r="BY42" s="197">
        <f t="shared" ref="BY42:CE42" si="249">+(BY34+BY35)*(BY18+BY20)+(BY18*BY38)+(BY20*BY36)</f>
        <v>2247556.0176226138</v>
      </c>
      <c r="BZ42" s="197">
        <f t="shared" si="249"/>
        <v>2237710.8978709108</v>
      </c>
      <c r="CA42" s="197">
        <f t="shared" si="249"/>
        <v>2260682.8439582177</v>
      </c>
      <c r="CB42" s="197">
        <f t="shared" si="249"/>
        <v>2286936.4966294244</v>
      </c>
      <c r="CC42" s="197">
        <f t="shared" si="249"/>
        <v>2309908.4427167312</v>
      </c>
      <c r="CD42" s="197">
        <f t="shared" si="249"/>
        <v>2314010.5759466072</v>
      </c>
      <c r="CE42" s="197">
        <f t="shared" si="249"/>
        <v>0</v>
      </c>
      <c r="CF42" s="197">
        <f t="shared" ref="CF42" si="250">-CE44*(CF13+CF15)</f>
        <v>0</v>
      </c>
      <c r="CG42" s="230"/>
      <c r="CH42" s="230"/>
      <c r="CI42" s="35"/>
      <c r="CJ42" s="35"/>
    </row>
    <row r="43" spans="1:88" x14ac:dyDescent="0.2">
      <c r="B43" s="226" t="s">
        <v>429</v>
      </c>
      <c r="C43" s="237">
        <v>9661465.2000000011</v>
      </c>
      <c r="D43" s="197">
        <f>C43+D42</f>
        <v>7241680.6600000001</v>
      </c>
      <c r="E43" s="197">
        <f t="shared" ref="E43:G43" si="251">D43+E42</f>
        <v>9122999.9900000002</v>
      </c>
      <c r="F43" s="197">
        <f t="shared" si="251"/>
        <v>10669452.689999999</v>
      </c>
      <c r="G43" s="197">
        <f t="shared" si="251"/>
        <v>12323979.029999999</v>
      </c>
      <c r="H43" s="197">
        <f>G43+H42</f>
        <v>13785017.84</v>
      </c>
      <c r="I43" s="197">
        <f t="shared" ref="I43:K43" si="252">+H43+I42</f>
        <v>16261883.10517269</v>
      </c>
      <c r="J43" s="197">
        <f t="shared" ref="J43" si="253">+I43+J42</f>
        <v>18730872.274544019</v>
      </c>
      <c r="K43" s="197">
        <f t="shared" si="252"/>
        <v>21221930.920692079</v>
      </c>
      <c r="L43" s="197">
        <f t="shared" ref="L43" si="254">+K43+L42</f>
        <v>20263276.093145709</v>
      </c>
      <c r="M43" s="197">
        <f t="shared" ref="M43" si="255">+L43+M42</f>
        <v>17507743.851784021</v>
      </c>
      <c r="N43" s="197">
        <f t="shared" ref="N43" si="256">+M43+N42</f>
        <v>13416538.533172736</v>
      </c>
      <c r="O43" s="197">
        <f t="shared" ref="O43" si="257">+N43+O42</f>
        <v>8696693.8443253301</v>
      </c>
      <c r="P43" s="197">
        <f t="shared" ref="P43" si="258">+O43+P42</f>
        <v>5393600.1915426217</v>
      </c>
      <c r="Q43" s="197">
        <f t="shared" ref="Q43" si="259">+P43+Q42</f>
        <v>7798678.1251924792</v>
      </c>
      <c r="R43" s="197">
        <f t="shared" ref="R43" si="260">+Q43+R42</f>
        <v>10175861.552879179</v>
      </c>
      <c r="S43" s="197">
        <f t="shared" ref="S43" si="261">+R43+S42</f>
        <v>12573555.646715259</v>
      </c>
      <c r="T43" s="197">
        <f t="shared" ref="T43" si="262">+S43+T42</f>
        <v>14992580.833346695</v>
      </c>
      <c r="U43" s="197">
        <f t="shared" ref="U43" si="263">+T43+U42</f>
        <v>17414887.726562031</v>
      </c>
      <c r="V43" s="197">
        <f t="shared" ref="V43" si="264">+U43+V42</f>
        <v>19817504.380273961</v>
      </c>
      <c r="W43" s="197">
        <f t="shared" ref="W43" si="265">+V43+W42</f>
        <v>22235709.140259422</v>
      </c>
      <c r="X43" s="197">
        <f t="shared" ref="X43" si="266">+W43+X42</f>
        <v>21231259.074387118</v>
      </c>
      <c r="Y43" s="197">
        <f t="shared" ref="Y43" si="267">+X43+Y42</f>
        <v>18344094.203551345</v>
      </c>
      <c r="Z43" s="197">
        <f t="shared" ref="Z43" si="268">+Y43+Z42</f>
        <v>14057450.738463853</v>
      </c>
      <c r="AA43" s="197">
        <f t="shared" ref="AA43" si="269">+Z43+AA42</f>
        <v>9112137.6055254955</v>
      </c>
      <c r="AB43" s="197">
        <f t="shared" ref="AB43" si="270">+AA43+AB42</f>
        <v>5651254.1448833514</v>
      </c>
      <c r="AC43" s="197">
        <f t="shared" ref="AC43" si="271">+AB43+AC42</f>
        <v>7906194.002319742</v>
      </c>
      <c r="AD43" s="197">
        <f t="shared" ref="AD43" si="272">+AC43+AD42</f>
        <v>10136521.060376875</v>
      </c>
      <c r="AE43" s="197">
        <f t="shared" ref="AE43" si="273">+AD43+AE42</f>
        <v>12384897.504645465</v>
      </c>
      <c r="AF43" s="197">
        <f t="shared" ref="AF43" si="274">+AE43+AF42</f>
        <v>14651323.33512551</v>
      </c>
      <c r="AG43" s="197">
        <f t="shared" ref="AG43" si="275">+AF43+AG42</f>
        <v>16924312.578773357</v>
      </c>
      <c r="AH43" s="197">
        <f t="shared" ref="AH43" si="276">+AG43+AH42</f>
        <v>19182534.142793648</v>
      </c>
      <c r="AI43" s="197">
        <f t="shared" ref="AI43" si="277">+AH43+AI42</f>
        <v>21458805.093025394</v>
      </c>
      <c r="AJ43" s="197">
        <f t="shared" ref="AJ43" si="278">+AI43+AJ42</f>
        <v>20489449.987088852</v>
      </c>
      <c r="AK43" s="197">
        <f t="shared" ref="AK43" si="279">+AJ43+AK42</f>
        <v>17703161.146742385</v>
      </c>
      <c r="AL43" s="197">
        <f t="shared" ref="AL43" si="280">+AK43+AL42</f>
        <v>13566290.762246506</v>
      </c>
      <c r="AM43" s="197">
        <f t="shared" ref="AM43" si="281">+AL43+AM42</f>
        <v>8793764.2835850343</v>
      </c>
      <c r="AN43" s="197">
        <f t="shared" ref="AN43" si="282">+AM43+AN42</f>
        <v>5453802.2808832601</v>
      </c>
      <c r="AO43" s="197">
        <f t="shared" ref="AO43" si="283">+AN43+AO42</f>
        <v>7653773.5530393105</v>
      </c>
      <c r="AP43" s="197">
        <f t="shared" ref="AP43" si="284">+AO43+AP42</f>
        <v>9837336.2922758572</v>
      </c>
      <c r="AQ43" s="197">
        <f t="shared" ref="AQ43" si="285">+AP43+AQ42</f>
        <v>12042230.124307759</v>
      </c>
      <c r="AR43" s="197">
        <f t="shared" ref="AR43" si="286">+AQ43+AR42</f>
        <v>14271736.755718919</v>
      </c>
      <c r="AS43" s="197">
        <f t="shared" ref="AS43" si="287">+AR43+AS42</f>
        <v>16518472.346695557</v>
      </c>
      <c r="AT43" s="197">
        <f t="shared" ref="AT43" si="288">+AS43+AT42</f>
        <v>18761105.80444232</v>
      </c>
      <c r="AU43" s="197">
        <f t="shared" ref="AU43" si="289">+AT43+AU42</f>
        <v>21025890.781630415</v>
      </c>
      <c r="AV43" s="197">
        <f t="shared" ref="AV43" si="290">+AU43+AV42</f>
        <v>20076091.643342797</v>
      </c>
      <c r="AW43" s="197">
        <f t="shared" ref="AW43" si="291">+AV43+AW42</f>
        <v>17346013.962445192</v>
      </c>
      <c r="AX43" s="197">
        <f t="shared" ref="AX43" si="292">+AW43+AX42</f>
        <v>13292601.644979168</v>
      </c>
      <c r="AY43" s="197">
        <f t="shared" ref="AY43" si="293">+AX43+AY42</f>
        <v>8616357.0890607089</v>
      </c>
      <c r="AZ43" s="197">
        <f t="shared" ref="AZ43" si="294">+AY43+AZ42</f>
        <v>5343776.1611306602</v>
      </c>
      <c r="BA43" s="197">
        <f t="shared" ref="BA43" si="295">+AZ43+BA42</f>
        <v>7542106.5799947605</v>
      </c>
      <c r="BB43" s="197">
        <f t="shared" ref="BB43" si="296">+BA43+BB42</f>
        <v>9725669.3192313071</v>
      </c>
      <c r="BC43" s="197">
        <f t="shared" ref="BC43" si="297">+BB43+BC42</f>
        <v>11931383.577909185</v>
      </c>
      <c r="BD43" s="197">
        <f t="shared" ref="BD43" si="298">+BC43+BD42</f>
        <v>14161710.63596632</v>
      </c>
      <c r="BE43" s="197">
        <f t="shared" ref="BE43" si="299">+BD43+BE42</f>
        <v>16410087.080234909</v>
      </c>
      <c r="BF43" s="197">
        <f t="shared" ref="BF43" si="300">+BE43+BF42</f>
        <v>18660104.37779545</v>
      </c>
      <c r="BG43" s="197">
        <f t="shared" ref="BG43" si="301">+BF43+BG42</f>
        <v>20932273.194797322</v>
      </c>
      <c r="BH43" s="197">
        <f t="shared" ref="BH43" si="302">+BG43+BH42</f>
        <v>19986703.028505519</v>
      </c>
      <c r="BI43" s="197">
        <f t="shared" ref="BI43" si="303">+BH43+BI42</f>
        <v>17268780.993568745</v>
      </c>
      <c r="BJ43" s="197">
        <f t="shared" ref="BJ43" si="304">+BI43+BJ42</f>
        <v>13233416.457456756</v>
      </c>
      <c r="BK43" s="197">
        <f t="shared" ref="BK43" si="305">+BJ43+BK42</f>
        <v>8577992.8377503771</v>
      </c>
      <c r="BL43" s="197">
        <f t="shared" ref="BL43" si="306">+BK43+BL42</f>
        <v>5319983.046537945</v>
      </c>
      <c r="BM43" s="197">
        <f t="shared" ref="BM43" si="307">+BL43+BM42</f>
        <v>7538003.7049054503</v>
      </c>
      <c r="BN43" s="197">
        <f t="shared" ref="BN43" si="308">+BM43+BN42</f>
        <v>9746179.2435212526</v>
      </c>
      <c r="BO43" s="197">
        <f t="shared" ref="BO43" si="309">+BN43+BO42</f>
        <v>11976506.301578388</v>
      </c>
      <c r="BP43" s="197">
        <f t="shared" ref="BP43" si="310">+BO43+BP42</f>
        <v>14231446.159014778</v>
      </c>
      <c r="BQ43" s="197">
        <f t="shared" ref="BQ43" si="311">+BP43+BQ42</f>
        <v>16506896.68260055</v>
      </c>
      <c r="BR43" s="197">
        <f t="shared" ref="BR43" si="312">+BQ43+BR42</f>
        <v>18784808.486124247</v>
      </c>
      <c r="BS43" s="197">
        <f t="shared" ref="BS43" si="313">+BR43+BS42</f>
        <v>21087333.089027204</v>
      </c>
      <c r="BT43" s="197">
        <f t="shared" ref="BT43" si="314">+BS43+BT42</f>
        <v>20134758.427399054</v>
      </c>
      <c r="BU43" s="197">
        <f t="shared" ref="BU43" si="315">+BT43+BU42</f>
        <v>17396702.855156492</v>
      </c>
      <c r="BV43" s="197">
        <f t="shared" ref="BV43" si="316">+BU43+BV42</f>
        <v>13331445.56958889</v>
      </c>
      <c r="BW43" s="197">
        <f t="shared" ref="BW43" si="317">+BV43+BW42</f>
        <v>8641535.9918907918</v>
      </c>
      <c r="BX43" s="197">
        <f t="shared" ref="BX43" si="318">+BW43+BX42</f>
        <v>5359391.8580332007</v>
      </c>
      <c r="BY43" s="197">
        <f t="shared" ref="BY43" si="319">+BX43+BY42</f>
        <v>7606947.875655815</v>
      </c>
      <c r="BZ43" s="197">
        <f t="shared" ref="BZ43" si="320">+BY43+BZ42</f>
        <v>9844658.7735267263</v>
      </c>
      <c r="CA43" s="197">
        <f t="shared" ref="CA43" si="321">+BZ43+CA42</f>
        <v>12105341.617484944</v>
      </c>
      <c r="CB43" s="197">
        <f t="shared" ref="CB43" si="322">+CA43+CB42</f>
        <v>14392278.114114368</v>
      </c>
      <c r="CC43" s="197">
        <f t="shared" ref="CC43" si="323">+CB43+CC42</f>
        <v>16702186.556831099</v>
      </c>
      <c r="CD43" s="197">
        <f t="shared" ref="CD43" si="324">+CC43+CD42</f>
        <v>19016197.132777706</v>
      </c>
      <c r="CE43" s="197">
        <f t="shared" ref="CE43" si="325">+CD43+CE42</f>
        <v>19016197.132777706</v>
      </c>
      <c r="CF43" s="197">
        <f t="shared" ref="CF43" si="326">+CE43+CF42</f>
        <v>19016197.132777706</v>
      </c>
      <c r="CG43" s="230"/>
      <c r="CH43" s="230"/>
      <c r="CI43" s="230"/>
      <c r="CJ43" s="230"/>
    </row>
    <row r="44" spans="1:88" x14ac:dyDescent="0.2">
      <c r="B44" s="226" t="s">
        <v>430</v>
      </c>
      <c r="C44" s="498"/>
      <c r="D44" s="498"/>
      <c r="E44" s="498"/>
      <c r="F44" s="498"/>
      <c r="G44" s="498"/>
      <c r="H44" s="233"/>
      <c r="I44" s="233">
        <f>I43/I41</f>
        <v>2.6995390136824842</v>
      </c>
      <c r="J44" s="233"/>
      <c r="K44" s="233">
        <f>K43/K41</f>
        <v>2.7721936240370053</v>
      </c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>
        <f>W43/W41</f>
        <v>2.9046221729270569</v>
      </c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>
        <f>AI43/AI41</f>
        <v>2.8031361934335153</v>
      </c>
      <c r="AJ44" s="233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233">
        <f>AU43/AU41</f>
        <v>2.7465851520467313</v>
      </c>
      <c r="AV44" s="233"/>
      <c r="AW44" s="233"/>
      <c r="AX44" s="233"/>
      <c r="AY44" s="233"/>
      <c r="AZ44" s="233"/>
      <c r="BA44" s="233"/>
      <c r="BB44" s="233"/>
      <c r="BC44" s="233"/>
      <c r="BD44" s="233"/>
      <c r="BE44" s="233"/>
      <c r="BF44" s="233"/>
      <c r="BG44" s="233">
        <f>BG43/BG41</f>
        <v>2.7343560067212516</v>
      </c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R44" s="233"/>
      <c r="BS44" s="233">
        <f>BS43/BS41</f>
        <v>2.7546112818766715</v>
      </c>
      <c r="BT44" s="233"/>
      <c r="BU44" s="233"/>
      <c r="BV44" s="233"/>
      <c r="BW44" s="233"/>
      <c r="BX44" s="233"/>
      <c r="BY44" s="233"/>
      <c r="BZ44" s="233"/>
      <c r="CA44" s="233"/>
      <c r="CB44" s="233"/>
      <c r="CC44" s="233"/>
      <c r="CD44" s="233"/>
      <c r="CE44" s="233">
        <f>CE43/CE41</f>
        <v>2.7803017273968886</v>
      </c>
      <c r="CF44" s="233"/>
      <c r="CG44" s="224"/>
      <c r="CH44" s="224"/>
      <c r="CI44" s="224"/>
      <c r="CJ44" s="224"/>
    </row>
    <row r="45" spans="1:88" x14ac:dyDescent="0.2">
      <c r="C45" s="469"/>
      <c r="D45" s="469"/>
      <c r="E45" s="469"/>
      <c r="F45" s="469"/>
      <c r="G45" s="469"/>
      <c r="H45" s="469"/>
      <c r="I45" s="469"/>
      <c r="J45" s="46"/>
      <c r="K45" s="469"/>
      <c r="L45" s="46"/>
      <c r="M45" s="46"/>
      <c r="N45" s="46"/>
      <c r="O45" s="46"/>
      <c r="P45" s="46"/>
      <c r="Q45" s="46"/>
      <c r="R45" s="46"/>
      <c r="S45" s="46"/>
      <c r="T45" s="46">
        <f>T46-S46</f>
        <v>493862.14285714272</v>
      </c>
      <c r="U45" s="46"/>
      <c r="V45" s="46"/>
      <c r="W45" s="46"/>
      <c r="X45" s="46"/>
      <c r="Y45" s="46"/>
      <c r="Z45" s="46"/>
      <c r="AA45" s="46"/>
      <c r="AB45" s="46"/>
      <c r="AC45" s="232"/>
      <c r="AD45" s="246"/>
      <c r="AE45" s="246"/>
      <c r="AF45" s="246"/>
      <c r="AG45" s="246"/>
      <c r="AH45" s="226"/>
      <c r="AI45" s="226"/>
      <c r="AJ45" s="226"/>
      <c r="AK45" s="226"/>
      <c r="AL45" s="226"/>
      <c r="AM45" s="226"/>
      <c r="AN45" s="226"/>
      <c r="AO45" s="226"/>
      <c r="AP45" s="226"/>
      <c r="AQ45" s="226"/>
      <c r="AR45" s="226"/>
      <c r="AS45" s="226"/>
      <c r="AT45" s="226"/>
      <c r="AU45" s="226"/>
      <c r="AV45" s="226"/>
      <c r="AW45" s="226"/>
      <c r="AX45" s="226"/>
      <c r="AY45" s="226"/>
      <c r="AZ45" s="226"/>
      <c r="BA45" s="226"/>
      <c r="BB45" s="226"/>
      <c r="BC45" s="226"/>
      <c r="BD45" s="226"/>
      <c r="BE45" s="226"/>
      <c r="BF45" s="226"/>
      <c r="BG45" s="226"/>
      <c r="BH45" s="226"/>
      <c r="BI45" s="226"/>
      <c r="BJ45" s="226"/>
      <c r="BK45" s="226"/>
      <c r="BL45" s="226"/>
      <c r="BM45" s="226"/>
      <c r="BN45" s="226"/>
      <c r="BO45" s="226"/>
      <c r="BP45" s="226"/>
      <c r="BQ45" s="226"/>
      <c r="BR45" s="226"/>
      <c r="BS45" s="226"/>
      <c r="BT45" s="226"/>
      <c r="BU45" s="226"/>
      <c r="BV45" s="226"/>
      <c r="BW45" s="226"/>
      <c r="BX45" s="226"/>
      <c r="BY45" s="226"/>
      <c r="BZ45" s="226"/>
      <c r="CA45" s="226"/>
      <c r="CB45" s="226"/>
      <c r="CC45" s="226"/>
      <c r="CD45" s="226"/>
      <c r="CE45" s="226"/>
      <c r="CF45" s="226"/>
    </row>
    <row r="46" spans="1:88" x14ac:dyDescent="0.2">
      <c r="B46" s="226" t="s">
        <v>631</v>
      </c>
      <c r="C46" s="170">
        <v>-3028007</v>
      </c>
      <c r="D46" s="170">
        <v>-3721625</v>
      </c>
      <c r="E46" s="170">
        <v>-3195502</v>
      </c>
      <c r="F46" s="170">
        <v>-3009530</v>
      </c>
      <c r="G46" s="170">
        <v>-2284401</v>
      </c>
      <c r="H46" s="170">
        <v>-1664389</v>
      </c>
      <c r="I46" s="46">
        <f>H46+I19-I14</f>
        <v>-1170526.8571428573</v>
      </c>
      <c r="J46" s="46">
        <f t="shared" ref="J46" si="327">I46+J19-J14</f>
        <v>-676664.71428571444</v>
      </c>
      <c r="K46" s="46">
        <f>J46+K19-K14</f>
        <v>-182802.57142857159</v>
      </c>
      <c r="L46" s="46">
        <f t="shared" ref="L46" si="328">K46+L19-L14</f>
        <v>-566917.57142857159</v>
      </c>
      <c r="M46" s="46">
        <f t="shared" ref="M46" si="329">L46+M19-M14</f>
        <v>-1335147.5714285716</v>
      </c>
      <c r="N46" s="46">
        <f t="shared" ref="N46" si="330">M46+N19-N14</f>
        <v>-2257023.5714285718</v>
      </c>
      <c r="O46" s="46">
        <f t="shared" ref="O46" si="331">N46+O19-O14</f>
        <v>-3063665.0714285718</v>
      </c>
      <c r="P46" s="46">
        <f t="shared" ref="P46" si="332">O46+P19-P14</f>
        <v>-3639837.5714285718</v>
      </c>
      <c r="Q46" s="46">
        <f t="shared" ref="Q46" si="333">P46+Q19-Q14</f>
        <v>-3145975.4285714291</v>
      </c>
      <c r="R46" s="46">
        <f t="shared" ref="R46" si="334">Q46+R19-R14</f>
        <v>-2652113.2857142864</v>
      </c>
      <c r="S46" s="46">
        <f t="shared" ref="S46" si="335">R46+S19-S14</f>
        <v>-2158251.1428571437</v>
      </c>
      <c r="T46" s="46">
        <f t="shared" ref="T46" si="336">S46+T19-T14</f>
        <v>-1664389.0000000009</v>
      </c>
      <c r="U46" s="46">
        <f t="shared" ref="U46" si="337">T46+U19-U14</f>
        <v>-1170526.8571428582</v>
      </c>
      <c r="V46" s="46">
        <f t="shared" ref="V46" si="338">U46+V19-V14</f>
        <v>-676664.71428571537</v>
      </c>
      <c r="W46" s="46">
        <f t="shared" ref="W46" si="339">V46+W19-W14</f>
        <v>-182802.57142857253</v>
      </c>
      <c r="X46" s="46">
        <f t="shared" ref="X46" si="340">W46+X19-X14</f>
        <v>-566917.57142857253</v>
      </c>
      <c r="Y46" s="46">
        <f t="shared" ref="Y46" si="341">X46+Y19-Y14</f>
        <v>-1335147.5714285725</v>
      </c>
      <c r="Z46" s="46">
        <f t="shared" ref="Z46" si="342">Y46+Z19-Z14</f>
        <v>-2257023.5714285728</v>
      </c>
      <c r="AA46" s="46">
        <f t="shared" ref="AA46" si="343">Z46+AA19-AA14</f>
        <v>-3063665.0714285728</v>
      </c>
      <c r="AB46" s="46">
        <f t="shared" ref="AB46" si="344">AA46+AB19-AB14</f>
        <v>-3639837.5714285728</v>
      </c>
      <c r="AC46" s="46">
        <f t="shared" ref="AC46" si="345">AB46+AC19-AC14</f>
        <v>-3145975.42857143</v>
      </c>
      <c r="AD46" s="46">
        <f t="shared" ref="AD46" si="346">AC46+AD19-AD14</f>
        <v>-2652113.2857142873</v>
      </c>
      <c r="AE46" s="46">
        <f t="shared" ref="AE46" si="347">AD46+AE19-AE14</f>
        <v>-2158251.1428571446</v>
      </c>
      <c r="AF46" s="46">
        <f t="shared" ref="AF46" si="348">AE46+AF19-AF14</f>
        <v>-1664389.0000000019</v>
      </c>
      <c r="AG46" s="46">
        <f t="shared" ref="AG46" si="349">AF46+AG19-AG14</f>
        <v>-1170526.8571428591</v>
      </c>
      <c r="AH46" s="46">
        <f t="shared" ref="AH46" si="350">AG46+AH19-AH14</f>
        <v>-676664.7142857163</v>
      </c>
      <c r="AI46" s="46">
        <f t="shared" ref="AI46" si="351">AH46+AI19-AI14</f>
        <v>-182802.57142857346</v>
      </c>
      <c r="AJ46" s="46">
        <f t="shared" ref="AJ46" si="352">AI46+AJ19-AJ14</f>
        <v>-566917.57142857346</v>
      </c>
      <c r="AK46" s="46">
        <f t="shared" ref="AK46" si="353">AJ46+AK19-AK14</f>
        <v>-1335147.5714285735</v>
      </c>
      <c r="AL46" s="46">
        <f t="shared" ref="AL46" si="354">AK46+AL19-AL14</f>
        <v>-2257023.5714285737</v>
      </c>
      <c r="AM46" s="46">
        <f t="shared" ref="AM46" si="355">AL46+AM19-AM14</f>
        <v>-3063665.0714285737</v>
      </c>
      <c r="AN46" s="46">
        <f t="shared" ref="AN46" si="356">AM46+AN19-AN14</f>
        <v>-3639837.5714285737</v>
      </c>
      <c r="AO46" s="46">
        <f t="shared" ref="AO46" si="357">AN46+AO19-AO14</f>
        <v>-3145975.428571431</v>
      </c>
      <c r="AP46" s="46">
        <f t="shared" ref="AP46" si="358">AO46+AP19-AP14</f>
        <v>-2652113.2857142882</v>
      </c>
      <c r="AQ46" s="46">
        <f t="shared" ref="AQ46" si="359">AP46+AQ19-AQ14</f>
        <v>-2158251.1428571455</v>
      </c>
      <c r="AR46" s="46">
        <f t="shared" ref="AR46" si="360">AQ46+AR19-AR14</f>
        <v>-1664389.0000000028</v>
      </c>
      <c r="AS46" s="46">
        <f t="shared" ref="AS46" si="361">AR46+AS19-AS14</f>
        <v>-1170526.8571428601</v>
      </c>
      <c r="AT46" s="46">
        <f t="shared" ref="AT46" si="362">AS46+AT19-AT14</f>
        <v>-676664.71428571723</v>
      </c>
      <c r="AU46" s="46">
        <f t="shared" ref="AU46" si="363">AT46+AU19-AU14</f>
        <v>-182802.57142857439</v>
      </c>
      <c r="AV46" s="46">
        <f t="shared" ref="AV46" si="364">AU46+AV19-AV14</f>
        <v>-566917.57142857439</v>
      </c>
      <c r="AW46" s="46">
        <f t="shared" ref="AW46" si="365">AV46+AW19-AW14</f>
        <v>-1335147.5714285744</v>
      </c>
      <c r="AX46" s="46">
        <f t="shared" ref="AX46" si="366">AW46+AX19-AX14</f>
        <v>-2257023.5714285746</v>
      </c>
      <c r="AY46" s="46">
        <f t="shared" ref="AY46" si="367">AX46+AY19-AY14</f>
        <v>-3063665.0714285746</v>
      </c>
      <c r="AZ46" s="46">
        <f t="shared" ref="AZ46" si="368">AY46+AZ19-AZ14</f>
        <v>-3639837.5714285746</v>
      </c>
      <c r="BA46" s="46">
        <f t="shared" ref="BA46" si="369">AZ46+BA19-BA14</f>
        <v>-3145975.4285714319</v>
      </c>
      <c r="BB46" s="46">
        <f t="shared" ref="BB46" si="370">BA46+BB19-BB14</f>
        <v>-2652113.2857142892</v>
      </c>
      <c r="BC46" s="46">
        <f t="shared" ref="BC46" si="371">BB46+BC19-BC14</f>
        <v>-2158251.1428571464</v>
      </c>
      <c r="BD46" s="46">
        <f t="shared" ref="BD46" si="372">BC46+BD19-BD14</f>
        <v>-1664389.0000000037</v>
      </c>
      <c r="BE46" s="46">
        <f t="shared" ref="BE46" si="373">BD46+BE19-BE14</f>
        <v>-1170526.857142861</v>
      </c>
      <c r="BF46" s="46">
        <f t="shared" ref="BF46" si="374">BE46+BF19-BF14</f>
        <v>-676664.71428571816</v>
      </c>
      <c r="BG46" s="46">
        <f t="shared" ref="BG46" si="375">BF46+BG19-BG14</f>
        <v>-182802.57142857532</v>
      </c>
      <c r="BH46" s="46">
        <f t="shared" ref="BH46" si="376">BG46+BH19-BH14</f>
        <v>-566917.57142857532</v>
      </c>
      <c r="BI46" s="46">
        <f t="shared" ref="BI46" si="377">BH46+BI19-BI14</f>
        <v>-1335147.5714285753</v>
      </c>
      <c r="BJ46" s="46">
        <f t="shared" ref="BJ46" si="378">BI46+BJ19-BJ14</f>
        <v>-2257023.5714285756</v>
      </c>
      <c r="BK46" s="46">
        <f t="shared" ref="BK46" si="379">BJ46+BK19-BK14</f>
        <v>-3063665.0714285756</v>
      </c>
      <c r="BL46" s="46">
        <f t="shared" ref="BL46" si="380">BK46+BL19-BL14</f>
        <v>-3639837.5714285756</v>
      </c>
      <c r="BM46" s="46">
        <f t="shared" ref="BM46" si="381">BL46+BM19-BM14</f>
        <v>-3145975.4285714328</v>
      </c>
      <c r="BN46" s="46">
        <f t="shared" ref="BN46" si="382">BM46+BN19-BN14</f>
        <v>-2652113.2857142901</v>
      </c>
      <c r="BO46" s="46">
        <f t="shared" ref="BO46" si="383">BN46+BO19-BO14</f>
        <v>-2158251.1428571474</v>
      </c>
      <c r="BP46" s="46">
        <f t="shared" ref="BP46" si="384">BO46+BP19-BP14</f>
        <v>-1664389.0000000047</v>
      </c>
      <c r="BQ46" s="46">
        <f t="shared" ref="BQ46" si="385">BP46+BQ19-BQ14</f>
        <v>-1170526.8571428619</v>
      </c>
      <c r="BR46" s="46">
        <f t="shared" ref="BR46" si="386">BQ46+BR19-BR14</f>
        <v>-676664.71428571909</v>
      </c>
      <c r="BS46" s="46">
        <f t="shared" ref="BS46" si="387">BR46+BS19-BS14</f>
        <v>-182802.57142857625</v>
      </c>
      <c r="BT46" s="46">
        <f t="shared" ref="BT46" si="388">BS46+BT19-BT14</f>
        <v>-566917.57142857625</v>
      </c>
      <c r="BU46" s="46">
        <f t="shared" ref="BU46" si="389">BT46+BU19-BU14</f>
        <v>-1335147.5714285763</v>
      </c>
      <c r="BV46" s="46">
        <f t="shared" ref="BV46" si="390">BU46+BV19-BV14</f>
        <v>-2257023.5714285765</v>
      </c>
      <c r="BW46" s="46">
        <f t="shared" ref="BW46" si="391">BV46+BW19-BW14</f>
        <v>-3063665.0714285765</v>
      </c>
      <c r="BX46" s="46">
        <f t="shared" ref="BX46" si="392">BW46+BX19-BX14</f>
        <v>-3639837.5714285765</v>
      </c>
      <c r="BY46" s="46">
        <f t="shared" ref="BY46" si="393">BX46+BY19-BY14</f>
        <v>-3145975.4285714338</v>
      </c>
      <c r="BZ46" s="46">
        <f t="shared" ref="BZ46" si="394">BY46+BZ19-BZ14</f>
        <v>-2652113.285714291</v>
      </c>
      <c r="CA46" s="46">
        <f t="shared" ref="CA46" si="395">BZ46+CA19-CA14</f>
        <v>-2158251.1428571483</v>
      </c>
      <c r="CB46" s="46">
        <f t="shared" ref="CB46" si="396">CA46+CB19-CB14</f>
        <v>-1664389.0000000056</v>
      </c>
      <c r="CC46" s="46">
        <f t="shared" ref="CC46" si="397">CB46+CC19-CC14</f>
        <v>-1170526.8571428629</v>
      </c>
      <c r="CD46" s="46">
        <f t="shared" ref="CD46" si="398">CC46+CD19-CD14</f>
        <v>-676664.71428572002</v>
      </c>
      <c r="CE46" s="46">
        <f t="shared" ref="CE46" si="399">CD46+CE19-CE14</f>
        <v>-676664.71428572002</v>
      </c>
      <c r="CF46" s="46">
        <f t="shared" ref="CF46" si="400">CE46+CF19-CF14</f>
        <v>-676664.71428572002</v>
      </c>
    </row>
    <row r="47" spans="1:88" x14ac:dyDescent="0.2">
      <c r="B47" s="226" t="s">
        <v>431</v>
      </c>
      <c r="C47" s="46"/>
      <c r="D47" s="46">
        <f>D48-C48</f>
        <v>-4829780.59</v>
      </c>
      <c r="E47" s="46">
        <f t="shared" ref="E47:H47" si="401">E48-D48</f>
        <v>1754324.5199999996</v>
      </c>
      <c r="F47" s="46">
        <f t="shared" si="401"/>
        <v>522301.61000000127</v>
      </c>
      <c r="G47" s="46">
        <f t="shared" si="401"/>
        <v>2486410.6499999994</v>
      </c>
      <c r="H47" s="46">
        <f t="shared" si="401"/>
        <v>2029026.1900000004</v>
      </c>
      <c r="I47" s="46">
        <f t="shared" ref="I47:J47" si="402">+(I34+I35+I36)*I19</f>
        <v>1501067.3577758856</v>
      </c>
      <c r="J47" s="46">
        <f t="shared" si="402"/>
        <v>1496298.6225400898</v>
      </c>
      <c r="K47" s="46">
        <f>+(K34+K35+K36)*K19</f>
        <v>1509661.0160653933</v>
      </c>
      <c r="L47" s="46">
        <f>-L14*K49</f>
        <v>-1134132.2452835729</v>
      </c>
      <c r="M47" s="46">
        <f>-M14*K49</f>
        <v>-2268264.4905671463</v>
      </c>
      <c r="N47" s="46">
        <f>-N14*K49</f>
        <v>-2721917.3886805754</v>
      </c>
      <c r="O47" s="46">
        <f>-O14*K49</f>
        <v>-2381677.7150955037</v>
      </c>
      <c r="P47" s="46">
        <f>-P14*K49</f>
        <v>-1701198.3679253596</v>
      </c>
      <c r="Q47" s="46">
        <f t="shared" ref="Q47:W47" si="403">+(Q34+Q35+Q36)*Q19</f>
        <v>1457602.3230746184</v>
      </c>
      <c r="R47" s="46">
        <f t="shared" si="403"/>
        <v>1440713.0524478403</v>
      </c>
      <c r="S47" s="46">
        <f t="shared" si="403"/>
        <v>1453131.6337910597</v>
      </c>
      <c r="T47" s="46">
        <f t="shared" si="403"/>
        <v>1466046.9583880075</v>
      </c>
      <c r="U47" s="46">
        <f t="shared" si="403"/>
        <v>1468033.9314029226</v>
      </c>
      <c r="V47" s="46">
        <f t="shared" si="403"/>
        <v>1456112.0933134321</v>
      </c>
      <c r="W47" s="46">
        <f t="shared" si="403"/>
        <v>1465550.2151342786</v>
      </c>
      <c r="X47" s="46">
        <f>-X14*W49</f>
        <v>-1064532.9960666869</v>
      </c>
      <c r="Y47" s="46">
        <f>-Y14*W49</f>
        <v>-2129065.9921333739</v>
      </c>
      <c r="Z47" s="46">
        <f>-Z14*W49</f>
        <v>-2554879.1905600489</v>
      </c>
      <c r="AA47" s="46">
        <f>-AA14*W49</f>
        <v>-2235519.2917400426</v>
      </c>
      <c r="AB47" s="46">
        <f>-AB14*W49</f>
        <v>-1596799.4941000305</v>
      </c>
      <c r="AC47" s="46">
        <f t="shared" ref="AC47:AI47" si="404">+(AC34+AC35+AC36)*AC19</f>
        <v>1366698.3076422536</v>
      </c>
      <c r="AD47" s="46">
        <f t="shared" si="404"/>
        <v>1351796.0100303905</v>
      </c>
      <c r="AE47" s="46">
        <f t="shared" si="404"/>
        <v>1362724.3616124233</v>
      </c>
      <c r="AF47" s="46">
        <f t="shared" si="404"/>
        <v>1373652.7131944564</v>
      </c>
      <c r="AG47" s="46">
        <f t="shared" si="404"/>
        <v>1377626.6592242864</v>
      </c>
      <c r="AH47" s="46">
        <f t="shared" si="404"/>
        <v>1368685.2806571687</v>
      </c>
      <c r="AI47" s="46">
        <f t="shared" si="404"/>
        <v>1379613.6322392016</v>
      </c>
      <c r="AJ47" s="46">
        <f>-AJ14*AI49</f>
        <v>-1048692.4056422247</v>
      </c>
      <c r="AK47" s="46">
        <f>-AK14*AI49</f>
        <v>-2097384.8112844499</v>
      </c>
      <c r="AL47" s="46">
        <f>-AL14*AI49</f>
        <v>-2516861.7735413401</v>
      </c>
      <c r="AM47" s="46">
        <f>-AM14*AI49</f>
        <v>-2202254.0518486723</v>
      </c>
      <c r="AN47" s="46">
        <f>-AN14*AI49</f>
        <v>-1573038.6084633374</v>
      </c>
      <c r="AO47" s="46">
        <f t="shared" ref="AO47:AU47" si="405">+(AO34+AO35+AO36)*AO19</f>
        <v>1333416.5096424259</v>
      </c>
      <c r="AP47" s="46">
        <f t="shared" si="405"/>
        <v>1323481.6445678507</v>
      </c>
      <c r="AQ47" s="46">
        <f t="shared" si="405"/>
        <v>1336396.9691647985</v>
      </c>
      <c r="AR47" s="46">
        <f t="shared" si="405"/>
        <v>1351299.2667766616</v>
      </c>
      <c r="AS47" s="46">
        <f t="shared" si="405"/>
        <v>1361730.8751049656</v>
      </c>
      <c r="AT47" s="46">
        <f t="shared" si="405"/>
        <v>1359247.1588363219</v>
      </c>
      <c r="AU47" s="46">
        <f t="shared" si="405"/>
        <v>1372659.226686999</v>
      </c>
      <c r="AV47" s="46">
        <f>-AV14*AU49</f>
        <v>-1049796.2795394</v>
      </c>
      <c r="AW47" s="46">
        <f>-AW14*AU49</f>
        <v>-2099592.5590788</v>
      </c>
      <c r="AX47" s="46">
        <f>-AX14*AU49</f>
        <v>-2519511.0708945603</v>
      </c>
      <c r="AY47" s="46">
        <f>-AY14*AU49</f>
        <v>-2204572.1870327401</v>
      </c>
      <c r="AZ47" s="46">
        <f>-AZ14*AU49</f>
        <v>-1574694.4193091001</v>
      </c>
      <c r="BA47" s="46">
        <f t="shared" ref="BA47:BG47" si="406">+(BA34+BA35+BA36)*BA19</f>
        <v>1332423.0231349685</v>
      </c>
      <c r="BB47" s="46">
        <f t="shared" si="406"/>
        <v>1323481.6445678507</v>
      </c>
      <c r="BC47" s="46">
        <f t="shared" si="406"/>
        <v>1336893.7124185273</v>
      </c>
      <c r="BD47" s="46">
        <f t="shared" si="406"/>
        <v>1351796.0100303905</v>
      </c>
      <c r="BE47" s="46">
        <f t="shared" si="406"/>
        <v>1362724.3616124233</v>
      </c>
      <c r="BF47" s="46">
        <f t="shared" si="406"/>
        <v>1363717.848119881</v>
      </c>
      <c r="BG47" s="46">
        <f t="shared" si="406"/>
        <v>1377129.9159705576</v>
      </c>
      <c r="BH47" s="46">
        <f>-BH14*BG49</f>
        <v>-1061828.5050186082</v>
      </c>
      <c r="BI47" s="46">
        <f>-BI14*BG49</f>
        <v>-2123657.0100372164</v>
      </c>
      <c r="BJ47" s="46">
        <f>-BJ14*BG49</f>
        <v>-2548388.4120446597</v>
      </c>
      <c r="BK47" s="46">
        <f>-BK14*BG49</f>
        <v>-2229839.8605390773</v>
      </c>
      <c r="BL47" s="46">
        <f>-BL14*BG49</f>
        <v>-1592742.7575279123</v>
      </c>
      <c r="BM47" s="46">
        <f t="shared" ref="BM47:BS47" si="407">+(BM34+BM35+BM36)*BM19</f>
        <v>1344344.8612244588</v>
      </c>
      <c r="BN47" s="46">
        <f t="shared" si="407"/>
        <v>1338383.9421797136</v>
      </c>
      <c r="BO47" s="46">
        <f t="shared" si="407"/>
        <v>1351796.0100303905</v>
      </c>
      <c r="BP47" s="46">
        <f t="shared" si="407"/>
        <v>1366698.3076422536</v>
      </c>
      <c r="BQ47" s="46">
        <f t="shared" si="407"/>
        <v>1379116.888985473</v>
      </c>
      <c r="BR47" s="46">
        <f t="shared" si="407"/>
        <v>1380607.1187466593</v>
      </c>
      <c r="BS47" s="46">
        <f t="shared" si="407"/>
        <v>1395509.4163585224</v>
      </c>
      <c r="BT47" s="46">
        <f>-BT14*BS49</f>
        <v>-1072968.4324309325</v>
      </c>
      <c r="BU47" s="46">
        <f>-BU14*BS49</f>
        <v>-2145936.8648618655</v>
      </c>
      <c r="BV47" s="46">
        <f>-BV14*BS49</f>
        <v>-2575124.2378342384</v>
      </c>
      <c r="BW47" s="46">
        <f>-BW14*BS49</f>
        <v>-2253233.7081049588</v>
      </c>
      <c r="BX47" s="46">
        <f>-BX14*BS49</f>
        <v>-1609452.6486463989</v>
      </c>
      <c r="BY47" s="46">
        <f t="shared" ref="BY47:CE47" si="408">+(BY34+BY35+BY36)*BY19</f>
        <v>1362227.6183586945</v>
      </c>
      <c r="BZ47" s="46">
        <f t="shared" si="408"/>
        <v>1356266.6993139493</v>
      </c>
      <c r="CA47" s="46">
        <f t="shared" si="408"/>
        <v>1370175.5104183548</v>
      </c>
      <c r="CB47" s="46">
        <f t="shared" si="408"/>
        <v>1386071.2945376753</v>
      </c>
      <c r="CC47" s="46">
        <f t="shared" si="408"/>
        <v>1399980.105642081</v>
      </c>
      <c r="CD47" s="46">
        <f t="shared" si="408"/>
        <v>1402463.8219107247</v>
      </c>
      <c r="CE47" s="46">
        <f t="shared" si="408"/>
        <v>0</v>
      </c>
      <c r="CF47" s="46">
        <f t="shared" ref="CF47" si="409">-CF14*CE49</f>
        <v>0</v>
      </c>
      <c r="CG47" s="35"/>
      <c r="CH47" s="35"/>
      <c r="CI47" s="35"/>
      <c r="CJ47" s="35"/>
    </row>
    <row r="48" spans="1:88" x14ac:dyDescent="0.2">
      <c r="A48" s="46"/>
      <c r="B48" s="226" t="s">
        <v>429</v>
      </c>
      <c r="C48" s="170">
        <v>-6696544</v>
      </c>
      <c r="D48" s="170">
        <v>-11526324.59</v>
      </c>
      <c r="E48" s="170">
        <v>-9772000.0700000003</v>
      </c>
      <c r="F48" s="170">
        <v>-9249698.459999999</v>
      </c>
      <c r="G48" s="170">
        <v>-6763287.8099999996</v>
      </c>
      <c r="H48" s="170">
        <v>-4734261.6199999992</v>
      </c>
      <c r="I48" s="46">
        <f t="shared" ref="I48:K48" si="410">H48+I47</f>
        <v>-3233194.2622241136</v>
      </c>
      <c r="J48" s="46">
        <f t="shared" ref="J48" si="411">I48+J47</f>
        <v>-1736895.6396840238</v>
      </c>
      <c r="K48" s="46">
        <f t="shared" si="410"/>
        <v>-227234.62361863046</v>
      </c>
      <c r="L48" s="46">
        <f t="shared" ref="L48" si="412">K48+L47</f>
        <v>-1361366.8689022034</v>
      </c>
      <c r="M48" s="46">
        <f t="shared" ref="M48" si="413">L48+M47</f>
        <v>-3629631.3594693495</v>
      </c>
      <c r="N48" s="46">
        <f t="shared" ref="N48" si="414">M48+N47</f>
        <v>-6351548.7481499249</v>
      </c>
      <c r="O48" s="46">
        <f t="shared" ref="O48" si="415">N48+O47</f>
        <v>-8733226.4632454291</v>
      </c>
      <c r="P48" s="46">
        <f t="shared" ref="P48" si="416">O48+P47</f>
        <v>-10434424.831170788</v>
      </c>
      <c r="Q48" s="46">
        <f t="shared" ref="Q48" si="417">P48+Q47</f>
        <v>-8976822.5080961697</v>
      </c>
      <c r="R48" s="46">
        <f t="shared" ref="R48" si="418">Q48+R47</f>
        <v>-7536109.4556483291</v>
      </c>
      <c r="S48" s="46">
        <f t="shared" ref="S48" si="419">R48+S47</f>
        <v>-6082977.8218572699</v>
      </c>
      <c r="T48" s="46">
        <f t="shared" ref="T48" si="420">S48+T47</f>
        <v>-4616930.8634692626</v>
      </c>
      <c r="U48" s="46">
        <f t="shared" ref="U48" si="421">T48+U47</f>
        <v>-3148896.93206634</v>
      </c>
      <c r="V48" s="46">
        <f t="shared" ref="V48" si="422">U48+V47</f>
        <v>-1692784.8387529079</v>
      </c>
      <c r="W48" s="46">
        <f t="shared" ref="W48" si="423">V48+W47</f>
        <v>-227234.6236186293</v>
      </c>
      <c r="X48" s="46">
        <f t="shared" ref="X48" si="424">W48+X47</f>
        <v>-1291767.6196853162</v>
      </c>
      <c r="Y48" s="46">
        <f t="shared" ref="Y48" si="425">X48+Y47</f>
        <v>-3420833.6118186899</v>
      </c>
      <c r="Z48" s="46">
        <f t="shared" ref="Z48" si="426">Y48+Z47</f>
        <v>-5975712.8023787383</v>
      </c>
      <c r="AA48" s="46">
        <f t="shared" ref="AA48" si="427">Z48+AA47</f>
        <v>-8211232.0941187814</v>
      </c>
      <c r="AB48" s="46">
        <f t="shared" ref="AB48" si="428">AA48+AB47</f>
        <v>-9808031.5882188119</v>
      </c>
      <c r="AC48" s="46">
        <f t="shared" ref="AC48" si="429">AB48+AC47</f>
        <v>-8441333.2805765588</v>
      </c>
      <c r="AD48" s="46">
        <f t="shared" ref="AD48" si="430">AC48+AD47</f>
        <v>-7089537.2705461681</v>
      </c>
      <c r="AE48" s="46">
        <f t="shared" ref="AE48" si="431">AD48+AE47</f>
        <v>-5726812.9089337448</v>
      </c>
      <c r="AF48" s="46">
        <f t="shared" ref="AF48" si="432">AE48+AF47</f>
        <v>-4353160.1957392879</v>
      </c>
      <c r="AG48" s="46">
        <f t="shared" ref="AG48" si="433">AF48+AG47</f>
        <v>-2975533.5365150012</v>
      </c>
      <c r="AH48" s="46">
        <f t="shared" ref="AH48" si="434">AG48+AH47</f>
        <v>-1606848.2558578325</v>
      </c>
      <c r="AI48" s="46">
        <f t="shared" ref="AI48" si="435">AH48+AI47</f>
        <v>-227234.62361863093</v>
      </c>
      <c r="AJ48" s="46">
        <f t="shared" ref="AJ48" si="436">AI48+AJ47</f>
        <v>-1275927.0292608556</v>
      </c>
      <c r="AK48" s="46">
        <f t="shared" ref="AK48" si="437">AJ48+AK47</f>
        <v>-3373311.8405453055</v>
      </c>
      <c r="AL48" s="46">
        <f t="shared" ref="AL48" si="438">AK48+AL47</f>
        <v>-5890173.6140866457</v>
      </c>
      <c r="AM48" s="46">
        <f t="shared" ref="AM48" si="439">AL48+AM47</f>
        <v>-8092427.665935318</v>
      </c>
      <c r="AN48" s="46">
        <f t="shared" ref="AN48" si="440">AM48+AN47</f>
        <v>-9665466.2743986547</v>
      </c>
      <c r="AO48" s="46">
        <f t="shared" ref="AO48" si="441">AN48+AO47</f>
        <v>-8332049.7647562288</v>
      </c>
      <c r="AP48" s="46">
        <f t="shared" ref="AP48" si="442">AO48+AP47</f>
        <v>-7008568.1201883778</v>
      </c>
      <c r="AQ48" s="46">
        <f t="shared" ref="AQ48" si="443">AP48+AQ47</f>
        <v>-5672171.1510235798</v>
      </c>
      <c r="AR48" s="46">
        <f t="shared" ref="AR48" si="444">AQ48+AR47</f>
        <v>-4320871.8842469184</v>
      </c>
      <c r="AS48" s="46">
        <f t="shared" ref="AS48" si="445">AR48+AS47</f>
        <v>-2959141.0091419527</v>
      </c>
      <c r="AT48" s="46">
        <f t="shared" ref="AT48" si="446">AS48+AT47</f>
        <v>-1599893.8503056308</v>
      </c>
      <c r="AU48" s="46">
        <f t="shared" ref="AU48" si="447">AT48+AU47</f>
        <v>-227234.62361863186</v>
      </c>
      <c r="AV48" s="46">
        <f t="shared" ref="AV48" si="448">AU48+AV47</f>
        <v>-1277030.9031580319</v>
      </c>
      <c r="AW48" s="46">
        <f t="shared" ref="AW48" si="449">AV48+AW47</f>
        <v>-3376623.4622368319</v>
      </c>
      <c r="AX48" s="46">
        <f t="shared" ref="AX48" si="450">AW48+AX47</f>
        <v>-5896134.5331313927</v>
      </c>
      <c r="AY48" s="46">
        <f t="shared" ref="AY48" si="451">AX48+AY47</f>
        <v>-8100706.7201641332</v>
      </c>
      <c r="AZ48" s="46">
        <f t="shared" ref="AZ48" si="452">AY48+AZ47</f>
        <v>-9675401.1394732334</v>
      </c>
      <c r="BA48" s="46">
        <f t="shared" ref="BA48" si="453">AZ48+BA47</f>
        <v>-8342978.1163382651</v>
      </c>
      <c r="BB48" s="46">
        <f t="shared" ref="BB48" si="454">BA48+BB47</f>
        <v>-7019496.4717704142</v>
      </c>
      <c r="BC48" s="46">
        <f t="shared" ref="BC48" si="455">BB48+BC47</f>
        <v>-5682602.7593518868</v>
      </c>
      <c r="BD48" s="46">
        <f t="shared" ref="BD48" si="456">BC48+BD47</f>
        <v>-4330806.7493214961</v>
      </c>
      <c r="BE48" s="46">
        <f t="shared" ref="BE48" si="457">BD48+BE47</f>
        <v>-2968082.3877090728</v>
      </c>
      <c r="BF48" s="46">
        <f t="shared" ref="BF48" si="458">BE48+BF47</f>
        <v>-1604364.5395891918</v>
      </c>
      <c r="BG48" s="46">
        <f t="shared" ref="BG48" si="459">BF48+BG47</f>
        <v>-227234.62361863418</v>
      </c>
      <c r="BH48" s="46">
        <f t="shared" ref="BH48" si="460">BG48+BH47</f>
        <v>-1289063.1286372424</v>
      </c>
      <c r="BI48" s="46">
        <f t="shared" ref="BI48" si="461">BH48+BI47</f>
        <v>-3412720.1386744585</v>
      </c>
      <c r="BJ48" s="46">
        <f t="shared" ref="BJ48" si="462">BI48+BJ47</f>
        <v>-5961108.5507191177</v>
      </c>
      <c r="BK48" s="46">
        <f t="shared" ref="BK48" si="463">BJ48+BK47</f>
        <v>-8190948.4112581946</v>
      </c>
      <c r="BL48" s="46">
        <f t="shared" ref="BL48" si="464">BK48+BL47</f>
        <v>-9783691.1687861066</v>
      </c>
      <c r="BM48" s="46">
        <f t="shared" ref="BM48" si="465">BL48+BM47</f>
        <v>-8439346.3075616471</v>
      </c>
      <c r="BN48" s="46">
        <f t="shared" ref="BN48" si="466">BM48+BN47</f>
        <v>-7100962.3653819337</v>
      </c>
      <c r="BO48" s="46">
        <f t="shared" ref="BO48" si="467">BN48+BO47</f>
        <v>-5749166.3553515431</v>
      </c>
      <c r="BP48" s="46">
        <f t="shared" ref="BP48" si="468">BO48+BP47</f>
        <v>-4382468.0477092899</v>
      </c>
      <c r="BQ48" s="46">
        <f t="shared" ref="BQ48" si="469">BP48+BQ47</f>
        <v>-3003351.1587238172</v>
      </c>
      <c r="BR48" s="46">
        <f t="shared" ref="BR48" si="470">BQ48+BR47</f>
        <v>-1622744.039977158</v>
      </c>
      <c r="BS48" s="46">
        <f t="shared" ref="BS48" si="471">BR48+BS47</f>
        <v>-227234.62361863558</v>
      </c>
      <c r="BT48" s="46">
        <f t="shared" ref="BT48" si="472">BS48+BT47</f>
        <v>-1300203.0560495681</v>
      </c>
      <c r="BU48" s="46">
        <f t="shared" ref="BU48" si="473">BT48+BU47</f>
        <v>-3446139.9209114336</v>
      </c>
      <c r="BV48" s="46">
        <f t="shared" ref="BV48" si="474">BU48+BV47</f>
        <v>-6021264.1587456726</v>
      </c>
      <c r="BW48" s="46">
        <f t="shared" ref="BW48" si="475">BV48+BW47</f>
        <v>-8274497.8668506313</v>
      </c>
      <c r="BX48" s="46">
        <f t="shared" ref="BX48" si="476">BW48+BX47</f>
        <v>-9883950.5154970307</v>
      </c>
      <c r="BY48" s="46">
        <f t="shared" ref="BY48" si="477">BX48+BY47</f>
        <v>-8521722.8971383367</v>
      </c>
      <c r="BZ48" s="46">
        <f t="shared" ref="BZ48" si="478">BY48+BZ47</f>
        <v>-7165456.1978243869</v>
      </c>
      <c r="CA48" s="46">
        <f t="shared" ref="CA48" si="479">BZ48+CA47</f>
        <v>-5795280.6874060323</v>
      </c>
      <c r="CB48" s="46">
        <f t="shared" ref="CB48" si="480">CA48+CB47</f>
        <v>-4409209.3928683568</v>
      </c>
      <c r="CC48" s="46">
        <f t="shared" ref="CC48" si="481">CB48+CC47</f>
        <v>-3009229.2872262755</v>
      </c>
      <c r="CD48" s="46">
        <f t="shared" ref="CD48" si="482">CC48+CD47</f>
        <v>-1606765.4653155508</v>
      </c>
      <c r="CE48" s="46">
        <f t="shared" ref="CE48" si="483">CD48+CE47</f>
        <v>-1606765.4653155508</v>
      </c>
      <c r="CF48" s="46">
        <f t="shared" ref="CF48" si="484">CE48+CF47</f>
        <v>-1606765.4653155508</v>
      </c>
      <c r="CG48" s="46"/>
      <c r="CH48" s="46"/>
      <c r="CI48" s="46"/>
      <c r="CJ48" s="46"/>
    </row>
    <row r="49" spans="1:88" x14ac:dyDescent="0.2">
      <c r="A49" s="635">
        <f>SUM(H47:N47)/SUM(H19:N19)</f>
        <v>0.2779041802151766</v>
      </c>
      <c r="B49" s="226" t="s">
        <v>432</v>
      </c>
      <c r="C49" s="233"/>
      <c r="D49" s="233"/>
      <c r="E49" s="233"/>
      <c r="F49" s="233"/>
      <c r="G49" s="233"/>
      <c r="H49" s="233">
        <f>H48/H46</f>
        <v>2.8444441894292734</v>
      </c>
      <c r="I49" s="233">
        <f>SUM(Q47:W47)/SUM(Q19:W19)</f>
        <v>2.9525851510187655</v>
      </c>
      <c r="J49" s="233"/>
      <c r="K49" s="233">
        <f>SUM(Q47:W47)/SUM(Q19:W19)</f>
        <v>2.9525851510187655</v>
      </c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233"/>
      <c r="W49" s="233">
        <f>SUM(AC47:AI47)/SUM(AC19:AI19)</f>
        <v>2.7713913699456856</v>
      </c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>
        <f>SUM(AO47:AU47)/SUM(AO19:AU19)</f>
        <v>2.7301521826594248</v>
      </c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233">
        <f>SUM(BA47:BG47)/SUM(BA19:BG19)</f>
        <v>2.73302599362014</v>
      </c>
      <c r="AV49" s="233"/>
      <c r="AW49" s="233"/>
      <c r="AX49" s="233"/>
      <c r="AY49" s="233"/>
      <c r="AZ49" s="233"/>
      <c r="BA49" s="233"/>
      <c r="BB49" s="233"/>
      <c r="BC49" s="233"/>
      <c r="BD49" s="233"/>
      <c r="BE49" s="233"/>
      <c r="BF49" s="233"/>
      <c r="BG49" s="233">
        <f>SUM(BM47:BS47)/SUM(BM19:BS19)</f>
        <v>2.764350533091934</v>
      </c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>
        <f>SUM(BY47:CE47)/SUM(BY19:CE19)</f>
        <v>2.7933520753704819</v>
      </c>
      <c r="BT49" s="233"/>
      <c r="BU49" s="233"/>
      <c r="BV49" s="233"/>
      <c r="BW49" s="233"/>
      <c r="BX49" s="233"/>
      <c r="BY49" s="233"/>
      <c r="BZ49" s="233"/>
      <c r="CA49" s="233"/>
      <c r="CB49" s="233"/>
      <c r="CC49" s="233"/>
      <c r="CD49" s="233"/>
      <c r="CE49" s="233">
        <f>SUM(BY47:CE47)/SUM(BY19:CE19)</f>
        <v>2.7933520753704819</v>
      </c>
      <c r="CF49" s="233"/>
      <c r="CG49" s="224"/>
      <c r="CH49" s="224"/>
      <c r="CI49" s="224"/>
      <c r="CJ49" s="224"/>
    </row>
    <row r="50" spans="1:88" x14ac:dyDescent="0.2">
      <c r="D50" s="498"/>
      <c r="E50" s="498"/>
      <c r="F50" s="498"/>
      <c r="G50" s="498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46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  <c r="BZ50" s="226"/>
      <c r="CA50" s="226"/>
      <c r="CB50" s="226"/>
      <c r="CC50" s="226"/>
      <c r="CD50" s="226"/>
      <c r="CE50" s="226"/>
    </row>
    <row r="51" spans="1:88" x14ac:dyDescent="0.2">
      <c r="A51" s="724"/>
      <c r="B51" s="724" t="s">
        <v>632</v>
      </c>
      <c r="C51" s="725">
        <f t="shared" ref="C51:F51" si="485">C48+C43</f>
        <v>2964921.2000000011</v>
      </c>
      <c r="D51" s="725">
        <f t="shared" si="485"/>
        <v>-4284643.93</v>
      </c>
      <c r="E51" s="725">
        <f t="shared" si="485"/>
        <v>-649000.08000000007</v>
      </c>
      <c r="F51" s="725">
        <f t="shared" si="485"/>
        <v>1419754.2300000004</v>
      </c>
      <c r="G51" s="725">
        <f>G48+G43</f>
        <v>5560691.2199999997</v>
      </c>
      <c r="H51" s="725">
        <f>H48+H43</f>
        <v>9050756.2200000007</v>
      </c>
      <c r="I51" s="725">
        <f t="shared" ref="I51:BT51" si="486">I48+I43</f>
        <v>13028688.842948576</v>
      </c>
      <c r="J51" s="725">
        <f t="shared" si="486"/>
        <v>16993976.634859994</v>
      </c>
      <c r="K51" s="725">
        <f t="shared" si="486"/>
        <v>20994696.29707345</v>
      </c>
      <c r="L51" s="725">
        <f t="shared" si="486"/>
        <v>18901909.224243507</v>
      </c>
      <c r="M51" s="725">
        <f t="shared" si="486"/>
        <v>13878112.49231467</v>
      </c>
      <c r="N51" s="725">
        <f t="shared" si="486"/>
        <v>7064989.785022811</v>
      </c>
      <c r="O51" s="725">
        <f t="shared" si="486"/>
        <v>-36532.61892009899</v>
      </c>
      <c r="P51" s="725">
        <f t="shared" si="486"/>
        <v>-5040824.6396281663</v>
      </c>
      <c r="Q51" s="725">
        <f t="shared" si="486"/>
        <v>-1178144.3829036904</v>
      </c>
      <c r="R51" s="725">
        <f t="shared" si="486"/>
        <v>2639752.0972308498</v>
      </c>
      <c r="S51" s="725">
        <f t="shared" si="486"/>
        <v>6490577.8248579893</v>
      </c>
      <c r="T51" s="725">
        <f t="shared" si="486"/>
        <v>10375649.969877433</v>
      </c>
      <c r="U51" s="725">
        <f t="shared" si="486"/>
        <v>14265990.794495691</v>
      </c>
      <c r="V51" s="725">
        <f t="shared" si="486"/>
        <v>18124719.541521054</v>
      </c>
      <c r="W51" s="725">
        <f t="shared" si="486"/>
        <v>22008474.516640794</v>
      </c>
      <c r="X51" s="725">
        <f t="shared" si="486"/>
        <v>19939491.454701804</v>
      </c>
      <c r="Y51" s="725">
        <f t="shared" si="486"/>
        <v>14923260.591732655</v>
      </c>
      <c r="Z51" s="725">
        <f t="shared" si="486"/>
        <v>8081737.9360851143</v>
      </c>
      <c r="AA51" s="725">
        <f t="shared" si="486"/>
        <v>900905.5114067141</v>
      </c>
      <c r="AB51" s="725">
        <f t="shared" si="486"/>
        <v>-4156777.4433354605</v>
      </c>
      <c r="AC51" s="725">
        <f t="shared" si="486"/>
        <v>-535139.27825681679</v>
      </c>
      <c r="AD51" s="725">
        <f t="shared" si="486"/>
        <v>3046983.789830707</v>
      </c>
      <c r="AE51" s="725">
        <f t="shared" si="486"/>
        <v>6658084.5957117202</v>
      </c>
      <c r="AF51" s="725">
        <f t="shared" si="486"/>
        <v>10298163.139386222</v>
      </c>
      <c r="AG51" s="725">
        <f t="shared" si="486"/>
        <v>13948779.042258356</v>
      </c>
      <c r="AH51" s="725">
        <f t="shared" si="486"/>
        <v>17575685.886935815</v>
      </c>
      <c r="AI51" s="725">
        <f t="shared" si="486"/>
        <v>21231570.469406761</v>
      </c>
      <c r="AJ51" s="725">
        <f t="shared" si="486"/>
        <v>19213522.957827996</v>
      </c>
      <c r="AK51" s="725">
        <f t="shared" si="486"/>
        <v>14329849.306197079</v>
      </c>
      <c r="AL51" s="725">
        <f t="shared" si="486"/>
        <v>7676117.1481598606</v>
      </c>
      <c r="AM51" s="725">
        <f t="shared" si="486"/>
        <v>701336.61764971633</v>
      </c>
      <c r="AN51" s="725">
        <f t="shared" si="486"/>
        <v>-4211663.9935153946</v>
      </c>
      <c r="AO51" s="725">
        <f t="shared" si="486"/>
        <v>-678276.21171691827</v>
      </c>
      <c r="AP51" s="725">
        <f t="shared" si="486"/>
        <v>2828768.1720874794</v>
      </c>
      <c r="AQ51" s="725">
        <f t="shared" si="486"/>
        <v>6370058.9732841793</v>
      </c>
      <c r="AR51" s="725">
        <f t="shared" si="486"/>
        <v>9950864.8714720011</v>
      </c>
      <c r="AS51" s="725">
        <f t="shared" si="486"/>
        <v>13559331.337553605</v>
      </c>
      <c r="AT51" s="725">
        <f t="shared" si="486"/>
        <v>17161211.954136688</v>
      </c>
      <c r="AU51" s="725">
        <f t="shared" si="486"/>
        <v>20798656.158011783</v>
      </c>
      <c r="AV51" s="725">
        <f t="shared" si="486"/>
        <v>18799060.740184765</v>
      </c>
      <c r="AW51" s="725">
        <f t="shared" si="486"/>
        <v>13969390.500208359</v>
      </c>
      <c r="AX51" s="725">
        <f t="shared" si="486"/>
        <v>7396467.1118477751</v>
      </c>
      <c r="AY51" s="725">
        <f t="shared" si="486"/>
        <v>515650.36889657564</v>
      </c>
      <c r="AZ51" s="725">
        <f t="shared" si="486"/>
        <v>-4331624.9783425732</v>
      </c>
      <c r="BA51" s="725">
        <f t="shared" si="486"/>
        <v>-800871.53634350467</v>
      </c>
      <c r="BB51" s="725">
        <f t="shared" si="486"/>
        <v>2706172.847460893</v>
      </c>
      <c r="BC51" s="725">
        <f t="shared" si="486"/>
        <v>6248780.8185572978</v>
      </c>
      <c r="BD51" s="725">
        <f t="shared" si="486"/>
        <v>9830903.8866448235</v>
      </c>
      <c r="BE51" s="725">
        <f t="shared" si="486"/>
        <v>13442004.692525838</v>
      </c>
      <c r="BF51" s="725">
        <f t="shared" si="486"/>
        <v>17055739.838206258</v>
      </c>
      <c r="BG51" s="725">
        <f t="shared" si="486"/>
        <v>20705038.57117869</v>
      </c>
      <c r="BH51" s="725">
        <f t="shared" si="486"/>
        <v>18697639.899868276</v>
      </c>
      <c r="BI51" s="725">
        <f t="shared" si="486"/>
        <v>13856060.854894286</v>
      </c>
      <c r="BJ51" s="725">
        <f t="shared" si="486"/>
        <v>7272307.9067376386</v>
      </c>
      <c r="BK51" s="725">
        <f t="shared" si="486"/>
        <v>387044.42649218254</v>
      </c>
      <c r="BL51" s="725">
        <f t="shared" si="486"/>
        <v>-4463708.1222481616</v>
      </c>
      <c r="BM51" s="725">
        <f t="shared" si="486"/>
        <v>-901342.6026561968</v>
      </c>
      <c r="BN51" s="725">
        <f t="shared" si="486"/>
        <v>2645216.8781393189</v>
      </c>
      <c r="BO51" s="725">
        <f t="shared" si="486"/>
        <v>6227339.9462268446</v>
      </c>
      <c r="BP51" s="725">
        <f t="shared" si="486"/>
        <v>9848978.1113054883</v>
      </c>
      <c r="BQ51" s="725">
        <f t="shared" si="486"/>
        <v>13503545.523876734</v>
      </c>
      <c r="BR51" s="725">
        <f t="shared" si="486"/>
        <v>17162064.446147088</v>
      </c>
      <c r="BS51" s="725">
        <f t="shared" si="486"/>
        <v>20860098.465408567</v>
      </c>
      <c r="BT51" s="725">
        <f t="shared" si="486"/>
        <v>18834555.371349487</v>
      </c>
      <c r="BU51" s="725">
        <f t="shared" ref="BU51:CD51" si="487">BU48+BU43</f>
        <v>13950562.934245059</v>
      </c>
      <c r="BV51" s="725">
        <f t="shared" si="487"/>
        <v>7310181.4108432177</v>
      </c>
      <c r="BW51" s="725">
        <f t="shared" si="487"/>
        <v>367038.12504016049</v>
      </c>
      <c r="BX51" s="725">
        <f t="shared" si="487"/>
        <v>-4524558.65746383</v>
      </c>
      <c r="BY51" s="725">
        <f t="shared" si="487"/>
        <v>-914775.02148252167</v>
      </c>
      <c r="BZ51" s="725">
        <f t="shared" si="487"/>
        <v>2679202.5757023394</v>
      </c>
      <c r="CA51" s="725">
        <f t="shared" si="487"/>
        <v>6310060.9300789116</v>
      </c>
      <c r="CB51" s="725">
        <f t="shared" si="487"/>
        <v>9983068.7212460116</v>
      </c>
      <c r="CC51" s="725">
        <f t="shared" si="487"/>
        <v>13692957.269604824</v>
      </c>
      <c r="CD51" s="725">
        <f t="shared" si="487"/>
        <v>17409431.667462155</v>
      </c>
      <c r="CE51" s="46"/>
      <c r="CF51" s="35"/>
      <c r="CG51" s="35"/>
      <c r="CH51" s="35"/>
      <c r="CI51" s="35"/>
      <c r="CJ51" s="35"/>
    </row>
    <row r="52" spans="1:88" x14ac:dyDescent="0.2">
      <c r="B52" s="233" t="s">
        <v>536</v>
      </c>
      <c r="C52" s="170">
        <v>2964921.2000000011</v>
      </c>
      <c r="D52" s="170">
        <v>-4284643.93</v>
      </c>
      <c r="E52" s="170">
        <v>-649000.08000000019</v>
      </c>
      <c r="F52" s="170">
        <v>1419754.2300000002</v>
      </c>
      <c r="G52" s="170">
        <v>5560691.2199999997</v>
      </c>
      <c r="H52" s="170">
        <v>9050756.2200000007</v>
      </c>
      <c r="I52" s="580"/>
      <c r="J52" s="580"/>
      <c r="K52" s="580"/>
      <c r="L52" s="580"/>
      <c r="M52" s="580"/>
      <c r="N52" s="580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  <c r="AA52" s="246"/>
      <c r="AB52" s="24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  <c r="BZ52" s="226"/>
      <c r="CA52" s="226"/>
      <c r="CB52" s="226"/>
      <c r="CC52" s="226"/>
      <c r="CD52" s="226"/>
      <c r="CE52" s="226"/>
    </row>
    <row r="53" spans="1:88" x14ac:dyDescent="0.2">
      <c r="B53" s="226" t="s">
        <v>538</v>
      </c>
      <c r="H53" s="226"/>
      <c r="I53" s="580"/>
      <c r="J53" s="580"/>
      <c r="K53" s="580"/>
      <c r="L53" s="580"/>
      <c r="M53" s="580"/>
      <c r="N53" s="580"/>
      <c r="O53" s="580"/>
      <c r="P53" s="580"/>
      <c r="Q53" s="580"/>
      <c r="R53" s="580"/>
      <c r="S53" s="580"/>
      <c r="T53" s="580"/>
      <c r="U53" s="232"/>
      <c r="V53" s="232"/>
      <c r="W53" s="232"/>
      <c r="X53" s="232"/>
      <c r="Y53" s="232"/>
      <c r="Z53" s="232"/>
      <c r="AA53" s="232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Y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  <c r="BX53" s="226"/>
      <c r="BY53" s="226"/>
      <c r="BZ53" s="226"/>
      <c r="CA53" s="226"/>
      <c r="CB53" s="226"/>
      <c r="CC53" s="226"/>
      <c r="CD53" s="226"/>
      <c r="CE53" s="226"/>
    </row>
    <row r="54" spans="1:88" ht="18" x14ac:dyDescent="0.25">
      <c r="A54" s="234" t="s">
        <v>433</v>
      </c>
      <c r="D54" s="46"/>
      <c r="H54" s="226"/>
      <c r="I54" s="226"/>
      <c r="J54" s="226"/>
      <c r="K54" s="226"/>
      <c r="L54" s="226"/>
      <c r="M54" s="226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  <c r="AA54" s="232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  <c r="BX54" s="226"/>
      <c r="BY54" s="226"/>
      <c r="BZ54" s="226"/>
      <c r="CA54" s="226"/>
      <c r="CB54" s="226"/>
      <c r="CC54" s="226"/>
      <c r="CD54" s="226"/>
      <c r="CE54" s="226"/>
    </row>
    <row r="55" spans="1:88" x14ac:dyDescent="0.2">
      <c r="H55" s="226"/>
      <c r="I55" s="226"/>
      <c r="J55" s="226"/>
      <c r="K55" s="226"/>
      <c r="L55" s="226"/>
      <c r="M55" s="226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26"/>
      <c r="AC55" s="226"/>
      <c r="AD55" s="226"/>
      <c r="AE55" s="226"/>
      <c r="AF55" s="226"/>
      <c r="AG55" s="226"/>
      <c r="AH55" s="226"/>
      <c r="AI55" s="226"/>
      <c r="AJ55" s="226"/>
      <c r="AK55" s="226"/>
      <c r="AL55" s="226"/>
      <c r="AM55" s="226"/>
      <c r="AN55" s="226"/>
      <c r="AO55" s="226"/>
      <c r="AP55" s="226"/>
      <c r="AQ55" s="226"/>
      <c r="AR55" s="226"/>
      <c r="AS55" s="226"/>
      <c r="AT55" s="226"/>
      <c r="AU55" s="226"/>
      <c r="AV55" s="226"/>
      <c r="AW55" s="226"/>
      <c r="AX55" s="226"/>
      <c r="AY55" s="226"/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  <c r="BX55" s="226"/>
      <c r="BY55" s="226"/>
      <c r="BZ55" s="226"/>
      <c r="CA55" s="226"/>
      <c r="CB55" s="226"/>
      <c r="CC55" s="226"/>
      <c r="CD55" s="226"/>
      <c r="CE55" s="226"/>
    </row>
    <row r="56" spans="1:88" x14ac:dyDescent="0.2">
      <c r="B56" s="226" t="s">
        <v>434</v>
      </c>
      <c r="H56" s="232"/>
      <c r="I56" s="232">
        <f t="shared" ref="I56:AM56" si="488">+I10-I24+I21-I16-I26</f>
        <v>1710141.4226416724</v>
      </c>
      <c r="J56" s="232">
        <f t="shared" si="488"/>
        <v>1781362.0908202238</v>
      </c>
      <c r="K56" s="232">
        <f t="shared" si="488"/>
        <v>2318834.6514363866</v>
      </c>
      <c r="L56" s="232">
        <f t="shared" si="488"/>
        <v>1156678.3586253915</v>
      </c>
      <c r="M56" s="232">
        <f t="shared" si="488"/>
        <v>1161352.0375263903</v>
      </c>
      <c r="N56" s="232">
        <f t="shared" si="488"/>
        <v>871645.62626770092</v>
      </c>
      <c r="O56" s="232">
        <f t="shared" si="488"/>
        <v>203732.88001428219</v>
      </c>
      <c r="P56" s="232">
        <f t="shared" si="488"/>
        <v>290172.97055189172</v>
      </c>
      <c r="Q56" s="232">
        <f t="shared" si="488"/>
        <v>2362433.2660967517</v>
      </c>
      <c r="R56" s="232">
        <f t="shared" si="488"/>
        <v>1909276.1365268845</v>
      </c>
      <c r="S56" s="232">
        <f t="shared" si="488"/>
        <v>1711586.0630616744</v>
      </c>
      <c r="T56" s="232">
        <f t="shared" si="488"/>
        <v>1727706.3983079563</v>
      </c>
      <c r="U56" s="232">
        <f t="shared" si="488"/>
        <v>1710446.7806617264</v>
      </c>
      <c r="V56" s="232">
        <f t="shared" si="488"/>
        <v>1781763.6243268629</v>
      </c>
      <c r="W56" s="232">
        <f t="shared" si="488"/>
        <v>2319994.6450600326</v>
      </c>
      <c r="X56" s="232">
        <f t="shared" si="488"/>
        <v>1158990.5521605557</v>
      </c>
      <c r="Y56" s="232">
        <f t="shared" si="488"/>
        <v>1164903.2266933324</v>
      </c>
      <c r="Z56" s="232">
        <f t="shared" si="488"/>
        <v>875541.09001505887</v>
      </c>
      <c r="AA56" s="232">
        <f t="shared" si="488"/>
        <v>206961.99616557872</v>
      </c>
      <c r="AB56" s="232">
        <f t="shared" si="488"/>
        <v>292563.07167356834</v>
      </c>
      <c r="AC56" s="232">
        <f t="shared" si="488"/>
        <v>2363590.4669465832</v>
      </c>
      <c r="AD56" s="232">
        <f t="shared" si="488"/>
        <v>1909818.5135092777</v>
      </c>
      <c r="AE56" s="232">
        <f t="shared" si="488"/>
        <v>1711899.3465219559</v>
      </c>
      <c r="AF56" s="232">
        <f t="shared" si="488"/>
        <v>1728011.7602669576</v>
      </c>
      <c r="AG56" s="232">
        <f t="shared" si="488"/>
        <v>1710752.1395759406</v>
      </c>
      <c r="AH56" s="232">
        <f t="shared" si="488"/>
        <v>1782165.1624113899</v>
      </c>
      <c r="AI56" s="232">
        <f t="shared" si="488"/>
        <v>2321155.683836895</v>
      </c>
      <c r="AJ56" s="232">
        <f t="shared" si="488"/>
        <v>1161303.8371925934</v>
      </c>
      <c r="AK56" s="232">
        <f t="shared" si="488"/>
        <v>1168453.5371543167</v>
      </c>
      <c r="AL56" s="232">
        <f t="shared" si="488"/>
        <v>879437.70902458578</v>
      </c>
      <c r="AM56" s="232">
        <f t="shared" si="488"/>
        <v>210191.23068473348</v>
      </c>
      <c r="AN56" s="232">
        <f t="shared" ref="AN56:BS56" si="489">+AN10-AN24+AN21-AN16-AN26</f>
        <v>294953.25763012283</v>
      </c>
      <c r="AO56" s="232">
        <f t="shared" si="489"/>
        <v>2364746.6925258785</v>
      </c>
      <c r="AP56" s="232">
        <f t="shared" si="489"/>
        <v>1910360.9008665869</v>
      </c>
      <c r="AQ56" s="232">
        <f t="shared" si="489"/>
        <v>1712212.6310242286</v>
      </c>
      <c r="AR56" s="232">
        <f t="shared" si="489"/>
        <v>1728317.1097555126</v>
      </c>
      <c r="AS56" s="232">
        <f t="shared" si="489"/>
        <v>1711057.4854242785</v>
      </c>
      <c r="AT56" s="232">
        <f t="shared" si="489"/>
        <v>1782566.6900909527</v>
      </c>
      <c r="AU56" s="232">
        <f t="shared" si="489"/>
        <v>2322315.7185207838</v>
      </c>
      <c r="AV56" s="232">
        <f t="shared" si="489"/>
        <v>1163617.1532975966</v>
      </c>
      <c r="AW56" s="232">
        <f t="shared" si="489"/>
        <v>1172003.9059685057</v>
      </c>
      <c r="AX56" s="232">
        <f t="shared" si="489"/>
        <v>883334.39395552175</v>
      </c>
      <c r="AY56" s="232">
        <f t="shared" si="489"/>
        <v>213421.52672039857</v>
      </c>
      <c r="AZ56" s="232">
        <f t="shared" si="489"/>
        <v>297343.47626748541</v>
      </c>
      <c r="BA56" s="232">
        <f t="shared" si="489"/>
        <v>2365903.934633804</v>
      </c>
      <c r="BB56" s="232">
        <f t="shared" si="489"/>
        <v>1910902.270513359</v>
      </c>
      <c r="BC56" s="232">
        <f t="shared" si="489"/>
        <v>1712525.9031377668</v>
      </c>
      <c r="BD56" s="232">
        <f t="shared" si="489"/>
        <v>1728621.7034991691</v>
      </c>
      <c r="BE56" s="232">
        <f t="shared" si="489"/>
        <v>1711362.0773092792</v>
      </c>
      <c r="BF56" s="232">
        <f t="shared" si="489"/>
        <v>1782968.5481995249</v>
      </c>
      <c r="BG56" s="232">
        <f t="shared" si="489"/>
        <v>2323477.7145214886</v>
      </c>
      <c r="BH56" s="232">
        <f t="shared" si="489"/>
        <v>1165932.3776457002</v>
      </c>
      <c r="BI56" s="232">
        <f t="shared" si="489"/>
        <v>1175558.2731878313</v>
      </c>
      <c r="BJ56" s="232">
        <f t="shared" si="489"/>
        <v>887234.37751603499</v>
      </c>
      <c r="BK56" s="232">
        <f t="shared" si="489"/>
        <v>216653.55909675965</v>
      </c>
      <c r="BL56" s="232">
        <f t="shared" si="489"/>
        <v>299735.73126206012</v>
      </c>
      <c r="BM56" s="232">
        <f t="shared" si="489"/>
        <v>2367061.1389082298</v>
      </c>
      <c r="BN56" s="232">
        <f t="shared" si="489"/>
        <v>1911445.1133109936</v>
      </c>
      <c r="BO56" s="232">
        <f t="shared" si="489"/>
        <v>1712839.4401926363</v>
      </c>
      <c r="BP56" s="232">
        <f t="shared" si="489"/>
        <v>1728927.0711144209</v>
      </c>
      <c r="BQ56" s="232">
        <f t="shared" si="489"/>
        <v>1711667.441765781</v>
      </c>
      <c r="BR56" s="232">
        <f t="shared" si="489"/>
        <v>1783370.1963215787</v>
      </c>
      <c r="BS56" s="232">
        <f t="shared" si="489"/>
        <v>2324638.6781091434</v>
      </c>
      <c r="BT56" s="232">
        <f t="shared" ref="BT56:CD56" si="490">+BT10-BT24+BT21-BT16-BT26</f>
        <v>1168247.8667053315</v>
      </c>
      <c r="BU56" s="232">
        <f t="shared" si="490"/>
        <v>1179112.213730912</v>
      </c>
      <c r="BV56" s="232">
        <f t="shared" si="490"/>
        <v>891134.02559183445</v>
      </c>
      <c r="BW56" s="232">
        <f t="shared" si="490"/>
        <v>219887.10743366461</v>
      </c>
      <c r="BX56" s="232">
        <f t="shared" si="490"/>
        <v>302128.2773075127</v>
      </c>
      <c r="BY56" s="232">
        <f t="shared" si="490"/>
        <v>2368219.3284377963</v>
      </c>
      <c r="BZ56" s="232">
        <f t="shared" si="490"/>
        <v>1911987.7733846309</v>
      </c>
      <c r="CA56" s="232">
        <f t="shared" si="490"/>
        <v>1713152.7394788419</v>
      </c>
      <c r="CB56" s="232">
        <f t="shared" si="490"/>
        <v>1728927.0711144209</v>
      </c>
      <c r="CC56" s="232">
        <f t="shared" si="490"/>
        <v>1711667.441765781</v>
      </c>
      <c r="CD56" s="232">
        <f t="shared" si="490"/>
        <v>1783370.1963215787</v>
      </c>
      <c r="CE56" s="232"/>
      <c r="CF56" s="228"/>
      <c r="CG56" s="228"/>
      <c r="CH56" s="228"/>
      <c r="CI56" s="228"/>
      <c r="CJ56" s="228"/>
    </row>
    <row r="57" spans="1:88" x14ac:dyDescent="0.2">
      <c r="B57" s="226" t="s">
        <v>435</v>
      </c>
      <c r="H57" s="232"/>
      <c r="I57" s="232">
        <f t="shared" ref="I57:AM57" si="491">+I26</f>
        <v>0</v>
      </c>
      <c r="J57" s="232">
        <f t="shared" si="491"/>
        <v>0</v>
      </c>
      <c r="K57" s="232">
        <f t="shared" si="491"/>
        <v>0</v>
      </c>
      <c r="L57" s="232">
        <f t="shared" si="491"/>
        <v>0</v>
      </c>
      <c r="M57" s="232">
        <f t="shared" si="491"/>
        <v>0</v>
      </c>
      <c r="N57" s="232">
        <f t="shared" si="491"/>
        <v>0</v>
      </c>
      <c r="O57" s="232">
        <f t="shared" si="491"/>
        <v>0</v>
      </c>
      <c r="P57" s="232">
        <f t="shared" si="491"/>
        <v>0</v>
      </c>
      <c r="Q57" s="232">
        <f t="shared" si="491"/>
        <v>0</v>
      </c>
      <c r="R57" s="232">
        <f t="shared" si="491"/>
        <v>0</v>
      </c>
      <c r="S57" s="232">
        <f t="shared" si="491"/>
        <v>0</v>
      </c>
      <c r="T57" s="232">
        <f t="shared" si="491"/>
        <v>0</v>
      </c>
      <c r="U57" s="232">
        <f t="shared" si="491"/>
        <v>0</v>
      </c>
      <c r="V57" s="232">
        <f t="shared" si="491"/>
        <v>0</v>
      </c>
      <c r="W57" s="232">
        <f t="shared" si="491"/>
        <v>0</v>
      </c>
      <c r="X57" s="232">
        <f t="shared" si="491"/>
        <v>0</v>
      </c>
      <c r="Y57" s="232">
        <f t="shared" si="491"/>
        <v>0</v>
      </c>
      <c r="Z57" s="232">
        <f t="shared" si="491"/>
        <v>0</v>
      </c>
      <c r="AA57" s="232">
        <f t="shared" si="491"/>
        <v>0</v>
      </c>
      <c r="AB57" s="232">
        <f t="shared" si="491"/>
        <v>0</v>
      </c>
      <c r="AC57" s="232">
        <f t="shared" si="491"/>
        <v>0</v>
      </c>
      <c r="AD57" s="232">
        <f t="shared" si="491"/>
        <v>0</v>
      </c>
      <c r="AE57" s="232">
        <f t="shared" si="491"/>
        <v>0</v>
      </c>
      <c r="AF57" s="232">
        <f t="shared" si="491"/>
        <v>0</v>
      </c>
      <c r="AG57" s="232">
        <f t="shared" si="491"/>
        <v>0</v>
      </c>
      <c r="AH57" s="232">
        <f t="shared" si="491"/>
        <v>0</v>
      </c>
      <c r="AI57" s="232">
        <f t="shared" si="491"/>
        <v>0</v>
      </c>
      <c r="AJ57" s="232">
        <f t="shared" si="491"/>
        <v>0</v>
      </c>
      <c r="AK57" s="232">
        <f t="shared" si="491"/>
        <v>0</v>
      </c>
      <c r="AL57" s="232">
        <f t="shared" si="491"/>
        <v>0</v>
      </c>
      <c r="AM57" s="232">
        <f t="shared" si="491"/>
        <v>0</v>
      </c>
      <c r="AN57" s="232">
        <f t="shared" ref="AN57:BS57" si="492">+AN26</f>
        <v>0</v>
      </c>
      <c r="AO57" s="232">
        <f t="shared" si="492"/>
        <v>0</v>
      </c>
      <c r="AP57" s="232">
        <f t="shared" si="492"/>
        <v>0</v>
      </c>
      <c r="AQ57" s="232">
        <f t="shared" si="492"/>
        <v>0</v>
      </c>
      <c r="AR57" s="232">
        <f t="shared" si="492"/>
        <v>0</v>
      </c>
      <c r="AS57" s="232">
        <f t="shared" si="492"/>
        <v>0</v>
      </c>
      <c r="AT57" s="232">
        <f t="shared" si="492"/>
        <v>0</v>
      </c>
      <c r="AU57" s="232">
        <f t="shared" si="492"/>
        <v>0</v>
      </c>
      <c r="AV57" s="232">
        <f t="shared" si="492"/>
        <v>0</v>
      </c>
      <c r="AW57" s="232">
        <f t="shared" si="492"/>
        <v>0</v>
      </c>
      <c r="AX57" s="232">
        <f t="shared" si="492"/>
        <v>0</v>
      </c>
      <c r="AY57" s="232">
        <f t="shared" si="492"/>
        <v>0</v>
      </c>
      <c r="AZ57" s="232">
        <f t="shared" si="492"/>
        <v>0</v>
      </c>
      <c r="BA57" s="232">
        <f t="shared" si="492"/>
        <v>0</v>
      </c>
      <c r="BB57" s="232">
        <f t="shared" si="492"/>
        <v>0</v>
      </c>
      <c r="BC57" s="232">
        <f t="shared" si="492"/>
        <v>0</v>
      </c>
      <c r="BD57" s="232">
        <f t="shared" si="492"/>
        <v>0</v>
      </c>
      <c r="BE57" s="232">
        <f t="shared" si="492"/>
        <v>0</v>
      </c>
      <c r="BF57" s="232">
        <f t="shared" si="492"/>
        <v>0</v>
      </c>
      <c r="BG57" s="232">
        <f t="shared" si="492"/>
        <v>0</v>
      </c>
      <c r="BH57" s="232">
        <f t="shared" si="492"/>
        <v>0</v>
      </c>
      <c r="BI57" s="232">
        <f t="shared" si="492"/>
        <v>0</v>
      </c>
      <c r="BJ57" s="232">
        <f t="shared" si="492"/>
        <v>0</v>
      </c>
      <c r="BK57" s="232">
        <f t="shared" si="492"/>
        <v>0</v>
      </c>
      <c r="BL57" s="232">
        <f t="shared" si="492"/>
        <v>0</v>
      </c>
      <c r="BM57" s="232">
        <f t="shared" si="492"/>
        <v>0</v>
      </c>
      <c r="BN57" s="232">
        <f t="shared" si="492"/>
        <v>0</v>
      </c>
      <c r="BO57" s="232">
        <f t="shared" si="492"/>
        <v>0</v>
      </c>
      <c r="BP57" s="232">
        <f t="shared" si="492"/>
        <v>0</v>
      </c>
      <c r="BQ57" s="232">
        <f t="shared" si="492"/>
        <v>0</v>
      </c>
      <c r="BR57" s="232">
        <f t="shared" si="492"/>
        <v>0</v>
      </c>
      <c r="BS57" s="232">
        <f t="shared" si="492"/>
        <v>0</v>
      </c>
      <c r="BT57" s="232">
        <f t="shared" ref="BT57:CD57" si="493">+BT26</f>
        <v>0</v>
      </c>
      <c r="BU57" s="232">
        <f t="shared" si="493"/>
        <v>0</v>
      </c>
      <c r="BV57" s="232">
        <f t="shared" si="493"/>
        <v>0</v>
      </c>
      <c r="BW57" s="232">
        <f t="shared" si="493"/>
        <v>0</v>
      </c>
      <c r="BX57" s="232">
        <f t="shared" si="493"/>
        <v>0</v>
      </c>
      <c r="BY57" s="232">
        <f t="shared" si="493"/>
        <v>0</v>
      </c>
      <c r="BZ57" s="232">
        <f t="shared" si="493"/>
        <v>0</v>
      </c>
      <c r="CA57" s="232">
        <f t="shared" si="493"/>
        <v>0</v>
      </c>
      <c r="CB57" s="232">
        <f t="shared" si="493"/>
        <v>0</v>
      </c>
      <c r="CC57" s="232">
        <f t="shared" si="493"/>
        <v>0</v>
      </c>
      <c r="CD57" s="232">
        <f t="shared" si="493"/>
        <v>0</v>
      </c>
      <c r="CE57" s="232"/>
      <c r="CF57" s="228"/>
      <c r="CG57" s="228"/>
      <c r="CH57" s="228"/>
      <c r="CI57" s="228"/>
      <c r="CJ57" s="228"/>
    </row>
    <row r="58" spans="1:88" x14ac:dyDescent="0.2">
      <c r="B58" s="226" t="s">
        <v>436</v>
      </c>
      <c r="H58" s="232"/>
      <c r="I58" s="232">
        <f t="shared" ref="I58:AM58" si="494">+I24</f>
        <v>1938.3333333333333</v>
      </c>
      <c r="J58" s="232">
        <f t="shared" si="494"/>
        <v>1938.3333333333333</v>
      </c>
      <c r="K58" s="232">
        <f t="shared" si="494"/>
        <v>1938.3333333333333</v>
      </c>
      <c r="L58" s="232">
        <f t="shared" si="494"/>
        <v>1938.3333333333333</v>
      </c>
      <c r="M58" s="232">
        <f t="shared" si="494"/>
        <v>1938.3333333333333</v>
      </c>
      <c r="N58" s="232">
        <f t="shared" si="494"/>
        <v>1938.3333333333333</v>
      </c>
      <c r="O58" s="232">
        <f t="shared" si="494"/>
        <v>1938.3333333333333</v>
      </c>
      <c r="P58" s="232">
        <f t="shared" si="494"/>
        <v>1938.3333333333333</v>
      </c>
      <c r="Q58" s="232">
        <f t="shared" si="494"/>
        <v>1938.3333333333333</v>
      </c>
      <c r="R58" s="232">
        <f t="shared" si="494"/>
        <v>1938.3333333333333</v>
      </c>
      <c r="S58" s="232">
        <f t="shared" si="494"/>
        <v>1938.3333333333333</v>
      </c>
      <c r="T58" s="232">
        <f t="shared" si="494"/>
        <v>1938.3333333333333</v>
      </c>
      <c r="U58" s="232">
        <f t="shared" si="494"/>
        <v>1938.3333333333333</v>
      </c>
      <c r="V58" s="232">
        <f t="shared" si="494"/>
        <v>1938.3333333333333</v>
      </c>
      <c r="W58" s="232">
        <f t="shared" si="494"/>
        <v>1938.3333333333333</v>
      </c>
      <c r="X58" s="232">
        <f t="shared" si="494"/>
        <v>1938.3333333333333</v>
      </c>
      <c r="Y58" s="232">
        <f t="shared" si="494"/>
        <v>1938.3333333333333</v>
      </c>
      <c r="Z58" s="232">
        <f t="shared" si="494"/>
        <v>1938.3333333333333</v>
      </c>
      <c r="AA58" s="232">
        <f t="shared" si="494"/>
        <v>1938.3333333333333</v>
      </c>
      <c r="AB58" s="232">
        <f t="shared" si="494"/>
        <v>1938.3333333333333</v>
      </c>
      <c r="AC58" s="232">
        <f t="shared" si="494"/>
        <v>1938.3333333333333</v>
      </c>
      <c r="AD58" s="232">
        <f t="shared" si="494"/>
        <v>1938.3333333333333</v>
      </c>
      <c r="AE58" s="232">
        <f t="shared" si="494"/>
        <v>1938.3333333333333</v>
      </c>
      <c r="AF58" s="232">
        <f t="shared" si="494"/>
        <v>1938.3333333333333</v>
      </c>
      <c r="AG58" s="232">
        <f t="shared" si="494"/>
        <v>1938.3333333333333</v>
      </c>
      <c r="AH58" s="232">
        <f t="shared" si="494"/>
        <v>1938.3333333333333</v>
      </c>
      <c r="AI58" s="232">
        <f t="shared" si="494"/>
        <v>1938.3333333333333</v>
      </c>
      <c r="AJ58" s="232">
        <f t="shared" si="494"/>
        <v>1938.3333333333333</v>
      </c>
      <c r="AK58" s="232">
        <f t="shared" si="494"/>
        <v>1938.3333333333333</v>
      </c>
      <c r="AL58" s="232">
        <f t="shared" si="494"/>
        <v>1938.3333333333333</v>
      </c>
      <c r="AM58" s="232">
        <f t="shared" si="494"/>
        <v>1938.3333333333333</v>
      </c>
      <c r="AN58" s="232">
        <f t="shared" ref="AN58:BS58" si="495">+AN24</f>
        <v>1938.3333333333333</v>
      </c>
      <c r="AO58" s="232">
        <f t="shared" si="495"/>
        <v>1938.3333333333333</v>
      </c>
      <c r="AP58" s="232">
        <f t="shared" si="495"/>
        <v>1938.3333333333333</v>
      </c>
      <c r="AQ58" s="232">
        <f t="shared" si="495"/>
        <v>1938.3333333333333</v>
      </c>
      <c r="AR58" s="232">
        <f t="shared" si="495"/>
        <v>1938.3333333333333</v>
      </c>
      <c r="AS58" s="232">
        <f t="shared" si="495"/>
        <v>1938.3333333333333</v>
      </c>
      <c r="AT58" s="232">
        <f t="shared" si="495"/>
        <v>1938.3333333333333</v>
      </c>
      <c r="AU58" s="232">
        <f t="shared" si="495"/>
        <v>1938.3333333333333</v>
      </c>
      <c r="AV58" s="232">
        <f t="shared" si="495"/>
        <v>1938.3333333333333</v>
      </c>
      <c r="AW58" s="232">
        <f t="shared" si="495"/>
        <v>1938.3333333333333</v>
      </c>
      <c r="AX58" s="232">
        <f t="shared" si="495"/>
        <v>1938.3333333333333</v>
      </c>
      <c r="AY58" s="232">
        <f t="shared" si="495"/>
        <v>1938.3333333333333</v>
      </c>
      <c r="AZ58" s="232">
        <f t="shared" si="495"/>
        <v>1938.3333333333333</v>
      </c>
      <c r="BA58" s="232">
        <f t="shared" si="495"/>
        <v>1938.3333333333333</v>
      </c>
      <c r="BB58" s="232">
        <f t="shared" si="495"/>
        <v>1938.3333333333333</v>
      </c>
      <c r="BC58" s="232">
        <f t="shared" si="495"/>
        <v>1938.3333333333333</v>
      </c>
      <c r="BD58" s="232">
        <f t="shared" si="495"/>
        <v>1938.3333333333333</v>
      </c>
      <c r="BE58" s="232">
        <f t="shared" si="495"/>
        <v>1938.3333333333333</v>
      </c>
      <c r="BF58" s="232">
        <f t="shared" si="495"/>
        <v>1938.3333333333333</v>
      </c>
      <c r="BG58" s="232">
        <f t="shared" si="495"/>
        <v>1938.3333333333333</v>
      </c>
      <c r="BH58" s="232">
        <f t="shared" si="495"/>
        <v>1938.3333333333333</v>
      </c>
      <c r="BI58" s="232">
        <f t="shared" si="495"/>
        <v>1938.3333333333333</v>
      </c>
      <c r="BJ58" s="232">
        <f t="shared" si="495"/>
        <v>1938.3333333333333</v>
      </c>
      <c r="BK58" s="232">
        <f t="shared" si="495"/>
        <v>1938.3333333333333</v>
      </c>
      <c r="BL58" s="232">
        <f t="shared" si="495"/>
        <v>1938.3333333333333</v>
      </c>
      <c r="BM58" s="232">
        <f t="shared" si="495"/>
        <v>1938.3333333333333</v>
      </c>
      <c r="BN58" s="232">
        <f t="shared" si="495"/>
        <v>1938.3333333333333</v>
      </c>
      <c r="BO58" s="232">
        <f t="shared" si="495"/>
        <v>1938.3333333333333</v>
      </c>
      <c r="BP58" s="232">
        <f t="shared" si="495"/>
        <v>1938.3333333333333</v>
      </c>
      <c r="BQ58" s="232">
        <f t="shared" si="495"/>
        <v>1938.3333333333333</v>
      </c>
      <c r="BR58" s="232">
        <f t="shared" si="495"/>
        <v>1938.3333333333333</v>
      </c>
      <c r="BS58" s="232">
        <f t="shared" si="495"/>
        <v>1938.3333333333333</v>
      </c>
      <c r="BT58" s="232">
        <f t="shared" ref="BT58:CD58" si="496">+BT24</f>
        <v>1938.3333333333333</v>
      </c>
      <c r="BU58" s="232">
        <f t="shared" si="496"/>
        <v>1938.3333333333333</v>
      </c>
      <c r="BV58" s="232">
        <f t="shared" si="496"/>
        <v>1938.3333333333333</v>
      </c>
      <c r="BW58" s="232">
        <f t="shared" si="496"/>
        <v>1938.3333333333333</v>
      </c>
      <c r="BX58" s="232">
        <f t="shared" si="496"/>
        <v>1938.3333333333333</v>
      </c>
      <c r="BY58" s="232">
        <f t="shared" si="496"/>
        <v>1938.3333333333333</v>
      </c>
      <c r="BZ58" s="232">
        <f t="shared" si="496"/>
        <v>1938.3333333333333</v>
      </c>
      <c r="CA58" s="232">
        <f t="shared" si="496"/>
        <v>1938.3333333333333</v>
      </c>
      <c r="CB58" s="232">
        <f t="shared" si="496"/>
        <v>1938.3333333333333</v>
      </c>
      <c r="CC58" s="232">
        <f t="shared" si="496"/>
        <v>1938.3333333333333</v>
      </c>
      <c r="CD58" s="232">
        <f t="shared" si="496"/>
        <v>1938.3333333333333</v>
      </c>
      <c r="CE58" s="232"/>
      <c r="CF58" s="228"/>
      <c r="CG58" s="228"/>
      <c r="CH58" s="228"/>
      <c r="CI58" s="228"/>
      <c r="CJ58" s="228"/>
    </row>
    <row r="59" spans="1:88" x14ac:dyDescent="0.2">
      <c r="B59" s="226" t="s">
        <v>437</v>
      </c>
      <c r="H59" s="232"/>
      <c r="I59" s="232">
        <f t="shared" ref="I59:AM59" si="497">+I16</f>
        <v>0</v>
      </c>
      <c r="J59" s="232">
        <f t="shared" si="497"/>
        <v>0</v>
      </c>
      <c r="K59" s="232">
        <f t="shared" si="497"/>
        <v>0</v>
      </c>
      <c r="L59" s="232">
        <f t="shared" si="497"/>
        <v>729925.91999999993</v>
      </c>
      <c r="M59" s="232">
        <f t="shared" si="497"/>
        <v>1762219.82</v>
      </c>
      <c r="N59" s="232">
        <f t="shared" si="497"/>
        <v>2397676.71</v>
      </c>
      <c r="O59" s="232">
        <f t="shared" si="497"/>
        <v>2509208.25</v>
      </c>
      <c r="P59" s="232">
        <f t="shared" si="497"/>
        <v>1767681.5</v>
      </c>
      <c r="Q59" s="232">
        <f t="shared" si="497"/>
        <v>0</v>
      </c>
      <c r="R59" s="232">
        <f t="shared" si="497"/>
        <v>0</v>
      </c>
      <c r="S59" s="232">
        <f t="shared" si="497"/>
        <v>0</v>
      </c>
      <c r="T59" s="232">
        <f t="shared" si="497"/>
        <v>0</v>
      </c>
      <c r="U59" s="232">
        <f t="shared" si="497"/>
        <v>0</v>
      </c>
      <c r="V59" s="232">
        <f t="shared" si="497"/>
        <v>0</v>
      </c>
      <c r="W59" s="232">
        <f t="shared" si="497"/>
        <v>0</v>
      </c>
      <c r="X59" s="232">
        <f t="shared" si="497"/>
        <v>729925.91999999993</v>
      </c>
      <c r="Y59" s="232">
        <f t="shared" si="497"/>
        <v>1762219.82</v>
      </c>
      <c r="Z59" s="232">
        <f t="shared" si="497"/>
        <v>2397676.71</v>
      </c>
      <c r="AA59" s="232">
        <f t="shared" si="497"/>
        <v>2509208.25</v>
      </c>
      <c r="AB59" s="232">
        <f t="shared" si="497"/>
        <v>1767681.5</v>
      </c>
      <c r="AC59" s="232">
        <f t="shared" si="497"/>
        <v>0</v>
      </c>
      <c r="AD59" s="232">
        <f t="shared" si="497"/>
        <v>0</v>
      </c>
      <c r="AE59" s="232">
        <f t="shared" si="497"/>
        <v>0</v>
      </c>
      <c r="AF59" s="232">
        <f t="shared" si="497"/>
        <v>0</v>
      </c>
      <c r="AG59" s="232">
        <f t="shared" si="497"/>
        <v>0</v>
      </c>
      <c r="AH59" s="232">
        <f t="shared" si="497"/>
        <v>0</v>
      </c>
      <c r="AI59" s="232">
        <f t="shared" si="497"/>
        <v>0</v>
      </c>
      <c r="AJ59" s="232">
        <f t="shared" si="497"/>
        <v>729925.91999999993</v>
      </c>
      <c r="AK59" s="232">
        <f t="shared" si="497"/>
        <v>1762219.82</v>
      </c>
      <c r="AL59" s="232">
        <f t="shared" si="497"/>
        <v>2397676.71</v>
      </c>
      <c r="AM59" s="232">
        <f t="shared" si="497"/>
        <v>2509208.25</v>
      </c>
      <c r="AN59" s="232">
        <f t="shared" ref="AN59:BS59" si="498">+AN16</f>
        <v>1767681.5</v>
      </c>
      <c r="AO59" s="232">
        <f t="shared" si="498"/>
        <v>0</v>
      </c>
      <c r="AP59" s="232">
        <f t="shared" si="498"/>
        <v>0</v>
      </c>
      <c r="AQ59" s="232">
        <f t="shared" si="498"/>
        <v>0</v>
      </c>
      <c r="AR59" s="232">
        <f t="shared" si="498"/>
        <v>0</v>
      </c>
      <c r="AS59" s="232">
        <f t="shared" si="498"/>
        <v>0</v>
      </c>
      <c r="AT59" s="232">
        <f t="shared" si="498"/>
        <v>0</v>
      </c>
      <c r="AU59" s="232">
        <f t="shared" si="498"/>
        <v>0</v>
      </c>
      <c r="AV59" s="232">
        <f t="shared" si="498"/>
        <v>729925.91999999993</v>
      </c>
      <c r="AW59" s="232">
        <f t="shared" si="498"/>
        <v>1762219.82</v>
      </c>
      <c r="AX59" s="232">
        <f t="shared" si="498"/>
        <v>2397676.71</v>
      </c>
      <c r="AY59" s="232">
        <f t="shared" si="498"/>
        <v>2509208.25</v>
      </c>
      <c r="AZ59" s="232">
        <f t="shared" si="498"/>
        <v>1767681.5</v>
      </c>
      <c r="BA59" s="232">
        <f t="shared" si="498"/>
        <v>0</v>
      </c>
      <c r="BB59" s="232">
        <f t="shared" si="498"/>
        <v>0</v>
      </c>
      <c r="BC59" s="232">
        <f t="shared" si="498"/>
        <v>0</v>
      </c>
      <c r="BD59" s="232">
        <f t="shared" si="498"/>
        <v>0</v>
      </c>
      <c r="BE59" s="232">
        <f t="shared" si="498"/>
        <v>0</v>
      </c>
      <c r="BF59" s="232">
        <f t="shared" si="498"/>
        <v>0</v>
      </c>
      <c r="BG59" s="232">
        <f t="shared" si="498"/>
        <v>0</v>
      </c>
      <c r="BH59" s="232">
        <f t="shared" si="498"/>
        <v>729925.91999999993</v>
      </c>
      <c r="BI59" s="232">
        <f t="shared" si="498"/>
        <v>1762219.82</v>
      </c>
      <c r="BJ59" s="232">
        <f t="shared" si="498"/>
        <v>2397676.71</v>
      </c>
      <c r="BK59" s="232">
        <f t="shared" si="498"/>
        <v>2509208.25</v>
      </c>
      <c r="BL59" s="232">
        <f t="shared" si="498"/>
        <v>1767681.5</v>
      </c>
      <c r="BM59" s="232">
        <f t="shared" si="498"/>
        <v>0</v>
      </c>
      <c r="BN59" s="232">
        <f t="shared" si="498"/>
        <v>0</v>
      </c>
      <c r="BO59" s="232">
        <f t="shared" si="498"/>
        <v>0</v>
      </c>
      <c r="BP59" s="232">
        <f t="shared" si="498"/>
        <v>0</v>
      </c>
      <c r="BQ59" s="232">
        <f t="shared" si="498"/>
        <v>0</v>
      </c>
      <c r="BR59" s="232">
        <f t="shared" si="498"/>
        <v>0</v>
      </c>
      <c r="BS59" s="232">
        <f t="shared" si="498"/>
        <v>0</v>
      </c>
      <c r="BT59" s="232">
        <f t="shared" ref="BT59:CD59" si="499">+BT16</f>
        <v>729925.91999999993</v>
      </c>
      <c r="BU59" s="232">
        <f t="shared" si="499"/>
        <v>1762219.82</v>
      </c>
      <c r="BV59" s="232">
        <f t="shared" si="499"/>
        <v>2397676.71</v>
      </c>
      <c r="BW59" s="232">
        <f t="shared" si="499"/>
        <v>2509208.25</v>
      </c>
      <c r="BX59" s="232">
        <f t="shared" si="499"/>
        <v>1767681.5</v>
      </c>
      <c r="BY59" s="232">
        <f t="shared" si="499"/>
        <v>0</v>
      </c>
      <c r="BZ59" s="232">
        <f t="shared" si="499"/>
        <v>0</v>
      </c>
      <c r="CA59" s="232">
        <f t="shared" si="499"/>
        <v>0</v>
      </c>
      <c r="CB59" s="232">
        <f t="shared" si="499"/>
        <v>0</v>
      </c>
      <c r="CC59" s="232">
        <f t="shared" si="499"/>
        <v>0</v>
      </c>
      <c r="CD59" s="232">
        <f t="shared" si="499"/>
        <v>0</v>
      </c>
      <c r="CE59" s="232"/>
      <c r="CF59" s="228"/>
      <c r="CG59" s="228"/>
      <c r="CH59" s="228"/>
      <c r="CI59" s="228"/>
      <c r="CJ59" s="228"/>
    </row>
    <row r="60" spans="1:88" x14ac:dyDescent="0.2">
      <c r="B60" s="226" t="s">
        <v>438</v>
      </c>
      <c r="H60" s="232"/>
      <c r="I60" s="232">
        <f t="shared" ref="I60:AM60" si="500">-I21</f>
        <v>-1309530.3142857142</v>
      </c>
      <c r="J60" s="232">
        <f t="shared" si="500"/>
        <v>-1309530.3142857142</v>
      </c>
      <c r="K60" s="232">
        <f t="shared" si="500"/>
        <v>-1309530.3142857142</v>
      </c>
      <c r="L60" s="232">
        <f t="shared" si="500"/>
        <v>0</v>
      </c>
      <c r="M60" s="232">
        <f t="shared" si="500"/>
        <v>0</v>
      </c>
      <c r="N60" s="232">
        <f t="shared" si="500"/>
        <v>0</v>
      </c>
      <c r="O60" s="232">
        <f t="shared" si="500"/>
        <v>0</v>
      </c>
      <c r="P60" s="232">
        <f t="shared" si="500"/>
        <v>0</v>
      </c>
      <c r="Q60" s="232">
        <f t="shared" si="500"/>
        <v>-1309530.3142857142</v>
      </c>
      <c r="R60" s="232">
        <f t="shared" si="500"/>
        <v>-1309530.3142857142</v>
      </c>
      <c r="S60" s="232">
        <f t="shared" si="500"/>
        <v>-1309530.3142857142</v>
      </c>
      <c r="T60" s="232">
        <f t="shared" si="500"/>
        <v>-1309530.3142857142</v>
      </c>
      <c r="U60" s="232">
        <f t="shared" si="500"/>
        <v>-1309530.3142857142</v>
      </c>
      <c r="V60" s="232">
        <f t="shared" si="500"/>
        <v>-1309530.3142857142</v>
      </c>
      <c r="W60" s="232">
        <f t="shared" si="500"/>
        <v>-1309530.3142857142</v>
      </c>
      <c r="X60" s="232">
        <f t="shared" si="500"/>
        <v>0</v>
      </c>
      <c r="Y60" s="232">
        <f t="shared" si="500"/>
        <v>0</v>
      </c>
      <c r="Z60" s="232">
        <f t="shared" si="500"/>
        <v>0</v>
      </c>
      <c r="AA60" s="232">
        <f t="shared" si="500"/>
        <v>0</v>
      </c>
      <c r="AB60" s="232">
        <f t="shared" si="500"/>
        <v>0</v>
      </c>
      <c r="AC60" s="232">
        <f t="shared" si="500"/>
        <v>-1309530.3142857142</v>
      </c>
      <c r="AD60" s="232">
        <f t="shared" si="500"/>
        <v>-1309530.3142857142</v>
      </c>
      <c r="AE60" s="232">
        <f t="shared" si="500"/>
        <v>-1309530.3142857142</v>
      </c>
      <c r="AF60" s="232">
        <f t="shared" si="500"/>
        <v>-1309530.3142857142</v>
      </c>
      <c r="AG60" s="232">
        <f t="shared" si="500"/>
        <v>-1309530.3142857142</v>
      </c>
      <c r="AH60" s="232">
        <f t="shared" si="500"/>
        <v>-1309530.3142857142</v>
      </c>
      <c r="AI60" s="232">
        <f t="shared" si="500"/>
        <v>-1309530.3142857142</v>
      </c>
      <c r="AJ60" s="232">
        <f t="shared" si="500"/>
        <v>0</v>
      </c>
      <c r="AK60" s="232">
        <f t="shared" si="500"/>
        <v>0</v>
      </c>
      <c r="AL60" s="232">
        <f t="shared" si="500"/>
        <v>0</v>
      </c>
      <c r="AM60" s="232">
        <f t="shared" si="500"/>
        <v>0</v>
      </c>
      <c r="AN60" s="232">
        <f t="shared" ref="AN60:BS60" si="501">-AN21</f>
        <v>0</v>
      </c>
      <c r="AO60" s="232">
        <f t="shared" si="501"/>
        <v>-1309530.3142857142</v>
      </c>
      <c r="AP60" s="232">
        <f t="shared" si="501"/>
        <v>-1309530.3142857142</v>
      </c>
      <c r="AQ60" s="232">
        <f t="shared" si="501"/>
        <v>-1309530.3142857142</v>
      </c>
      <c r="AR60" s="232">
        <f t="shared" si="501"/>
        <v>-1309530.3142857142</v>
      </c>
      <c r="AS60" s="232">
        <f t="shared" si="501"/>
        <v>-1309530.3142857142</v>
      </c>
      <c r="AT60" s="232">
        <f t="shared" si="501"/>
        <v>-1309530.3142857142</v>
      </c>
      <c r="AU60" s="232">
        <f t="shared" si="501"/>
        <v>-1309530.3142857142</v>
      </c>
      <c r="AV60" s="232">
        <f t="shared" si="501"/>
        <v>0</v>
      </c>
      <c r="AW60" s="232">
        <f t="shared" si="501"/>
        <v>0</v>
      </c>
      <c r="AX60" s="232">
        <f t="shared" si="501"/>
        <v>0</v>
      </c>
      <c r="AY60" s="232">
        <f t="shared" si="501"/>
        <v>0</v>
      </c>
      <c r="AZ60" s="232">
        <f t="shared" si="501"/>
        <v>0</v>
      </c>
      <c r="BA60" s="232">
        <f t="shared" si="501"/>
        <v>-1309530.3142857142</v>
      </c>
      <c r="BB60" s="232">
        <f t="shared" si="501"/>
        <v>-1309530.3142857142</v>
      </c>
      <c r="BC60" s="232">
        <f t="shared" si="501"/>
        <v>-1309530.3142857142</v>
      </c>
      <c r="BD60" s="232">
        <f t="shared" si="501"/>
        <v>-1309530.3142857142</v>
      </c>
      <c r="BE60" s="232">
        <f t="shared" si="501"/>
        <v>-1309530.3142857142</v>
      </c>
      <c r="BF60" s="232">
        <f t="shared" si="501"/>
        <v>-1309530.3142857142</v>
      </c>
      <c r="BG60" s="232">
        <f t="shared" si="501"/>
        <v>-1309530.3142857142</v>
      </c>
      <c r="BH60" s="232">
        <f t="shared" si="501"/>
        <v>0</v>
      </c>
      <c r="BI60" s="232">
        <f t="shared" si="501"/>
        <v>0</v>
      </c>
      <c r="BJ60" s="232">
        <f t="shared" si="501"/>
        <v>0</v>
      </c>
      <c r="BK60" s="232">
        <f t="shared" si="501"/>
        <v>0</v>
      </c>
      <c r="BL60" s="232">
        <f t="shared" si="501"/>
        <v>0</v>
      </c>
      <c r="BM60" s="232">
        <f t="shared" si="501"/>
        <v>-1309530.3142857142</v>
      </c>
      <c r="BN60" s="232">
        <f t="shared" si="501"/>
        <v>-1309530.3142857142</v>
      </c>
      <c r="BO60" s="232">
        <f t="shared" si="501"/>
        <v>-1309530.3142857142</v>
      </c>
      <c r="BP60" s="232">
        <f t="shared" si="501"/>
        <v>-1309530.3142857142</v>
      </c>
      <c r="BQ60" s="232">
        <f t="shared" si="501"/>
        <v>-1309530.3142857142</v>
      </c>
      <c r="BR60" s="232">
        <f t="shared" si="501"/>
        <v>-1309530.3142857142</v>
      </c>
      <c r="BS60" s="232">
        <f t="shared" si="501"/>
        <v>-1309530.3142857142</v>
      </c>
      <c r="BT60" s="232">
        <f t="shared" ref="BT60:CD60" si="502">-BT21</f>
        <v>0</v>
      </c>
      <c r="BU60" s="232">
        <f t="shared" si="502"/>
        <v>0</v>
      </c>
      <c r="BV60" s="232">
        <f t="shared" si="502"/>
        <v>0</v>
      </c>
      <c r="BW60" s="232">
        <f t="shared" si="502"/>
        <v>0</v>
      </c>
      <c r="BX60" s="232">
        <f t="shared" si="502"/>
        <v>0</v>
      </c>
      <c r="BY60" s="232">
        <f t="shared" si="502"/>
        <v>-1309530.3142857142</v>
      </c>
      <c r="BZ60" s="232">
        <f t="shared" si="502"/>
        <v>-1309530.3142857142</v>
      </c>
      <c r="CA60" s="232">
        <f t="shared" si="502"/>
        <v>-1309530.3142857142</v>
      </c>
      <c r="CB60" s="232">
        <f t="shared" si="502"/>
        <v>-1309530.3142857142</v>
      </c>
      <c r="CC60" s="232">
        <f t="shared" si="502"/>
        <v>-1309530.3142857142</v>
      </c>
      <c r="CD60" s="232">
        <f t="shared" si="502"/>
        <v>-1309530.3142857142</v>
      </c>
      <c r="CE60" s="232"/>
      <c r="CF60" s="228"/>
      <c r="CG60" s="228"/>
      <c r="CH60" s="228"/>
      <c r="CI60" s="228"/>
      <c r="CJ60" s="228"/>
    </row>
    <row r="61" spans="1:88" x14ac:dyDescent="0.2"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6"/>
      <c r="BN61" s="226"/>
      <c r="BO61" s="226"/>
      <c r="BP61" s="226"/>
      <c r="BQ61" s="226"/>
      <c r="BR61" s="226"/>
      <c r="BS61" s="226"/>
      <c r="BT61" s="226"/>
      <c r="BU61" s="226"/>
      <c r="BV61" s="226"/>
      <c r="BW61" s="226"/>
      <c r="BX61" s="226"/>
      <c r="BY61" s="226"/>
      <c r="BZ61" s="226"/>
      <c r="CA61" s="226"/>
      <c r="CB61" s="226"/>
      <c r="CC61" s="226"/>
      <c r="CD61" s="226"/>
      <c r="CE61" s="226"/>
    </row>
    <row r="62" spans="1:88" x14ac:dyDescent="0.2">
      <c r="B62" s="226" t="s">
        <v>439</v>
      </c>
      <c r="H62" s="232"/>
      <c r="I62" s="232">
        <f t="shared" ref="I62:AM62" si="503">SUM(I56:I60)</f>
        <v>402549.4416892915</v>
      </c>
      <c r="J62" s="232">
        <f t="shared" si="503"/>
        <v>473770.10986784287</v>
      </c>
      <c r="K62" s="232">
        <f t="shared" si="503"/>
        <v>1011242.6704840059</v>
      </c>
      <c r="L62" s="232">
        <f t="shared" si="503"/>
        <v>1888542.6119587247</v>
      </c>
      <c r="M62" s="232">
        <f t="shared" si="503"/>
        <v>2925510.1908597238</v>
      </c>
      <c r="N62" s="232">
        <f t="shared" si="503"/>
        <v>3271260.6696010344</v>
      </c>
      <c r="O62" s="232">
        <f t="shared" si="503"/>
        <v>2714879.4633476157</v>
      </c>
      <c r="P62" s="232">
        <f t="shared" si="503"/>
        <v>2059792.803885225</v>
      </c>
      <c r="Q62" s="232">
        <f t="shared" si="503"/>
        <v>1054841.285144371</v>
      </c>
      <c r="R62" s="232">
        <f t="shared" si="503"/>
        <v>601684.15557450359</v>
      </c>
      <c r="S62" s="232">
        <f t="shared" si="503"/>
        <v>403994.08210929343</v>
      </c>
      <c r="T62" s="232">
        <f t="shared" si="503"/>
        <v>420114.41735557537</v>
      </c>
      <c r="U62" s="232">
        <f t="shared" si="503"/>
        <v>402854.79970934545</v>
      </c>
      <c r="V62" s="232">
        <f t="shared" si="503"/>
        <v>474171.64337448194</v>
      </c>
      <c r="W62" s="232">
        <f t="shared" si="503"/>
        <v>1012402.6641076519</v>
      </c>
      <c r="X62" s="232">
        <f t="shared" si="503"/>
        <v>1890854.8054938889</v>
      </c>
      <c r="Y62" s="232">
        <f t="shared" si="503"/>
        <v>2929061.3800266655</v>
      </c>
      <c r="Z62" s="232">
        <f t="shared" si="503"/>
        <v>3275156.1333483923</v>
      </c>
      <c r="AA62" s="232">
        <f t="shared" si="503"/>
        <v>2718108.5794989122</v>
      </c>
      <c r="AB62" s="232">
        <f t="shared" si="503"/>
        <v>2062182.9050069016</v>
      </c>
      <c r="AC62" s="232">
        <f t="shared" si="503"/>
        <v>1055998.4859942026</v>
      </c>
      <c r="AD62" s="232">
        <f t="shared" si="503"/>
        <v>602226.5325568968</v>
      </c>
      <c r="AE62" s="232">
        <f t="shared" si="503"/>
        <v>404307.36556957499</v>
      </c>
      <c r="AF62" s="232">
        <f t="shared" si="503"/>
        <v>420419.77931457665</v>
      </c>
      <c r="AG62" s="232">
        <f t="shared" si="503"/>
        <v>403160.15862355963</v>
      </c>
      <c r="AH62" s="232">
        <f t="shared" si="503"/>
        <v>474573.18145900895</v>
      </c>
      <c r="AI62" s="232">
        <f t="shared" si="503"/>
        <v>1013563.7028845144</v>
      </c>
      <c r="AJ62" s="232">
        <f t="shared" si="503"/>
        <v>1893168.0905259266</v>
      </c>
      <c r="AK62" s="232">
        <f t="shared" si="503"/>
        <v>2932611.6904876502</v>
      </c>
      <c r="AL62" s="232">
        <f t="shared" si="503"/>
        <v>3279052.7523579192</v>
      </c>
      <c r="AM62" s="232">
        <f t="shared" si="503"/>
        <v>2721337.814018067</v>
      </c>
      <c r="AN62" s="232">
        <f t="shared" ref="AN62:BS62" si="504">SUM(AN56:AN60)</f>
        <v>2064573.0909634561</v>
      </c>
      <c r="AO62" s="232">
        <f t="shared" si="504"/>
        <v>1057154.7115734979</v>
      </c>
      <c r="AP62" s="232">
        <f t="shared" si="504"/>
        <v>602768.91991420602</v>
      </c>
      <c r="AQ62" s="232">
        <f t="shared" si="504"/>
        <v>404620.65007184772</v>
      </c>
      <c r="AR62" s="232">
        <f t="shared" si="504"/>
        <v>420725.12880313164</v>
      </c>
      <c r="AS62" s="232">
        <f t="shared" si="504"/>
        <v>403465.50447189761</v>
      </c>
      <c r="AT62" s="232">
        <f t="shared" si="504"/>
        <v>474974.70913857175</v>
      </c>
      <c r="AU62" s="232">
        <f t="shared" si="504"/>
        <v>1014723.7375684031</v>
      </c>
      <c r="AV62" s="232">
        <f t="shared" si="504"/>
        <v>1895481.4066309298</v>
      </c>
      <c r="AW62" s="232">
        <f t="shared" si="504"/>
        <v>2936162.0593018392</v>
      </c>
      <c r="AX62" s="232">
        <f t="shared" si="504"/>
        <v>3282949.4372888552</v>
      </c>
      <c r="AY62" s="232">
        <f t="shared" si="504"/>
        <v>2724568.1100537321</v>
      </c>
      <c r="AZ62" s="232">
        <f t="shared" si="504"/>
        <v>2066963.3096008187</v>
      </c>
      <c r="BA62" s="232">
        <f t="shared" si="504"/>
        <v>1058311.9536814233</v>
      </c>
      <c r="BB62" s="232">
        <f t="shared" si="504"/>
        <v>603310.28956097807</v>
      </c>
      <c r="BC62" s="232">
        <f t="shared" si="504"/>
        <v>404933.92218538583</v>
      </c>
      <c r="BD62" s="232">
        <f t="shared" si="504"/>
        <v>421029.72254678817</v>
      </c>
      <c r="BE62" s="232">
        <f t="shared" si="504"/>
        <v>403770.09635689831</v>
      </c>
      <c r="BF62" s="232">
        <f t="shared" si="504"/>
        <v>475376.56724714395</v>
      </c>
      <c r="BG62" s="232">
        <f t="shared" si="504"/>
        <v>1015885.7335691079</v>
      </c>
      <c r="BH62" s="232">
        <f t="shared" si="504"/>
        <v>1897796.6309790334</v>
      </c>
      <c r="BI62" s="232">
        <f t="shared" si="504"/>
        <v>2939716.4265211644</v>
      </c>
      <c r="BJ62" s="232">
        <f t="shared" si="504"/>
        <v>3286849.4208493684</v>
      </c>
      <c r="BK62" s="232">
        <f t="shared" si="504"/>
        <v>2727800.1424300931</v>
      </c>
      <c r="BL62" s="232">
        <f t="shared" si="504"/>
        <v>2069355.5645953934</v>
      </c>
      <c r="BM62" s="232">
        <f t="shared" si="504"/>
        <v>1059469.1579558491</v>
      </c>
      <c r="BN62" s="232">
        <f t="shared" si="504"/>
        <v>603853.13235861273</v>
      </c>
      <c r="BO62" s="232">
        <f t="shared" si="504"/>
        <v>405247.45924025541</v>
      </c>
      <c r="BP62" s="232">
        <f t="shared" si="504"/>
        <v>421335.09016203997</v>
      </c>
      <c r="BQ62" s="232">
        <f t="shared" si="504"/>
        <v>404075.4608134001</v>
      </c>
      <c r="BR62" s="232">
        <f t="shared" si="504"/>
        <v>475778.21536919777</v>
      </c>
      <c r="BS62" s="232">
        <f t="shared" si="504"/>
        <v>1017046.6971567627</v>
      </c>
      <c r="BT62" s="232">
        <f t="shared" ref="BT62:CD62" si="505">SUM(BT56:BT60)</f>
        <v>1900112.1200386647</v>
      </c>
      <c r="BU62" s="232">
        <f t="shared" si="505"/>
        <v>2943270.367064245</v>
      </c>
      <c r="BV62" s="232">
        <f t="shared" si="505"/>
        <v>3290749.0689251679</v>
      </c>
      <c r="BW62" s="232">
        <f t="shared" si="505"/>
        <v>2731033.6907669981</v>
      </c>
      <c r="BX62" s="232">
        <f t="shared" si="505"/>
        <v>2071748.110640846</v>
      </c>
      <c r="BY62" s="232">
        <f t="shared" si="505"/>
        <v>1060627.3474854156</v>
      </c>
      <c r="BZ62" s="232">
        <f t="shared" si="505"/>
        <v>604395.79243224999</v>
      </c>
      <c r="CA62" s="232">
        <f t="shared" si="505"/>
        <v>405560.75852646097</v>
      </c>
      <c r="CB62" s="232">
        <f t="shared" si="505"/>
        <v>421335.09016203997</v>
      </c>
      <c r="CC62" s="232">
        <f t="shared" si="505"/>
        <v>404075.4608134001</v>
      </c>
      <c r="CD62" s="232">
        <f t="shared" si="505"/>
        <v>475778.21536919777</v>
      </c>
      <c r="CE62" s="232"/>
      <c r="CF62" s="228"/>
      <c r="CG62" s="228"/>
      <c r="CH62" s="228"/>
      <c r="CI62" s="228"/>
      <c r="CJ62" s="228"/>
    </row>
    <row r="63" spans="1:88" x14ac:dyDescent="0.2"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6"/>
      <c r="BN63" s="226"/>
      <c r="BO63" s="226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6"/>
      <c r="CB63" s="226"/>
      <c r="CC63" s="226"/>
      <c r="CD63" s="226"/>
      <c r="CE63" s="226"/>
    </row>
    <row r="64" spans="1:88" ht="18" x14ac:dyDescent="0.25">
      <c r="A64" s="234" t="s">
        <v>440</v>
      </c>
      <c r="F64" s="471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6"/>
      <c r="BN64" s="226"/>
      <c r="BO64" s="226"/>
      <c r="BP64" s="226"/>
      <c r="BQ64" s="226"/>
      <c r="BR64" s="226"/>
      <c r="BS64" s="226"/>
      <c r="BT64" s="226"/>
      <c r="BU64" s="226"/>
      <c r="BV64" s="226"/>
      <c r="BW64" s="226"/>
      <c r="BX64" s="226"/>
      <c r="BY64" s="226"/>
      <c r="BZ64" s="226"/>
      <c r="CA64" s="226"/>
      <c r="CB64" s="226"/>
      <c r="CC64" s="226"/>
      <c r="CD64" s="226"/>
      <c r="CE64" s="226"/>
    </row>
    <row r="65" spans="1:100" x14ac:dyDescent="0.2">
      <c r="B65" s="226" t="s">
        <v>441</v>
      </c>
      <c r="F65" s="46"/>
      <c r="G65" s="46"/>
      <c r="H65" s="636"/>
      <c r="I65" s="636">
        <f t="shared" ref="I65:AM65" si="506">+I80</f>
        <v>529598.11651239253</v>
      </c>
      <c r="J65" s="636">
        <f t="shared" si="506"/>
        <v>622492.42976492492</v>
      </c>
      <c r="K65" s="636">
        <f t="shared" si="506"/>
        <v>1397712.6301056121</v>
      </c>
      <c r="L65" s="636">
        <f t="shared" si="506"/>
        <v>2731815.5552106034</v>
      </c>
      <c r="M65" s="636">
        <f t="shared" si="506"/>
        <v>4214334.0553260408</v>
      </c>
      <c r="N65" s="636">
        <f t="shared" si="506"/>
        <v>4705684.4341811286</v>
      </c>
      <c r="O65" s="636">
        <f t="shared" si="506"/>
        <v>3916261.4079086487</v>
      </c>
      <c r="P65" s="636">
        <f t="shared" si="506"/>
        <v>2971732.901450647</v>
      </c>
      <c r="Q65" s="636">
        <f t="shared" si="506"/>
        <v>1520807.7900639896</v>
      </c>
      <c r="R65" s="636">
        <f t="shared" si="506"/>
        <v>849428.83625895623</v>
      </c>
      <c r="S65" s="636">
        <f t="shared" si="506"/>
        <v>570544.32291651564</v>
      </c>
      <c r="T65" s="636">
        <f t="shared" si="506"/>
        <v>552688.25494813127</v>
      </c>
      <c r="U65" s="636">
        <f t="shared" si="506"/>
        <v>554442.96281255968</v>
      </c>
      <c r="V65" s="636">
        <f t="shared" si="506"/>
        <v>651756.79495023529</v>
      </c>
      <c r="W65" s="636">
        <f t="shared" si="506"/>
        <v>1463899.6839725391</v>
      </c>
      <c r="X65" s="636">
        <f t="shared" si="506"/>
        <v>2732034.3702842919</v>
      </c>
      <c r="Y65" s="636">
        <f t="shared" si="506"/>
        <v>4214645.5873349579</v>
      </c>
      <c r="Z65" s="636">
        <f t="shared" si="506"/>
        <v>4705932.3339479184</v>
      </c>
      <c r="AA65" s="636">
        <f t="shared" si="506"/>
        <v>3916448.5622640788</v>
      </c>
      <c r="AB65" s="636">
        <f t="shared" si="506"/>
        <v>2971786.2416126383</v>
      </c>
      <c r="AC65" s="636">
        <f t="shared" si="506"/>
        <v>1520737.9153283671</v>
      </c>
      <c r="AD65" s="636">
        <f t="shared" si="506"/>
        <v>849237.9333411702</v>
      </c>
      <c r="AE65" s="636">
        <f t="shared" si="506"/>
        <v>570341.56287357514</v>
      </c>
      <c r="AF65" s="636">
        <f t="shared" si="506"/>
        <v>552494.62380679417</v>
      </c>
      <c r="AG65" s="636">
        <f t="shared" si="506"/>
        <v>554247.1783801592</v>
      </c>
      <c r="AH65" s="636">
        <f t="shared" si="506"/>
        <v>651589.29032917845</v>
      </c>
      <c r="AI65" s="636">
        <f t="shared" si="506"/>
        <v>1463901.4004968705</v>
      </c>
      <c r="AJ65" s="636">
        <f t="shared" si="506"/>
        <v>2732252.7052873988</v>
      </c>
      <c r="AK65" s="636">
        <f t="shared" si="506"/>
        <v>4214956.4470632551</v>
      </c>
      <c r="AL65" s="636">
        <f t="shared" si="506"/>
        <v>4706179.7123370217</v>
      </c>
      <c r="AM65" s="636">
        <f t="shared" si="506"/>
        <v>3916635.3234170168</v>
      </c>
      <c r="AN65" s="636">
        <f t="shared" ref="AN65:BS65" si="507">+AN80</f>
        <v>2971839.4812642056</v>
      </c>
      <c r="AO65" s="636">
        <f t="shared" si="507"/>
        <v>1520668.2011871857</v>
      </c>
      <c r="AP65" s="636">
        <f t="shared" si="507"/>
        <v>849047.45809227217</v>
      </c>
      <c r="AQ65" s="636">
        <f t="shared" si="507"/>
        <v>570139.25382104493</v>
      </c>
      <c r="AR65" s="636">
        <f t="shared" si="507"/>
        <v>552301.40274844796</v>
      </c>
      <c r="AS65" s="636">
        <f t="shared" si="507"/>
        <v>554051.80833286012</v>
      </c>
      <c r="AT65" s="636">
        <f t="shared" si="507"/>
        <v>651422.13516615389</v>
      </c>
      <c r="AU65" s="636">
        <f t="shared" si="507"/>
        <v>1463903.0712831344</v>
      </c>
      <c r="AV65" s="636">
        <f t="shared" si="507"/>
        <v>2732470.2518026847</v>
      </c>
      <c r="AW65" s="636">
        <f t="shared" si="507"/>
        <v>4215266.1656631753</v>
      </c>
      <c r="AX65" s="636">
        <f t="shared" si="507"/>
        <v>4706426.0481911255</v>
      </c>
      <c r="AY65" s="636">
        <f t="shared" si="507"/>
        <v>3916821.2562879934</v>
      </c>
      <c r="AZ65" s="636">
        <f t="shared" si="507"/>
        <v>2971892.2874969426</v>
      </c>
      <c r="BA65" s="636">
        <f t="shared" si="507"/>
        <v>1520598.4743394845</v>
      </c>
      <c r="BB65" s="636">
        <f t="shared" si="507"/>
        <v>848857.30915636336</v>
      </c>
      <c r="BC65" s="636">
        <f t="shared" si="507"/>
        <v>569937.32524283545</v>
      </c>
      <c r="BD65" s="636">
        <f t="shared" si="507"/>
        <v>552108.93702443456</v>
      </c>
      <c r="BE65" s="636">
        <f t="shared" si="507"/>
        <v>553857.20126038115</v>
      </c>
      <c r="BF65" s="636">
        <f t="shared" si="507"/>
        <v>651255.77589980583</v>
      </c>
      <c r="BG65" s="636">
        <f t="shared" si="507"/>
        <v>1463905.9676347785</v>
      </c>
      <c r="BH65" s="636">
        <f t="shared" si="507"/>
        <v>2732687.8314585644</v>
      </c>
      <c r="BI65" s="636">
        <f t="shared" si="507"/>
        <v>4215576.0609609894</v>
      </c>
      <c r="BJ65" s="636">
        <f t="shared" si="507"/>
        <v>4706672.7550026495</v>
      </c>
      <c r="BK65" s="636">
        <f t="shared" si="507"/>
        <v>3917007.5436833231</v>
      </c>
      <c r="BL65" s="636">
        <f t="shared" si="507"/>
        <v>2971945.4966199347</v>
      </c>
      <c r="BM65" s="636">
        <f t="shared" si="507"/>
        <v>1520529.074140145</v>
      </c>
      <c r="BN65" s="636">
        <f t="shared" si="507"/>
        <v>848667.57435358898</v>
      </c>
      <c r="BO65" s="636">
        <f t="shared" si="507"/>
        <v>569735.77832122135</v>
      </c>
      <c r="BP65" s="636">
        <f t="shared" si="507"/>
        <v>551916.10597483115</v>
      </c>
      <c r="BQ65" s="636">
        <f t="shared" si="507"/>
        <v>553662.23060834699</v>
      </c>
      <c r="BR65" s="636">
        <f t="shared" si="507"/>
        <v>651088.94694975147</v>
      </c>
      <c r="BS65" s="636">
        <f t="shared" si="507"/>
        <v>1463907.6019266585</v>
      </c>
      <c r="BT65" s="636">
        <f t="shared" ref="BT65:CD65" si="508">+BT80</f>
        <v>2905243.8019442363</v>
      </c>
      <c r="BU65" s="636">
        <f t="shared" si="508"/>
        <v>4481740.4269925607</v>
      </c>
      <c r="BV65" s="636">
        <f t="shared" si="508"/>
        <v>5003738.1882568272</v>
      </c>
      <c r="BW65" s="636">
        <f t="shared" si="508"/>
        <v>4164213.4589884179</v>
      </c>
      <c r="BX65" s="636">
        <f t="shared" si="508"/>
        <v>3159414.1097576916</v>
      </c>
      <c r="BY65" s="636">
        <f t="shared" si="508"/>
        <v>1616340.3158775137</v>
      </c>
      <c r="BZ65" s="636">
        <f t="shared" si="508"/>
        <v>901981.39061352226</v>
      </c>
      <c r="CA65" s="636">
        <f t="shared" si="508"/>
        <v>605448.1002887286</v>
      </c>
      <c r="CB65" s="636">
        <f t="shared" si="508"/>
        <v>586037.82786425389</v>
      </c>
      <c r="CC65" s="636">
        <f t="shared" si="508"/>
        <v>587894.48601093364</v>
      </c>
      <c r="CD65" s="636">
        <f t="shared" si="508"/>
        <v>691344.89340531663</v>
      </c>
      <c r="CE65" s="636"/>
      <c r="CF65" s="235"/>
      <c r="CG65" s="235"/>
      <c r="CH65" s="235"/>
      <c r="CI65" s="235"/>
      <c r="CJ65" s="235"/>
    </row>
    <row r="66" spans="1:100" x14ac:dyDescent="0.2">
      <c r="B66" s="226" t="s">
        <v>418</v>
      </c>
      <c r="H66" s="636"/>
      <c r="I66" s="636">
        <f t="shared" ref="I66:AM66" si="509">+I24*(I34+I36)</f>
        <v>5857.6433333333325</v>
      </c>
      <c r="J66" s="636">
        <f t="shared" si="509"/>
        <v>5839.0353333333342</v>
      </c>
      <c r="K66" s="636">
        <f t="shared" si="509"/>
        <v>5891.1764999999996</v>
      </c>
      <c r="L66" s="636">
        <f t="shared" si="509"/>
        <v>6007.8641666666663</v>
      </c>
      <c r="M66" s="636">
        <f t="shared" si="509"/>
        <v>6273.4158333333326</v>
      </c>
      <c r="N66" s="636">
        <f t="shared" si="509"/>
        <v>6471.1258333333326</v>
      </c>
      <c r="O66" s="636">
        <f t="shared" si="509"/>
        <v>6451.7424999999994</v>
      </c>
      <c r="P66" s="636">
        <f t="shared" si="509"/>
        <v>6352.8874999999998</v>
      </c>
      <c r="Q66" s="636">
        <f t="shared" si="509"/>
        <v>5688.0391666666665</v>
      </c>
      <c r="R66" s="636">
        <f t="shared" si="509"/>
        <v>5622.1358333333328</v>
      </c>
      <c r="S66" s="636">
        <f t="shared" si="509"/>
        <v>5670.5941666666668</v>
      </c>
      <c r="T66" s="636">
        <f t="shared" si="509"/>
        <v>5720.9908333333324</v>
      </c>
      <c r="U66" s="636">
        <f t="shared" si="509"/>
        <v>5728.7441666666664</v>
      </c>
      <c r="V66" s="636">
        <f t="shared" si="509"/>
        <v>5682.224166666666</v>
      </c>
      <c r="W66" s="636">
        <f t="shared" si="509"/>
        <v>5719.0524999999998</v>
      </c>
      <c r="X66" s="636">
        <f t="shared" si="509"/>
        <v>5812.0924999999997</v>
      </c>
      <c r="Y66" s="636">
        <f t="shared" si="509"/>
        <v>6058.2608333333328</v>
      </c>
      <c r="Z66" s="636">
        <f t="shared" si="509"/>
        <v>6223.019166666666</v>
      </c>
      <c r="AA66" s="636">
        <f t="shared" si="509"/>
        <v>6174.560833333333</v>
      </c>
      <c r="AB66" s="636">
        <f t="shared" si="509"/>
        <v>6040.8158333333331</v>
      </c>
      <c r="AC66" s="636">
        <f t="shared" si="509"/>
        <v>5333.3241666666663</v>
      </c>
      <c r="AD66" s="636">
        <f t="shared" si="509"/>
        <v>5275.1741666666658</v>
      </c>
      <c r="AE66" s="636">
        <f t="shared" si="509"/>
        <v>5317.8175000000001</v>
      </c>
      <c r="AF66" s="636">
        <f t="shared" si="509"/>
        <v>5360.4608333333326</v>
      </c>
      <c r="AG66" s="636">
        <f t="shared" si="509"/>
        <v>5375.9674999999997</v>
      </c>
      <c r="AH66" s="636">
        <f t="shared" si="509"/>
        <v>5341.0775000000003</v>
      </c>
      <c r="AI66" s="636">
        <f t="shared" si="509"/>
        <v>5383.7208333333328</v>
      </c>
      <c r="AJ66" s="636">
        <f t="shared" si="509"/>
        <v>5507.7741666666661</v>
      </c>
      <c r="AK66" s="636">
        <f t="shared" si="509"/>
        <v>5763.6341666666667</v>
      </c>
      <c r="AL66" s="636">
        <f t="shared" si="509"/>
        <v>5965.2208333333328</v>
      </c>
      <c r="AM66" s="636">
        <f t="shared" si="509"/>
        <v>5916.7624999999989</v>
      </c>
      <c r="AN66" s="636">
        <f t="shared" ref="AN66:BS66" si="510">+AN24*(AN34+AN36)</f>
        <v>5804.3391666666666</v>
      </c>
      <c r="AO66" s="636">
        <f t="shared" si="510"/>
        <v>5203.4558333333325</v>
      </c>
      <c r="AP66" s="636">
        <f t="shared" si="510"/>
        <v>5164.6891666666661</v>
      </c>
      <c r="AQ66" s="636">
        <f t="shared" si="510"/>
        <v>5215.0858333333326</v>
      </c>
      <c r="AR66" s="636">
        <f t="shared" si="510"/>
        <v>5273.2358333333332</v>
      </c>
      <c r="AS66" s="636">
        <f t="shared" si="510"/>
        <v>5313.9408333333331</v>
      </c>
      <c r="AT66" s="636">
        <f t="shared" si="510"/>
        <v>5304.2491666666665</v>
      </c>
      <c r="AU66" s="636">
        <f t="shared" si="510"/>
        <v>5356.5841666666665</v>
      </c>
      <c r="AV66" s="636">
        <f t="shared" si="510"/>
        <v>5494.2058333333325</v>
      </c>
      <c r="AW66" s="636">
        <f t="shared" si="510"/>
        <v>5773.3258333333333</v>
      </c>
      <c r="AX66" s="636">
        <f t="shared" si="510"/>
        <v>5976.850833333333</v>
      </c>
      <c r="AY66" s="636">
        <f t="shared" si="510"/>
        <v>5926.4541666666655</v>
      </c>
      <c r="AZ66" s="636">
        <f t="shared" si="510"/>
        <v>5810.1541666666662</v>
      </c>
      <c r="BA66" s="636">
        <f t="shared" si="510"/>
        <v>5199.5791666666655</v>
      </c>
      <c r="BB66" s="636">
        <f t="shared" si="510"/>
        <v>5164.6891666666661</v>
      </c>
      <c r="BC66" s="636">
        <f t="shared" si="510"/>
        <v>5217.0241666666661</v>
      </c>
      <c r="BD66" s="636">
        <f t="shared" si="510"/>
        <v>5275.1741666666658</v>
      </c>
      <c r="BE66" s="636">
        <f t="shared" si="510"/>
        <v>5317.8175000000001</v>
      </c>
      <c r="BF66" s="636">
        <f t="shared" si="510"/>
        <v>5321.6941666666662</v>
      </c>
      <c r="BG66" s="636">
        <f t="shared" si="510"/>
        <v>5374.0291666666662</v>
      </c>
      <c r="BH66" s="636">
        <f t="shared" si="510"/>
        <v>5521.3424999999997</v>
      </c>
      <c r="BI66" s="636">
        <f t="shared" si="510"/>
        <v>5812.0924999999997</v>
      </c>
      <c r="BJ66" s="636">
        <f t="shared" si="510"/>
        <v>6029.185833333333</v>
      </c>
      <c r="BK66" s="636">
        <f t="shared" si="510"/>
        <v>5978.7891666666665</v>
      </c>
      <c r="BL66" s="636">
        <f t="shared" si="510"/>
        <v>5862.4891666666663</v>
      </c>
      <c r="BM66" s="636">
        <f t="shared" si="510"/>
        <v>5246.099166666666</v>
      </c>
      <c r="BN66" s="636">
        <f t="shared" si="510"/>
        <v>5222.8391666666657</v>
      </c>
      <c r="BO66" s="636">
        <f t="shared" si="510"/>
        <v>5275.1741666666658</v>
      </c>
      <c r="BP66" s="636">
        <f t="shared" si="510"/>
        <v>5333.3241666666663</v>
      </c>
      <c r="BQ66" s="636">
        <f t="shared" si="510"/>
        <v>5381.7824999999993</v>
      </c>
      <c r="BR66" s="636">
        <f t="shared" si="510"/>
        <v>5387.5974999999999</v>
      </c>
      <c r="BS66" s="636">
        <f t="shared" si="510"/>
        <v>5445.7474999999995</v>
      </c>
      <c r="BT66" s="636">
        <f t="shared" ref="BT66:CD66" si="511">+BT24*(BT34+BT36)</f>
        <v>5594.9991666666665</v>
      </c>
      <c r="BU66" s="636">
        <f t="shared" si="511"/>
        <v>5885.7491666666656</v>
      </c>
      <c r="BV66" s="636">
        <f t="shared" si="511"/>
        <v>6104.7808333333323</v>
      </c>
      <c r="BW66" s="636">
        <f t="shared" si="511"/>
        <v>6052.4458333333332</v>
      </c>
      <c r="BX66" s="636">
        <f t="shared" si="511"/>
        <v>5936.145833333333</v>
      </c>
      <c r="BY66" s="636">
        <f t="shared" si="511"/>
        <v>5315.8791666666657</v>
      </c>
      <c r="BZ66" s="636">
        <f t="shared" si="511"/>
        <v>5292.6191666666655</v>
      </c>
      <c r="CA66" s="636">
        <f t="shared" si="511"/>
        <v>5346.892499999999</v>
      </c>
      <c r="CB66" s="636">
        <f t="shared" si="511"/>
        <v>5408.9191666666657</v>
      </c>
      <c r="CC66" s="636">
        <f t="shared" si="511"/>
        <v>5463.1924999999992</v>
      </c>
      <c r="CD66" s="636">
        <f t="shared" si="511"/>
        <v>5472.8841666666658</v>
      </c>
      <c r="CE66" s="636"/>
      <c r="CF66" s="235"/>
      <c r="CG66" s="235"/>
      <c r="CH66" s="235"/>
      <c r="CI66" s="235"/>
      <c r="CJ66" s="235"/>
    </row>
    <row r="67" spans="1:100" x14ac:dyDescent="0.2">
      <c r="B67" s="226" t="s">
        <v>442</v>
      </c>
      <c r="H67" s="636"/>
      <c r="I67" s="636">
        <f t="shared" ref="I67:AM67" si="512">+I56*(I34+I35)</f>
        <v>5144013.2009755792</v>
      </c>
      <c r="J67" s="636">
        <f t="shared" si="512"/>
        <v>5341040.2902092198</v>
      </c>
      <c r="K67" s="636">
        <f t="shared" si="512"/>
        <v>7015279.4856068837</v>
      </c>
      <c r="L67" s="636">
        <f t="shared" si="512"/>
        <v>3569391.6759834052</v>
      </c>
      <c r="M67" s="636">
        <f t="shared" si="512"/>
        <v>3743847.5963307996</v>
      </c>
      <c r="N67" s="636">
        <f t="shared" si="512"/>
        <v>2899348.3062434993</v>
      </c>
      <c r="O67" s="636">
        <f t="shared" si="512"/>
        <v>675625.93583493098</v>
      </c>
      <c r="P67" s="636">
        <f t="shared" si="512"/>
        <v>947396.36130702135</v>
      </c>
      <c r="Q67" s="636">
        <f t="shared" si="512"/>
        <v>6898153.0592223601</v>
      </c>
      <c r="R67" s="636">
        <f t="shared" si="512"/>
        <v>5509669.3177385153</v>
      </c>
      <c r="S67" s="636">
        <f t="shared" si="512"/>
        <v>4982226.9830018971</v>
      </c>
      <c r="T67" s="636">
        <f t="shared" si="512"/>
        <v>5074333.8192106541</v>
      </c>
      <c r="U67" s="636">
        <f t="shared" si="512"/>
        <v>5030523.4225054188</v>
      </c>
      <c r="V67" s="636">
        <f t="shared" si="512"/>
        <v>5197258.610488737</v>
      </c>
      <c r="W67" s="636">
        <f t="shared" si="512"/>
        <v>6811571.4835347366</v>
      </c>
      <c r="X67" s="636">
        <f t="shared" si="512"/>
        <v>3458785.9266348514</v>
      </c>
      <c r="Y67" s="636">
        <f t="shared" si="512"/>
        <v>3625236.9577440862</v>
      </c>
      <c r="Z67" s="636">
        <f t="shared" si="512"/>
        <v>2799582.7048459789</v>
      </c>
      <c r="AA67" s="636">
        <f t="shared" si="512"/>
        <v>656566.21998213162</v>
      </c>
      <c r="AB67" s="636">
        <f t="shared" si="512"/>
        <v>907822.44630150707</v>
      </c>
      <c r="AC67" s="636">
        <f t="shared" si="512"/>
        <v>6466471.6054060617</v>
      </c>
      <c r="AD67" s="636">
        <f t="shared" si="512"/>
        <v>5167382.6205390841</v>
      </c>
      <c r="AE67" s="636">
        <f t="shared" si="512"/>
        <v>4669755.6103073275</v>
      </c>
      <c r="AF67" s="636">
        <f t="shared" si="512"/>
        <v>4751945.4360992378</v>
      </c>
      <c r="AG67" s="636">
        <f t="shared" si="512"/>
        <v>4718248.2063138494</v>
      </c>
      <c r="AH67" s="636">
        <f t="shared" si="512"/>
        <v>4882938.948308818</v>
      </c>
      <c r="AI67" s="636">
        <f t="shared" si="512"/>
        <v>6411077.7588172536</v>
      </c>
      <c r="AJ67" s="636">
        <f t="shared" si="512"/>
        <v>3282301.1290597338</v>
      </c>
      <c r="AK67" s="636">
        <f t="shared" si="512"/>
        <v>3457644.6452504527</v>
      </c>
      <c r="AL67" s="636">
        <f t="shared" si="512"/>
        <v>2694394.7512461157</v>
      </c>
      <c r="AM67" s="636">
        <f t="shared" si="512"/>
        <v>638692.12220738269</v>
      </c>
      <c r="AN67" s="636">
        <f t="shared" ref="AN67:BS67" si="513">+AN56*(AN34+AN35)</f>
        <v>879044.96314429084</v>
      </c>
      <c r="AO67" s="636">
        <f t="shared" si="513"/>
        <v>6310272.5560965156</v>
      </c>
      <c r="AP67" s="636">
        <f t="shared" si="513"/>
        <v>5059324.333113784</v>
      </c>
      <c r="AQ67" s="636">
        <f t="shared" si="513"/>
        <v>4579333.5203112289</v>
      </c>
      <c r="AR67" s="636">
        <f t="shared" si="513"/>
        <v>4674557.1395419165</v>
      </c>
      <c r="AS67" s="636">
        <f t="shared" si="513"/>
        <v>4664017.0845904192</v>
      </c>
      <c r="AT67" s="636">
        <f t="shared" si="513"/>
        <v>4849972.7385797892</v>
      </c>
      <c r="AU67" s="636">
        <f t="shared" si="513"/>
        <v>6381579.7052894607</v>
      </c>
      <c r="AV67" s="636">
        <f t="shared" si="513"/>
        <v>3280646.6311538555</v>
      </c>
      <c r="AW67" s="636">
        <f t="shared" si="513"/>
        <v>3474044.9717251924</v>
      </c>
      <c r="AX67" s="636">
        <f t="shared" si="513"/>
        <v>2711664.222844752</v>
      </c>
      <c r="AY67" s="636">
        <f t="shared" si="513"/>
        <v>649581.11029564077</v>
      </c>
      <c r="AZ67" s="636">
        <f t="shared" si="513"/>
        <v>887065.73185411561</v>
      </c>
      <c r="BA67" s="636">
        <f t="shared" si="513"/>
        <v>6308601.217777323</v>
      </c>
      <c r="BB67" s="636">
        <f t="shared" si="513"/>
        <v>5060758.0750972386</v>
      </c>
      <c r="BC67" s="636">
        <f t="shared" si="513"/>
        <v>4581893.8868904244</v>
      </c>
      <c r="BD67" s="636">
        <f t="shared" si="513"/>
        <v>4677119.6765366774</v>
      </c>
      <c r="BE67" s="636">
        <f t="shared" si="513"/>
        <v>4668290.0358708166</v>
      </c>
      <c r="BF67" s="636">
        <f t="shared" si="513"/>
        <v>4867206.4371489743</v>
      </c>
      <c r="BG67" s="636">
        <f t="shared" si="513"/>
        <v>6405806.0908302153</v>
      </c>
      <c r="BH67" s="636">
        <f t="shared" si="513"/>
        <v>3303592.3434197726</v>
      </c>
      <c r="BI67" s="636">
        <f t="shared" si="513"/>
        <v>3508229.1254760567</v>
      </c>
      <c r="BJ67" s="636">
        <f t="shared" si="513"/>
        <v>2747731.4910197868</v>
      </c>
      <c r="BK67" s="636">
        <f t="shared" si="513"/>
        <v>665302.06791632192</v>
      </c>
      <c r="BL67" s="636">
        <f t="shared" si="513"/>
        <v>902342.63092672091</v>
      </c>
      <c r="BM67" s="636">
        <f t="shared" si="513"/>
        <v>6368827.7475151019</v>
      </c>
      <c r="BN67" s="636">
        <f t="shared" si="513"/>
        <v>5119873.6036483357</v>
      </c>
      <c r="BO67" s="636">
        <f t="shared" si="513"/>
        <v>4634417.7168760728</v>
      </c>
      <c r="BP67" s="636">
        <f t="shared" si="513"/>
        <v>4730116.3080177279</v>
      </c>
      <c r="BQ67" s="636">
        <f t="shared" si="513"/>
        <v>4725937.5655271262</v>
      </c>
      <c r="BR67" s="636">
        <f t="shared" si="513"/>
        <v>4929291.188384328</v>
      </c>
      <c r="BS67" s="636">
        <f t="shared" si="513"/>
        <v>6495520.265326092</v>
      </c>
      <c r="BT67" s="636">
        <f t="shared" ref="BT67:CD67" si="514">+BT56*(BT34+BT35)</f>
        <v>3354805.5315265753</v>
      </c>
      <c r="BU67" s="636">
        <f t="shared" si="514"/>
        <v>3563902.8387260009</v>
      </c>
      <c r="BV67" s="636">
        <f t="shared" si="514"/>
        <v>2794765.5318802451</v>
      </c>
      <c r="BW67" s="636">
        <f t="shared" si="514"/>
        <v>683636.13868181186</v>
      </c>
      <c r="BX67" s="636">
        <f t="shared" si="514"/>
        <v>921093.14878200658</v>
      </c>
      <c r="BY67" s="636">
        <f t="shared" si="514"/>
        <v>6457697.2434066245</v>
      </c>
      <c r="BZ67" s="636">
        <f t="shared" si="514"/>
        <v>5190560.24981404</v>
      </c>
      <c r="CA67" s="636">
        <f t="shared" si="514"/>
        <v>4699021.8472729847</v>
      </c>
      <c r="CB67" s="636">
        <f t="shared" si="514"/>
        <v>4797937.8286106288</v>
      </c>
      <c r="CC67" s="636">
        <f t="shared" si="514"/>
        <v>4798246.9927592352</v>
      </c>
      <c r="CD67" s="636">
        <f t="shared" si="514"/>
        <v>5008217.2481692284</v>
      </c>
      <c r="CE67" s="636"/>
      <c r="CF67" s="235"/>
      <c r="CG67" s="235"/>
      <c r="CH67" s="235"/>
      <c r="CI67" s="235"/>
      <c r="CJ67" s="235"/>
    </row>
    <row r="68" spans="1:100" x14ac:dyDescent="0.2">
      <c r="B68" s="226" t="s">
        <v>443</v>
      </c>
      <c r="H68" s="636"/>
      <c r="I68" s="636">
        <f t="shared" ref="I68:BS68" si="515">+I57*I32</f>
        <v>0</v>
      </c>
      <c r="J68" s="636">
        <f t="shared" si="515"/>
        <v>0</v>
      </c>
      <c r="K68" s="636">
        <f t="shared" si="515"/>
        <v>0</v>
      </c>
      <c r="L68" s="636">
        <f t="shared" si="515"/>
        <v>0</v>
      </c>
      <c r="M68" s="636">
        <f t="shared" si="515"/>
        <v>0</v>
      </c>
      <c r="N68" s="636">
        <f t="shared" si="515"/>
        <v>0</v>
      </c>
      <c r="O68" s="636">
        <f t="shared" si="515"/>
        <v>0</v>
      </c>
      <c r="P68" s="636">
        <f t="shared" si="515"/>
        <v>0</v>
      </c>
      <c r="Q68" s="636">
        <f t="shared" si="515"/>
        <v>0</v>
      </c>
      <c r="R68" s="636">
        <f t="shared" si="515"/>
        <v>0</v>
      </c>
      <c r="S68" s="636">
        <f t="shared" si="515"/>
        <v>0</v>
      </c>
      <c r="T68" s="636">
        <f t="shared" si="515"/>
        <v>0</v>
      </c>
      <c r="U68" s="636">
        <f t="shared" si="515"/>
        <v>0</v>
      </c>
      <c r="V68" s="636">
        <f t="shared" si="515"/>
        <v>0</v>
      </c>
      <c r="W68" s="636">
        <f t="shared" si="515"/>
        <v>0</v>
      </c>
      <c r="X68" s="636">
        <f t="shared" si="515"/>
        <v>0</v>
      </c>
      <c r="Y68" s="636">
        <f t="shared" si="515"/>
        <v>0</v>
      </c>
      <c r="Z68" s="636">
        <f t="shared" si="515"/>
        <v>0</v>
      </c>
      <c r="AA68" s="636">
        <f t="shared" si="515"/>
        <v>0</v>
      </c>
      <c r="AB68" s="636">
        <f t="shared" si="515"/>
        <v>0</v>
      </c>
      <c r="AC68" s="636">
        <f t="shared" si="515"/>
        <v>0</v>
      </c>
      <c r="AD68" s="636">
        <f t="shared" si="515"/>
        <v>0</v>
      </c>
      <c r="AE68" s="636">
        <f t="shared" si="515"/>
        <v>0</v>
      </c>
      <c r="AF68" s="636">
        <f t="shared" si="515"/>
        <v>0</v>
      </c>
      <c r="AG68" s="636">
        <f t="shared" si="515"/>
        <v>0</v>
      </c>
      <c r="AH68" s="636">
        <f t="shared" si="515"/>
        <v>0</v>
      </c>
      <c r="AI68" s="636">
        <f t="shared" si="515"/>
        <v>0</v>
      </c>
      <c r="AJ68" s="636">
        <f t="shared" si="515"/>
        <v>0</v>
      </c>
      <c r="AK68" s="636">
        <f t="shared" si="515"/>
        <v>0</v>
      </c>
      <c r="AL68" s="636">
        <f t="shared" si="515"/>
        <v>0</v>
      </c>
      <c r="AM68" s="636">
        <f t="shared" si="515"/>
        <v>0</v>
      </c>
      <c r="AN68" s="636">
        <f t="shared" si="515"/>
        <v>0</v>
      </c>
      <c r="AO68" s="636">
        <f t="shared" si="515"/>
        <v>0</v>
      </c>
      <c r="AP68" s="636">
        <f t="shared" si="515"/>
        <v>0</v>
      </c>
      <c r="AQ68" s="636">
        <f t="shared" si="515"/>
        <v>0</v>
      </c>
      <c r="AR68" s="636">
        <f t="shared" si="515"/>
        <v>0</v>
      </c>
      <c r="AS68" s="636">
        <f t="shared" si="515"/>
        <v>0</v>
      </c>
      <c r="AT68" s="636">
        <f t="shared" si="515"/>
        <v>0</v>
      </c>
      <c r="AU68" s="636">
        <f t="shared" si="515"/>
        <v>0</v>
      </c>
      <c r="AV68" s="636">
        <f t="shared" si="515"/>
        <v>0</v>
      </c>
      <c r="AW68" s="636">
        <f t="shared" si="515"/>
        <v>0</v>
      </c>
      <c r="AX68" s="636">
        <f t="shared" si="515"/>
        <v>0</v>
      </c>
      <c r="AY68" s="636">
        <f t="shared" si="515"/>
        <v>0</v>
      </c>
      <c r="AZ68" s="636">
        <f t="shared" si="515"/>
        <v>0</v>
      </c>
      <c r="BA68" s="636">
        <f t="shared" si="515"/>
        <v>0</v>
      </c>
      <c r="BB68" s="636">
        <f t="shared" si="515"/>
        <v>0</v>
      </c>
      <c r="BC68" s="636">
        <f t="shared" si="515"/>
        <v>0</v>
      </c>
      <c r="BD68" s="636">
        <f t="shared" si="515"/>
        <v>0</v>
      </c>
      <c r="BE68" s="636">
        <f t="shared" si="515"/>
        <v>0</v>
      </c>
      <c r="BF68" s="636">
        <f t="shared" si="515"/>
        <v>0</v>
      </c>
      <c r="BG68" s="636">
        <f t="shared" si="515"/>
        <v>0</v>
      </c>
      <c r="BH68" s="636">
        <f t="shared" si="515"/>
        <v>0</v>
      </c>
      <c r="BI68" s="636">
        <f t="shared" si="515"/>
        <v>0</v>
      </c>
      <c r="BJ68" s="636">
        <f t="shared" si="515"/>
        <v>0</v>
      </c>
      <c r="BK68" s="636">
        <f t="shared" si="515"/>
        <v>0</v>
      </c>
      <c r="BL68" s="636">
        <f t="shared" si="515"/>
        <v>0</v>
      </c>
      <c r="BM68" s="636">
        <f t="shared" si="515"/>
        <v>0</v>
      </c>
      <c r="BN68" s="636">
        <f t="shared" si="515"/>
        <v>0</v>
      </c>
      <c r="BO68" s="636">
        <f t="shared" si="515"/>
        <v>0</v>
      </c>
      <c r="BP68" s="636">
        <f t="shared" si="515"/>
        <v>0</v>
      </c>
      <c r="BQ68" s="636">
        <f t="shared" si="515"/>
        <v>0</v>
      </c>
      <c r="BR68" s="636">
        <f t="shared" si="515"/>
        <v>0</v>
      </c>
      <c r="BS68" s="636">
        <f t="shared" si="515"/>
        <v>0</v>
      </c>
      <c r="BT68" s="636">
        <f t="shared" ref="BT68:CD68" si="516">+BT57*BT32</f>
        <v>0</v>
      </c>
      <c r="BU68" s="636">
        <f t="shared" si="516"/>
        <v>0</v>
      </c>
      <c r="BV68" s="636">
        <f t="shared" si="516"/>
        <v>0</v>
      </c>
      <c r="BW68" s="636">
        <f t="shared" si="516"/>
        <v>0</v>
      </c>
      <c r="BX68" s="636">
        <f t="shared" si="516"/>
        <v>0</v>
      </c>
      <c r="BY68" s="636">
        <f t="shared" si="516"/>
        <v>0</v>
      </c>
      <c r="BZ68" s="636">
        <f t="shared" si="516"/>
        <v>0</v>
      </c>
      <c r="CA68" s="636">
        <f t="shared" si="516"/>
        <v>0</v>
      </c>
      <c r="CB68" s="636">
        <f t="shared" si="516"/>
        <v>0</v>
      </c>
      <c r="CC68" s="636">
        <f t="shared" si="516"/>
        <v>0</v>
      </c>
      <c r="CD68" s="636">
        <f t="shared" si="516"/>
        <v>0</v>
      </c>
      <c r="CE68" s="636"/>
      <c r="CF68" s="235"/>
      <c r="CG68" s="235"/>
      <c r="CH68" s="235"/>
      <c r="CI68" s="235"/>
      <c r="CJ68" s="235"/>
    </row>
    <row r="69" spans="1:100" x14ac:dyDescent="0.2">
      <c r="B69" s="226" t="s">
        <v>444</v>
      </c>
      <c r="H69" s="636"/>
      <c r="I69" s="636">
        <f t="shared" ref="I69:AM69" si="517">+(I56-I60)*0.9*(I36)+(I56-I60)*0.08*I38+0.02*(I56-I60)*I37</f>
        <v>142431.29671041749</v>
      </c>
      <c r="J69" s="636">
        <f t="shared" si="517"/>
        <v>145790.61951269512</v>
      </c>
      <c r="K69" s="636">
        <f t="shared" si="517"/>
        <v>171142.02205710663</v>
      </c>
      <c r="L69" s="636">
        <f t="shared" si="517"/>
        <v>54557.982737397615</v>
      </c>
      <c r="M69" s="636">
        <f t="shared" si="517"/>
        <v>54778.429926453573</v>
      </c>
      <c r="N69" s="636">
        <f t="shared" si="517"/>
        <v>41113.613543834676</v>
      </c>
      <c r="O69" s="636">
        <f t="shared" si="517"/>
        <v>9609.6333678006995</v>
      </c>
      <c r="P69" s="636">
        <f t="shared" si="517"/>
        <v>13686.822961781283</v>
      </c>
      <c r="Q69" s="636">
        <f t="shared" si="517"/>
        <v>173198.47314247274</v>
      </c>
      <c r="R69" s="636">
        <f t="shared" si="517"/>
        <v>151824.0446610901</v>
      </c>
      <c r="S69" s="636">
        <f t="shared" si="517"/>
        <v>142499.43723237715</v>
      </c>
      <c r="T69" s="636">
        <f t="shared" si="517"/>
        <v>143259.79811016942</v>
      </c>
      <c r="U69" s="636">
        <f t="shared" si="517"/>
        <v>142445.69977887865</v>
      </c>
      <c r="V69" s="636">
        <f t="shared" si="517"/>
        <v>145809.55896804185</v>
      </c>
      <c r="W69" s="636">
        <f t="shared" si="517"/>
        <v>171196.73641362801</v>
      </c>
      <c r="X69" s="636">
        <f t="shared" si="517"/>
        <v>54667.043838123078</v>
      </c>
      <c r="Y69" s="636">
        <f t="shared" si="517"/>
        <v>54945.931735251579</v>
      </c>
      <c r="Z69" s="636">
        <f t="shared" si="517"/>
        <v>41297.354029941016</v>
      </c>
      <c r="AA69" s="636">
        <f t="shared" si="517"/>
        <v>9761.943698434754</v>
      </c>
      <c r="AB69" s="636">
        <f t="shared" si="517"/>
        <v>13799.55879258911</v>
      </c>
      <c r="AC69" s="636">
        <f t="shared" si="517"/>
        <v>173253.05576997501</v>
      </c>
      <c r="AD69" s="636">
        <f t="shared" si="517"/>
        <v>151849.62739445927</v>
      </c>
      <c r="AE69" s="636">
        <f t="shared" si="517"/>
        <v>142514.2141264813</v>
      </c>
      <c r="AF69" s="636">
        <f t="shared" si="517"/>
        <v>143274.20136442213</v>
      </c>
      <c r="AG69" s="636">
        <f t="shared" si="517"/>
        <v>142460.1028895154</v>
      </c>
      <c r="AH69" s="636">
        <f t="shared" si="517"/>
        <v>145828.49863931749</v>
      </c>
      <c r="AI69" s="636">
        <f t="shared" si="517"/>
        <v>171251.50006773561</v>
      </c>
      <c r="AJ69" s="636">
        <f t="shared" si="517"/>
        <v>54776.1564223635</v>
      </c>
      <c r="AK69" s="636">
        <f t="shared" si="517"/>
        <v>55113.392097415679</v>
      </c>
      <c r="AL69" s="636">
        <f t="shared" si="517"/>
        <v>41481.149007231536</v>
      </c>
      <c r="AM69" s="636">
        <f t="shared" si="517"/>
        <v>9914.259612221218</v>
      </c>
      <c r="AN69" s="636">
        <f t="shared" ref="AN69:BS69" si="518">+(AN56-AN60)*0.9*(AN36)+(AN56-AN60)*0.08*AN38+0.02*(AN56-AN60)*AN37</f>
        <v>13912.298624872168</v>
      </c>
      <c r="AO69" s="636">
        <f t="shared" si="518"/>
        <v>173307.59239610389</v>
      </c>
      <c r="AP69" s="636">
        <f t="shared" si="518"/>
        <v>151875.21061719043</v>
      </c>
      <c r="AQ69" s="636">
        <f t="shared" si="518"/>
        <v>142528.99106973389</v>
      </c>
      <c r="AR69" s="636">
        <f t="shared" si="518"/>
        <v>143288.60403047118</v>
      </c>
      <c r="AS69" s="636">
        <f t="shared" si="518"/>
        <v>142474.50538386338</v>
      </c>
      <c r="AT69" s="636">
        <f t="shared" si="518"/>
        <v>145847.43781981379</v>
      </c>
      <c r="AU69" s="636">
        <f t="shared" si="518"/>
        <v>171306.21636097861</v>
      </c>
      <c r="AV69" s="636">
        <f t="shared" si="518"/>
        <v>54885.270472247605</v>
      </c>
      <c r="AW69" s="636">
        <f t="shared" si="518"/>
        <v>55280.855211972535</v>
      </c>
      <c r="AX69" s="636">
        <f t="shared" si="518"/>
        <v>41664.947093890412</v>
      </c>
      <c r="AY69" s="636">
        <f t="shared" si="518"/>
        <v>10066.625595414631</v>
      </c>
      <c r="AZ69" s="636">
        <f t="shared" si="518"/>
        <v>14025.039998637309</v>
      </c>
      <c r="BA69" s="636">
        <f t="shared" si="518"/>
        <v>173362.17696966004</v>
      </c>
      <c r="BB69" s="636">
        <f t="shared" si="518"/>
        <v>151900.74583674641</v>
      </c>
      <c r="BC69" s="636">
        <f t="shared" si="518"/>
        <v>142543.76742863699</v>
      </c>
      <c r="BD69" s="636">
        <f t="shared" si="518"/>
        <v>143302.97104968998</v>
      </c>
      <c r="BE69" s="636">
        <f t="shared" si="518"/>
        <v>142488.87231541346</v>
      </c>
      <c r="BF69" s="636">
        <f t="shared" si="518"/>
        <v>145866.39258592218</v>
      </c>
      <c r="BG69" s="636">
        <f t="shared" si="518"/>
        <v>171361.02516523661</v>
      </c>
      <c r="BH69" s="636">
        <f t="shared" si="518"/>
        <v>54994.474529775885</v>
      </c>
      <c r="BI69" s="636">
        <f t="shared" si="518"/>
        <v>55448.506922535176</v>
      </c>
      <c r="BJ69" s="636">
        <f t="shared" si="518"/>
        <v>41848.900769675856</v>
      </c>
      <c r="BK69" s="636">
        <f t="shared" si="518"/>
        <v>10219.073477992613</v>
      </c>
      <c r="BL69" s="636">
        <f t="shared" si="518"/>
        <v>14137.877422908448</v>
      </c>
      <c r="BM69" s="636">
        <f t="shared" si="518"/>
        <v>173416.75975869293</v>
      </c>
      <c r="BN69" s="636">
        <f t="shared" si="518"/>
        <v>151926.35054159942</v>
      </c>
      <c r="BO69" s="636">
        <f t="shared" si="518"/>
        <v>142558.55628424196</v>
      </c>
      <c r="BP69" s="636">
        <f t="shared" si="518"/>
        <v>143317.37457073558</v>
      </c>
      <c r="BQ69" s="636">
        <f t="shared" si="518"/>
        <v>142503.27568746777</v>
      </c>
      <c r="BR69" s="636">
        <f t="shared" si="518"/>
        <v>145885.33744742675</v>
      </c>
      <c r="BS69" s="636">
        <f t="shared" si="518"/>
        <v>171415.78527283412</v>
      </c>
      <c r="BT69" s="636">
        <f t="shared" ref="BT69:CD69" si="519">+(BT56-BT60)*0.9*(BT36)+(BT56-BT60)*0.08*BT38+0.02*(BT56-BT60)*BT37</f>
        <v>55103.691073166672</v>
      </c>
      <c r="BU69" s="636">
        <f t="shared" si="519"/>
        <v>55616.138507714619</v>
      </c>
      <c r="BV69" s="636">
        <f t="shared" si="519"/>
        <v>42032.838621382733</v>
      </c>
      <c r="BW69" s="636">
        <f t="shared" si="519"/>
        <v>10371.592865106466</v>
      </c>
      <c r="BX69" s="636">
        <f t="shared" si="519"/>
        <v>14250.728575411518</v>
      </c>
      <c r="BY69" s="636">
        <f t="shared" si="519"/>
        <v>173471.38902005114</v>
      </c>
      <c r="BZ69" s="636">
        <f t="shared" si="519"/>
        <v>151951.94662776199</v>
      </c>
      <c r="CA69" s="636">
        <f t="shared" si="519"/>
        <v>142573.33392482027</v>
      </c>
      <c r="CB69" s="636">
        <f t="shared" si="519"/>
        <v>143317.37457073558</v>
      </c>
      <c r="CC69" s="636">
        <f t="shared" si="519"/>
        <v>142503.27568746777</v>
      </c>
      <c r="CD69" s="636">
        <f t="shared" si="519"/>
        <v>145885.33744742675</v>
      </c>
      <c r="CE69" s="636"/>
      <c r="CF69" s="235"/>
      <c r="CG69" s="235"/>
      <c r="CH69" s="235"/>
      <c r="CI69" s="235"/>
      <c r="CJ69" s="235"/>
    </row>
    <row r="70" spans="1:100" x14ac:dyDescent="0.2">
      <c r="B70" s="226" t="s">
        <v>401</v>
      </c>
      <c r="H70" s="197"/>
      <c r="I70" s="197">
        <f t="shared" ref="I70:BT70" si="520">-I42-I47</f>
        <v>-3977932.6229485753</v>
      </c>
      <c r="J70" s="197">
        <f t="shared" si="520"/>
        <v>-3965287.7919114181</v>
      </c>
      <c r="K70" s="197">
        <f t="shared" si="520"/>
        <v>-4000719.662213455</v>
      </c>
      <c r="L70" s="197">
        <f t="shared" si="520"/>
        <v>2092787.0728299438</v>
      </c>
      <c r="M70" s="197">
        <f t="shared" si="520"/>
        <v>5023796.7319288366</v>
      </c>
      <c r="N70" s="197">
        <f t="shared" si="520"/>
        <v>6813122.7072918601</v>
      </c>
      <c r="O70" s="197">
        <f t="shared" si="520"/>
        <v>7101522.4039429091</v>
      </c>
      <c r="P70" s="197">
        <f t="shared" si="520"/>
        <v>5004292.0207080673</v>
      </c>
      <c r="Q70" s="197">
        <f t="shared" si="520"/>
        <v>-3862680.2567244759</v>
      </c>
      <c r="R70" s="197">
        <f t="shared" si="520"/>
        <v>-3817896.4801345402</v>
      </c>
      <c r="S70" s="197">
        <f t="shared" si="520"/>
        <v>-3850825.7276271405</v>
      </c>
      <c r="T70" s="197">
        <f t="shared" si="520"/>
        <v>-3885072.1450194437</v>
      </c>
      <c r="U70" s="197">
        <f t="shared" si="520"/>
        <v>-3890340.8246182599</v>
      </c>
      <c r="V70" s="197">
        <f t="shared" si="520"/>
        <v>-3858728.7470253641</v>
      </c>
      <c r="W70" s="197">
        <f t="shared" si="520"/>
        <v>-3883754.9751197398</v>
      </c>
      <c r="X70" s="197">
        <f t="shared" si="520"/>
        <v>2068983.0619389915</v>
      </c>
      <c r="Y70" s="197">
        <f t="shared" si="520"/>
        <v>5016230.8629691489</v>
      </c>
      <c r="Z70" s="197">
        <f t="shared" si="520"/>
        <v>6841522.6556475423</v>
      </c>
      <c r="AA70" s="197">
        <f t="shared" si="520"/>
        <v>7180832.4246784002</v>
      </c>
      <c r="AB70" s="197">
        <f t="shared" si="520"/>
        <v>5057682.9547421746</v>
      </c>
      <c r="AC70" s="197">
        <f t="shared" si="520"/>
        <v>-3621638.1650786446</v>
      </c>
      <c r="AD70" s="197">
        <f t="shared" si="520"/>
        <v>-3582123.0680875247</v>
      </c>
      <c r="AE70" s="197">
        <f t="shared" si="520"/>
        <v>-3611100.8058810127</v>
      </c>
      <c r="AF70" s="197">
        <f t="shared" si="520"/>
        <v>-3640078.5436745007</v>
      </c>
      <c r="AG70" s="197">
        <f t="shared" si="520"/>
        <v>-3650615.9028721321</v>
      </c>
      <c r="AH70" s="197">
        <f t="shared" si="520"/>
        <v>-3626906.8446774604</v>
      </c>
      <c r="AI70" s="197">
        <f t="shared" si="520"/>
        <v>-3655884.5824709483</v>
      </c>
      <c r="AJ70" s="197">
        <f t="shared" si="520"/>
        <v>2018047.5115787666</v>
      </c>
      <c r="AK70" s="197">
        <f t="shared" si="520"/>
        <v>4883673.6516309157</v>
      </c>
      <c r="AL70" s="197">
        <f t="shared" si="520"/>
        <v>6653732.1580372192</v>
      </c>
      <c r="AM70" s="197">
        <f t="shared" si="520"/>
        <v>6974780.5305101434</v>
      </c>
      <c r="AN70" s="197">
        <f t="shared" si="520"/>
        <v>4913000.6111651119</v>
      </c>
      <c r="AO70" s="197">
        <f t="shared" si="520"/>
        <v>-3533387.7817984764</v>
      </c>
      <c r="AP70" s="197">
        <f t="shared" si="520"/>
        <v>-3507044.3838043967</v>
      </c>
      <c r="AQ70" s="197">
        <f t="shared" si="520"/>
        <v>-3541290.8011967004</v>
      </c>
      <c r="AR70" s="197">
        <f t="shared" si="520"/>
        <v>-3580805.8981878208</v>
      </c>
      <c r="AS70" s="197">
        <f t="shared" si="520"/>
        <v>-3608466.4660816044</v>
      </c>
      <c r="AT70" s="197">
        <f t="shared" si="520"/>
        <v>-3601880.6165830842</v>
      </c>
      <c r="AU70" s="197">
        <f t="shared" si="520"/>
        <v>-3637444.2038750928</v>
      </c>
      <c r="AV70" s="197">
        <f t="shared" si="520"/>
        <v>1999595.4178270199</v>
      </c>
      <c r="AW70" s="197">
        <f t="shared" si="520"/>
        <v>4829670.2399764033</v>
      </c>
      <c r="AX70" s="197">
        <f t="shared" si="520"/>
        <v>6572923.3883605842</v>
      </c>
      <c r="AY70" s="197">
        <f t="shared" si="520"/>
        <v>6880816.7429511994</v>
      </c>
      <c r="AZ70" s="197">
        <f t="shared" si="520"/>
        <v>4847275.3472391488</v>
      </c>
      <c r="BA70" s="197">
        <f t="shared" si="520"/>
        <v>-3530753.4419990685</v>
      </c>
      <c r="BB70" s="197">
        <f t="shared" si="520"/>
        <v>-3507044.3838043967</v>
      </c>
      <c r="BC70" s="197">
        <f t="shared" si="520"/>
        <v>-3542607.9710964048</v>
      </c>
      <c r="BD70" s="197">
        <f t="shared" si="520"/>
        <v>-3582123.0680875247</v>
      </c>
      <c r="BE70" s="197">
        <f t="shared" si="520"/>
        <v>-3611100.8058810127</v>
      </c>
      <c r="BF70" s="197">
        <f t="shared" si="520"/>
        <v>-3613735.1456804206</v>
      </c>
      <c r="BG70" s="197">
        <f t="shared" si="520"/>
        <v>-3649298.7329724282</v>
      </c>
      <c r="BH70" s="197">
        <f t="shared" si="520"/>
        <v>2007398.6713104104</v>
      </c>
      <c r="BI70" s="197">
        <f t="shared" si="520"/>
        <v>4841579.0449739918</v>
      </c>
      <c r="BJ70" s="197">
        <f t="shared" si="520"/>
        <v>6583752.9481566474</v>
      </c>
      <c r="BK70" s="197">
        <f t="shared" si="520"/>
        <v>6885263.4802454561</v>
      </c>
      <c r="BL70" s="197">
        <f t="shared" si="520"/>
        <v>4850752.5487403441</v>
      </c>
      <c r="BM70" s="197">
        <f t="shared" si="520"/>
        <v>-3562365.5195919648</v>
      </c>
      <c r="BN70" s="197">
        <f t="shared" si="520"/>
        <v>-3546559.4807955166</v>
      </c>
      <c r="BO70" s="197">
        <f t="shared" si="520"/>
        <v>-3582123.0680875247</v>
      </c>
      <c r="BP70" s="197">
        <f t="shared" si="520"/>
        <v>-3621638.1650786446</v>
      </c>
      <c r="BQ70" s="197">
        <f t="shared" si="520"/>
        <v>-3654567.4125712449</v>
      </c>
      <c r="BR70" s="197">
        <f t="shared" si="520"/>
        <v>-3658518.9222703567</v>
      </c>
      <c r="BS70" s="197">
        <f t="shared" si="520"/>
        <v>-3698034.0192614766</v>
      </c>
      <c r="BT70" s="197">
        <f t="shared" si="520"/>
        <v>2025543.0940590836</v>
      </c>
      <c r="BU70" s="197">
        <f t="shared" ref="BU70:CD70" si="521">-BU42-BU47</f>
        <v>4883992.4371044282</v>
      </c>
      <c r="BV70" s="197">
        <f t="shared" si="521"/>
        <v>6640381.5234018397</v>
      </c>
      <c r="BW70" s="197">
        <f t="shared" si="521"/>
        <v>6943143.2858030573</v>
      </c>
      <c r="BX70" s="197">
        <f t="shared" si="521"/>
        <v>4891596.7825039905</v>
      </c>
      <c r="BY70" s="197">
        <f t="shared" si="521"/>
        <v>-3609783.6359813083</v>
      </c>
      <c r="BZ70" s="197">
        <f t="shared" si="521"/>
        <v>-3593977.5971848601</v>
      </c>
      <c r="CA70" s="197">
        <f t="shared" si="521"/>
        <v>-3630858.3543765722</v>
      </c>
      <c r="CB70" s="197">
        <f t="shared" si="521"/>
        <v>-3673007.7911671</v>
      </c>
      <c r="CC70" s="197">
        <f t="shared" si="521"/>
        <v>-3709888.548358812</v>
      </c>
      <c r="CD70" s="197">
        <f t="shared" si="521"/>
        <v>-3716474.3978573317</v>
      </c>
      <c r="CE70" s="637"/>
      <c r="CF70" s="236"/>
      <c r="CG70" s="236"/>
      <c r="CH70" s="236"/>
      <c r="CI70" s="236"/>
      <c r="CJ70" s="236"/>
    </row>
    <row r="71" spans="1:100" x14ac:dyDescent="0.2">
      <c r="H71" s="636"/>
      <c r="I71" s="636"/>
      <c r="J71" s="636"/>
      <c r="K71" s="636"/>
      <c r="L71" s="636"/>
      <c r="M71" s="636"/>
      <c r="N71" s="636"/>
      <c r="O71" s="636"/>
      <c r="P71" s="636"/>
      <c r="Q71" s="636"/>
      <c r="R71" s="636"/>
      <c r="S71" s="636"/>
      <c r="T71" s="636"/>
      <c r="U71" s="636"/>
      <c r="V71" s="636"/>
      <c r="W71" s="636"/>
      <c r="X71" s="636"/>
      <c r="Y71" s="636"/>
      <c r="Z71" s="636"/>
      <c r="AA71" s="636"/>
      <c r="AB71" s="636"/>
      <c r="AC71" s="636"/>
      <c r="AD71" s="636"/>
      <c r="AE71" s="636"/>
      <c r="AF71" s="636"/>
      <c r="AG71" s="636"/>
      <c r="AH71" s="636"/>
      <c r="AI71" s="636"/>
      <c r="AJ71" s="636"/>
      <c r="AK71" s="636"/>
      <c r="AL71" s="636"/>
      <c r="AM71" s="636"/>
      <c r="AN71" s="636"/>
      <c r="AO71" s="636"/>
      <c r="AP71" s="636"/>
      <c r="AQ71" s="636"/>
      <c r="AR71" s="636"/>
      <c r="AS71" s="636"/>
      <c r="AT71" s="636"/>
      <c r="AU71" s="636"/>
      <c r="AV71" s="636"/>
      <c r="AW71" s="636"/>
      <c r="AX71" s="636"/>
      <c r="AY71" s="636"/>
      <c r="AZ71" s="636"/>
      <c r="BA71" s="636"/>
      <c r="BB71" s="636"/>
      <c r="BC71" s="636"/>
      <c r="BD71" s="636"/>
      <c r="BE71" s="636"/>
      <c r="BF71" s="636"/>
      <c r="BG71" s="636"/>
      <c r="BH71" s="636"/>
      <c r="BI71" s="636"/>
      <c r="BJ71" s="636"/>
      <c r="BK71" s="636"/>
      <c r="BL71" s="636"/>
      <c r="BM71" s="636"/>
      <c r="BN71" s="636"/>
      <c r="BO71" s="636"/>
      <c r="BP71" s="636"/>
      <c r="BQ71" s="636"/>
      <c r="BR71" s="636"/>
      <c r="BS71" s="636"/>
      <c r="BT71" s="636"/>
      <c r="BU71" s="636"/>
      <c r="BV71" s="636"/>
      <c r="BW71" s="636"/>
      <c r="BX71" s="636"/>
      <c r="BY71" s="636"/>
      <c r="BZ71" s="636"/>
      <c r="CA71" s="636"/>
      <c r="CB71" s="636"/>
      <c r="CC71" s="636"/>
      <c r="CD71" s="636"/>
      <c r="CE71" s="636"/>
      <c r="CF71" s="235"/>
      <c r="CG71" s="235"/>
      <c r="CH71" s="235"/>
      <c r="CI71" s="235"/>
      <c r="CJ71" s="235"/>
    </row>
    <row r="72" spans="1:100" x14ac:dyDescent="0.2">
      <c r="B72" s="226" t="s">
        <v>445</v>
      </c>
      <c r="H72" s="636"/>
      <c r="I72" s="636">
        <f t="shared" ref="I72:AM72" si="522">SUM(I65:I70)</f>
        <v>1843967.6345831477</v>
      </c>
      <c r="J72" s="636">
        <f t="shared" si="522"/>
        <v>2149874.5829087547</v>
      </c>
      <c r="K72" s="636">
        <f t="shared" si="522"/>
        <v>4589305.6520561473</v>
      </c>
      <c r="L72" s="636">
        <f t="shared" si="522"/>
        <v>8454560.1509280168</v>
      </c>
      <c r="M72" s="636">
        <f t="shared" si="522"/>
        <v>13043030.229345463</v>
      </c>
      <c r="N72" s="636">
        <f t="shared" si="522"/>
        <v>14465740.187093657</v>
      </c>
      <c r="O72" s="636">
        <f t="shared" si="522"/>
        <v>11709471.123554289</v>
      </c>
      <c r="P72" s="636">
        <f t="shared" si="522"/>
        <v>8943460.993927516</v>
      </c>
      <c r="Q72" s="636">
        <f t="shared" si="522"/>
        <v>4735167.1048710132</v>
      </c>
      <c r="R72" s="636">
        <f t="shared" si="522"/>
        <v>2698647.8543573543</v>
      </c>
      <c r="S72" s="636">
        <f t="shared" si="522"/>
        <v>1850115.609690316</v>
      </c>
      <c r="T72" s="636">
        <f t="shared" si="522"/>
        <v>1890930.7180828443</v>
      </c>
      <c r="U72" s="636">
        <f t="shared" si="522"/>
        <v>1842800.0046452642</v>
      </c>
      <c r="V72" s="636">
        <f t="shared" si="522"/>
        <v>2141778.4415483167</v>
      </c>
      <c r="W72" s="636">
        <f t="shared" si="522"/>
        <v>4568631.9813011643</v>
      </c>
      <c r="X72" s="636">
        <f t="shared" si="522"/>
        <v>8320282.4951962577</v>
      </c>
      <c r="Y72" s="636">
        <f t="shared" si="522"/>
        <v>12917117.600616779</v>
      </c>
      <c r="Z72" s="636">
        <f t="shared" si="522"/>
        <v>14394558.067638047</v>
      </c>
      <c r="AA72" s="636">
        <f t="shared" si="522"/>
        <v>11769783.711456379</v>
      </c>
      <c r="AB72" s="636">
        <f t="shared" si="522"/>
        <v>8957132.0172822438</v>
      </c>
      <c r="AC72" s="636">
        <f t="shared" si="522"/>
        <v>4544157.7355924267</v>
      </c>
      <c r="AD72" s="636">
        <f t="shared" si="522"/>
        <v>2591622.2873538556</v>
      </c>
      <c r="AE72" s="636">
        <f t="shared" si="522"/>
        <v>1776828.3989263712</v>
      </c>
      <c r="AF72" s="636">
        <f t="shared" si="522"/>
        <v>1812996.1784292869</v>
      </c>
      <c r="AG72" s="636">
        <f t="shared" si="522"/>
        <v>1769715.5522113917</v>
      </c>
      <c r="AH72" s="636">
        <f t="shared" si="522"/>
        <v>2058790.9700998534</v>
      </c>
      <c r="AI72" s="636">
        <f t="shared" si="522"/>
        <v>4395729.7977442443</v>
      </c>
      <c r="AJ72" s="636">
        <f t="shared" si="522"/>
        <v>8092885.2765149288</v>
      </c>
      <c r="AK72" s="636">
        <f t="shared" si="522"/>
        <v>12617151.770208705</v>
      </c>
      <c r="AL72" s="636">
        <f t="shared" si="522"/>
        <v>14101752.991460923</v>
      </c>
      <c r="AM72" s="636">
        <f t="shared" si="522"/>
        <v>11545938.998246763</v>
      </c>
      <c r="AN72" s="636">
        <f t="shared" ref="AN72:BS72" si="523">SUM(AN65:AN70)</f>
        <v>8783601.6933651473</v>
      </c>
      <c r="AO72" s="636">
        <f t="shared" si="523"/>
        <v>4476064.0237146625</v>
      </c>
      <c r="AP72" s="636">
        <f t="shared" si="523"/>
        <v>2558367.3071855167</v>
      </c>
      <c r="AQ72" s="636">
        <f t="shared" si="523"/>
        <v>1755926.0498386412</v>
      </c>
      <c r="AR72" s="636">
        <f t="shared" si="523"/>
        <v>1794614.4839663487</v>
      </c>
      <c r="AS72" s="636">
        <f t="shared" si="523"/>
        <v>1757390.8730588714</v>
      </c>
      <c r="AT72" s="636">
        <f t="shared" si="523"/>
        <v>2050665.9441493391</v>
      </c>
      <c r="AU72" s="636">
        <f t="shared" si="523"/>
        <v>4384701.3732251478</v>
      </c>
      <c r="AV72" s="636">
        <f t="shared" si="523"/>
        <v>8073091.7770891413</v>
      </c>
      <c r="AW72" s="636">
        <f t="shared" si="523"/>
        <v>12580035.558410076</v>
      </c>
      <c r="AX72" s="636">
        <f t="shared" si="523"/>
        <v>14038655.457323685</v>
      </c>
      <c r="AY72" s="636">
        <f t="shared" si="523"/>
        <v>11463212.189296916</v>
      </c>
      <c r="AZ72" s="636">
        <f t="shared" si="523"/>
        <v>8726068.5607555117</v>
      </c>
      <c r="BA72" s="636">
        <f t="shared" si="523"/>
        <v>4477008.0062540658</v>
      </c>
      <c r="BB72" s="636">
        <f t="shared" si="523"/>
        <v>2559636.4354526186</v>
      </c>
      <c r="BC72" s="636">
        <f t="shared" si="523"/>
        <v>1756984.0326321581</v>
      </c>
      <c r="BD72" s="636">
        <f t="shared" si="523"/>
        <v>1795683.6906899437</v>
      </c>
      <c r="BE72" s="636">
        <f t="shared" si="523"/>
        <v>1758853.1210655984</v>
      </c>
      <c r="BF72" s="636">
        <f t="shared" si="523"/>
        <v>2055915.1541209486</v>
      </c>
      <c r="BG72" s="636">
        <f t="shared" si="523"/>
        <v>4397148.3798244689</v>
      </c>
      <c r="BH72" s="636">
        <f t="shared" si="523"/>
        <v>8104194.6632185224</v>
      </c>
      <c r="BI72" s="636">
        <f t="shared" si="523"/>
        <v>12626644.830833573</v>
      </c>
      <c r="BJ72" s="636">
        <f t="shared" si="523"/>
        <v>14086035.280782092</v>
      </c>
      <c r="BK72" s="636">
        <f t="shared" si="523"/>
        <v>11483770.95448976</v>
      </c>
      <c r="BL72" s="636">
        <f t="shared" si="523"/>
        <v>8745041.0428765751</v>
      </c>
      <c r="BM72" s="636">
        <f t="shared" si="523"/>
        <v>4505654.1609886419</v>
      </c>
      <c r="BN72" s="636">
        <f t="shared" si="523"/>
        <v>2579130.8869146733</v>
      </c>
      <c r="BO72" s="636">
        <f t="shared" si="523"/>
        <v>1769864.1575606782</v>
      </c>
      <c r="BP72" s="636">
        <f t="shared" si="523"/>
        <v>1809044.9476513173</v>
      </c>
      <c r="BQ72" s="636">
        <f t="shared" si="523"/>
        <v>1772917.4417516952</v>
      </c>
      <c r="BR72" s="636">
        <f t="shared" si="523"/>
        <v>2073134.1480111489</v>
      </c>
      <c r="BS72" s="636">
        <f t="shared" si="523"/>
        <v>4438255.3807641082</v>
      </c>
      <c r="BT72" s="636">
        <f t="shared" ref="BT72:CD72" si="524">SUM(BT65:BT70)</f>
        <v>8346291.1177697275</v>
      </c>
      <c r="BU72" s="636">
        <f t="shared" si="524"/>
        <v>12991137.590497371</v>
      </c>
      <c r="BV72" s="636">
        <f t="shared" si="524"/>
        <v>14487022.862993628</v>
      </c>
      <c r="BW72" s="636">
        <f t="shared" si="524"/>
        <v>11807416.922171727</v>
      </c>
      <c r="BX72" s="636">
        <f t="shared" si="524"/>
        <v>8992290.9154524338</v>
      </c>
      <c r="BY72" s="636">
        <f t="shared" si="524"/>
        <v>4643041.1914895475</v>
      </c>
      <c r="BZ72" s="636">
        <f t="shared" si="524"/>
        <v>2655808.6090371311</v>
      </c>
      <c r="CA72" s="636">
        <f t="shared" si="524"/>
        <v>1821531.8196099615</v>
      </c>
      <c r="CB72" s="636">
        <f t="shared" si="524"/>
        <v>1859694.159045185</v>
      </c>
      <c r="CC72" s="636">
        <f t="shared" si="524"/>
        <v>1824219.3985988246</v>
      </c>
      <c r="CD72" s="636">
        <f t="shared" si="524"/>
        <v>2134445.9653313076</v>
      </c>
      <c r="CE72" s="636"/>
      <c r="CF72" s="235"/>
      <c r="CG72" s="235"/>
      <c r="CH72" s="235"/>
      <c r="CI72" s="235"/>
      <c r="CJ72" s="235"/>
    </row>
    <row r="73" spans="1:100" x14ac:dyDescent="0.2">
      <c r="H73" s="226"/>
      <c r="I73" s="226"/>
      <c r="J73" s="226"/>
      <c r="K73" s="226"/>
      <c r="L73" s="226"/>
      <c r="M73" s="226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  <c r="AC73" s="232"/>
      <c r="AD73" s="232"/>
      <c r="AE73" s="232"/>
      <c r="AF73" s="232"/>
      <c r="AG73" s="232"/>
      <c r="AH73" s="232"/>
      <c r="AI73" s="232"/>
      <c r="AJ73" s="232"/>
      <c r="AK73" s="232"/>
      <c r="AL73" s="232"/>
      <c r="AM73" s="232"/>
      <c r="AN73" s="232"/>
      <c r="AO73" s="232"/>
      <c r="AP73" s="232"/>
      <c r="AQ73" s="232"/>
      <c r="AR73" s="232"/>
      <c r="AS73" s="232"/>
      <c r="AT73" s="232"/>
      <c r="AU73" s="232"/>
      <c r="AV73" s="232"/>
      <c r="AW73" s="232"/>
      <c r="AX73" s="232"/>
      <c r="AY73" s="232"/>
      <c r="AZ73" s="232"/>
      <c r="BA73" s="232"/>
      <c r="BB73" s="232"/>
      <c r="BC73" s="232"/>
      <c r="BD73" s="232"/>
      <c r="BE73" s="232"/>
      <c r="BF73" s="232"/>
      <c r="BG73" s="232"/>
      <c r="BH73" s="232"/>
      <c r="BI73" s="232"/>
      <c r="BJ73" s="232"/>
      <c r="BK73" s="232"/>
      <c r="BL73" s="232"/>
      <c r="BM73" s="232"/>
      <c r="BN73" s="232"/>
      <c r="BO73" s="232"/>
      <c r="BP73" s="232"/>
      <c r="BQ73" s="232"/>
      <c r="BR73" s="232"/>
      <c r="BS73" s="232"/>
      <c r="BT73" s="232"/>
      <c r="BU73" s="232"/>
      <c r="BV73" s="232"/>
      <c r="BW73" s="232"/>
      <c r="BX73" s="232"/>
      <c r="BY73" s="232"/>
      <c r="BZ73" s="232"/>
      <c r="CA73" s="232"/>
      <c r="CB73" s="232"/>
      <c r="CC73" s="232"/>
      <c r="CD73" s="232"/>
      <c r="CE73" s="232"/>
      <c r="CF73" s="228"/>
      <c r="CG73" s="228"/>
      <c r="CH73" s="228"/>
    </row>
    <row r="74" spans="1:100" x14ac:dyDescent="0.2">
      <c r="A74" s="226" t="s">
        <v>446</v>
      </c>
      <c r="H74" s="226"/>
      <c r="I74" s="226"/>
      <c r="J74" s="226"/>
      <c r="K74" s="226"/>
      <c r="L74" s="226"/>
      <c r="M74" s="226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  <c r="AC74" s="232"/>
      <c r="AD74" s="232"/>
      <c r="AE74" s="232"/>
      <c r="AF74" s="232"/>
      <c r="AG74" s="232"/>
      <c r="AH74" s="232"/>
      <c r="AI74" s="232"/>
      <c r="AJ74" s="232"/>
      <c r="AK74" s="232"/>
      <c r="AL74" s="232"/>
      <c r="AM74" s="232"/>
      <c r="AN74" s="232"/>
      <c r="AO74" s="232"/>
      <c r="AP74" s="232"/>
      <c r="AQ74" s="232"/>
      <c r="AR74" s="232"/>
      <c r="AS74" s="232"/>
      <c r="AT74" s="232"/>
      <c r="AU74" s="232"/>
      <c r="AV74" s="232"/>
      <c r="AW74" s="232"/>
      <c r="AX74" s="232"/>
      <c r="AY74" s="232"/>
      <c r="AZ74" s="232"/>
      <c r="BA74" s="232"/>
      <c r="BB74" s="232"/>
      <c r="BC74" s="232"/>
      <c r="BD74" s="232"/>
      <c r="BE74" s="232"/>
      <c r="BF74" s="232"/>
      <c r="BG74" s="232"/>
      <c r="BH74" s="232"/>
      <c r="BI74" s="232"/>
      <c r="BJ74" s="232"/>
      <c r="BK74" s="232"/>
      <c r="BL74" s="232"/>
      <c r="BM74" s="232"/>
      <c r="BN74" s="232"/>
      <c r="BO74" s="232"/>
      <c r="BP74" s="232"/>
      <c r="BQ74" s="232"/>
      <c r="BR74" s="232"/>
      <c r="BS74" s="232"/>
      <c r="BT74" s="232"/>
      <c r="BU74" s="232"/>
      <c r="BV74" s="232"/>
      <c r="BW74" s="232"/>
      <c r="BX74" s="232"/>
      <c r="BY74" s="232"/>
      <c r="BZ74" s="232"/>
      <c r="CA74" s="232"/>
      <c r="CB74" s="232"/>
      <c r="CC74" s="232"/>
      <c r="CD74" s="232"/>
      <c r="CE74" s="232"/>
      <c r="CF74" s="228"/>
      <c r="CG74" s="228"/>
      <c r="CH74" s="228"/>
    </row>
    <row r="75" spans="1:100" x14ac:dyDescent="0.2">
      <c r="H75" s="226"/>
      <c r="I75" s="226"/>
      <c r="J75" s="226"/>
      <c r="K75" s="226"/>
      <c r="L75" s="226"/>
      <c r="M75" s="226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  <c r="AC75" s="232"/>
      <c r="AD75" s="232"/>
      <c r="AE75" s="232"/>
      <c r="AF75" s="232"/>
      <c r="AG75" s="232"/>
      <c r="AH75" s="232"/>
      <c r="AI75" s="232"/>
      <c r="AJ75" s="232"/>
      <c r="AK75" s="232"/>
      <c r="AL75" s="232"/>
      <c r="AM75" s="232"/>
      <c r="AN75" s="232"/>
      <c r="AO75" s="232"/>
      <c r="AP75" s="232"/>
      <c r="AQ75" s="232"/>
      <c r="AR75" s="232"/>
      <c r="AS75" s="232"/>
      <c r="AT75" s="232"/>
      <c r="AU75" s="232"/>
      <c r="AV75" s="232"/>
      <c r="AW75" s="232"/>
      <c r="AX75" s="232"/>
      <c r="AY75" s="232"/>
      <c r="AZ75" s="232"/>
      <c r="BA75" s="232"/>
      <c r="BB75" s="232"/>
      <c r="BC75" s="232"/>
      <c r="BD75" s="232"/>
      <c r="BE75" s="232"/>
      <c r="BF75" s="232"/>
      <c r="BG75" s="232"/>
      <c r="BH75" s="232"/>
      <c r="BI75" s="232"/>
      <c r="BJ75" s="232"/>
      <c r="BK75" s="232"/>
      <c r="BL75" s="232"/>
      <c r="BM75" s="232"/>
      <c r="BN75" s="232"/>
      <c r="BO75" s="232"/>
      <c r="BP75" s="232"/>
      <c r="BQ75" s="232"/>
      <c r="BR75" s="232"/>
      <c r="BS75" s="232"/>
      <c r="BT75" s="232"/>
      <c r="BU75" s="232"/>
      <c r="BV75" s="232"/>
      <c r="BW75" s="232"/>
      <c r="BX75" s="232"/>
      <c r="BY75" s="232"/>
      <c r="BZ75" s="232"/>
      <c r="CA75" s="232"/>
      <c r="CB75" s="232"/>
      <c r="CC75" s="232"/>
      <c r="CD75" s="232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</row>
    <row r="76" spans="1:100" x14ac:dyDescent="0.2">
      <c r="B76" s="226" t="s">
        <v>447</v>
      </c>
      <c r="H76" s="232"/>
      <c r="I76" s="638"/>
      <c r="J76" s="580"/>
      <c r="K76" s="226"/>
      <c r="L76" s="721">
        <v>24703397</v>
      </c>
      <c r="M76" s="226"/>
      <c r="N76" s="226"/>
      <c r="O76" s="226"/>
      <c r="P76" s="232"/>
      <c r="Q76" s="232"/>
      <c r="R76" s="638"/>
      <c r="S76" s="232"/>
      <c r="T76" s="197"/>
      <c r="U76" s="232"/>
      <c r="V76" s="232"/>
      <c r="W76" s="638"/>
      <c r="X76" s="638">
        <f>L76</f>
        <v>24703397</v>
      </c>
      <c r="Y76" s="232"/>
      <c r="Z76" s="232"/>
      <c r="AA76" s="232"/>
      <c r="AB76" s="232"/>
      <c r="AC76" s="232"/>
      <c r="AD76" s="197"/>
      <c r="AE76" s="232"/>
      <c r="AF76" s="197"/>
      <c r="AG76" s="232"/>
      <c r="AH76" s="232"/>
      <c r="AI76" s="638"/>
      <c r="AJ76" s="638">
        <f>X76</f>
        <v>24703397</v>
      </c>
      <c r="AK76" s="232"/>
      <c r="AL76" s="232"/>
      <c r="AM76" s="232"/>
      <c r="AN76" s="232"/>
      <c r="AO76" s="232"/>
      <c r="AP76" s="197"/>
      <c r="AQ76" s="232"/>
      <c r="AR76" s="197"/>
      <c r="AS76" s="232"/>
      <c r="AT76" s="232"/>
      <c r="AU76" s="638"/>
      <c r="AV76" s="638">
        <f>AJ76</f>
        <v>24703397</v>
      </c>
      <c r="AW76" s="232"/>
      <c r="AX76" s="232"/>
      <c r="AY76" s="232"/>
      <c r="AZ76" s="232"/>
      <c r="BA76" s="232"/>
      <c r="BB76" s="197"/>
      <c r="BC76" s="232"/>
      <c r="BD76" s="197"/>
      <c r="BE76" s="232"/>
      <c r="BF76" s="232"/>
      <c r="BG76" s="638"/>
      <c r="BH76" s="638">
        <f>AV76</f>
        <v>24703397</v>
      </c>
      <c r="BI76" s="232"/>
      <c r="BJ76" s="232"/>
      <c r="BK76" s="232"/>
      <c r="BL76" s="232"/>
      <c r="BM76" s="232"/>
      <c r="BN76" s="197"/>
      <c r="BO76" s="232"/>
      <c r="BP76" s="197"/>
      <c r="BQ76" s="232"/>
      <c r="BR76" s="232"/>
      <c r="BS76" s="638"/>
      <c r="BT76" s="638">
        <f>BH76</f>
        <v>24703397</v>
      </c>
      <c r="BU76" s="232"/>
      <c r="BV76" s="232"/>
      <c r="BW76" s="232"/>
      <c r="BX76" s="232"/>
      <c r="BY76" s="232"/>
      <c r="BZ76" s="197"/>
      <c r="CA76" s="232"/>
      <c r="CB76" s="197"/>
      <c r="CC76" s="232"/>
      <c r="CD76" s="232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</row>
    <row r="77" spans="1:100" x14ac:dyDescent="0.2">
      <c r="B77" s="226" t="s">
        <v>448</v>
      </c>
      <c r="H77" s="720">
        <v>0.15310000000000001</v>
      </c>
      <c r="I77"/>
      <c r="J77" s="580"/>
      <c r="K77" s="226"/>
      <c r="L77" s="639">
        <f>$H$77*L76/SUM(L7:W7)</f>
        <v>0.22453829452097668</v>
      </c>
      <c r="M77" s="226"/>
      <c r="N77" s="226"/>
      <c r="O77" s="226"/>
      <c r="P77" s="232"/>
      <c r="Q77" s="226"/>
      <c r="R77" s="639"/>
      <c r="S77" s="232"/>
      <c r="T77" s="226"/>
      <c r="U77" s="226"/>
      <c r="V77" s="226"/>
      <c r="W77" s="639"/>
      <c r="X77" s="639">
        <f>$H$77*X76/SUM(X7:AI7)</f>
        <v>0.22428362948472028</v>
      </c>
      <c r="Y77" s="232"/>
      <c r="Z77" s="232"/>
      <c r="AA77" s="232"/>
      <c r="AB77" s="232"/>
      <c r="AC77" s="232"/>
      <c r="AD77" s="639"/>
      <c r="AE77" s="232"/>
      <c r="AF77" s="226"/>
      <c r="AG77" s="226"/>
      <c r="AH77" s="226"/>
      <c r="AI77" s="639"/>
      <c r="AJ77" s="639">
        <f>$H$77*AJ76/SUM(AJ7:AU7)</f>
        <v>0.22402953387596494</v>
      </c>
      <c r="AK77" s="232"/>
      <c r="AL77" s="232"/>
      <c r="AM77" s="232"/>
      <c r="AN77" s="232"/>
      <c r="AO77" s="232"/>
      <c r="AP77" s="639"/>
      <c r="AQ77" s="232"/>
      <c r="AR77" s="226"/>
      <c r="AS77" s="226"/>
      <c r="AT77" s="226"/>
      <c r="AU77" s="639"/>
      <c r="AV77" s="639">
        <f>$H$77*AV76/SUM(AV7:BG7)</f>
        <v>0.22377598690175141</v>
      </c>
      <c r="AW77" s="232"/>
      <c r="AX77" s="232"/>
      <c r="AY77" s="232"/>
      <c r="AZ77" s="232"/>
      <c r="BA77" s="232"/>
      <c r="BB77" s="639"/>
      <c r="BC77" s="232"/>
      <c r="BD77" s="226"/>
      <c r="BE77" s="226"/>
      <c r="BF77" s="226"/>
      <c r="BG77" s="639"/>
      <c r="BH77" s="639">
        <f>$H$77*BH76/SUM(BH7:BS7)</f>
        <v>0.22352283043552879</v>
      </c>
      <c r="BI77" s="232"/>
      <c r="BJ77" s="232"/>
      <c r="BK77" s="232"/>
      <c r="BL77" s="232"/>
      <c r="BM77" s="232"/>
      <c r="BN77" s="639"/>
      <c r="BO77" s="232"/>
      <c r="BP77" s="226"/>
      <c r="BQ77" s="226"/>
      <c r="BR77" s="226"/>
      <c r="BS77" s="639"/>
      <c r="BT77" s="639">
        <f>$H$77*BT76/SUM(BT7:CE7)</f>
        <v>0.23722362073541348</v>
      </c>
      <c r="BU77" s="232"/>
      <c r="BV77" s="232"/>
      <c r="BW77" s="232"/>
      <c r="BX77" s="232"/>
      <c r="BY77" s="232"/>
      <c r="BZ77" s="639"/>
      <c r="CA77" s="232"/>
      <c r="CB77" s="226"/>
      <c r="CC77" s="226"/>
      <c r="CD77" s="226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</row>
    <row r="78" spans="1:100" x14ac:dyDescent="0.2">
      <c r="B78" s="226" t="s">
        <v>449</v>
      </c>
      <c r="H78" s="226">
        <f>1-H77</f>
        <v>0.84689999999999999</v>
      </c>
      <c r="I78" s="639"/>
      <c r="J78" s="580"/>
      <c r="K78" s="226"/>
      <c r="L78" s="639">
        <f>$H$78*L76/(SUM(L5:W5))+L77</f>
        <v>1.497989554365966</v>
      </c>
      <c r="M78" s="226"/>
      <c r="N78" s="226"/>
      <c r="O78" s="226"/>
      <c r="P78" s="232"/>
      <c r="Q78" s="226"/>
      <c r="R78" s="639"/>
      <c r="S78" s="232"/>
      <c r="T78" s="640"/>
      <c r="U78" s="640"/>
      <c r="V78" s="226"/>
      <c r="W78" s="639"/>
      <c r="X78" s="639">
        <f>$H$78*X76/(SUM(X5:AI5))+X77</f>
        <v>1.496254132468426</v>
      </c>
      <c r="Y78" s="226"/>
      <c r="Z78" s="226"/>
      <c r="AA78" s="226"/>
      <c r="AB78" s="232"/>
      <c r="AC78" s="232"/>
      <c r="AD78" s="639"/>
      <c r="AE78" s="232"/>
      <c r="AF78" s="640"/>
      <c r="AG78" s="640"/>
      <c r="AH78" s="226"/>
      <c r="AI78" s="639"/>
      <c r="AJ78" s="639">
        <f>$H$78*AJ76/(SUM(AJ5:AU5))+AJ77</f>
        <v>1.4945226755135359</v>
      </c>
      <c r="AK78" s="226"/>
      <c r="AL78" s="226"/>
      <c r="AM78" s="226"/>
      <c r="AN78" s="232"/>
      <c r="AO78" s="232"/>
      <c r="AP78" s="639"/>
      <c r="AQ78" s="232"/>
      <c r="AR78" s="640"/>
      <c r="AS78" s="640"/>
      <c r="AT78" s="226"/>
      <c r="AU78" s="639"/>
      <c r="AV78" s="639">
        <f>$H$78*AV76/(SUM(AV5:BG5))+AV77</f>
        <v>1.4927950412492739</v>
      </c>
      <c r="AW78" s="226"/>
      <c r="AX78" s="226"/>
      <c r="AY78" s="226"/>
      <c r="AZ78" s="232"/>
      <c r="BA78" s="232"/>
      <c r="BB78" s="639"/>
      <c r="BC78" s="232"/>
      <c r="BD78" s="640"/>
      <c r="BE78" s="640"/>
      <c r="BF78" s="226"/>
      <c r="BG78" s="639"/>
      <c r="BH78" s="639">
        <f>$H$78*BH76/(SUM(BH5:BS5))+BH77</f>
        <v>1.4910701517485132</v>
      </c>
      <c r="BI78" s="226"/>
      <c r="BJ78" s="226"/>
      <c r="BK78" s="226"/>
      <c r="BL78" s="232"/>
      <c r="BM78" s="232"/>
      <c r="BN78" s="639"/>
      <c r="BO78" s="232"/>
      <c r="BP78" s="640"/>
      <c r="BQ78" s="640"/>
      <c r="BR78" s="226"/>
      <c r="BS78" s="639"/>
      <c r="BT78" s="639">
        <f>$H$78*BT76/(SUM(BT5:CE5))+BT77</f>
        <v>1.5832702502358029</v>
      </c>
      <c r="BU78" s="226"/>
      <c r="BV78" s="226"/>
      <c r="BW78" s="226"/>
      <c r="BX78" s="232"/>
      <c r="BY78" s="232"/>
      <c r="BZ78" s="639"/>
      <c r="CA78" s="232"/>
      <c r="CB78" s="640"/>
      <c r="CC78" s="640"/>
      <c r="CD78" s="226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</row>
    <row r="79" spans="1:100" x14ac:dyDescent="0.2">
      <c r="H79" s="226"/>
      <c r="I79" s="226"/>
      <c r="J79" s="226"/>
      <c r="K79" s="226"/>
      <c r="L79" s="226"/>
      <c r="M79" s="226"/>
      <c r="N79" s="226"/>
      <c r="O79" s="226"/>
      <c r="P79" s="232"/>
      <c r="Q79" s="232"/>
      <c r="R79" s="232"/>
      <c r="S79" s="232"/>
      <c r="T79" s="232"/>
      <c r="U79" s="232"/>
      <c r="V79" s="226"/>
      <c r="W79" s="226"/>
      <c r="X79" s="226"/>
      <c r="Y79" s="226"/>
      <c r="Z79" s="226"/>
      <c r="AA79" s="226"/>
      <c r="AB79" s="232"/>
      <c r="AC79" s="232"/>
      <c r="AD79" s="232"/>
      <c r="AE79" s="232"/>
      <c r="AF79" s="232"/>
      <c r="AG79" s="232"/>
      <c r="AH79" s="226"/>
      <c r="AI79" s="226"/>
      <c r="AJ79" s="226"/>
      <c r="AK79" s="226"/>
      <c r="AL79" s="226"/>
      <c r="AM79" s="226"/>
      <c r="AN79" s="232"/>
      <c r="AO79" s="232"/>
      <c r="AP79" s="232"/>
      <c r="AQ79" s="232"/>
      <c r="AR79" s="232"/>
      <c r="AS79" s="232"/>
      <c r="AT79" s="226"/>
      <c r="AU79" s="226"/>
      <c r="AV79" s="226"/>
      <c r="AW79" s="226"/>
      <c r="AX79" s="226"/>
      <c r="AY79" s="226"/>
      <c r="AZ79" s="232"/>
      <c r="BA79" s="232"/>
      <c r="BB79" s="232"/>
      <c r="BC79" s="232"/>
      <c r="BD79" s="232"/>
      <c r="BE79" s="232"/>
      <c r="BF79" s="226"/>
      <c r="BG79" s="226"/>
      <c r="BH79" s="226"/>
      <c r="BI79" s="226"/>
      <c r="BJ79" s="226"/>
      <c r="BK79" s="226"/>
      <c r="BL79" s="232"/>
      <c r="BM79" s="232"/>
      <c r="BN79" s="232"/>
      <c r="BO79" s="232"/>
      <c r="BP79" s="232"/>
      <c r="BQ79" s="232"/>
      <c r="BR79" s="226"/>
      <c r="BS79" s="226"/>
      <c r="BT79" s="226"/>
      <c r="BU79" s="226"/>
      <c r="BV79" s="226"/>
      <c r="BW79" s="226"/>
      <c r="BX79" s="232"/>
      <c r="BY79" s="232"/>
      <c r="BZ79" s="232"/>
      <c r="CA79" s="232"/>
      <c r="CB79" s="232"/>
      <c r="CC79" s="232"/>
      <c r="CD79" s="226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</row>
    <row r="80" spans="1:100" x14ac:dyDescent="0.2">
      <c r="B80" s="226" t="s">
        <v>450</v>
      </c>
      <c r="H80" s="197">
        <f>+(H5)*H93+(H6)*H99</f>
        <v>527954.10315900715</v>
      </c>
      <c r="I80" s="197">
        <f>+(I5)*I93+(I6)*I99</f>
        <v>529598.11651239253</v>
      </c>
      <c r="J80" s="197">
        <f>+(J5)*J93+(J6)*J99</f>
        <v>622492.42976492492</v>
      </c>
      <c r="K80" s="197">
        <f>+(K5)*K93+(K6)*K99</f>
        <v>1397712.6301056121</v>
      </c>
      <c r="L80" s="197">
        <f>+(L5)*L78+(L6)*L77</f>
        <v>2731815.5552106034</v>
      </c>
      <c r="M80" s="197">
        <f>+(M5)*L78+(M6)*L77</f>
        <v>4214334.0553260408</v>
      </c>
      <c r="N80" s="197">
        <f>+(N5)*L78+(N6)*L77</f>
        <v>4705684.4341811286</v>
      </c>
      <c r="O80" s="197">
        <f>+(O5)*L78+(O6)*L77</f>
        <v>3916261.4079086487</v>
      </c>
      <c r="P80" s="197">
        <f>+(P5)*L78+(P6)*L77</f>
        <v>2971732.901450647</v>
      </c>
      <c r="Q80" s="197">
        <f>+(Q5)*L78+(Q6)*L77</f>
        <v>1520807.7900639896</v>
      </c>
      <c r="R80" s="197">
        <f>+(R5)*L78+(R6)*L77</f>
        <v>849428.83625895623</v>
      </c>
      <c r="S80" s="197">
        <f>+(S5)*L78+(S6)*L77</f>
        <v>570544.32291651564</v>
      </c>
      <c r="T80" s="197">
        <f>+(T5)*L78+(T6)*L77</f>
        <v>552688.25494813127</v>
      </c>
      <c r="U80" s="197">
        <f>+(U5)*L78+(U6)*L77</f>
        <v>554442.96281255968</v>
      </c>
      <c r="V80" s="197">
        <f>+(V5)*L78+(V6)*L77</f>
        <v>651756.79495023529</v>
      </c>
      <c r="W80" s="197">
        <f>+(W5)*L78+(W6)*L77</f>
        <v>1463899.6839725391</v>
      </c>
      <c r="X80" s="197">
        <f>+(X5)*X78+(X6)*X77</f>
        <v>2732034.3702842919</v>
      </c>
      <c r="Y80" s="197">
        <f>+(Y5)*X78+(Y6)*X77</f>
        <v>4214645.5873349579</v>
      </c>
      <c r="Z80" s="197">
        <f>+(Z5)*X78+(Z6)*X77</f>
        <v>4705932.3339479184</v>
      </c>
      <c r="AA80" s="197">
        <f>+(AA5)*X78+(AA6)*X77</f>
        <v>3916448.5622640788</v>
      </c>
      <c r="AB80" s="197">
        <f>+(AB5)*X78+(AB6)*X77</f>
        <v>2971786.2416126383</v>
      </c>
      <c r="AC80" s="197">
        <f>+(AC5)*X78+(AC6)*X77</f>
        <v>1520737.9153283671</v>
      </c>
      <c r="AD80" s="197">
        <f>+(AD5)*X78+(AD6)*X77</f>
        <v>849237.9333411702</v>
      </c>
      <c r="AE80" s="197">
        <f>+(AE5)*X78+(AE6)*X77</f>
        <v>570341.56287357514</v>
      </c>
      <c r="AF80" s="197">
        <f>+(AF5)*X78+(AF6)*X77</f>
        <v>552494.62380679417</v>
      </c>
      <c r="AG80" s="197">
        <f>+(AG5)*X78+(AG6)*X77</f>
        <v>554247.1783801592</v>
      </c>
      <c r="AH80" s="197">
        <f>+(AH5)*X78+(AH6)*X77</f>
        <v>651589.29032917845</v>
      </c>
      <c r="AI80" s="197">
        <f>+(AI5)*X78+(AI6)*X77</f>
        <v>1463901.4004968705</v>
      </c>
      <c r="AJ80" s="197">
        <f>+(AJ5)*AJ78+(AJ6)*AJ77</f>
        <v>2732252.7052873988</v>
      </c>
      <c r="AK80" s="197">
        <f>+(AK5)*AJ78+(AK6)*AJ77</f>
        <v>4214956.4470632551</v>
      </c>
      <c r="AL80" s="197">
        <f>+(AL5)*AJ78+(AL6)*AJ77</f>
        <v>4706179.7123370217</v>
      </c>
      <c r="AM80" s="197">
        <f>+(AM5)*AJ78+(AM6)*AJ77</f>
        <v>3916635.3234170168</v>
      </c>
      <c r="AN80" s="197">
        <f>+(AN5)*AJ78+(AN6)*AJ77</f>
        <v>2971839.4812642056</v>
      </c>
      <c r="AO80" s="197">
        <f>+(AO5)*AJ78+(AO6)*AJ77</f>
        <v>1520668.2011871857</v>
      </c>
      <c r="AP80" s="197">
        <f>+(AP5)*AJ78+(AP6)*AJ77</f>
        <v>849047.45809227217</v>
      </c>
      <c r="AQ80" s="197">
        <f>+(AQ5)*AJ78+(AQ6)*AJ77</f>
        <v>570139.25382104493</v>
      </c>
      <c r="AR80" s="197">
        <f>+(AR5)*AJ78+(AR6)*AJ77</f>
        <v>552301.40274844796</v>
      </c>
      <c r="AS80" s="197">
        <f>+(AS5)*AJ78+(AS6)*AJ77</f>
        <v>554051.80833286012</v>
      </c>
      <c r="AT80" s="197">
        <f>+(AT5)*AJ78+(AT6)*AJ77</f>
        <v>651422.13516615389</v>
      </c>
      <c r="AU80" s="197">
        <f>+(AU5)*AJ78+(AU6)*AJ77</f>
        <v>1463903.0712831344</v>
      </c>
      <c r="AV80" s="197">
        <f>+(AV5)*AV78+(AV6)*AV77</f>
        <v>2732470.2518026847</v>
      </c>
      <c r="AW80" s="197">
        <f>+(AW5)*AV78+(AW6)*AV77</f>
        <v>4215266.1656631753</v>
      </c>
      <c r="AX80" s="197">
        <f>+(AX5)*AV78+(AX6)*AV77</f>
        <v>4706426.0481911255</v>
      </c>
      <c r="AY80" s="197">
        <f>+(AY5)*AV78+(AY6)*AV77</f>
        <v>3916821.2562879934</v>
      </c>
      <c r="AZ80" s="197">
        <f>+(AZ5)*AV78+(AZ6)*AV77</f>
        <v>2971892.2874969426</v>
      </c>
      <c r="BA80" s="197">
        <f>+(BA5)*AV78+(BA6)*AV77</f>
        <v>1520598.4743394845</v>
      </c>
      <c r="BB80" s="197">
        <f>+(BB5)*AV78+(BB6)*AV77</f>
        <v>848857.30915636336</v>
      </c>
      <c r="BC80" s="197">
        <f>+(BC5)*AV78+(BC6)*AV77</f>
        <v>569937.32524283545</v>
      </c>
      <c r="BD80" s="197">
        <f>+(BD5)*AV78+(BD6)*AV77</f>
        <v>552108.93702443456</v>
      </c>
      <c r="BE80" s="197">
        <f>+(BE5)*AV78+(BE6)*AV77</f>
        <v>553857.20126038115</v>
      </c>
      <c r="BF80" s="197">
        <f>+(BF5)*AV78+(BF6)*AV77</f>
        <v>651255.77589980583</v>
      </c>
      <c r="BG80" s="197">
        <f>+(BG5)*AV78+(BG6)*AV77</f>
        <v>1463905.9676347785</v>
      </c>
      <c r="BH80" s="197">
        <f>+(BH5)*BH78+(BH6)*BH77</f>
        <v>2732687.8314585644</v>
      </c>
      <c r="BI80" s="197">
        <f>+(BI5)*BH78+(BI6)*BH77</f>
        <v>4215576.0609609894</v>
      </c>
      <c r="BJ80" s="197">
        <f>+(BJ5)*BH78+(BJ6)*BH77</f>
        <v>4706672.7550026495</v>
      </c>
      <c r="BK80" s="197">
        <f>+(BK5)*BH78+(BK6)*BH77</f>
        <v>3917007.5436833231</v>
      </c>
      <c r="BL80" s="197">
        <f>+(BL5)*BH78+(BL6)*BH77</f>
        <v>2971945.4966199347</v>
      </c>
      <c r="BM80" s="197">
        <f>+(BM5)*BH78+(BM6)*BH77</f>
        <v>1520529.074140145</v>
      </c>
      <c r="BN80" s="197">
        <f>+(BN5)*BH78+(BN6)*BH77</f>
        <v>848667.57435358898</v>
      </c>
      <c r="BO80" s="197">
        <f>+(BO5)*BH78+(BO6)*BH77</f>
        <v>569735.77832122135</v>
      </c>
      <c r="BP80" s="197">
        <f>+(BP5)*BH78+(BP6)*BH77</f>
        <v>551916.10597483115</v>
      </c>
      <c r="BQ80" s="197">
        <f>+(BQ5)*BH78+(BQ6)*BH77</f>
        <v>553662.23060834699</v>
      </c>
      <c r="BR80" s="197">
        <f>+(BR5)*BH78+(BR6)*BH77</f>
        <v>651088.94694975147</v>
      </c>
      <c r="BS80" s="197">
        <f>+(BS5)*BH78+(BS6)*BH77</f>
        <v>1463907.6019266585</v>
      </c>
      <c r="BT80" s="197">
        <f>+(BT5)*BT78+(BT6)*BT77</f>
        <v>2905243.8019442363</v>
      </c>
      <c r="BU80" s="197">
        <f>+(BU5)*BT78+(BU6)*BT77</f>
        <v>4481740.4269925607</v>
      </c>
      <c r="BV80" s="197">
        <f>+(BV5)*BT78+(BV6)*BT77</f>
        <v>5003738.1882568272</v>
      </c>
      <c r="BW80" s="197">
        <f>+(BW5)*BT78+(BW6)*BT77</f>
        <v>4164213.4589884179</v>
      </c>
      <c r="BX80" s="197">
        <f>+(BX5)*BT78+(BX6)*BT77</f>
        <v>3159414.1097576916</v>
      </c>
      <c r="BY80" s="197">
        <f>+(BY5)*BT78+(BY6)*BT77</f>
        <v>1616340.3158775137</v>
      </c>
      <c r="BZ80" s="197">
        <f>+(BZ5)*BT78+(BZ6)*BT77</f>
        <v>901981.39061352226</v>
      </c>
      <c r="CA80" s="197">
        <f>+(CA5)*BT78+(CA6)*BT77</f>
        <v>605448.1002887286</v>
      </c>
      <c r="CB80" s="197">
        <f>+(CB5)*BT78+(CB6)*BT77</f>
        <v>586037.82786425389</v>
      </c>
      <c r="CC80" s="197">
        <f>+(CC5)*BT78+(CC6)*BT77</f>
        <v>587894.48601093364</v>
      </c>
      <c r="CD80" s="197">
        <f>+(CD5)*BT78+(CD6)*BT77</f>
        <v>691344.89340531663</v>
      </c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</row>
    <row r="81" spans="1:100" x14ac:dyDescent="0.2">
      <c r="H81" s="226"/>
      <c r="I81" s="226"/>
      <c r="J81" s="226"/>
      <c r="K81" s="226"/>
      <c r="L81" s="226"/>
      <c r="M81" s="226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6"/>
      <c r="BN81" s="226"/>
      <c r="BO81" s="226"/>
      <c r="BP81" s="226"/>
      <c r="BQ81" s="226"/>
      <c r="BR81" s="226"/>
      <c r="BS81" s="226"/>
      <c r="BT81" s="226"/>
      <c r="BU81" s="226"/>
      <c r="BV81" s="226"/>
      <c r="BW81" s="226"/>
      <c r="BX81" s="226"/>
      <c r="BY81" s="226"/>
      <c r="BZ81" s="226"/>
      <c r="CA81" s="226"/>
      <c r="CB81" s="226"/>
      <c r="CC81" s="226"/>
      <c r="CD81" s="226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</row>
    <row r="82" spans="1:100" x14ac:dyDescent="0.2">
      <c r="H82" s="226"/>
      <c r="I82" s="226"/>
      <c r="J82" s="226"/>
      <c r="K82" s="226"/>
      <c r="L82" s="226"/>
      <c r="M82" s="226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26"/>
      <c r="AA82" s="232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6"/>
      <c r="BN82" s="226"/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6"/>
      <c r="CB82" s="226"/>
      <c r="CC82" s="226"/>
      <c r="CD82" s="226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</row>
    <row r="83" spans="1:100" x14ac:dyDescent="0.2">
      <c r="A83" s="226" t="s">
        <v>451</v>
      </c>
      <c r="H83" s="226"/>
      <c r="I83" s="226"/>
      <c r="J83" s="226"/>
      <c r="K83" s="226"/>
      <c r="L83" s="226"/>
      <c r="M83" s="226"/>
      <c r="N83" s="232"/>
      <c r="O83" s="226"/>
      <c r="P83" s="226"/>
      <c r="Q83" s="246"/>
      <c r="R83" s="246"/>
      <c r="S83" s="246"/>
      <c r="T83" s="246"/>
      <c r="U83" s="226"/>
      <c r="V83" s="226"/>
      <c r="W83" s="226"/>
      <c r="X83" s="226"/>
      <c r="Y83" s="232"/>
      <c r="Z83" s="232"/>
      <c r="AA83" s="232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6"/>
      <c r="BN83" s="226"/>
      <c r="BO83" s="226"/>
      <c r="BP83" s="226"/>
      <c r="BQ83" s="226"/>
      <c r="BR83" s="226"/>
      <c r="BS83" s="226"/>
      <c r="BT83" s="226"/>
      <c r="BU83" s="226"/>
      <c r="BV83" s="226"/>
      <c r="BW83" s="226"/>
      <c r="BX83" s="226"/>
      <c r="BY83" s="226"/>
      <c r="BZ83" s="226"/>
      <c r="CA83" s="226"/>
      <c r="CB83" s="226"/>
      <c r="CC83" s="226"/>
      <c r="CD83" s="226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</row>
    <row r="84" spans="1:100" x14ac:dyDescent="0.2">
      <c r="E84" s="580"/>
      <c r="H84" s="580"/>
      <c r="I84" s="580"/>
      <c r="J84" s="580"/>
      <c r="K84" s="580"/>
      <c r="L84" s="641">
        <f>+(L85*(L5+L6)+M85*(M5+M6)+N85*(N5+N6))/SUM(L5:N6)</f>
        <v>3.0758130402434145</v>
      </c>
      <c r="M84" s="232"/>
      <c r="N84" s="641"/>
      <c r="O84" s="641">
        <f>+(O85*(O5+O6)+P85*(P5+P6)+Q85*(Q5+Q6))/SUM(O5:Q6)</f>
        <v>2.9794248569380799</v>
      </c>
      <c r="P84" s="232"/>
      <c r="Q84" s="641"/>
      <c r="R84" s="641">
        <f>+(R85*(R5+R6)+S85*(S5+S6)+T85*(T5+T6))/SUM(R5:T6)</f>
        <v>3.2048507183845496</v>
      </c>
      <c r="S84" s="232"/>
      <c r="T84" s="641"/>
      <c r="U84" s="641">
        <f>+(U85*(U5+U6)+V85*(V5+V6)+W85*(W5+W6))/SUM(U5:W6)</f>
        <v>3.1850874577749426</v>
      </c>
      <c r="V84" s="232"/>
      <c r="W84" s="641"/>
      <c r="X84" s="641">
        <f>+(X85*(X5+X6)+Y85*(Y5+Y6)+Z85*(Z5+Z6))/SUM(X5:Z6)</f>
        <v>3.0301326490369211</v>
      </c>
      <c r="Y84" s="232"/>
      <c r="Z84" s="641"/>
      <c r="AA84" s="641">
        <f>+(AA85*(AA5+AA6)+AB85*(AB5+AB6)+AC85*(AC5+AC6))/SUM(AA5:AC6)</f>
        <v>2.9554245663605343</v>
      </c>
      <c r="AB84" s="232"/>
      <c r="AC84" s="641"/>
      <c r="AD84" s="641">
        <f>+(AD85*(AD5+AD6)+AE85*(AE5+AE6)+AF85*(AF5+AF6))/SUM(AD5:AF6)</f>
        <v>3.0175376425132101</v>
      </c>
      <c r="AE84" s="232"/>
      <c r="AF84" s="641"/>
      <c r="AG84" s="641">
        <f>+(AG85*(AG5+AG6)+AH85*(AH5+AH6)+AI85*(AI5+AI6))/SUM(AG5:AI6)</f>
        <v>3.0042092267858469</v>
      </c>
      <c r="AH84" s="232"/>
      <c r="AI84" s="641"/>
      <c r="AJ84" s="641">
        <f>+(AJ85*(AJ5+AJ6)+AK85*(AK5+AK6)+AL85*(AL5+AL6))/SUM(AJ5:AL6)</f>
        <v>2.9228704198958444</v>
      </c>
      <c r="AK84" s="232"/>
      <c r="AL84" s="641"/>
      <c r="AM84" s="641">
        <f>+(AM85*(AM5+AM6)+AN85*(AN5+AN6)+AO85*(AO5+AO6))/SUM(AM5:AO6)</f>
        <v>2.8704790177201698</v>
      </c>
      <c r="AN84" s="232"/>
      <c r="AO84" s="641"/>
      <c r="AP84" s="641">
        <f>+(AP85*(AP5+AP6)+AQ85*(AQ5+AQ6)+AR85*(AR5+AR6))/SUM(AP5:AR6)</f>
        <v>2.9635470398994412</v>
      </c>
      <c r="AQ84" s="232"/>
      <c r="AR84" s="641"/>
      <c r="AS84" s="641">
        <f>+(AS85*(AS5+AS6)+AT85*(AT5+AT6)+AU85*(AU5+AU6))/SUM(AS5:AU6)</f>
        <v>2.9844325895490571</v>
      </c>
      <c r="AT84" s="232"/>
      <c r="AU84" s="641"/>
      <c r="AV84" s="641">
        <f>+(AV85*(AV5+AV6)+AW85*(AW5+AW6)+AX85*(AX5+AX6))/SUM(AV5:AX6)</f>
        <v>2.9041290252000107</v>
      </c>
      <c r="AW84" s="232"/>
      <c r="AX84" s="641"/>
      <c r="AY84" s="641">
        <f>+(AY85*(AY5+AY6)+AZ85*(AZ5+AZ6)+BA85*(BA5+BA6))/SUM(AY5:BA6)</f>
        <v>2.8427628895698427</v>
      </c>
      <c r="AZ84" s="232"/>
      <c r="BA84" s="641"/>
      <c r="BB84" s="641">
        <f>+(BB85*(BB5+BB6)+BC85*(BC5+BC6)+BD85*(BD5+BD6))/SUM(BB5:BD6)</f>
        <v>2.9639893068723975</v>
      </c>
      <c r="BC84" s="232"/>
      <c r="BD84" s="641"/>
      <c r="BE84" s="641">
        <f>+(BE85*(BE5+BE6)+BF85*(BF5+BF6)+BG85*(BG5+BG6))/SUM(BE5:BG6)</f>
        <v>2.9920243292303983</v>
      </c>
      <c r="BF84" s="232"/>
      <c r="BG84" s="641"/>
      <c r="BH84" s="641">
        <f>+(BH85*(BH5+BH6)+BI85*(BI5+BI6)+BJ85*(BJ5+BJ6))/SUM(BH5:BJ6)</f>
        <v>2.9162897686230407</v>
      </c>
      <c r="BI84" s="232"/>
      <c r="BJ84" s="641"/>
      <c r="BK84" s="641">
        <f>+(BK85*(BK5+BK6)+BL85*(BL5+BL6)+BM85*(BM5+BM6))/SUM(BK5:BM6)</f>
        <v>2.8513490475439771</v>
      </c>
      <c r="BL84" s="232"/>
      <c r="BM84" s="641"/>
      <c r="BN84" s="641">
        <f>+(BN85*(BN5+BN6)+BO85*(BO5+BO6)+BP85*(BP5+BP6))/SUM(BN5:BP6)</f>
        <v>2.9947071931462297</v>
      </c>
      <c r="BO84" s="232"/>
      <c r="BP84" s="641"/>
      <c r="BQ84" s="641">
        <f>+(BQ85*(BQ5+BQ6)+BR85*(BR5+BR6)+BS85*(BS5+BS6))/SUM(BQ5:BS6)</f>
        <v>3.0283089378095815</v>
      </c>
      <c r="BR84" s="232"/>
      <c r="BS84" s="641"/>
      <c r="BT84" s="641">
        <f>+(BT85*(BT5+BT6)+BU85*(BU5+BU6)+BV85*(BV5+BV6))/SUM(BT5:BV6)</f>
        <v>2.9469666082194355</v>
      </c>
      <c r="BU84" s="232"/>
      <c r="BV84" s="641"/>
      <c r="BW84" s="641">
        <f>+(BW85*(BW5+BW6)+BX85*(BX5+BX6)+BY85*(BY5+BY6))/SUM(BW5:BY6)</f>
        <v>2.8790688456628879</v>
      </c>
      <c r="BX84" s="232"/>
      <c r="BY84" s="641"/>
      <c r="BZ84" s="641">
        <f>+(BZ85*(BZ5+BZ6)+CA85*(CA5+CA6)+CB85*(CB5+CB6))/SUM(BZ5:CB6)</f>
        <v>3.0328299142570061</v>
      </c>
      <c r="CA84" s="232"/>
      <c r="CB84" s="641"/>
      <c r="CC84" s="641">
        <f>+(CC85*(CC5+CC6)+CD85*(CD5+CD6)+CE85*(CE5+CE6))/SUM(CC5:CE6)</f>
        <v>1.4373643936530347</v>
      </c>
      <c r="CD84" s="641"/>
      <c r="CE84" s="580"/>
      <c r="CF84"/>
      <c r="CG84" s="224"/>
      <c r="CH84" s="228"/>
      <c r="CI84" s="240"/>
      <c r="CJ84" s="224"/>
      <c r="CK84" s="228"/>
    </row>
    <row r="85" spans="1:100" x14ac:dyDescent="0.2">
      <c r="B85" s="226" t="s">
        <v>452</v>
      </c>
      <c r="E85" s="580"/>
      <c r="H85" s="580"/>
      <c r="I85" s="580"/>
      <c r="J85" s="580"/>
      <c r="K85" s="580"/>
      <c r="L85" s="233">
        <f>+(L72-L65)/(L5+L6)</f>
        <v>3.0997220622391302</v>
      </c>
      <c r="M85" s="233">
        <f t="shared" ref="M85:BT85" si="525">+(M72-M65)/(M5+M6)</f>
        <v>3.0870239026409427</v>
      </c>
      <c r="N85" s="233">
        <f t="shared" si="525"/>
        <v>3.0519840926266961</v>
      </c>
      <c r="O85" s="233">
        <f t="shared" si="525"/>
        <v>2.9363711595560185</v>
      </c>
      <c r="P85" s="233">
        <f t="shared" si="525"/>
        <v>2.9656607555852106</v>
      </c>
      <c r="Q85" s="233">
        <f t="shared" si="525"/>
        <v>3.1171107218916876</v>
      </c>
      <c r="R85" s="233">
        <f t="shared" si="525"/>
        <v>3.1438722577699485</v>
      </c>
      <c r="S85" s="233">
        <f t="shared" si="525"/>
        <v>3.2399201671895548</v>
      </c>
      <c r="T85" s="233">
        <f t="shared" si="525"/>
        <v>3.2584597224039484</v>
      </c>
      <c r="U85" s="233">
        <f t="shared" si="525"/>
        <v>3.271393612171992</v>
      </c>
      <c r="V85" s="233">
        <f t="shared" si="525"/>
        <v>3.2144134097191994</v>
      </c>
      <c r="W85" s="233">
        <f t="shared" si="525"/>
        <v>3.1370093778324675</v>
      </c>
      <c r="X85" s="233">
        <f t="shared" si="525"/>
        <v>3.0231692330080717</v>
      </c>
      <c r="Y85" s="233">
        <f t="shared" si="525"/>
        <v>3.039200025318296</v>
      </c>
      <c r="Z85" s="233">
        <f t="shared" si="525"/>
        <v>3.0260436577378913</v>
      </c>
      <c r="AA85" s="233">
        <f t="shared" si="525"/>
        <v>2.9555097939718395</v>
      </c>
      <c r="AB85" s="233">
        <f t="shared" si="525"/>
        <v>2.9689785794743626</v>
      </c>
      <c r="AC85" s="233">
        <f t="shared" si="525"/>
        <v>2.928736534472518</v>
      </c>
      <c r="AD85" s="233">
        <f t="shared" si="525"/>
        <v>2.9595749970278824</v>
      </c>
      <c r="AE85" s="233">
        <f t="shared" si="525"/>
        <v>3.0525012387022827</v>
      </c>
      <c r="AF85" s="233">
        <f t="shared" si="525"/>
        <v>3.0669420603188611</v>
      </c>
      <c r="AG85" s="233">
        <f t="shared" si="525"/>
        <v>3.083978637077518</v>
      </c>
      <c r="AH85" s="233">
        <f t="shared" si="525"/>
        <v>3.0331777529760355</v>
      </c>
      <c r="AI85" s="233">
        <f t="shared" si="525"/>
        <v>2.9589160346537677</v>
      </c>
      <c r="AJ85" s="233">
        <f t="shared" si="525"/>
        <v>2.8964886922713737</v>
      </c>
      <c r="AK85" s="233">
        <f t="shared" si="525"/>
        <v>2.9307803343194672</v>
      </c>
      <c r="AL85" s="233">
        <f t="shared" si="525"/>
        <v>2.9310277594657914</v>
      </c>
      <c r="AM85" s="233">
        <f t="shared" si="525"/>
        <v>2.8677906947837659</v>
      </c>
      <c r="AN85" s="233">
        <f t="shared" si="525"/>
        <v>2.8795365526251078</v>
      </c>
      <c r="AO85" s="233">
        <f t="shared" si="525"/>
        <v>2.8597103897680358</v>
      </c>
      <c r="AP85" s="233">
        <f t="shared" si="525"/>
        <v>2.9008008509461995</v>
      </c>
      <c r="AQ85" s="233">
        <f t="shared" si="525"/>
        <v>2.9978063057875337</v>
      </c>
      <c r="AR85" s="233">
        <f t="shared" si="525"/>
        <v>3.0204949984174929</v>
      </c>
      <c r="AS85" s="233">
        <f t="shared" si="525"/>
        <v>3.0508939297556683</v>
      </c>
      <c r="AT85" s="233">
        <f t="shared" si="525"/>
        <v>3.0134750174763201</v>
      </c>
      <c r="AU85" s="233">
        <f t="shared" si="525"/>
        <v>2.9444125854236471</v>
      </c>
      <c r="AV85" s="233">
        <f t="shared" si="525"/>
        <v>2.882154502450923</v>
      </c>
      <c r="AW85" s="233">
        <f t="shared" si="525"/>
        <v>2.9141972399750986</v>
      </c>
      <c r="AX85" s="233">
        <f t="shared" si="525"/>
        <v>2.9078118087933968</v>
      </c>
      <c r="AY85" s="233">
        <f t="shared" si="525"/>
        <v>2.8332619610025453</v>
      </c>
      <c r="AZ85" s="233">
        <f t="shared" si="525"/>
        <v>2.84770786987889</v>
      </c>
      <c r="BA85" s="233">
        <f t="shared" si="525"/>
        <v>2.8575646075742696</v>
      </c>
      <c r="BB85" s="233">
        <f t="shared" si="525"/>
        <v>2.9006683033785166</v>
      </c>
      <c r="BC85" s="233">
        <f t="shared" si="525"/>
        <v>2.9986704340055299</v>
      </c>
      <c r="BD85" s="233">
        <f t="shared" si="525"/>
        <v>3.0213692093570468</v>
      </c>
      <c r="BE85" s="233">
        <f t="shared" si="525"/>
        <v>3.0527837004575855</v>
      </c>
      <c r="BF85" s="233">
        <f t="shared" si="525"/>
        <v>3.0225807590441964</v>
      </c>
      <c r="BG85" s="233">
        <f t="shared" si="525"/>
        <v>2.9535764302816938</v>
      </c>
      <c r="BH85" s="233">
        <f t="shared" si="525"/>
        <v>2.8952858846016749</v>
      </c>
      <c r="BI85" s="233">
        <f t="shared" si="525"/>
        <v>2.9267849725287025</v>
      </c>
      <c r="BJ85" s="233">
        <f t="shared" si="525"/>
        <v>2.9190304433519114</v>
      </c>
      <c r="BK85" s="233">
        <f t="shared" si="525"/>
        <v>2.8375442026521869</v>
      </c>
      <c r="BL85" s="233">
        <f t="shared" si="525"/>
        <v>2.8537681145911122</v>
      </c>
      <c r="BM85" s="233">
        <f t="shared" si="525"/>
        <v>2.882167258046366</v>
      </c>
      <c r="BN85" s="233">
        <f t="shared" si="525"/>
        <v>2.9314067566737667</v>
      </c>
      <c r="BO85" s="233">
        <f t="shared" si="525"/>
        <v>3.0293718045724374</v>
      </c>
      <c r="BP85" s="233">
        <f t="shared" si="525"/>
        <v>3.0520876909839787</v>
      </c>
      <c r="BQ85" s="233">
        <f t="shared" si="525"/>
        <v>3.0865758226873332</v>
      </c>
      <c r="BR85" s="233">
        <f t="shared" si="525"/>
        <v>3.0574086141332848</v>
      </c>
      <c r="BS85" s="233">
        <f t="shared" si="525"/>
        <v>2.9915463948176169</v>
      </c>
      <c r="BT85" s="233">
        <f t="shared" si="525"/>
        <v>2.9291949217793087</v>
      </c>
      <c r="BU85" s="233">
        <f t="shared" ref="BU85:BY85" si="526">+(BU72-BU65)/(BU5+BU6)</f>
        <v>2.9574242998122156</v>
      </c>
      <c r="BV85" s="233">
        <f t="shared" si="526"/>
        <v>2.9478747246335124</v>
      </c>
      <c r="BW85" s="233">
        <f t="shared" si="526"/>
        <v>2.8628162833551203</v>
      </c>
      <c r="BX85" s="233">
        <f t="shared" si="526"/>
        <v>2.8799896098655919</v>
      </c>
      <c r="BY85" s="233">
        <f t="shared" si="526"/>
        <v>2.9191193965208013</v>
      </c>
      <c r="BZ85" s="233">
        <f t="shared" ref="BZ85:CB85" si="527">+(BZ72-BZ65)/(BZ5+BZ6)</f>
        <v>2.9683187770853912</v>
      </c>
      <c r="CA85" s="233">
        <f t="shared" si="527"/>
        <v>3.0672756636194096</v>
      </c>
      <c r="CB85" s="233">
        <f t="shared" si="527"/>
        <v>3.0922135282148808</v>
      </c>
      <c r="CC85" s="233">
        <f t="shared" ref="CC85" si="528">+(CC72-CC65)/(CC5+CC6)</f>
        <v>3.1297882094769776</v>
      </c>
      <c r="CD85" s="233"/>
      <c r="CE85" s="580"/>
      <c r="CF85"/>
      <c r="CG85" s="224"/>
      <c r="CH85" s="224"/>
      <c r="CI85" s="224"/>
      <c r="CJ85" s="224"/>
      <c r="CK85" s="224"/>
    </row>
    <row r="86" spans="1:100" x14ac:dyDescent="0.2">
      <c r="B86" s="226" t="s">
        <v>453</v>
      </c>
      <c r="E86" s="580"/>
      <c r="H86" s="580"/>
      <c r="I86" s="580"/>
      <c r="J86" s="580"/>
      <c r="K86" s="580"/>
      <c r="L86" s="639">
        <f>L78</f>
        <v>1.497989554365966</v>
      </c>
      <c r="M86" s="639">
        <f t="shared" ref="M86" si="529">L86</f>
        <v>1.497989554365966</v>
      </c>
      <c r="N86" s="639">
        <f t="shared" ref="N86" si="530">M86</f>
        <v>1.497989554365966</v>
      </c>
      <c r="O86" s="639">
        <f>N86</f>
        <v>1.497989554365966</v>
      </c>
      <c r="P86" s="639">
        <f t="shared" ref="P86" si="531">O86</f>
        <v>1.497989554365966</v>
      </c>
      <c r="Q86" s="639">
        <f t="shared" ref="Q86" si="532">P86</f>
        <v>1.497989554365966</v>
      </c>
      <c r="R86" s="639">
        <f t="shared" ref="R86" si="533">Q86</f>
        <v>1.497989554365966</v>
      </c>
      <c r="S86" s="639">
        <f t="shared" ref="S86" si="534">R86</f>
        <v>1.497989554365966</v>
      </c>
      <c r="T86" s="639">
        <f t="shared" ref="T86" si="535">S86</f>
        <v>1.497989554365966</v>
      </c>
      <c r="U86" s="639">
        <f t="shared" ref="U86" si="536">T86</f>
        <v>1.497989554365966</v>
      </c>
      <c r="V86" s="639">
        <f t="shared" ref="V86" si="537">U86</f>
        <v>1.497989554365966</v>
      </c>
      <c r="W86" s="639">
        <f t="shared" ref="W86" si="538">V86</f>
        <v>1.497989554365966</v>
      </c>
      <c r="X86" s="639">
        <f>X78</f>
        <v>1.496254132468426</v>
      </c>
      <c r="Y86" s="639">
        <f t="shared" ref="Y86" si="539">X86</f>
        <v>1.496254132468426</v>
      </c>
      <c r="Z86" s="639">
        <f t="shared" ref="Z86" si="540">Y86</f>
        <v>1.496254132468426</v>
      </c>
      <c r="AA86" s="639">
        <f>Z86</f>
        <v>1.496254132468426</v>
      </c>
      <c r="AB86" s="639">
        <f t="shared" ref="AB86" si="541">AA86</f>
        <v>1.496254132468426</v>
      </c>
      <c r="AC86" s="639">
        <f t="shared" ref="AC86" si="542">AB86</f>
        <v>1.496254132468426</v>
      </c>
      <c r="AD86" s="639">
        <f t="shared" ref="AD86" si="543">AC86</f>
        <v>1.496254132468426</v>
      </c>
      <c r="AE86" s="639">
        <f t="shared" ref="AE86" si="544">AD86</f>
        <v>1.496254132468426</v>
      </c>
      <c r="AF86" s="639">
        <f t="shared" ref="AF86" si="545">AE86</f>
        <v>1.496254132468426</v>
      </c>
      <c r="AG86" s="639">
        <f t="shared" ref="AG86" si="546">AF86</f>
        <v>1.496254132468426</v>
      </c>
      <c r="AH86" s="639">
        <f t="shared" ref="AH86" si="547">AG86</f>
        <v>1.496254132468426</v>
      </c>
      <c r="AI86" s="639">
        <f t="shared" ref="AI86" si="548">AH86</f>
        <v>1.496254132468426</v>
      </c>
      <c r="AJ86" s="639">
        <f>AJ78</f>
        <v>1.4945226755135359</v>
      </c>
      <c r="AK86" s="639">
        <f t="shared" ref="AK86" si="549">AJ86</f>
        <v>1.4945226755135359</v>
      </c>
      <c r="AL86" s="639">
        <f t="shared" ref="AL86" si="550">AK86</f>
        <v>1.4945226755135359</v>
      </c>
      <c r="AM86" s="639">
        <f>AL86</f>
        <v>1.4945226755135359</v>
      </c>
      <c r="AN86" s="639">
        <f t="shared" ref="AN86" si="551">AM86</f>
        <v>1.4945226755135359</v>
      </c>
      <c r="AO86" s="639">
        <f t="shared" ref="AO86" si="552">AN86</f>
        <v>1.4945226755135359</v>
      </c>
      <c r="AP86" s="639">
        <f t="shared" ref="AP86" si="553">AO86</f>
        <v>1.4945226755135359</v>
      </c>
      <c r="AQ86" s="639">
        <f t="shared" ref="AQ86" si="554">AP86</f>
        <v>1.4945226755135359</v>
      </c>
      <c r="AR86" s="639">
        <f t="shared" ref="AR86" si="555">AQ86</f>
        <v>1.4945226755135359</v>
      </c>
      <c r="AS86" s="639">
        <f t="shared" ref="AS86" si="556">AR86</f>
        <v>1.4945226755135359</v>
      </c>
      <c r="AT86" s="639">
        <f t="shared" ref="AT86" si="557">AS86</f>
        <v>1.4945226755135359</v>
      </c>
      <c r="AU86" s="639">
        <f t="shared" ref="AU86" si="558">AT86</f>
        <v>1.4945226755135359</v>
      </c>
      <c r="AV86" s="639">
        <f>AV78</f>
        <v>1.4927950412492739</v>
      </c>
      <c r="AW86" s="639">
        <f t="shared" ref="AW86" si="559">AV86</f>
        <v>1.4927950412492739</v>
      </c>
      <c r="AX86" s="639">
        <f t="shared" ref="AX86" si="560">AW86</f>
        <v>1.4927950412492739</v>
      </c>
      <c r="AY86" s="639">
        <f>AX86</f>
        <v>1.4927950412492739</v>
      </c>
      <c r="AZ86" s="639">
        <f t="shared" ref="AZ86" si="561">AY86</f>
        <v>1.4927950412492739</v>
      </c>
      <c r="BA86" s="639">
        <f t="shared" ref="BA86" si="562">AZ86</f>
        <v>1.4927950412492739</v>
      </c>
      <c r="BB86" s="639">
        <f t="shared" ref="BB86" si="563">BA86</f>
        <v>1.4927950412492739</v>
      </c>
      <c r="BC86" s="639">
        <f t="shared" ref="BC86" si="564">BB86</f>
        <v>1.4927950412492739</v>
      </c>
      <c r="BD86" s="639">
        <f t="shared" ref="BD86" si="565">BC86</f>
        <v>1.4927950412492739</v>
      </c>
      <c r="BE86" s="639">
        <f t="shared" ref="BE86" si="566">BD86</f>
        <v>1.4927950412492739</v>
      </c>
      <c r="BF86" s="639">
        <f t="shared" ref="BF86" si="567">BE86</f>
        <v>1.4927950412492739</v>
      </c>
      <c r="BG86" s="639">
        <f t="shared" ref="BG86" si="568">BF86</f>
        <v>1.4927950412492739</v>
      </c>
      <c r="BH86" s="639">
        <f>BH78</f>
        <v>1.4910701517485132</v>
      </c>
      <c r="BI86" s="639">
        <f t="shared" ref="BI86" si="569">BH86</f>
        <v>1.4910701517485132</v>
      </c>
      <c r="BJ86" s="639">
        <f t="shared" ref="BJ86" si="570">BI86</f>
        <v>1.4910701517485132</v>
      </c>
      <c r="BK86" s="639">
        <f>BJ86</f>
        <v>1.4910701517485132</v>
      </c>
      <c r="BL86" s="639">
        <f t="shared" ref="BL86" si="571">BK86</f>
        <v>1.4910701517485132</v>
      </c>
      <c r="BM86" s="639">
        <f t="shared" ref="BM86" si="572">BL86</f>
        <v>1.4910701517485132</v>
      </c>
      <c r="BN86" s="639">
        <f t="shared" ref="BN86" si="573">BM86</f>
        <v>1.4910701517485132</v>
      </c>
      <c r="BO86" s="639">
        <f t="shared" ref="BO86" si="574">BN86</f>
        <v>1.4910701517485132</v>
      </c>
      <c r="BP86" s="639">
        <f t="shared" ref="BP86" si="575">BO86</f>
        <v>1.4910701517485132</v>
      </c>
      <c r="BQ86" s="639">
        <f t="shared" ref="BQ86" si="576">BP86</f>
        <v>1.4910701517485132</v>
      </c>
      <c r="BR86" s="639">
        <f t="shared" ref="BR86" si="577">BQ86</f>
        <v>1.4910701517485132</v>
      </c>
      <c r="BS86" s="639">
        <f t="shared" ref="BS86" si="578">BR86</f>
        <v>1.4910701517485132</v>
      </c>
      <c r="BT86" s="639">
        <f>BT78</f>
        <v>1.5832702502358029</v>
      </c>
      <c r="BU86" s="639">
        <f t="shared" ref="BU86" si="579">BT86</f>
        <v>1.5832702502358029</v>
      </c>
      <c r="BV86" s="639">
        <f t="shared" ref="BV86" si="580">BU86</f>
        <v>1.5832702502358029</v>
      </c>
      <c r="BW86" s="639">
        <f>BV86</f>
        <v>1.5832702502358029</v>
      </c>
      <c r="BX86" s="639">
        <f t="shared" ref="BX86" si="581">BW86</f>
        <v>1.5832702502358029</v>
      </c>
      <c r="BY86" s="639">
        <f t="shared" ref="BY86" si="582">BX86</f>
        <v>1.5832702502358029</v>
      </c>
      <c r="BZ86" s="639">
        <f t="shared" ref="BZ86" si="583">BY86</f>
        <v>1.5832702502358029</v>
      </c>
      <c r="CA86" s="639">
        <f t="shared" ref="CA86" si="584">BZ86</f>
        <v>1.5832702502358029</v>
      </c>
      <c r="CB86" s="639">
        <f t="shared" ref="CB86" si="585">CA86</f>
        <v>1.5832702502358029</v>
      </c>
      <c r="CC86" s="639">
        <f t="shared" ref="CC86" si="586">CB86</f>
        <v>1.5832702502358029</v>
      </c>
      <c r="CD86" s="639">
        <f t="shared" ref="CD86" si="587">CC86</f>
        <v>1.5832702502358029</v>
      </c>
      <c r="CE86" s="639">
        <f t="shared" ref="CE86" si="588">CD86</f>
        <v>1.5832702502358029</v>
      </c>
      <c r="CF86"/>
      <c r="CG86" s="239"/>
      <c r="CH86" s="239"/>
      <c r="CI86" s="239"/>
      <c r="CJ86" s="239"/>
      <c r="CK86" s="239"/>
    </row>
    <row r="87" spans="1:100" x14ac:dyDescent="0.2">
      <c r="B87" s="226" t="s">
        <v>454</v>
      </c>
      <c r="E87" s="580"/>
      <c r="H87" s="580"/>
      <c r="I87" s="580"/>
      <c r="J87" s="580"/>
      <c r="K87" s="580"/>
      <c r="L87" s="233">
        <f t="shared" ref="L87:BT87" si="589">+L85+L86</f>
        <v>4.5977116166050962</v>
      </c>
      <c r="M87" s="233">
        <f t="shared" si="589"/>
        <v>4.5850134570069088</v>
      </c>
      <c r="N87" s="233">
        <f t="shared" si="589"/>
        <v>4.5499736469926617</v>
      </c>
      <c r="O87" s="233">
        <f t="shared" si="589"/>
        <v>4.4343607139219845</v>
      </c>
      <c r="P87" s="233">
        <f t="shared" si="589"/>
        <v>4.4636503099511771</v>
      </c>
      <c r="Q87" s="233">
        <f t="shared" si="589"/>
        <v>4.6151002762576532</v>
      </c>
      <c r="R87" s="233">
        <f t="shared" si="589"/>
        <v>4.6418618121359145</v>
      </c>
      <c r="S87" s="233">
        <f t="shared" si="589"/>
        <v>4.7379097215555213</v>
      </c>
      <c r="T87" s="233">
        <f t="shared" si="589"/>
        <v>4.7564492767699145</v>
      </c>
      <c r="U87" s="233">
        <f t="shared" si="589"/>
        <v>4.769383166537958</v>
      </c>
      <c r="V87" s="233">
        <f t="shared" si="589"/>
        <v>4.7124029640851655</v>
      </c>
      <c r="W87" s="233">
        <f t="shared" si="589"/>
        <v>4.6349989321984335</v>
      </c>
      <c r="X87" s="233">
        <f t="shared" si="589"/>
        <v>4.5194233654764977</v>
      </c>
      <c r="Y87" s="233">
        <f t="shared" si="589"/>
        <v>4.535454157786722</v>
      </c>
      <c r="Z87" s="233">
        <f t="shared" si="589"/>
        <v>4.5222977902063173</v>
      </c>
      <c r="AA87" s="233">
        <f t="shared" si="589"/>
        <v>4.4517639264402655</v>
      </c>
      <c r="AB87" s="233">
        <f t="shared" si="589"/>
        <v>4.4652327119427886</v>
      </c>
      <c r="AC87" s="233">
        <f t="shared" si="589"/>
        <v>4.4249906669409445</v>
      </c>
      <c r="AD87" s="233">
        <f t="shared" si="589"/>
        <v>4.4558291294963084</v>
      </c>
      <c r="AE87" s="233">
        <f t="shared" si="589"/>
        <v>4.5487553711707083</v>
      </c>
      <c r="AF87" s="233">
        <f t="shared" si="589"/>
        <v>4.5631961927872871</v>
      </c>
      <c r="AG87" s="233">
        <f t="shared" si="589"/>
        <v>4.5802327695459439</v>
      </c>
      <c r="AH87" s="233">
        <f t="shared" si="589"/>
        <v>4.5294318854444615</v>
      </c>
      <c r="AI87" s="233">
        <f t="shared" si="589"/>
        <v>4.4551701671221942</v>
      </c>
      <c r="AJ87" s="233">
        <f t="shared" si="589"/>
        <v>4.3910113677849099</v>
      </c>
      <c r="AK87" s="233">
        <f t="shared" si="589"/>
        <v>4.4253030098330033</v>
      </c>
      <c r="AL87" s="233">
        <f t="shared" si="589"/>
        <v>4.4255504349793275</v>
      </c>
      <c r="AM87" s="233">
        <f t="shared" si="589"/>
        <v>4.3623133702973016</v>
      </c>
      <c r="AN87" s="233">
        <f t="shared" si="589"/>
        <v>4.3740592281386439</v>
      </c>
      <c r="AO87" s="233">
        <f t="shared" si="589"/>
        <v>4.3542330652815719</v>
      </c>
      <c r="AP87" s="233">
        <f t="shared" si="589"/>
        <v>4.3953235264597357</v>
      </c>
      <c r="AQ87" s="233">
        <f t="shared" si="589"/>
        <v>4.4923289813010694</v>
      </c>
      <c r="AR87" s="233">
        <f t="shared" si="589"/>
        <v>4.5150176739310286</v>
      </c>
      <c r="AS87" s="233">
        <f t="shared" si="589"/>
        <v>4.545416605269204</v>
      </c>
      <c r="AT87" s="233">
        <f t="shared" si="589"/>
        <v>4.5079976929898562</v>
      </c>
      <c r="AU87" s="233">
        <f t="shared" si="589"/>
        <v>4.4389352609371828</v>
      </c>
      <c r="AV87" s="233">
        <f t="shared" si="589"/>
        <v>4.3749495437001968</v>
      </c>
      <c r="AW87" s="233">
        <f t="shared" si="589"/>
        <v>4.4069922812243725</v>
      </c>
      <c r="AX87" s="233">
        <f t="shared" si="589"/>
        <v>4.4006068500426707</v>
      </c>
      <c r="AY87" s="233">
        <f t="shared" si="589"/>
        <v>4.3260570022518188</v>
      </c>
      <c r="AZ87" s="233">
        <f t="shared" si="589"/>
        <v>4.3405029111281639</v>
      </c>
      <c r="BA87" s="233">
        <f t="shared" si="589"/>
        <v>4.3503596488235434</v>
      </c>
      <c r="BB87" s="233">
        <f t="shared" si="589"/>
        <v>4.39346334462779</v>
      </c>
      <c r="BC87" s="233">
        <f t="shared" si="589"/>
        <v>4.4914654752548042</v>
      </c>
      <c r="BD87" s="233">
        <f t="shared" si="589"/>
        <v>4.5141642506063206</v>
      </c>
      <c r="BE87" s="233">
        <f t="shared" si="589"/>
        <v>4.5455787417068594</v>
      </c>
      <c r="BF87" s="233">
        <f t="shared" si="589"/>
        <v>4.5153758002934703</v>
      </c>
      <c r="BG87" s="233">
        <f t="shared" si="589"/>
        <v>4.4463714715309681</v>
      </c>
      <c r="BH87" s="233">
        <f t="shared" si="589"/>
        <v>4.3863560363501879</v>
      </c>
      <c r="BI87" s="233">
        <f t="shared" si="589"/>
        <v>4.4178551242772155</v>
      </c>
      <c r="BJ87" s="233">
        <f t="shared" si="589"/>
        <v>4.4101005951004248</v>
      </c>
      <c r="BK87" s="233">
        <f t="shared" si="589"/>
        <v>4.3286143544006999</v>
      </c>
      <c r="BL87" s="233">
        <f t="shared" si="589"/>
        <v>4.3448382663396252</v>
      </c>
      <c r="BM87" s="233">
        <f t="shared" si="589"/>
        <v>4.3732374097948794</v>
      </c>
      <c r="BN87" s="233">
        <f t="shared" si="589"/>
        <v>4.4224769084222801</v>
      </c>
      <c r="BO87" s="233">
        <f t="shared" si="589"/>
        <v>4.5204419563209504</v>
      </c>
      <c r="BP87" s="233">
        <f t="shared" si="589"/>
        <v>4.5431578427324917</v>
      </c>
      <c r="BQ87" s="233">
        <f t="shared" si="589"/>
        <v>4.5776459744358462</v>
      </c>
      <c r="BR87" s="233">
        <f t="shared" si="589"/>
        <v>4.5484787658817982</v>
      </c>
      <c r="BS87" s="233">
        <f t="shared" si="589"/>
        <v>4.4826165465661303</v>
      </c>
      <c r="BT87" s="233">
        <f t="shared" si="589"/>
        <v>4.5124651720151121</v>
      </c>
      <c r="BU87" s="233">
        <f t="shared" ref="BU87:BY87" si="590">+BU85+BU86</f>
        <v>4.540694550048018</v>
      </c>
      <c r="BV87" s="233">
        <f t="shared" si="590"/>
        <v>4.5311449748693153</v>
      </c>
      <c r="BW87" s="233">
        <f t="shared" si="590"/>
        <v>4.4460865335909237</v>
      </c>
      <c r="BX87" s="233">
        <f t="shared" si="590"/>
        <v>4.4632598601013953</v>
      </c>
      <c r="BY87" s="233">
        <f t="shared" si="590"/>
        <v>4.5023896467566047</v>
      </c>
      <c r="BZ87" s="233">
        <f t="shared" ref="BZ87:CB87" si="591">+BZ85+BZ86</f>
        <v>4.5515890273211941</v>
      </c>
      <c r="CA87" s="233">
        <f t="shared" si="591"/>
        <v>4.650545913855213</v>
      </c>
      <c r="CB87" s="233">
        <f t="shared" si="591"/>
        <v>4.6754837784506833</v>
      </c>
      <c r="CC87" s="233">
        <f t="shared" ref="CC87" si="592">+CC85+CC86</f>
        <v>4.71305845971278</v>
      </c>
      <c r="CD87" s="233"/>
      <c r="CE87" s="580"/>
      <c r="CF87"/>
      <c r="CG87" s="224"/>
      <c r="CH87" s="224"/>
      <c r="CI87" s="224"/>
      <c r="CJ87" s="224"/>
      <c r="CK87" s="224"/>
    </row>
    <row r="88" spans="1:100" x14ac:dyDescent="0.2">
      <c r="B88" s="226" t="s">
        <v>455</v>
      </c>
      <c r="E88" s="580"/>
      <c r="H88" s="580"/>
      <c r="I88" s="580"/>
      <c r="J88" s="580"/>
      <c r="K88" s="580"/>
      <c r="L88" s="226">
        <f t="shared" ref="L88" si="593">+K88</f>
        <v>0</v>
      </c>
      <c r="M88" s="226">
        <f t="shared" ref="M88" si="594">+L88</f>
        <v>0</v>
      </c>
      <c r="N88" s="226">
        <f t="shared" ref="N88" si="595">+M88</f>
        <v>0</v>
      </c>
      <c r="O88" s="226">
        <f t="shared" ref="O88" si="596">+N88</f>
        <v>0</v>
      </c>
      <c r="P88" s="226">
        <f t="shared" ref="P88" si="597">+O88</f>
        <v>0</v>
      </c>
      <c r="Q88" s="226">
        <f t="shared" ref="Q88" si="598">+P88</f>
        <v>0</v>
      </c>
      <c r="R88" s="226">
        <f t="shared" ref="R88" si="599">+Q88</f>
        <v>0</v>
      </c>
      <c r="S88" s="226">
        <f t="shared" ref="S88" si="600">+R88</f>
        <v>0</v>
      </c>
      <c r="T88" s="226">
        <f t="shared" ref="T88" si="601">+S88</f>
        <v>0</v>
      </c>
      <c r="U88" s="226">
        <f t="shared" ref="U88" si="602">+T88</f>
        <v>0</v>
      </c>
      <c r="V88" s="226">
        <f t="shared" ref="V88" si="603">+U88</f>
        <v>0</v>
      </c>
      <c r="W88" s="226">
        <f t="shared" ref="W88" si="604">+V88</f>
        <v>0</v>
      </c>
      <c r="X88" s="226">
        <f t="shared" ref="X88" si="605">+W88</f>
        <v>0</v>
      </c>
      <c r="Y88" s="226">
        <f t="shared" ref="Y88" si="606">+X88</f>
        <v>0</v>
      </c>
      <c r="Z88" s="226">
        <f t="shared" ref="Z88" si="607">+Y88</f>
        <v>0</v>
      </c>
      <c r="AA88" s="226">
        <f t="shared" ref="AA88" si="608">+Z88</f>
        <v>0</v>
      </c>
      <c r="AB88" s="226">
        <f t="shared" ref="AB88" si="609">+AA88</f>
        <v>0</v>
      </c>
      <c r="AC88" s="226">
        <f t="shared" ref="AC88" si="610">+AB88</f>
        <v>0</v>
      </c>
      <c r="AD88" s="226">
        <f t="shared" ref="AD88" si="611">+AC88</f>
        <v>0</v>
      </c>
      <c r="AE88" s="226">
        <f t="shared" ref="AE88" si="612">+AD88</f>
        <v>0</v>
      </c>
      <c r="AF88" s="226">
        <f t="shared" ref="AF88" si="613">+AE88</f>
        <v>0</v>
      </c>
      <c r="AG88" s="226">
        <f t="shared" ref="AG88" si="614">+AF88</f>
        <v>0</v>
      </c>
      <c r="AH88" s="226">
        <f t="shared" ref="AH88" si="615">+AG88</f>
        <v>0</v>
      </c>
      <c r="AI88" s="226">
        <f t="shared" ref="AI88" si="616">+AH88</f>
        <v>0</v>
      </c>
      <c r="AJ88" s="226">
        <f t="shared" ref="AJ88" si="617">+AI88</f>
        <v>0</v>
      </c>
      <c r="AK88" s="226">
        <f t="shared" ref="AK88" si="618">+AJ88</f>
        <v>0</v>
      </c>
      <c r="AL88" s="226">
        <f t="shared" ref="AL88" si="619">+AK88</f>
        <v>0</v>
      </c>
      <c r="AM88" s="226">
        <f t="shared" ref="AM88" si="620">+AL88</f>
        <v>0</v>
      </c>
      <c r="AN88" s="226">
        <f t="shared" ref="AN88" si="621">+AM88</f>
        <v>0</v>
      </c>
      <c r="AO88" s="226">
        <f t="shared" ref="AO88" si="622">+AN88</f>
        <v>0</v>
      </c>
      <c r="AP88" s="226">
        <f t="shared" ref="AP88" si="623">+AO88</f>
        <v>0</v>
      </c>
      <c r="AQ88" s="226">
        <f t="shared" ref="AQ88" si="624">+AP88</f>
        <v>0</v>
      </c>
      <c r="AR88" s="226">
        <f t="shared" ref="AR88" si="625">+AQ88</f>
        <v>0</v>
      </c>
      <c r="AS88" s="226">
        <f t="shared" ref="AS88" si="626">+AR88</f>
        <v>0</v>
      </c>
      <c r="AT88" s="226">
        <f t="shared" ref="AT88" si="627">+AS88</f>
        <v>0</v>
      </c>
      <c r="AU88" s="226">
        <f t="shared" ref="AU88" si="628">+AT88</f>
        <v>0</v>
      </c>
      <c r="AV88" s="226">
        <f t="shared" ref="AV88" si="629">+AU88</f>
        <v>0</v>
      </c>
      <c r="AW88" s="226">
        <f t="shared" ref="AW88" si="630">+AV88</f>
        <v>0</v>
      </c>
      <c r="AX88" s="226">
        <f t="shared" ref="AX88" si="631">+AW88</f>
        <v>0</v>
      </c>
      <c r="AY88" s="226">
        <f t="shared" ref="AY88" si="632">+AX88</f>
        <v>0</v>
      </c>
      <c r="AZ88" s="226">
        <f t="shared" ref="AZ88" si="633">+AY88</f>
        <v>0</v>
      </c>
      <c r="BA88" s="226">
        <f t="shared" ref="BA88" si="634">+AZ88</f>
        <v>0</v>
      </c>
      <c r="BB88" s="226">
        <f t="shared" ref="BB88" si="635">+BA88</f>
        <v>0</v>
      </c>
      <c r="BC88" s="226">
        <f t="shared" ref="BC88" si="636">+BB88</f>
        <v>0</v>
      </c>
      <c r="BD88" s="226">
        <f t="shared" ref="BD88" si="637">+BC88</f>
        <v>0</v>
      </c>
      <c r="BE88" s="226">
        <f t="shared" ref="BE88" si="638">+BD88</f>
        <v>0</v>
      </c>
      <c r="BF88" s="226">
        <f t="shared" ref="BF88" si="639">+BE88</f>
        <v>0</v>
      </c>
      <c r="BG88" s="226">
        <f t="shared" ref="BG88" si="640">+BF88</f>
        <v>0</v>
      </c>
      <c r="BH88" s="226">
        <f t="shared" ref="BH88" si="641">+BG88</f>
        <v>0</v>
      </c>
      <c r="BI88" s="226">
        <f t="shared" ref="BI88" si="642">+BH88</f>
        <v>0</v>
      </c>
      <c r="BJ88" s="226">
        <f t="shared" ref="BJ88" si="643">+BI88</f>
        <v>0</v>
      </c>
      <c r="BK88" s="226">
        <f t="shared" ref="BK88" si="644">+BJ88</f>
        <v>0</v>
      </c>
      <c r="BL88" s="226">
        <f t="shared" ref="BL88" si="645">+BK88</f>
        <v>0</v>
      </c>
      <c r="BM88" s="226">
        <f t="shared" ref="BM88" si="646">+BL88</f>
        <v>0</v>
      </c>
      <c r="BN88" s="226">
        <f t="shared" ref="BN88" si="647">+BM88</f>
        <v>0</v>
      </c>
      <c r="BO88" s="226">
        <f t="shared" ref="BO88" si="648">+BN88</f>
        <v>0</v>
      </c>
      <c r="BP88" s="226">
        <f t="shared" ref="BP88" si="649">+BO88</f>
        <v>0</v>
      </c>
      <c r="BQ88" s="226">
        <f t="shared" ref="BQ88" si="650">+BP88</f>
        <v>0</v>
      </c>
      <c r="BR88" s="226">
        <f t="shared" ref="BR88" si="651">+BQ88</f>
        <v>0</v>
      </c>
      <c r="BS88" s="226">
        <f t="shared" ref="BS88" si="652">+BR88</f>
        <v>0</v>
      </c>
      <c r="BT88" s="226">
        <f t="shared" ref="BT88" si="653">+BS88</f>
        <v>0</v>
      </c>
      <c r="BU88" s="226">
        <f t="shared" ref="BU88" si="654">+BT88</f>
        <v>0</v>
      </c>
      <c r="BV88" s="226">
        <f t="shared" ref="BV88" si="655">+BU88</f>
        <v>0</v>
      </c>
      <c r="BW88" s="226">
        <f t="shared" ref="BW88" si="656">+BV88</f>
        <v>0</v>
      </c>
      <c r="BX88" s="226">
        <f t="shared" ref="BX88" si="657">+BW88</f>
        <v>0</v>
      </c>
      <c r="BY88" s="226">
        <f t="shared" ref="BY88" si="658">+BX88</f>
        <v>0</v>
      </c>
      <c r="BZ88" s="226">
        <f t="shared" ref="BZ88" si="659">+BY88</f>
        <v>0</v>
      </c>
      <c r="CA88" s="226">
        <f t="shared" ref="CA88" si="660">+BZ88</f>
        <v>0</v>
      </c>
      <c r="CB88" s="226">
        <f t="shared" ref="CB88:CC88" si="661">+CA88</f>
        <v>0</v>
      </c>
      <c r="CC88" s="226">
        <f t="shared" si="661"/>
        <v>0</v>
      </c>
      <c r="CD88" s="226"/>
      <c r="CE88" s="580"/>
      <c r="CF88"/>
    </row>
    <row r="89" spans="1:100" x14ac:dyDescent="0.2">
      <c r="B89" s="226" t="s">
        <v>456</v>
      </c>
      <c r="E89" s="580"/>
      <c r="H89" s="580"/>
      <c r="I89" s="580"/>
      <c r="J89" s="580"/>
      <c r="K89" s="580"/>
      <c r="L89" s="233">
        <f t="shared" ref="L89:BT89" si="662">+L87+L88</f>
        <v>4.5977116166050962</v>
      </c>
      <c r="M89" s="233">
        <f t="shared" si="662"/>
        <v>4.5850134570069088</v>
      </c>
      <c r="N89" s="233">
        <f t="shared" si="662"/>
        <v>4.5499736469926617</v>
      </c>
      <c r="O89" s="233">
        <f t="shared" si="662"/>
        <v>4.4343607139219845</v>
      </c>
      <c r="P89" s="233">
        <f t="shared" si="662"/>
        <v>4.4636503099511771</v>
      </c>
      <c r="Q89" s="233">
        <f t="shared" si="662"/>
        <v>4.6151002762576532</v>
      </c>
      <c r="R89" s="233">
        <f t="shared" si="662"/>
        <v>4.6418618121359145</v>
      </c>
      <c r="S89" s="233">
        <f t="shared" si="662"/>
        <v>4.7379097215555213</v>
      </c>
      <c r="T89" s="233">
        <f t="shared" si="662"/>
        <v>4.7564492767699145</v>
      </c>
      <c r="U89" s="233">
        <f t="shared" si="662"/>
        <v>4.769383166537958</v>
      </c>
      <c r="V89" s="233">
        <f t="shared" si="662"/>
        <v>4.7124029640851655</v>
      </c>
      <c r="W89" s="233">
        <f t="shared" si="662"/>
        <v>4.6349989321984335</v>
      </c>
      <c r="X89" s="233">
        <f t="shared" si="662"/>
        <v>4.5194233654764977</v>
      </c>
      <c r="Y89" s="233">
        <f t="shared" si="662"/>
        <v>4.535454157786722</v>
      </c>
      <c r="Z89" s="233">
        <f t="shared" si="662"/>
        <v>4.5222977902063173</v>
      </c>
      <c r="AA89" s="233">
        <f t="shared" si="662"/>
        <v>4.4517639264402655</v>
      </c>
      <c r="AB89" s="233">
        <f t="shared" si="662"/>
        <v>4.4652327119427886</v>
      </c>
      <c r="AC89" s="233">
        <f t="shared" si="662"/>
        <v>4.4249906669409445</v>
      </c>
      <c r="AD89" s="233">
        <f t="shared" si="662"/>
        <v>4.4558291294963084</v>
      </c>
      <c r="AE89" s="233">
        <f t="shared" si="662"/>
        <v>4.5487553711707083</v>
      </c>
      <c r="AF89" s="233">
        <f t="shared" si="662"/>
        <v>4.5631961927872871</v>
      </c>
      <c r="AG89" s="233">
        <f t="shared" si="662"/>
        <v>4.5802327695459439</v>
      </c>
      <c r="AH89" s="233">
        <f t="shared" si="662"/>
        <v>4.5294318854444615</v>
      </c>
      <c r="AI89" s="233">
        <f t="shared" si="662"/>
        <v>4.4551701671221942</v>
      </c>
      <c r="AJ89" s="233">
        <f t="shared" si="662"/>
        <v>4.3910113677849099</v>
      </c>
      <c r="AK89" s="233">
        <f t="shared" si="662"/>
        <v>4.4253030098330033</v>
      </c>
      <c r="AL89" s="233">
        <f t="shared" si="662"/>
        <v>4.4255504349793275</v>
      </c>
      <c r="AM89" s="233">
        <f t="shared" si="662"/>
        <v>4.3623133702973016</v>
      </c>
      <c r="AN89" s="233">
        <f t="shared" si="662"/>
        <v>4.3740592281386439</v>
      </c>
      <c r="AO89" s="233">
        <f t="shared" si="662"/>
        <v>4.3542330652815719</v>
      </c>
      <c r="AP89" s="233">
        <f t="shared" si="662"/>
        <v>4.3953235264597357</v>
      </c>
      <c r="AQ89" s="233">
        <f t="shared" si="662"/>
        <v>4.4923289813010694</v>
      </c>
      <c r="AR89" s="233">
        <f t="shared" si="662"/>
        <v>4.5150176739310286</v>
      </c>
      <c r="AS89" s="233">
        <f t="shared" si="662"/>
        <v>4.545416605269204</v>
      </c>
      <c r="AT89" s="233">
        <f t="shared" si="662"/>
        <v>4.5079976929898562</v>
      </c>
      <c r="AU89" s="233">
        <f t="shared" si="662"/>
        <v>4.4389352609371828</v>
      </c>
      <c r="AV89" s="233">
        <f t="shared" si="662"/>
        <v>4.3749495437001968</v>
      </c>
      <c r="AW89" s="233">
        <f t="shared" si="662"/>
        <v>4.4069922812243725</v>
      </c>
      <c r="AX89" s="233">
        <f t="shared" si="662"/>
        <v>4.4006068500426707</v>
      </c>
      <c r="AY89" s="233">
        <f t="shared" si="662"/>
        <v>4.3260570022518188</v>
      </c>
      <c r="AZ89" s="233">
        <f t="shared" si="662"/>
        <v>4.3405029111281639</v>
      </c>
      <c r="BA89" s="233">
        <f t="shared" si="662"/>
        <v>4.3503596488235434</v>
      </c>
      <c r="BB89" s="233">
        <f t="shared" si="662"/>
        <v>4.39346334462779</v>
      </c>
      <c r="BC89" s="233">
        <f t="shared" si="662"/>
        <v>4.4914654752548042</v>
      </c>
      <c r="BD89" s="233">
        <f t="shared" si="662"/>
        <v>4.5141642506063206</v>
      </c>
      <c r="BE89" s="233">
        <f t="shared" si="662"/>
        <v>4.5455787417068594</v>
      </c>
      <c r="BF89" s="233">
        <f t="shared" si="662"/>
        <v>4.5153758002934703</v>
      </c>
      <c r="BG89" s="233">
        <f t="shared" si="662"/>
        <v>4.4463714715309681</v>
      </c>
      <c r="BH89" s="233">
        <f t="shared" si="662"/>
        <v>4.3863560363501879</v>
      </c>
      <c r="BI89" s="233">
        <f t="shared" si="662"/>
        <v>4.4178551242772155</v>
      </c>
      <c r="BJ89" s="233">
        <f t="shared" si="662"/>
        <v>4.4101005951004248</v>
      </c>
      <c r="BK89" s="233">
        <f t="shared" si="662"/>
        <v>4.3286143544006999</v>
      </c>
      <c r="BL89" s="233">
        <f t="shared" si="662"/>
        <v>4.3448382663396252</v>
      </c>
      <c r="BM89" s="233">
        <f t="shared" si="662"/>
        <v>4.3732374097948794</v>
      </c>
      <c r="BN89" s="233">
        <f t="shared" si="662"/>
        <v>4.4224769084222801</v>
      </c>
      <c r="BO89" s="233">
        <f t="shared" si="662"/>
        <v>4.5204419563209504</v>
      </c>
      <c r="BP89" s="233">
        <f t="shared" si="662"/>
        <v>4.5431578427324917</v>
      </c>
      <c r="BQ89" s="233">
        <f t="shared" si="662"/>
        <v>4.5776459744358462</v>
      </c>
      <c r="BR89" s="233">
        <f t="shared" si="662"/>
        <v>4.5484787658817982</v>
      </c>
      <c r="BS89" s="233">
        <f t="shared" si="662"/>
        <v>4.4826165465661303</v>
      </c>
      <c r="BT89" s="233">
        <f t="shared" si="662"/>
        <v>4.5124651720151121</v>
      </c>
      <c r="BU89" s="233">
        <f t="shared" ref="BU89:BY89" si="663">+BU87+BU88</f>
        <v>4.540694550048018</v>
      </c>
      <c r="BV89" s="233">
        <f t="shared" si="663"/>
        <v>4.5311449748693153</v>
      </c>
      <c r="BW89" s="233">
        <f t="shared" si="663"/>
        <v>4.4460865335909237</v>
      </c>
      <c r="BX89" s="233">
        <f t="shared" si="663"/>
        <v>4.4632598601013953</v>
      </c>
      <c r="BY89" s="233">
        <f t="shared" si="663"/>
        <v>4.5023896467566047</v>
      </c>
      <c r="BZ89" s="233">
        <f t="shared" ref="BZ89:CB89" si="664">+BZ87+BZ88</f>
        <v>4.5515890273211941</v>
      </c>
      <c r="CA89" s="233">
        <f t="shared" si="664"/>
        <v>4.650545913855213</v>
      </c>
      <c r="CB89" s="233">
        <f t="shared" si="664"/>
        <v>4.6754837784506833</v>
      </c>
      <c r="CC89" s="233">
        <f t="shared" ref="CC89" si="665">+CC87+CC88</f>
        <v>4.71305845971278</v>
      </c>
      <c r="CD89" s="233"/>
      <c r="CE89" s="580"/>
      <c r="CF89"/>
      <c r="CG89" s="224"/>
      <c r="CH89" s="224"/>
      <c r="CI89" s="224"/>
      <c r="CJ89" s="224"/>
      <c r="CK89" s="224"/>
    </row>
    <row r="90" spans="1:100" x14ac:dyDescent="0.2">
      <c r="C90"/>
      <c r="D90"/>
      <c r="E90"/>
      <c r="H90" s="226"/>
      <c r="I90" s="226"/>
      <c r="J90" s="642"/>
      <c r="K90" s="226"/>
      <c r="L90" s="226"/>
      <c r="M90" s="642"/>
      <c r="N90" s="642"/>
      <c r="O90" s="643"/>
      <c r="P90" s="642"/>
      <c r="Q90" s="226"/>
      <c r="R90" s="226"/>
      <c r="S90" s="226"/>
      <c r="T90" s="226"/>
      <c r="U90" s="226"/>
      <c r="V90" s="226"/>
      <c r="W90" s="226"/>
      <c r="X90" s="226"/>
      <c r="Y90" s="642"/>
      <c r="Z90" s="642"/>
      <c r="AA90" s="643"/>
      <c r="AB90" s="642"/>
      <c r="AC90" s="226"/>
      <c r="AD90" s="226"/>
      <c r="AE90" s="226"/>
      <c r="AF90" s="226"/>
      <c r="AG90" s="226"/>
      <c r="AH90" s="226"/>
      <c r="AI90" s="226"/>
      <c r="AJ90" s="226"/>
      <c r="AK90" s="642"/>
      <c r="AL90" s="642"/>
      <c r="AM90" s="643"/>
      <c r="AN90" s="642"/>
      <c r="AO90" s="226"/>
      <c r="AP90" s="226"/>
      <c r="AQ90" s="226"/>
      <c r="AR90" s="226"/>
      <c r="AS90" s="226"/>
      <c r="AT90" s="226"/>
      <c r="AU90" s="226"/>
      <c r="AV90" s="226"/>
      <c r="AW90" s="642"/>
      <c r="AX90" s="642"/>
      <c r="AY90" s="643"/>
      <c r="AZ90" s="642"/>
      <c r="BA90" s="226"/>
      <c r="BB90" s="226"/>
      <c r="BC90" s="226"/>
      <c r="BD90" s="226"/>
      <c r="BE90" s="226"/>
      <c r="BF90" s="226"/>
      <c r="BG90" s="226"/>
      <c r="BH90" s="226"/>
      <c r="BI90" s="642"/>
      <c r="BJ90" s="642"/>
      <c r="BK90" s="643"/>
      <c r="BL90" s="642"/>
      <c r="BM90" s="226"/>
      <c r="BN90" s="226"/>
      <c r="BO90" s="226"/>
      <c r="BP90" s="226"/>
      <c r="BQ90" s="226"/>
      <c r="BR90" s="226"/>
      <c r="BS90" s="226"/>
      <c r="BT90" s="226"/>
      <c r="BU90" s="642"/>
      <c r="BV90" s="642"/>
      <c r="BW90" s="643"/>
      <c r="BX90" s="642"/>
      <c r="BY90" s="226"/>
      <c r="BZ90" s="643"/>
      <c r="CA90" s="642"/>
      <c r="CB90" s="226"/>
      <c r="CC90" s="643"/>
      <c r="CD90" s="226"/>
      <c r="CE90" s="580"/>
      <c r="CF90"/>
    </row>
    <row r="91" spans="1:100" ht="13.5" thickBot="1" x14ac:dyDescent="0.25">
      <c r="A91" s="226" t="s">
        <v>546</v>
      </c>
      <c r="C91"/>
      <c r="D91"/>
      <c r="E91"/>
      <c r="H91" s="643"/>
      <c r="I91" s="643"/>
      <c r="J91" s="643"/>
      <c r="K91" s="643"/>
      <c r="L91" s="643"/>
      <c r="M91" s="643"/>
      <c r="N91" s="643"/>
      <c r="O91" s="643"/>
      <c r="P91" s="643"/>
      <c r="Q91" s="643"/>
      <c r="R91" s="643"/>
      <c r="S91" s="643"/>
      <c r="T91" s="643"/>
      <c r="U91" s="643"/>
      <c r="V91" s="643"/>
      <c r="W91" s="643"/>
      <c r="X91" s="643"/>
      <c r="Y91" s="643"/>
      <c r="Z91" s="643"/>
      <c r="AA91" s="643"/>
      <c r="AB91" s="643"/>
      <c r="AC91" s="643"/>
      <c r="AD91" s="643"/>
      <c r="AE91" s="643"/>
      <c r="AF91" s="643"/>
      <c r="AG91" s="643"/>
      <c r="AH91" s="643"/>
      <c r="AI91" s="643"/>
      <c r="AJ91" s="643"/>
      <c r="AK91" s="643"/>
      <c r="AL91" s="643"/>
      <c r="AM91" s="643"/>
      <c r="AN91" s="643"/>
      <c r="AO91" s="643"/>
      <c r="AP91" s="643"/>
      <c r="AQ91" s="643"/>
      <c r="AR91" s="643"/>
      <c r="AS91" s="643"/>
      <c r="AT91" s="643"/>
      <c r="AU91" s="643"/>
      <c r="AV91" s="643"/>
      <c r="AW91" s="643"/>
      <c r="AX91" s="643"/>
      <c r="AY91" s="643"/>
      <c r="AZ91" s="643"/>
      <c r="BA91" s="643"/>
      <c r="BB91" s="643"/>
      <c r="BC91" s="643"/>
      <c r="BD91" s="643"/>
      <c r="BE91" s="643"/>
      <c r="BF91" s="643"/>
      <c r="BG91" s="643"/>
      <c r="BH91" s="643"/>
      <c r="BI91" s="643"/>
      <c r="BJ91" s="643"/>
      <c r="BK91" s="643"/>
      <c r="BL91" s="643"/>
      <c r="BM91" s="643"/>
      <c r="BN91" s="643"/>
      <c r="BO91" s="643"/>
      <c r="BP91" s="643"/>
      <c r="BQ91" s="643"/>
      <c r="BR91" s="643"/>
      <c r="BS91" s="643"/>
      <c r="BT91" s="643"/>
      <c r="BU91" s="643"/>
      <c r="BV91" s="643"/>
      <c r="BW91" s="643"/>
      <c r="BX91" s="643"/>
      <c r="BY91" s="643"/>
      <c r="BZ91" s="643"/>
      <c r="CA91" s="643"/>
      <c r="CB91" s="643"/>
      <c r="CC91" s="643"/>
      <c r="CD91" s="643"/>
      <c r="CE91" s="643"/>
      <c r="CF91" s="241"/>
      <c r="CG91" s="241"/>
      <c r="CH91" s="241"/>
      <c r="CI91" s="241"/>
      <c r="CJ91" s="241"/>
      <c r="CK91" s="241"/>
    </row>
    <row r="92" spans="1:100" x14ac:dyDescent="0.2">
      <c r="B92" s="226" t="s">
        <v>457</v>
      </c>
      <c r="C92"/>
      <c r="D92"/>
      <c r="E92"/>
      <c r="F92" s="722">
        <v>3.3332999999999999</v>
      </c>
      <c r="G92" s="644">
        <f>F92</f>
        <v>3.3332999999999999</v>
      </c>
      <c r="H92" s="644">
        <f>G92</f>
        <v>3.3332999999999999</v>
      </c>
      <c r="I92" s="722">
        <v>3.3643999999999998</v>
      </c>
      <c r="J92" s="644">
        <f>I92</f>
        <v>3.3643999999999998</v>
      </c>
      <c r="K92" s="644">
        <f>J92</f>
        <v>3.3643999999999998</v>
      </c>
      <c r="L92" s="505">
        <f t="shared" ref="L92" si="666">+L84</f>
        <v>3.0758130402434145</v>
      </c>
      <c r="M92" s="644">
        <f t="shared" ref="M92:M93" si="667">L92</f>
        <v>3.0758130402434145</v>
      </c>
      <c r="N92" s="644">
        <f t="shared" ref="N92:N93" si="668">M92</f>
        <v>3.0758130402434145</v>
      </c>
      <c r="O92" s="505">
        <f t="shared" ref="O92" si="669">+O84</f>
        <v>2.9794248569380799</v>
      </c>
      <c r="P92" s="644">
        <f t="shared" ref="P92:P93" si="670">O92</f>
        <v>2.9794248569380799</v>
      </c>
      <c r="Q92" s="644">
        <f t="shared" ref="Q92:Q93" si="671">P92</f>
        <v>2.9794248569380799</v>
      </c>
      <c r="R92" s="505">
        <f t="shared" ref="R92" si="672">+R84</f>
        <v>3.2048507183845496</v>
      </c>
      <c r="S92" s="644">
        <f t="shared" ref="S92:S93" si="673">R92</f>
        <v>3.2048507183845496</v>
      </c>
      <c r="T92" s="644">
        <f t="shared" ref="T92:T93" si="674">S92</f>
        <v>3.2048507183845496</v>
      </c>
      <c r="U92" s="505">
        <f t="shared" ref="U92" si="675">+U84</f>
        <v>3.1850874577749426</v>
      </c>
      <c r="V92" s="644">
        <f t="shared" ref="V92:V93" si="676">U92</f>
        <v>3.1850874577749426</v>
      </c>
      <c r="W92" s="644">
        <f t="shared" ref="W92:W93" si="677">V92</f>
        <v>3.1850874577749426</v>
      </c>
      <c r="X92" s="505">
        <f t="shared" ref="X92" si="678">+X84</f>
        <v>3.0301326490369211</v>
      </c>
      <c r="Y92" s="644">
        <f t="shared" ref="Y92:Y93" si="679">X92</f>
        <v>3.0301326490369211</v>
      </c>
      <c r="Z92" s="644">
        <f t="shared" ref="Z92:Z93" si="680">Y92</f>
        <v>3.0301326490369211</v>
      </c>
      <c r="AA92" s="505">
        <f t="shared" ref="AA92" si="681">+AA84</f>
        <v>2.9554245663605343</v>
      </c>
      <c r="AB92" s="644">
        <f t="shared" ref="AB92:AB93" si="682">AA92</f>
        <v>2.9554245663605343</v>
      </c>
      <c r="AC92" s="644">
        <f t="shared" ref="AC92:AC93" si="683">AB92</f>
        <v>2.9554245663605343</v>
      </c>
      <c r="AD92" s="505">
        <f t="shared" ref="AD92" si="684">+AD84</f>
        <v>3.0175376425132101</v>
      </c>
      <c r="AE92" s="644">
        <f t="shared" ref="AE92:AE93" si="685">AD92</f>
        <v>3.0175376425132101</v>
      </c>
      <c r="AF92" s="644">
        <f t="shared" ref="AF92:AF93" si="686">AE92</f>
        <v>3.0175376425132101</v>
      </c>
      <c r="AG92" s="505">
        <f t="shared" ref="AG92" si="687">+AG84</f>
        <v>3.0042092267858469</v>
      </c>
      <c r="AH92" s="644">
        <f t="shared" ref="AH92:AH93" si="688">AG92</f>
        <v>3.0042092267858469</v>
      </c>
      <c r="AI92" s="644">
        <f t="shared" ref="AI92:AI93" si="689">AH92</f>
        <v>3.0042092267858469</v>
      </c>
      <c r="AJ92" s="505">
        <f t="shared" ref="AJ92" si="690">+AJ84</f>
        <v>2.9228704198958444</v>
      </c>
      <c r="AK92" s="644">
        <f t="shared" ref="AK92:AK93" si="691">AJ92</f>
        <v>2.9228704198958444</v>
      </c>
      <c r="AL92" s="644">
        <f t="shared" ref="AL92:AL93" si="692">AK92</f>
        <v>2.9228704198958444</v>
      </c>
      <c r="AM92" s="505">
        <f t="shared" ref="AM92" si="693">+AM84</f>
        <v>2.8704790177201698</v>
      </c>
      <c r="AN92" s="644">
        <f t="shared" ref="AN92:AN93" si="694">AM92</f>
        <v>2.8704790177201698</v>
      </c>
      <c r="AO92" s="644">
        <f t="shared" ref="AO92:AO93" si="695">AN92</f>
        <v>2.8704790177201698</v>
      </c>
      <c r="AP92" s="505">
        <f t="shared" ref="AP92" si="696">+AP84</f>
        <v>2.9635470398994412</v>
      </c>
      <c r="AQ92" s="644">
        <f t="shared" ref="AQ92:AQ93" si="697">AP92</f>
        <v>2.9635470398994412</v>
      </c>
      <c r="AR92" s="644">
        <f t="shared" ref="AR92:AR93" si="698">AQ92</f>
        <v>2.9635470398994412</v>
      </c>
      <c r="AS92" s="505">
        <f t="shared" ref="AS92" si="699">+AS84</f>
        <v>2.9844325895490571</v>
      </c>
      <c r="AT92" s="644">
        <f t="shared" ref="AT92:AT93" si="700">AS92</f>
        <v>2.9844325895490571</v>
      </c>
      <c r="AU92" s="644">
        <f t="shared" ref="AU92:AU93" si="701">AT92</f>
        <v>2.9844325895490571</v>
      </c>
      <c r="AV92" s="505">
        <f t="shared" ref="AV92" si="702">+AV84</f>
        <v>2.9041290252000107</v>
      </c>
      <c r="AW92" s="644">
        <f t="shared" ref="AW92:AW93" si="703">AV92</f>
        <v>2.9041290252000107</v>
      </c>
      <c r="AX92" s="644">
        <f t="shared" ref="AX92:AX93" si="704">AW92</f>
        <v>2.9041290252000107</v>
      </c>
      <c r="AY92" s="505">
        <f t="shared" ref="AY92" si="705">+AY84</f>
        <v>2.8427628895698427</v>
      </c>
      <c r="AZ92" s="644">
        <f t="shared" ref="AZ92:AZ93" si="706">AY92</f>
        <v>2.8427628895698427</v>
      </c>
      <c r="BA92" s="644">
        <f t="shared" ref="BA92:BA93" si="707">AZ92</f>
        <v>2.8427628895698427</v>
      </c>
      <c r="BB92" s="505">
        <f t="shared" ref="BB92" si="708">+BB84</f>
        <v>2.9639893068723975</v>
      </c>
      <c r="BC92" s="644">
        <f t="shared" ref="BC92:BC93" si="709">BB92</f>
        <v>2.9639893068723975</v>
      </c>
      <c r="BD92" s="644">
        <f t="shared" ref="BD92:BD93" si="710">BC92</f>
        <v>2.9639893068723975</v>
      </c>
      <c r="BE92" s="505">
        <f t="shared" ref="BE92" si="711">+BE84</f>
        <v>2.9920243292303983</v>
      </c>
      <c r="BF92" s="644">
        <f t="shared" ref="BF92:BF93" si="712">BE92</f>
        <v>2.9920243292303983</v>
      </c>
      <c r="BG92" s="644">
        <f t="shared" ref="BG92:BG93" si="713">BF92</f>
        <v>2.9920243292303983</v>
      </c>
      <c r="BH92" s="505">
        <f t="shared" ref="BH92" si="714">+BH84</f>
        <v>2.9162897686230407</v>
      </c>
      <c r="BI92" s="644">
        <f t="shared" ref="BI92:BI93" si="715">BH92</f>
        <v>2.9162897686230407</v>
      </c>
      <c r="BJ92" s="644">
        <f t="shared" ref="BJ92:BJ93" si="716">BI92</f>
        <v>2.9162897686230407</v>
      </c>
      <c r="BK92" s="505">
        <f t="shared" ref="BK92" si="717">+BK84</f>
        <v>2.8513490475439771</v>
      </c>
      <c r="BL92" s="644">
        <f t="shared" ref="BL92:BL93" si="718">BK92</f>
        <v>2.8513490475439771</v>
      </c>
      <c r="BM92" s="644">
        <f t="shared" ref="BM92:BM93" si="719">BL92</f>
        <v>2.8513490475439771</v>
      </c>
      <c r="BN92" s="505">
        <f t="shared" ref="BN92" si="720">+BN84</f>
        <v>2.9947071931462297</v>
      </c>
      <c r="BO92" s="644">
        <f t="shared" ref="BO92:BO93" si="721">BN92</f>
        <v>2.9947071931462297</v>
      </c>
      <c r="BP92" s="644">
        <f t="shared" ref="BP92:BP93" si="722">BO92</f>
        <v>2.9947071931462297</v>
      </c>
      <c r="BQ92" s="505">
        <f t="shared" ref="BQ92" si="723">+BQ84</f>
        <v>3.0283089378095815</v>
      </c>
      <c r="BR92" s="644">
        <f t="shared" ref="BR92:BR93" si="724">BQ92</f>
        <v>3.0283089378095815</v>
      </c>
      <c r="BS92" s="644">
        <f t="shared" ref="BS92:BS93" si="725">BR92</f>
        <v>3.0283089378095815</v>
      </c>
      <c r="BT92" s="505">
        <f t="shared" ref="BT92" si="726">+BT84</f>
        <v>2.9469666082194355</v>
      </c>
      <c r="BU92" s="644">
        <f t="shared" ref="BU92:BU93" si="727">BT92</f>
        <v>2.9469666082194355</v>
      </c>
      <c r="BV92" s="644">
        <f t="shared" ref="BV92:BV93" si="728">BU92</f>
        <v>2.9469666082194355</v>
      </c>
      <c r="BW92" s="505">
        <f t="shared" ref="BW92" si="729">+BW84</f>
        <v>2.8790688456628879</v>
      </c>
      <c r="BX92" s="644">
        <f t="shared" ref="BX92:BX93" si="730">BW92</f>
        <v>2.8790688456628879</v>
      </c>
      <c r="BY92" s="644">
        <f t="shared" ref="BY92:BY93" si="731">BX92</f>
        <v>2.8790688456628879</v>
      </c>
      <c r="BZ92" s="505">
        <f t="shared" ref="BZ92" si="732">+BZ84</f>
        <v>3.0328299142570061</v>
      </c>
      <c r="CA92" s="644">
        <f t="shared" ref="CA92:CA93" si="733">BZ92</f>
        <v>3.0328299142570061</v>
      </c>
      <c r="CB92" s="644">
        <f t="shared" ref="CB92:CB93" si="734">CA92</f>
        <v>3.0328299142570061</v>
      </c>
      <c r="CC92" s="505">
        <f t="shared" ref="CC92" si="735">+CC84</f>
        <v>1.4373643936530347</v>
      </c>
      <c r="CD92" s="580"/>
      <c r="CE92" s="643"/>
      <c r="CF92" s="241"/>
      <c r="CG92" s="241"/>
      <c r="CH92" s="241"/>
      <c r="CI92" s="241"/>
      <c r="CJ92" s="241"/>
      <c r="CK92" s="241"/>
    </row>
    <row r="93" spans="1:100" x14ac:dyDescent="0.2">
      <c r="B93" s="226" t="s">
        <v>458</v>
      </c>
      <c r="C93"/>
      <c r="D93"/>
      <c r="E93"/>
      <c r="F93" s="723">
        <v>1.4319</v>
      </c>
      <c r="G93" s="644">
        <f t="shared" ref="G93:G103" si="736">F93</f>
        <v>1.4319</v>
      </c>
      <c r="H93" s="644">
        <f t="shared" ref="H93:H103" si="737">G93</f>
        <v>1.4319</v>
      </c>
      <c r="I93" s="723">
        <v>1.4319</v>
      </c>
      <c r="J93" s="644">
        <f t="shared" ref="J93:J103" si="738">I93</f>
        <v>1.4319</v>
      </c>
      <c r="K93" s="644">
        <f t="shared" ref="K93:K103" si="739">J93</f>
        <v>1.4319</v>
      </c>
      <c r="L93" s="506">
        <f t="shared" ref="L93" si="740">L86</f>
        <v>1.497989554365966</v>
      </c>
      <c r="M93" s="644">
        <f t="shared" si="667"/>
        <v>1.497989554365966</v>
      </c>
      <c r="N93" s="644">
        <f t="shared" si="668"/>
        <v>1.497989554365966</v>
      </c>
      <c r="O93" s="506">
        <f t="shared" ref="O93" si="741">O86</f>
        <v>1.497989554365966</v>
      </c>
      <c r="P93" s="644">
        <f t="shared" si="670"/>
        <v>1.497989554365966</v>
      </c>
      <c r="Q93" s="644">
        <f t="shared" si="671"/>
        <v>1.497989554365966</v>
      </c>
      <c r="R93" s="506">
        <f t="shared" ref="R93" si="742">R86</f>
        <v>1.497989554365966</v>
      </c>
      <c r="S93" s="644">
        <f t="shared" si="673"/>
        <v>1.497989554365966</v>
      </c>
      <c r="T93" s="644">
        <f t="shared" si="674"/>
        <v>1.497989554365966</v>
      </c>
      <c r="U93" s="506">
        <f t="shared" ref="U93" si="743">U86</f>
        <v>1.497989554365966</v>
      </c>
      <c r="V93" s="644">
        <f t="shared" si="676"/>
        <v>1.497989554365966</v>
      </c>
      <c r="W93" s="644">
        <f t="shared" si="677"/>
        <v>1.497989554365966</v>
      </c>
      <c r="X93" s="506">
        <f t="shared" ref="X93" si="744">X86</f>
        <v>1.496254132468426</v>
      </c>
      <c r="Y93" s="644">
        <f t="shared" si="679"/>
        <v>1.496254132468426</v>
      </c>
      <c r="Z93" s="644">
        <f t="shared" si="680"/>
        <v>1.496254132468426</v>
      </c>
      <c r="AA93" s="506">
        <f t="shared" ref="AA93" si="745">AA86</f>
        <v>1.496254132468426</v>
      </c>
      <c r="AB93" s="644">
        <f t="shared" si="682"/>
        <v>1.496254132468426</v>
      </c>
      <c r="AC93" s="644">
        <f t="shared" si="683"/>
        <v>1.496254132468426</v>
      </c>
      <c r="AD93" s="506">
        <f t="shared" ref="AD93" si="746">AD86</f>
        <v>1.496254132468426</v>
      </c>
      <c r="AE93" s="644">
        <f t="shared" si="685"/>
        <v>1.496254132468426</v>
      </c>
      <c r="AF93" s="644">
        <f t="shared" si="686"/>
        <v>1.496254132468426</v>
      </c>
      <c r="AG93" s="506">
        <f t="shared" ref="AG93" si="747">AG86</f>
        <v>1.496254132468426</v>
      </c>
      <c r="AH93" s="644">
        <f t="shared" si="688"/>
        <v>1.496254132468426</v>
      </c>
      <c r="AI93" s="644">
        <f t="shared" si="689"/>
        <v>1.496254132468426</v>
      </c>
      <c r="AJ93" s="506">
        <f t="shared" ref="AJ93" si="748">AJ86</f>
        <v>1.4945226755135359</v>
      </c>
      <c r="AK93" s="644">
        <f t="shared" si="691"/>
        <v>1.4945226755135359</v>
      </c>
      <c r="AL93" s="644">
        <f t="shared" si="692"/>
        <v>1.4945226755135359</v>
      </c>
      <c r="AM93" s="506">
        <f t="shared" ref="AM93" si="749">AM86</f>
        <v>1.4945226755135359</v>
      </c>
      <c r="AN93" s="644">
        <f t="shared" si="694"/>
        <v>1.4945226755135359</v>
      </c>
      <c r="AO93" s="644">
        <f t="shared" si="695"/>
        <v>1.4945226755135359</v>
      </c>
      <c r="AP93" s="506">
        <f t="shared" ref="AP93" si="750">AP86</f>
        <v>1.4945226755135359</v>
      </c>
      <c r="AQ93" s="644">
        <f t="shared" si="697"/>
        <v>1.4945226755135359</v>
      </c>
      <c r="AR93" s="644">
        <f t="shared" si="698"/>
        <v>1.4945226755135359</v>
      </c>
      <c r="AS93" s="506">
        <f t="shared" ref="AS93" si="751">AS86</f>
        <v>1.4945226755135359</v>
      </c>
      <c r="AT93" s="644">
        <f t="shared" si="700"/>
        <v>1.4945226755135359</v>
      </c>
      <c r="AU93" s="644">
        <f t="shared" si="701"/>
        <v>1.4945226755135359</v>
      </c>
      <c r="AV93" s="506">
        <f t="shared" ref="AV93" si="752">AV86</f>
        <v>1.4927950412492739</v>
      </c>
      <c r="AW93" s="644">
        <f t="shared" si="703"/>
        <v>1.4927950412492739</v>
      </c>
      <c r="AX93" s="644">
        <f t="shared" si="704"/>
        <v>1.4927950412492739</v>
      </c>
      <c r="AY93" s="506">
        <f t="shared" ref="AY93" si="753">AY86</f>
        <v>1.4927950412492739</v>
      </c>
      <c r="AZ93" s="644">
        <f t="shared" si="706"/>
        <v>1.4927950412492739</v>
      </c>
      <c r="BA93" s="644">
        <f t="shared" si="707"/>
        <v>1.4927950412492739</v>
      </c>
      <c r="BB93" s="506">
        <f t="shared" ref="BB93" si="754">BB86</f>
        <v>1.4927950412492739</v>
      </c>
      <c r="BC93" s="644">
        <f t="shared" si="709"/>
        <v>1.4927950412492739</v>
      </c>
      <c r="BD93" s="644">
        <f t="shared" si="710"/>
        <v>1.4927950412492739</v>
      </c>
      <c r="BE93" s="506">
        <f t="shared" ref="BE93" si="755">BE86</f>
        <v>1.4927950412492739</v>
      </c>
      <c r="BF93" s="644">
        <f t="shared" si="712"/>
        <v>1.4927950412492739</v>
      </c>
      <c r="BG93" s="644">
        <f t="shared" si="713"/>
        <v>1.4927950412492739</v>
      </c>
      <c r="BH93" s="506">
        <f t="shared" ref="BH93" si="756">BH86</f>
        <v>1.4910701517485132</v>
      </c>
      <c r="BI93" s="644">
        <f t="shared" si="715"/>
        <v>1.4910701517485132</v>
      </c>
      <c r="BJ93" s="644">
        <f t="shared" si="716"/>
        <v>1.4910701517485132</v>
      </c>
      <c r="BK93" s="506">
        <f t="shared" ref="BK93" si="757">BK86</f>
        <v>1.4910701517485132</v>
      </c>
      <c r="BL93" s="644">
        <f t="shared" si="718"/>
        <v>1.4910701517485132</v>
      </c>
      <c r="BM93" s="644">
        <f t="shared" si="719"/>
        <v>1.4910701517485132</v>
      </c>
      <c r="BN93" s="506">
        <f t="shared" ref="BN93" si="758">BN86</f>
        <v>1.4910701517485132</v>
      </c>
      <c r="BO93" s="644">
        <f t="shared" si="721"/>
        <v>1.4910701517485132</v>
      </c>
      <c r="BP93" s="644">
        <f t="shared" si="722"/>
        <v>1.4910701517485132</v>
      </c>
      <c r="BQ93" s="506">
        <f t="shared" ref="BQ93" si="759">BQ86</f>
        <v>1.4910701517485132</v>
      </c>
      <c r="BR93" s="644">
        <f t="shared" si="724"/>
        <v>1.4910701517485132</v>
      </c>
      <c r="BS93" s="644">
        <f t="shared" si="725"/>
        <v>1.4910701517485132</v>
      </c>
      <c r="BT93" s="506">
        <f t="shared" ref="BT93" si="760">BT86</f>
        <v>1.5832702502358029</v>
      </c>
      <c r="BU93" s="644">
        <f t="shared" si="727"/>
        <v>1.5832702502358029</v>
      </c>
      <c r="BV93" s="644">
        <f t="shared" si="728"/>
        <v>1.5832702502358029</v>
      </c>
      <c r="BW93" s="506">
        <f t="shared" ref="BW93" si="761">BW86</f>
        <v>1.5832702502358029</v>
      </c>
      <c r="BX93" s="644">
        <f t="shared" si="730"/>
        <v>1.5832702502358029</v>
      </c>
      <c r="BY93" s="644">
        <f t="shared" si="731"/>
        <v>1.5832702502358029</v>
      </c>
      <c r="BZ93" s="506">
        <f t="shared" ref="BZ93" si="762">BZ86</f>
        <v>1.5832702502358029</v>
      </c>
      <c r="CA93" s="644">
        <f t="shared" si="733"/>
        <v>1.5832702502358029</v>
      </c>
      <c r="CB93" s="644">
        <f t="shared" si="734"/>
        <v>1.5832702502358029</v>
      </c>
      <c r="CC93" s="506">
        <f t="shared" ref="CC93" si="763">CC86</f>
        <v>1.5832702502358029</v>
      </c>
      <c r="CD93" s="580"/>
      <c r="CE93" s="643"/>
      <c r="CF93" s="241"/>
      <c r="CG93" s="241"/>
      <c r="CH93" s="241"/>
      <c r="CI93" s="241"/>
      <c r="CJ93" s="241"/>
      <c r="CK93" s="241"/>
    </row>
    <row r="94" spans="1:100" x14ac:dyDescent="0.2">
      <c r="B94" s="226" t="s">
        <v>459</v>
      </c>
      <c r="C94"/>
      <c r="D94"/>
      <c r="E94"/>
      <c r="F94" s="723">
        <v>0.2109</v>
      </c>
      <c r="G94" s="644">
        <f t="shared" si="736"/>
        <v>0.2109</v>
      </c>
      <c r="H94" s="644">
        <f t="shared" si="737"/>
        <v>0.2109</v>
      </c>
      <c r="I94" s="723">
        <v>8.8200000000000001E-2</v>
      </c>
      <c r="J94" s="644">
        <f t="shared" si="738"/>
        <v>8.8200000000000001E-2</v>
      </c>
      <c r="K94" s="644">
        <f t="shared" si="739"/>
        <v>8.8200000000000001E-2</v>
      </c>
      <c r="L94" s="506">
        <v>0</v>
      </c>
      <c r="M94" s="644">
        <v>0</v>
      </c>
      <c r="N94" s="644">
        <v>0</v>
      </c>
      <c r="O94" s="506">
        <v>0</v>
      </c>
      <c r="P94" s="644">
        <v>0</v>
      </c>
      <c r="Q94" s="644">
        <v>0</v>
      </c>
      <c r="R94" s="506">
        <v>0</v>
      </c>
      <c r="S94" s="644">
        <v>0</v>
      </c>
      <c r="T94" s="644">
        <v>0</v>
      </c>
      <c r="U94" s="506">
        <v>0</v>
      </c>
      <c r="V94" s="644">
        <v>0</v>
      </c>
      <c r="W94" s="644">
        <v>0</v>
      </c>
      <c r="X94" s="506">
        <v>0</v>
      </c>
      <c r="Y94" s="644">
        <v>0</v>
      </c>
      <c r="Z94" s="644">
        <v>0</v>
      </c>
      <c r="AA94" s="506">
        <v>0</v>
      </c>
      <c r="AB94" s="644">
        <v>0</v>
      </c>
      <c r="AC94" s="644">
        <v>0</v>
      </c>
      <c r="AD94" s="506">
        <v>0</v>
      </c>
      <c r="AE94" s="644">
        <v>0</v>
      </c>
      <c r="AF94" s="644">
        <v>0</v>
      </c>
      <c r="AG94" s="506">
        <v>0</v>
      </c>
      <c r="AH94" s="644">
        <v>0</v>
      </c>
      <c r="AI94" s="644">
        <v>0</v>
      </c>
      <c r="AJ94" s="506">
        <v>0</v>
      </c>
      <c r="AK94" s="644">
        <v>0</v>
      </c>
      <c r="AL94" s="644">
        <v>0</v>
      </c>
      <c r="AM94" s="506">
        <v>0</v>
      </c>
      <c r="AN94" s="644">
        <v>0</v>
      </c>
      <c r="AO94" s="644">
        <v>0</v>
      </c>
      <c r="AP94" s="506">
        <v>0</v>
      </c>
      <c r="AQ94" s="644">
        <v>0</v>
      </c>
      <c r="AR94" s="644">
        <v>0</v>
      </c>
      <c r="AS94" s="506">
        <v>0</v>
      </c>
      <c r="AT94" s="644">
        <v>0</v>
      </c>
      <c r="AU94" s="644">
        <v>0</v>
      </c>
      <c r="AV94" s="506">
        <v>0</v>
      </c>
      <c r="AW94" s="644">
        <v>0</v>
      </c>
      <c r="AX94" s="644">
        <v>0</v>
      </c>
      <c r="AY94" s="506">
        <v>0</v>
      </c>
      <c r="AZ94" s="644">
        <v>0</v>
      </c>
      <c r="BA94" s="644">
        <v>0</v>
      </c>
      <c r="BB94" s="506">
        <v>0</v>
      </c>
      <c r="BC94" s="644">
        <v>0</v>
      </c>
      <c r="BD94" s="644">
        <v>0</v>
      </c>
      <c r="BE94" s="506">
        <v>0</v>
      </c>
      <c r="BF94" s="644">
        <v>0</v>
      </c>
      <c r="BG94" s="644">
        <v>0</v>
      </c>
      <c r="BH94" s="506">
        <v>0</v>
      </c>
      <c r="BI94" s="644">
        <v>0</v>
      </c>
      <c r="BJ94" s="644">
        <v>0</v>
      </c>
      <c r="BK94" s="506">
        <v>0</v>
      </c>
      <c r="BL94" s="644">
        <v>0</v>
      </c>
      <c r="BM94" s="644">
        <v>0</v>
      </c>
      <c r="BN94" s="506">
        <v>0</v>
      </c>
      <c r="BO94" s="644">
        <v>0</v>
      </c>
      <c r="BP94" s="644">
        <v>0</v>
      </c>
      <c r="BQ94" s="506">
        <v>0</v>
      </c>
      <c r="BR94" s="644">
        <v>0</v>
      </c>
      <c r="BS94" s="644">
        <v>0</v>
      </c>
      <c r="BT94" s="506">
        <v>0</v>
      </c>
      <c r="BU94" s="644">
        <v>0</v>
      </c>
      <c r="BV94" s="644">
        <v>0</v>
      </c>
      <c r="BW94" s="506">
        <v>0</v>
      </c>
      <c r="BX94" s="644">
        <v>0</v>
      </c>
      <c r="BY94" s="644">
        <v>0</v>
      </c>
      <c r="BZ94" s="506">
        <v>0</v>
      </c>
      <c r="CA94" s="644">
        <v>0</v>
      </c>
      <c r="CB94" s="644">
        <v>0</v>
      </c>
      <c r="CC94" s="506">
        <v>0</v>
      </c>
      <c r="CD94" s="580"/>
      <c r="CE94" s="643"/>
      <c r="CF94" s="241"/>
      <c r="CG94" s="241"/>
      <c r="CH94" s="241"/>
      <c r="CI94" s="241"/>
      <c r="CJ94" s="241"/>
      <c r="CK94" s="241"/>
    </row>
    <row r="95" spans="1:100" x14ac:dyDescent="0.2">
      <c r="B95" s="226" t="s">
        <v>460</v>
      </c>
      <c r="C95"/>
      <c r="D95"/>
      <c r="E95"/>
      <c r="F95" s="506"/>
      <c r="G95" s="644">
        <f t="shared" si="736"/>
        <v>0</v>
      </c>
      <c r="H95" s="644">
        <f t="shared" si="737"/>
        <v>0</v>
      </c>
      <c r="I95" s="506"/>
      <c r="J95" s="644">
        <f t="shared" si="738"/>
        <v>0</v>
      </c>
      <c r="K95" s="644">
        <f t="shared" si="739"/>
        <v>0</v>
      </c>
      <c r="L95" s="506">
        <f t="shared" ref="L95:L96" si="764">+K95</f>
        <v>0</v>
      </c>
      <c r="M95" s="644">
        <f t="shared" ref="M95:M103" si="765">L95</f>
        <v>0</v>
      </c>
      <c r="N95" s="644">
        <f t="shared" ref="N95:N103" si="766">M95</f>
        <v>0</v>
      </c>
      <c r="O95" s="506">
        <f t="shared" ref="O95:O96" si="767">+N95</f>
        <v>0</v>
      </c>
      <c r="P95" s="644">
        <f t="shared" ref="P95:P103" si="768">O95</f>
        <v>0</v>
      </c>
      <c r="Q95" s="644">
        <f t="shared" ref="Q95:Q103" si="769">P95</f>
        <v>0</v>
      </c>
      <c r="R95" s="506">
        <f t="shared" ref="R95:R96" si="770">+Q95</f>
        <v>0</v>
      </c>
      <c r="S95" s="644">
        <f t="shared" ref="S95:S103" si="771">R95</f>
        <v>0</v>
      </c>
      <c r="T95" s="644">
        <f t="shared" ref="T95:T103" si="772">S95</f>
        <v>0</v>
      </c>
      <c r="U95" s="506">
        <f t="shared" ref="U95:U96" si="773">+T95</f>
        <v>0</v>
      </c>
      <c r="V95" s="644">
        <f t="shared" ref="V95:V103" si="774">U95</f>
        <v>0</v>
      </c>
      <c r="W95" s="644">
        <f t="shared" ref="W95:W103" si="775">V95</f>
        <v>0</v>
      </c>
      <c r="X95" s="506">
        <f t="shared" ref="X95:X96" si="776">+W95</f>
        <v>0</v>
      </c>
      <c r="Y95" s="644">
        <f t="shared" ref="Y95:Y103" si="777">X95</f>
        <v>0</v>
      </c>
      <c r="Z95" s="644">
        <f t="shared" ref="Z95:Z103" si="778">Y95</f>
        <v>0</v>
      </c>
      <c r="AA95" s="506">
        <f t="shared" ref="AA95:AA96" si="779">+Z95</f>
        <v>0</v>
      </c>
      <c r="AB95" s="644">
        <f t="shared" ref="AB95:AB103" si="780">AA95</f>
        <v>0</v>
      </c>
      <c r="AC95" s="644">
        <f t="shared" ref="AC95:AC103" si="781">AB95</f>
        <v>0</v>
      </c>
      <c r="AD95" s="506">
        <f t="shared" ref="AD95:AD96" si="782">+AC95</f>
        <v>0</v>
      </c>
      <c r="AE95" s="644">
        <f t="shared" ref="AE95:AE103" si="783">AD95</f>
        <v>0</v>
      </c>
      <c r="AF95" s="644">
        <f t="shared" ref="AF95:AF103" si="784">AE95</f>
        <v>0</v>
      </c>
      <c r="AG95" s="506">
        <f t="shared" ref="AG95:AG96" si="785">+AF95</f>
        <v>0</v>
      </c>
      <c r="AH95" s="644">
        <f t="shared" ref="AH95:AH103" si="786">AG95</f>
        <v>0</v>
      </c>
      <c r="AI95" s="644">
        <f t="shared" ref="AI95:AI103" si="787">AH95</f>
        <v>0</v>
      </c>
      <c r="AJ95" s="506">
        <f t="shared" ref="AJ95:AJ96" si="788">+AI95</f>
        <v>0</v>
      </c>
      <c r="AK95" s="644">
        <f t="shared" ref="AK95:AK103" si="789">AJ95</f>
        <v>0</v>
      </c>
      <c r="AL95" s="644">
        <f t="shared" ref="AL95:AL103" si="790">AK95</f>
        <v>0</v>
      </c>
      <c r="AM95" s="506">
        <f t="shared" ref="AM95:AM96" si="791">+AL95</f>
        <v>0</v>
      </c>
      <c r="AN95" s="644">
        <f t="shared" ref="AN95:AN103" si="792">AM95</f>
        <v>0</v>
      </c>
      <c r="AO95" s="644">
        <f t="shared" ref="AO95:AO103" si="793">AN95</f>
        <v>0</v>
      </c>
      <c r="AP95" s="506">
        <f t="shared" ref="AP95:AP96" si="794">+AO95</f>
        <v>0</v>
      </c>
      <c r="AQ95" s="644">
        <f t="shared" ref="AQ95:AQ103" si="795">AP95</f>
        <v>0</v>
      </c>
      <c r="AR95" s="644">
        <f t="shared" ref="AR95:AR103" si="796">AQ95</f>
        <v>0</v>
      </c>
      <c r="AS95" s="506">
        <f t="shared" ref="AS95:AS96" si="797">+AR95</f>
        <v>0</v>
      </c>
      <c r="AT95" s="644">
        <f t="shared" ref="AT95:AT103" si="798">AS95</f>
        <v>0</v>
      </c>
      <c r="AU95" s="644">
        <f t="shared" ref="AU95:AU103" si="799">AT95</f>
        <v>0</v>
      </c>
      <c r="AV95" s="506">
        <f t="shared" ref="AV95:AV96" si="800">+AU95</f>
        <v>0</v>
      </c>
      <c r="AW95" s="644">
        <f t="shared" ref="AW95:AW103" si="801">AV95</f>
        <v>0</v>
      </c>
      <c r="AX95" s="644">
        <f t="shared" ref="AX95:AX103" si="802">AW95</f>
        <v>0</v>
      </c>
      <c r="AY95" s="506">
        <f t="shared" ref="AY95:AY96" si="803">+AX95</f>
        <v>0</v>
      </c>
      <c r="AZ95" s="644">
        <f t="shared" ref="AZ95:AZ103" si="804">AY95</f>
        <v>0</v>
      </c>
      <c r="BA95" s="644">
        <f t="shared" ref="BA95:BA103" si="805">AZ95</f>
        <v>0</v>
      </c>
      <c r="BB95" s="506">
        <f t="shared" ref="BB95:BB96" si="806">+BA95</f>
        <v>0</v>
      </c>
      <c r="BC95" s="644">
        <f t="shared" ref="BC95:BC103" si="807">BB95</f>
        <v>0</v>
      </c>
      <c r="BD95" s="644">
        <f t="shared" ref="BD95:BD103" si="808">BC95</f>
        <v>0</v>
      </c>
      <c r="BE95" s="506">
        <f t="shared" ref="BE95:BE96" si="809">+BD95</f>
        <v>0</v>
      </c>
      <c r="BF95" s="644">
        <f t="shared" ref="BF95:BF103" si="810">BE95</f>
        <v>0</v>
      </c>
      <c r="BG95" s="644">
        <f t="shared" ref="BG95:BG103" si="811">BF95</f>
        <v>0</v>
      </c>
      <c r="BH95" s="506">
        <f t="shared" ref="BH95:BH96" si="812">+BG95</f>
        <v>0</v>
      </c>
      <c r="BI95" s="644">
        <f t="shared" ref="BI95:BI103" si="813">BH95</f>
        <v>0</v>
      </c>
      <c r="BJ95" s="644">
        <f t="shared" ref="BJ95:BJ103" si="814">BI95</f>
        <v>0</v>
      </c>
      <c r="BK95" s="506">
        <f t="shared" ref="BK95:BK96" si="815">+BJ95</f>
        <v>0</v>
      </c>
      <c r="BL95" s="644">
        <f t="shared" ref="BL95:BL103" si="816">BK95</f>
        <v>0</v>
      </c>
      <c r="BM95" s="644">
        <f t="shared" ref="BM95:BM103" si="817">BL95</f>
        <v>0</v>
      </c>
      <c r="BN95" s="506">
        <f t="shared" ref="BN95:BN96" si="818">+BM95</f>
        <v>0</v>
      </c>
      <c r="BO95" s="644">
        <f t="shared" ref="BO95:BO103" si="819">BN95</f>
        <v>0</v>
      </c>
      <c r="BP95" s="644">
        <f t="shared" ref="BP95:BP103" si="820">BO95</f>
        <v>0</v>
      </c>
      <c r="BQ95" s="506">
        <f t="shared" ref="BQ95:BQ96" si="821">+BP95</f>
        <v>0</v>
      </c>
      <c r="BR95" s="644">
        <f t="shared" ref="BR95:BR103" si="822">BQ95</f>
        <v>0</v>
      </c>
      <c r="BS95" s="644">
        <f t="shared" ref="BS95:BS103" si="823">BR95</f>
        <v>0</v>
      </c>
      <c r="BT95" s="506">
        <f t="shared" ref="BT95:BT96" si="824">+BS95</f>
        <v>0</v>
      </c>
      <c r="BU95" s="644">
        <f t="shared" ref="BU95:BU103" si="825">BT95</f>
        <v>0</v>
      </c>
      <c r="BV95" s="644">
        <f t="shared" ref="BV95:BV103" si="826">BU95</f>
        <v>0</v>
      </c>
      <c r="BW95" s="506">
        <f t="shared" ref="BW95:BW96" si="827">+BV95</f>
        <v>0</v>
      </c>
      <c r="BX95" s="644">
        <f t="shared" ref="BX95:BX103" si="828">BW95</f>
        <v>0</v>
      </c>
      <c r="BY95" s="644">
        <f t="shared" ref="BY95:BY103" si="829">BX95</f>
        <v>0</v>
      </c>
      <c r="BZ95" s="506">
        <f t="shared" ref="BZ95:BZ96" si="830">+BY95</f>
        <v>0</v>
      </c>
      <c r="CA95" s="644">
        <f t="shared" ref="CA95:CA103" si="831">BZ95</f>
        <v>0</v>
      </c>
      <c r="CB95" s="644">
        <f t="shared" ref="CB95:CC103" si="832">CA95</f>
        <v>0</v>
      </c>
      <c r="CC95" s="506">
        <f t="shared" ref="CC95:CC96" si="833">+CB95</f>
        <v>0</v>
      </c>
      <c r="CD95" s="580"/>
      <c r="CE95" s="643"/>
      <c r="CF95" s="241"/>
      <c r="CG95" s="241"/>
      <c r="CH95" s="241"/>
      <c r="CI95" s="241"/>
      <c r="CJ95" s="241"/>
      <c r="CK95" s="241"/>
    </row>
    <row r="96" spans="1:100" x14ac:dyDescent="0.2">
      <c r="B96" s="226" t="s">
        <v>461</v>
      </c>
      <c r="C96"/>
      <c r="D96"/>
      <c r="E96"/>
      <c r="F96" s="723">
        <v>0.1719</v>
      </c>
      <c r="G96" s="644">
        <f t="shared" si="736"/>
        <v>0.1719</v>
      </c>
      <c r="H96" s="644">
        <f t="shared" si="737"/>
        <v>0.1719</v>
      </c>
      <c r="I96" s="723">
        <v>0.1719</v>
      </c>
      <c r="J96" s="644">
        <f t="shared" si="738"/>
        <v>0.1719</v>
      </c>
      <c r="K96" s="644">
        <f t="shared" si="739"/>
        <v>0.1719</v>
      </c>
      <c r="L96" s="506">
        <f t="shared" si="764"/>
        <v>0.1719</v>
      </c>
      <c r="M96" s="644">
        <f t="shared" si="765"/>
        <v>0.1719</v>
      </c>
      <c r="N96" s="644">
        <f t="shared" si="766"/>
        <v>0.1719</v>
      </c>
      <c r="O96" s="506">
        <f t="shared" si="767"/>
        <v>0.1719</v>
      </c>
      <c r="P96" s="644">
        <f t="shared" si="768"/>
        <v>0.1719</v>
      </c>
      <c r="Q96" s="644">
        <f t="shared" si="769"/>
        <v>0.1719</v>
      </c>
      <c r="R96" s="506">
        <f t="shared" si="770"/>
        <v>0.1719</v>
      </c>
      <c r="S96" s="644">
        <f t="shared" si="771"/>
        <v>0.1719</v>
      </c>
      <c r="T96" s="644">
        <f t="shared" si="772"/>
        <v>0.1719</v>
      </c>
      <c r="U96" s="506">
        <f t="shared" si="773"/>
        <v>0.1719</v>
      </c>
      <c r="V96" s="644">
        <f t="shared" si="774"/>
        <v>0.1719</v>
      </c>
      <c r="W96" s="644">
        <f t="shared" si="775"/>
        <v>0.1719</v>
      </c>
      <c r="X96" s="506">
        <f t="shared" si="776"/>
        <v>0.1719</v>
      </c>
      <c r="Y96" s="644">
        <f t="shared" si="777"/>
        <v>0.1719</v>
      </c>
      <c r="Z96" s="644">
        <f t="shared" si="778"/>
        <v>0.1719</v>
      </c>
      <c r="AA96" s="506">
        <f t="shared" si="779"/>
        <v>0.1719</v>
      </c>
      <c r="AB96" s="644">
        <f t="shared" si="780"/>
        <v>0.1719</v>
      </c>
      <c r="AC96" s="644">
        <f t="shared" si="781"/>
        <v>0.1719</v>
      </c>
      <c r="AD96" s="506">
        <f t="shared" si="782"/>
        <v>0.1719</v>
      </c>
      <c r="AE96" s="644">
        <f t="shared" si="783"/>
        <v>0.1719</v>
      </c>
      <c r="AF96" s="644">
        <f t="shared" si="784"/>
        <v>0.1719</v>
      </c>
      <c r="AG96" s="506">
        <f t="shared" si="785"/>
        <v>0.1719</v>
      </c>
      <c r="AH96" s="644">
        <f t="shared" si="786"/>
        <v>0.1719</v>
      </c>
      <c r="AI96" s="644">
        <f t="shared" si="787"/>
        <v>0.1719</v>
      </c>
      <c r="AJ96" s="506">
        <f t="shared" si="788"/>
        <v>0.1719</v>
      </c>
      <c r="AK96" s="644">
        <f t="shared" si="789"/>
        <v>0.1719</v>
      </c>
      <c r="AL96" s="644">
        <f t="shared" si="790"/>
        <v>0.1719</v>
      </c>
      <c r="AM96" s="506">
        <f t="shared" si="791"/>
        <v>0.1719</v>
      </c>
      <c r="AN96" s="644">
        <f t="shared" si="792"/>
        <v>0.1719</v>
      </c>
      <c r="AO96" s="644">
        <f t="shared" si="793"/>
        <v>0.1719</v>
      </c>
      <c r="AP96" s="506">
        <f t="shared" si="794"/>
        <v>0.1719</v>
      </c>
      <c r="AQ96" s="644">
        <f t="shared" si="795"/>
        <v>0.1719</v>
      </c>
      <c r="AR96" s="644">
        <f t="shared" si="796"/>
        <v>0.1719</v>
      </c>
      <c r="AS96" s="506">
        <f t="shared" si="797"/>
        <v>0.1719</v>
      </c>
      <c r="AT96" s="644">
        <f t="shared" si="798"/>
        <v>0.1719</v>
      </c>
      <c r="AU96" s="644">
        <f t="shared" si="799"/>
        <v>0.1719</v>
      </c>
      <c r="AV96" s="506">
        <f t="shared" si="800"/>
        <v>0.1719</v>
      </c>
      <c r="AW96" s="644">
        <f t="shared" si="801"/>
        <v>0.1719</v>
      </c>
      <c r="AX96" s="644">
        <f t="shared" si="802"/>
        <v>0.1719</v>
      </c>
      <c r="AY96" s="506">
        <f t="shared" si="803"/>
        <v>0.1719</v>
      </c>
      <c r="AZ96" s="644">
        <f t="shared" si="804"/>
        <v>0.1719</v>
      </c>
      <c r="BA96" s="644">
        <f t="shared" si="805"/>
        <v>0.1719</v>
      </c>
      <c r="BB96" s="506">
        <f t="shared" si="806"/>
        <v>0.1719</v>
      </c>
      <c r="BC96" s="644">
        <f t="shared" si="807"/>
        <v>0.1719</v>
      </c>
      <c r="BD96" s="644">
        <f t="shared" si="808"/>
        <v>0.1719</v>
      </c>
      <c r="BE96" s="506">
        <f t="shared" si="809"/>
        <v>0.1719</v>
      </c>
      <c r="BF96" s="644">
        <f t="shared" si="810"/>
        <v>0.1719</v>
      </c>
      <c r="BG96" s="644">
        <f t="shared" si="811"/>
        <v>0.1719</v>
      </c>
      <c r="BH96" s="506">
        <f t="shared" si="812"/>
        <v>0.1719</v>
      </c>
      <c r="BI96" s="644">
        <f t="shared" si="813"/>
        <v>0.1719</v>
      </c>
      <c r="BJ96" s="644">
        <f t="shared" si="814"/>
        <v>0.1719</v>
      </c>
      <c r="BK96" s="506">
        <f t="shared" si="815"/>
        <v>0.1719</v>
      </c>
      <c r="BL96" s="644">
        <f t="shared" si="816"/>
        <v>0.1719</v>
      </c>
      <c r="BM96" s="644">
        <f t="shared" si="817"/>
        <v>0.1719</v>
      </c>
      <c r="BN96" s="506">
        <f t="shared" si="818"/>
        <v>0.1719</v>
      </c>
      <c r="BO96" s="644">
        <f t="shared" si="819"/>
        <v>0.1719</v>
      </c>
      <c r="BP96" s="644">
        <f t="shared" si="820"/>
        <v>0.1719</v>
      </c>
      <c r="BQ96" s="506">
        <f t="shared" si="821"/>
        <v>0.1719</v>
      </c>
      <c r="BR96" s="644">
        <f t="shared" si="822"/>
        <v>0.1719</v>
      </c>
      <c r="BS96" s="644">
        <f t="shared" si="823"/>
        <v>0.1719</v>
      </c>
      <c r="BT96" s="506">
        <f t="shared" si="824"/>
        <v>0.1719</v>
      </c>
      <c r="BU96" s="644">
        <f t="shared" si="825"/>
        <v>0.1719</v>
      </c>
      <c r="BV96" s="644">
        <f t="shared" si="826"/>
        <v>0.1719</v>
      </c>
      <c r="BW96" s="506">
        <f t="shared" si="827"/>
        <v>0.1719</v>
      </c>
      <c r="BX96" s="644">
        <f t="shared" si="828"/>
        <v>0.1719</v>
      </c>
      <c r="BY96" s="644">
        <f t="shared" si="829"/>
        <v>0.1719</v>
      </c>
      <c r="BZ96" s="506">
        <f t="shared" si="830"/>
        <v>0.1719</v>
      </c>
      <c r="CA96" s="644">
        <f t="shared" si="831"/>
        <v>0.1719</v>
      </c>
      <c r="CB96" s="644">
        <f t="shared" si="832"/>
        <v>0.1719</v>
      </c>
      <c r="CC96" s="506">
        <f t="shared" si="833"/>
        <v>0.1719</v>
      </c>
      <c r="CD96" s="580"/>
      <c r="CE96" s="643"/>
      <c r="CF96" s="241"/>
      <c r="CG96" s="241"/>
      <c r="CH96" s="241"/>
      <c r="CI96" s="241"/>
      <c r="CJ96" s="241"/>
      <c r="CK96" s="241"/>
    </row>
    <row r="97" spans="1:92" x14ac:dyDescent="0.2">
      <c r="B97" s="226" t="s">
        <v>462</v>
      </c>
      <c r="C97"/>
      <c r="D97"/>
      <c r="E97"/>
      <c r="F97" s="507">
        <f>SUM(F92:F96)</f>
        <v>5.1479999999999997</v>
      </c>
      <c r="G97" s="645">
        <f t="shared" si="736"/>
        <v>5.1479999999999997</v>
      </c>
      <c r="H97" s="645">
        <f t="shared" si="737"/>
        <v>5.1479999999999997</v>
      </c>
      <c r="I97" s="507">
        <f>SUM(I92:I96)</f>
        <v>5.0563999999999991</v>
      </c>
      <c r="J97" s="645">
        <f t="shared" si="738"/>
        <v>5.0563999999999991</v>
      </c>
      <c r="K97" s="645">
        <f t="shared" si="739"/>
        <v>5.0563999999999991</v>
      </c>
      <c r="L97" s="507">
        <f t="shared" ref="L97" si="834">+L92+L93+L94+L95+L96</f>
        <v>4.7457025946093809</v>
      </c>
      <c r="M97" s="645">
        <f t="shared" si="765"/>
        <v>4.7457025946093809</v>
      </c>
      <c r="N97" s="645">
        <f t="shared" si="766"/>
        <v>4.7457025946093809</v>
      </c>
      <c r="O97" s="507">
        <f t="shared" ref="O97" si="835">+O92+O93+O94+O95+O96</f>
        <v>4.6493144113040463</v>
      </c>
      <c r="P97" s="645">
        <f t="shared" si="768"/>
        <v>4.6493144113040463</v>
      </c>
      <c r="Q97" s="645">
        <f t="shared" si="769"/>
        <v>4.6493144113040463</v>
      </c>
      <c r="R97" s="507">
        <f t="shared" ref="R97" si="836">+R92+R93+R94+R95+R96</f>
        <v>4.8747402727505156</v>
      </c>
      <c r="S97" s="645">
        <f t="shared" si="771"/>
        <v>4.8747402727505156</v>
      </c>
      <c r="T97" s="645">
        <f t="shared" si="772"/>
        <v>4.8747402727505156</v>
      </c>
      <c r="U97" s="507">
        <f t="shared" ref="U97" si="837">+U92+U93+U94+U95+U96</f>
        <v>4.8549770121409086</v>
      </c>
      <c r="V97" s="645">
        <f t="shared" si="774"/>
        <v>4.8549770121409086</v>
      </c>
      <c r="W97" s="645">
        <f t="shared" si="775"/>
        <v>4.8549770121409086</v>
      </c>
      <c r="X97" s="507">
        <f t="shared" ref="X97" si="838">+X92+X93+X94+X95+X96</f>
        <v>4.6982867815053471</v>
      </c>
      <c r="Y97" s="645">
        <f t="shared" si="777"/>
        <v>4.6982867815053471</v>
      </c>
      <c r="Z97" s="645">
        <f t="shared" si="778"/>
        <v>4.6982867815053471</v>
      </c>
      <c r="AA97" s="507">
        <f t="shared" ref="AA97" si="839">+AA92+AA93+AA94+AA95+AA96</f>
        <v>4.6235786988289602</v>
      </c>
      <c r="AB97" s="645">
        <f t="shared" si="780"/>
        <v>4.6235786988289602</v>
      </c>
      <c r="AC97" s="645">
        <f t="shared" si="781"/>
        <v>4.6235786988289602</v>
      </c>
      <c r="AD97" s="507">
        <f t="shared" ref="AD97" si="840">+AD92+AD93+AD94+AD95+AD96</f>
        <v>4.6856917749816356</v>
      </c>
      <c r="AE97" s="645">
        <f t="shared" si="783"/>
        <v>4.6856917749816356</v>
      </c>
      <c r="AF97" s="645">
        <f t="shared" si="784"/>
        <v>4.6856917749816356</v>
      </c>
      <c r="AG97" s="507">
        <f t="shared" ref="AG97" si="841">+AG92+AG93+AG94+AG95+AG96</f>
        <v>4.6723633592542724</v>
      </c>
      <c r="AH97" s="645">
        <f t="shared" si="786"/>
        <v>4.6723633592542724</v>
      </c>
      <c r="AI97" s="645">
        <f t="shared" si="787"/>
        <v>4.6723633592542724</v>
      </c>
      <c r="AJ97" s="507">
        <f t="shared" ref="AJ97" si="842">+AJ92+AJ93+AJ94+AJ95+AJ96</f>
        <v>4.5892930954093805</v>
      </c>
      <c r="AK97" s="645">
        <f t="shared" si="789"/>
        <v>4.5892930954093805</v>
      </c>
      <c r="AL97" s="645">
        <f t="shared" si="790"/>
        <v>4.5892930954093805</v>
      </c>
      <c r="AM97" s="507">
        <f t="shared" ref="AM97" si="843">+AM92+AM93+AM94+AM95+AM96</f>
        <v>4.5369016932337054</v>
      </c>
      <c r="AN97" s="645">
        <f t="shared" si="792"/>
        <v>4.5369016932337054</v>
      </c>
      <c r="AO97" s="645">
        <f t="shared" si="793"/>
        <v>4.5369016932337054</v>
      </c>
      <c r="AP97" s="507">
        <f t="shared" ref="AP97" si="844">+AP92+AP93+AP94+AP95+AP96</f>
        <v>4.6299697154129769</v>
      </c>
      <c r="AQ97" s="645">
        <f t="shared" si="795"/>
        <v>4.6299697154129769</v>
      </c>
      <c r="AR97" s="645">
        <f t="shared" si="796"/>
        <v>4.6299697154129769</v>
      </c>
      <c r="AS97" s="507">
        <f t="shared" ref="AS97" si="845">+AS92+AS93+AS94+AS95+AS96</f>
        <v>4.6508552650625932</v>
      </c>
      <c r="AT97" s="645">
        <f t="shared" si="798"/>
        <v>4.6508552650625932</v>
      </c>
      <c r="AU97" s="645">
        <f t="shared" si="799"/>
        <v>4.6508552650625932</v>
      </c>
      <c r="AV97" s="507">
        <f t="shared" ref="AV97" si="846">+AV92+AV93+AV94+AV95+AV96</f>
        <v>4.5688240664492845</v>
      </c>
      <c r="AW97" s="645">
        <f t="shared" si="801"/>
        <v>4.5688240664492845</v>
      </c>
      <c r="AX97" s="645">
        <f t="shared" si="802"/>
        <v>4.5688240664492845</v>
      </c>
      <c r="AY97" s="507">
        <f t="shared" ref="AY97" si="847">+AY92+AY93+AY94+AY95+AY96</f>
        <v>4.5074579308191165</v>
      </c>
      <c r="AZ97" s="645">
        <f t="shared" si="804"/>
        <v>4.5074579308191165</v>
      </c>
      <c r="BA97" s="645">
        <f t="shared" si="805"/>
        <v>4.5074579308191165</v>
      </c>
      <c r="BB97" s="507">
        <f t="shared" ref="BB97" si="848">+BB92+BB93+BB94+BB95+BB96</f>
        <v>4.6286843481216708</v>
      </c>
      <c r="BC97" s="645">
        <f t="shared" si="807"/>
        <v>4.6286843481216708</v>
      </c>
      <c r="BD97" s="645">
        <f t="shared" si="808"/>
        <v>4.6286843481216708</v>
      </c>
      <c r="BE97" s="507">
        <f t="shared" ref="BE97" si="849">+BE92+BE93+BE94+BE95+BE96</f>
        <v>4.6567193704796717</v>
      </c>
      <c r="BF97" s="645">
        <f t="shared" si="810"/>
        <v>4.6567193704796717</v>
      </c>
      <c r="BG97" s="645">
        <f t="shared" si="811"/>
        <v>4.6567193704796717</v>
      </c>
      <c r="BH97" s="507">
        <f t="shared" ref="BH97" si="850">+BH92+BH93+BH94+BH95+BH96</f>
        <v>4.5792599203715536</v>
      </c>
      <c r="BI97" s="645">
        <f t="shared" si="813"/>
        <v>4.5792599203715536</v>
      </c>
      <c r="BJ97" s="645">
        <f t="shared" si="814"/>
        <v>4.5792599203715536</v>
      </c>
      <c r="BK97" s="507">
        <f t="shared" ref="BK97" si="851">+BK92+BK93+BK94+BK95+BK96</f>
        <v>4.5143191992924905</v>
      </c>
      <c r="BL97" s="645">
        <f t="shared" si="816"/>
        <v>4.5143191992924905</v>
      </c>
      <c r="BM97" s="645">
        <f t="shared" si="817"/>
        <v>4.5143191992924905</v>
      </c>
      <c r="BN97" s="507">
        <f t="shared" ref="BN97" si="852">+BN92+BN93+BN94+BN95+BN96</f>
        <v>4.6576773448947426</v>
      </c>
      <c r="BO97" s="645">
        <f t="shared" si="819"/>
        <v>4.6576773448947426</v>
      </c>
      <c r="BP97" s="645">
        <f t="shared" si="820"/>
        <v>4.6576773448947426</v>
      </c>
      <c r="BQ97" s="507">
        <f t="shared" ref="BQ97" si="853">+BQ92+BQ93+BQ94+BQ95+BQ96</f>
        <v>4.6912790895580949</v>
      </c>
      <c r="BR97" s="645">
        <f t="shared" si="822"/>
        <v>4.6912790895580949</v>
      </c>
      <c r="BS97" s="645">
        <f t="shared" si="823"/>
        <v>4.6912790895580949</v>
      </c>
      <c r="BT97" s="507">
        <f t="shared" ref="BT97" si="854">+BT92+BT93+BT94+BT95+BT96</f>
        <v>4.7021368584552379</v>
      </c>
      <c r="BU97" s="645">
        <f t="shared" si="825"/>
        <v>4.7021368584552379</v>
      </c>
      <c r="BV97" s="645">
        <f t="shared" si="826"/>
        <v>4.7021368584552379</v>
      </c>
      <c r="BW97" s="507">
        <f t="shared" ref="BW97" si="855">+BW92+BW93+BW94+BW95+BW96</f>
        <v>4.6342390958986908</v>
      </c>
      <c r="BX97" s="645">
        <f t="shared" si="828"/>
        <v>4.6342390958986908</v>
      </c>
      <c r="BY97" s="645">
        <f t="shared" si="829"/>
        <v>4.6342390958986908</v>
      </c>
      <c r="BZ97" s="507">
        <f t="shared" ref="BZ97" si="856">+BZ92+BZ93+BZ94+BZ95+BZ96</f>
        <v>4.788000164492809</v>
      </c>
      <c r="CA97" s="645">
        <f t="shared" si="831"/>
        <v>4.788000164492809</v>
      </c>
      <c r="CB97" s="645">
        <f t="shared" si="832"/>
        <v>4.788000164492809</v>
      </c>
      <c r="CC97" s="507">
        <f t="shared" ref="CC97" si="857">+CC92+CC93+CC94+CC95+CC96</f>
        <v>3.1925346438888376</v>
      </c>
      <c r="CD97" s="580"/>
      <c r="CE97" s="646"/>
      <c r="CF97" s="242"/>
      <c r="CG97" s="242"/>
      <c r="CH97" s="242"/>
      <c r="CI97" s="242"/>
      <c r="CJ97" s="242"/>
      <c r="CK97" s="242"/>
    </row>
    <row r="98" spans="1:92" x14ac:dyDescent="0.2">
      <c r="B98" s="226" t="s">
        <v>463</v>
      </c>
      <c r="C98"/>
      <c r="D98"/>
      <c r="E98"/>
      <c r="F98" s="506">
        <f>F92</f>
        <v>3.3332999999999999</v>
      </c>
      <c r="G98" s="644">
        <f t="shared" si="736"/>
        <v>3.3332999999999999</v>
      </c>
      <c r="H98" s="644">
        <f t="shared" si="737"/>
        <v>3.3332999999999999</v>
      </c>
      <c r="I98" s="506">
        <f>I92</f>
        <v>3.3643999999999998</v>
      </c>
      <c r="J98" s="644">
        <f t="shared" si="738"/>
        <v>3.3643999999999998</v>
      </c>
      <c r="K98" s="644">
        <f t="shared" si="739"/>
        <v>3.3643999999999998</v>
      </c>
      <c r="L98" s="506">
        <f t="shared" ref="L98" si="858">+L92</f>
        <v>3.0758130402434145</v>
      </c>
      <c r="M98" s="644">
        <f t="shared" si="765"/>
        <v>3.0758130402434145</v>
      </c>
      <c r="N98" s="644">
        <f t="shared" si="766"/>
        <v>3.0758130402434145</v>
      </c>
      <c r="O98" s="506">
        <f t="shared" ref="O98" si="859">+O92</f>
        <v>2.9794248569380799</v>
      </c>
      <c r="P98" s="644">
        <f t="shared" si="768"/>
        <v>2.9794248569380799</v>
      </c>
      <c r="Q98" s="644">
        <f t="shared" si="769"/>
        <v>2.9794248569380799</v>
      </c>
      <c r="R98" s="506">
        <f t="shared" ref="R98" si="860">+R92</f>
        <v>3.2048507183845496</v>
      </c>
      <c r="S98" s="644">
        <f t="shared" si="771"/>
        <v>3.2048507183845496</v>
      </c>
      <c r="T98" s="644">
        <f t="shared" si="772"/>
        <v>3.2048507183845496</v>
      </c>
      <c r="U98" s="506">
        <f t="shared" ref="U98" si="861">+U92</f>
        <v>3.1850874577749426</v>
      </c>
      <c r="V98" s="644">
        <f t="shared" si="774"/>
        <v>3.1850874577749426</v>
      </c>
      <c r="W98" s="644">
        <f t="shared" si="775"/>
        <v>3.1850874577749426</v>
      </c>
      <c r="X98" s="506">
        <f t="shared" ref="X98" si="862">+X92</f>
        <v>3.0301326490369211</v>
      </c>
      <c r="Y98" s="644">
        <f t="shared" si="777"/>
        <v>3.0301326490369211</v>
      </c>
      <c r="Z98" s="644">
        <f t="shared" si="778"/>
        <v>3.0301326490369211</v>
      </c>
      <c r="AA98" s="506">
        <f t="shared" ref="AA98" si="863">+AA92</f>
        <v>2.9554245663605343</v>
      </c>
      <c r="AB98" s="644">
        <f t="shared" si="780"/>
        <v>2.9554245663605343</v>
      </c>
      <c r="AC98" s="644">
        <f t="shared" si="781"/>
        <v>2.9554245663605343</v>
      </c>
      <c r="AD98" s="506">
        <f t="shared" ref="AD98" si="864">+AD92</f>
        <v>3.0175376425132101</v>
      </c>
      <c r="AE98" s="644">
        <f t="shared" si="783"/>
        <v>3.0175376425132101</v>
      </c>
      <c r="AF98" s="644">
        <f t="shared" si="784"/>
        <v>3.0175376425132101</v>
      </c>
      <c r="AG98" s="506">
        <f t="shared" ref="AG98" si="865">+AG92</f>
        <v>3.0042092267858469</v>
      </c>
      <c r="AH98" s="644">
        <f t="shared" si="786"/>
        <v>3.0042092267858469</v>
      </c>
      <c r="AI98" s="644">
        <f t="shared" si="787"/>
        <v>3.0042092267858469</v>
      </c>
      <c r="AJ98" s="506">
        <f t="shared" ref="AJ98" si="866">+AJ92</f>
        <v>2.9228704198958444</v>
      </c>
      <c r="AK98" s="644">
        <f t="shared" si="789"/>
        <v>2.9228704198958444</v>
      </c>
      <c r="AL98" s="644">
        <f t="shared" si="790"/>
        <v>2.9228704198958444</v>
      </c>
      <c r="AM98" s="506">
        <f t="shared" ref="AM98" si="867">+AM92</f>
        <v>2.8704790177201698</v>
      </c>
      <c r="AN98" s="644">
        <f t="shared" si="792"/>
        <v>2.8704790177201698</v>
      </c>
      <c r="AO98" s="644">
        <f t="shared" si="793"/>
        <v>2.8704790177201698</v>
      </c>
      <c r="AP98" s="506">
        <f t="shared" ref="AP98" si="868">+AP92</f>
        <v>2.9635470398994412</v>
      </c>
      <c r="AQ98" s="644">
        <f t="shared" si="795"/>
        <v>2.9635470398994412</v>
      </c>
      <c r="AR98" s="644">
        <f t="shared" si="796"/>
        <v>2.9635470398994412</v>
      </c>
      <c r="AS98" s="506">
        <f t="shared" ref="AS98" si="869">+AS92</f>
        <v>2.9844325895490571</v>
      </c>
      <c r="AT98" s="644">
        <f t="shared" si="798"/>
        <v>2.9844325895490571</v>
      </c>
      <c r="AU98" s="644">
        <f t="shared" si="799"/>
        <v>2.9844325895490571</v>
      </c>
      <c r="AV98" s="506">
        <f t="shared" ref="AV98" si="870">+AV92</f>
        <v>2.9041290252000107</v>
      </c>
      <c r="AW98" s="644">
        <f t="shared" si="801"/>
        <v>2.9041290252000107</v>
      </c>
      <c r="AX98" s="644">
        <f t="shared" si="802"/>
        <v>2.9041290252000107</v>
      </c>
      <c r="AY98" s="506">
        <f t="shared" ref="AY98" si="871">+AY92</f>
        <v>2.8427628895698427</v>
      </c>
      <c r="AZ98" s="644">
        <f t="shared" si="804"/>
        <v>2.8427628895698427</v>
      </c>
      <c r="BA98" s="644">
        <f t="shared" si="805"/>
        <v>2.8427628895698427</v>
      </c>
      <c r="BB98" s="506">
        <f t="shared" ref="BB98" si="872">+BB92</f>
        <v>2.9639893068723975</v>
      </c>
      <c r="BC98" s="644">
        <f t="shared" si="807"/>
        <v>2.9639893068723975</v>
      </c>
      <c r="BD98" s="644">
        <f t="shared" si="808"/>
        <v>2.9639893068723975</v>
      </c>
      <c r="BE98" s="506">
        <f t="shared" ref="BE98" si="873">+BE92</f>
        <v>2.9920243292303983</v>
      </c>
      <c r="BF98" s="644">
        <f t="shared" si="810"/>
        <v>2.9920243292303983</v>
      </c>
      <c r="BG98" s="644">
        <f t="shared" si="811"/>
        <v>2.9920243292303983</v>
      </c>
      <c r="BH98" s="506">
        <f t="shared" ref="BH98" si="874">+BH92</f>
        <v>2.9162897686230407</v>
      </c>
      <c r="BI98" s="644">
        <f t="shared" si="813"/>
        <v>2.9162897686230407</v>
      </c>
      <c r="BJ98" s="644">
        <f t="shared" si="814"/>
        <v>2.9162897686230407</v>
      </c>
      <c r="BK98" s="506">
        <f t="shared" ref="BK98" si="875">+BK92</f>
        <v>2.8513490475439771</v>
      </c>
      <c r="BL98" s="644">
        <f t="shared" si="816"/>
        <v>2.8513490475439771</v>
      </c>
      <c r="BM98" s="644">
        <f t="shared" si="817"/>
        <v>2.8513490475439771</v>
      </c>
      <c r="BN98" s="506">
        <f t="shared" ref="BN98" si="876">+BN92</f>
        <v>2.9947071931462297</v>
      </c>
      <c r="BO98" s="644">
        <f t="shared" si="819"/>
        <v>2.9947071931462297</v>
      </c>
      <c r="BP98" s="644">
        <f t="shared" si="820"/>
        <v>2.9947071931462297</v>
      </c>
      <c r="BQ98" s="506">
        <f t="shared" ref="BQ98" si="877">+BQ92</f>
        <v>3.0283089378095815</v>
      </c>
      <c r="BR98" s="644">
        <f t="shared" si="822"/>
        <v>3.0283089378095815</v>
      </c>
      <c r="BS98" s="644">
        <f t="shared" si="823"/>
        <v>3.0283089378095815</v>
      </c>
      <c r="BT98" s="506">
        <f t="shared" ref="BT98" si="878">+BT92</f>
        <v>2.9469666082194355</v>
      </c>
      <c r="BU98" s="644">
        <f t="shared" si="825"/>
        <v>2.9469666082194355</v>
      </c>
      <c r="BV98" s="644">
        <f t="shared" si="826"/>
        <v>2.9469666082194355</v>
      </c>
      <c r="BW98" s="506">
        <f t="shared" ref="BW98" si="879">+BW92</f>
        <v>2.8790688456628879</v>
      </c>
      <c r="BX98" s="644">
        <f t="shared" si="828"/>
        <v>2.8790688456628879</v>
      </c>
      <c r="BY98" s="644">
        <f t="shared" si="829"/>
        <v>2.8790688456628879</v>
      </c>
      <c r="BZ98" s="506">
        <f t="shared" ref="BZ98" si="880">+BZ92</f>
        <v>3.0328299142570061</v>
      </c>
      <c r="CA98" s="644">
        <f t="shared" si="831"/>
        <v>3.0328299142570061</v>
      </c>
      <c r="CB98" s="644">
        <f t="shared" si="832"/>
        <v>3.0328299142570061</v>
      </c>
      <c r="CC98" s="506">
        <f t="shared" ref="CC98" si="881">+CC92</f>
        <v>1.4373643936530347</v>
      </c>
      <c r="CD98" s="580"/>
      <c r="CE98" s="643"/>
      <c r="CF98" s="241"/>
      <c r="CG98" s="241"/>
      <c r="CH98" s="241"/>
      <c r="CI98" s="241"/>
      <c r="CJ98" s="241"/>
      <c r="CK98" s="241"/>
    </row>
    <row r="99" spans="1:92" x14ac:dyDescent="0.2">
      <c r="B99" s="226" t="s">
        <v>464</v>
      </c>
      <c r="C99"/>
      <c r="D99"/>
      <c r="E99"/>
      <c r="F99" s="723">
        <v>0.2162</v>
      </c>
      <c r="G99" s="644">
        <f t="shared" si="736"/>
        <v>0.2162</v>
      </c>
      <c r="H99" s="644">
        <f t="shared" si="737"/>
        <v>0.2162</v>
      </c>
      <c r="I99" s="723">
        <v>0.2162</v>
      </c>
      <c r="J99" s="644">
        <f t="shared" si="738"/>
        <v>0.2162</v>
      </c>
      <c r="K99" s="644">
        <f t="shared" si="739"/>
        <v>0.2162</v>
      </c>
      <c r="L99" s="506">
        <f t="shared" ref="L99" si="882">K99</f>
        <v>0.2162</v>
      </c>
      <c r="M99" s="644">
        <f t="shared" si="765"/>
        <v>0.2162</v>
      </c>
      <c r="N99" s="644">
        <f t="shared" si="766"/>
        <v>0.2162</v>
      </c>
      <c r="O99" s="506">
        <f t="shared" ref="O99" si="883">N99</f>
        <v>0.2162</v>
      </c>
      <c r="P99" s="644">
        <f t="shared" si="768"/>
        <v>0.2162</v>
      </c>
      <c r="Q99" s="644">
        <f t="shared" si="769"/>
        <v>0.2162</v>
      </c>
      <c r="R99" s="506">
        <f t="shared" ref="R99" si="884">Q99</f>
        <v>0.2162</v>
      </c>
      <c r="S99" s="644">
        <f t="shared" si="771"/>
        <v>0.2162</v>
      </c>
      <c r="T99" s="644">
        <f t="shared" si="772"/>
        <v>0.2162</v>
      </c>
      <c r="U99" s="506">
        <f t="shared" ref="U99" si="885">T99</f>
        <v>0.2162</v>
      </c>
      <c r="V99" s="644">
        <f t="shared" si="774"/>
        <v>0.2162</v>
      </c>
      <c r="W99" s="644">
        <f t="shared" si="775"/>
        <v>0.2162</v>
      </c>
      <c r="X99" s="506">
        <f t="shared" ref="X99" si="886">W99</f>
        <v>0.2162</v>
      </c>
      <c r="Y99" s="644">
        <f t="shared" si="777"/>
        <v>0.2162</v>
      </c>
      <c r="Z99" s="644">
        <f t="shared" si="778"/>
        <v>0.2162</v>
      </c>
      <c r="AA99" s="506">
        <f t="shared" ref="AA99" si="887">Z99</f>
        <v>0.2162</v>
      </c>
      <c r="AB99" s="644">
        <f t="shared" si="780"/>
        <v>0.2162</v>
      </c>
      <c r="AC99" s="644">
        <f t="shared" si="781"/>
        <v>0.2162</v>
      </c>
      <c r="AD99" s="506">
        <f t="shared" ref="AD99" si="888">AC99</f>
        <v>0.2162</v>
      </c>
      <c r="AE99" s="644">
        <f t="shared" si="783"/>
        <v>0.2162</v>
      </c>
      <c r="AF99" s="644">
        <f t="shared" si="784"/>
        <v>0.2162</v>
      </c>
      <c r="AG99" s="506">
        <f t="shared" ref="AG99" si="889">AF99</f>
        <v>0.2162</v>
      </c>
      <c r="AH99" s="644">
        <f t="shared" si="786"/>
        <v>0.2162</v>
      </c>
      <c r="AI99" s="644">
        <f t="shared" si="787"/>
        <v>0.2162</v>
      </c>
      <c r="AJ99" s="506">
        <f t="shared" ref="AJ99" si="890">AI99</f>
        <v>0.2162</v>
      </c>
      <c r="AK99" s="644">
        <f t="shared" si="789"/>
        <v>0.2162</v>
      </c>
      <c r="AL99" s="644">
        <f t="shared" si="790"/>
        <v>0.2162</v>
      </c>
      <c r="AM99" s="506">
        <f t="shared" ref="AM99" si="891">AL99</f>
        <v>0.2162</v>
      </c>
      <c r="AN99" s="644">
        <f t="shared" si="792"/>
        <v>0.2162</v>
      </c>
      <c r="AO99" s="644">
        <f t="shared" si="793"/>
        <v>0.2162</v>
      </c>
      <c r="AP99" s="506">
        <f t="shared" ref="AP99" si="892">AO99</f>
        <v>0.2162</v>
      </c>
      <c r="AQ99" s="644">
        <f t="shared" si="795"/>
        <v>0.2162</v>
      </c>
      <c r="AR99" s="644">
        <f t="shared" si="796"/>
        <v>0.2162</v>
      </c>
      <c r="AS99" s="506">
        <f t="shared" ref="AS99" si="893">AR99</f>
        <v>0.2162</v>
      </c>
      <c r="AT99" s="644">
        <f t="shared" si="798"/>
        <v>0.2162</v>
      </c>
      <c r="AU99" s="644">
        <f t="shared" si="799"/>
        <v>0.2162</v>
      </c>
      <c r="AV99" s="506">
        <f t="shared" ref="AV99" si="894">AU99</f>
        <v>0.2162</v>
      </c>
      <c r="AW99" s="644">
        <f t="shared" si="801"/>
        <v>0.2162</v>
      </c>
      <c r="AX99" s="644">
        <f t="shared" si="802"/>
        <v>0.2162</v>
      </c>
      <c r="AY99" s="506">
        <f t="shared" ref="AY99" si="895">AX99</f>
        <v>0.2162</v>
      </c>
      <c r="AZ99" s="644">
        <f t="shared" si="804"/>
        <v>0.2162</v>
      </c>
      <c r="BA99" s="644">
        <f t="shared" si="805"/>
        <v>0.2162</v>
      </c>
      <c r="BB99" s="506">
        <f t="shared" ref="BB99" si="896">BA99</f>
        <v>0.2162</v>
      </c>
      <c r="BC99" s="644">
        <f t="shared" si="807"/>
        <v>0.2162</v>
      </c>
      <c r="BD99" s="644">
        <f t="shared" si="808"/>
        <v>0.2162</v>
      </c>
      <c r="BE99" s="506">
        <f t="shared" ref="BE99" si="897">BD99</f>
        <v>0.2162</v>
      </c>
      <c r="BF99" s="644">
        <f t="shared" si="810"/>
        <v>0.2162</v>
      </c>
      <c r="BG99" s="644">
        <f t="shared" si="811"/>
        <v>0.2162</v>
      </c>
      <c r="BH99" s="506">
        <f t="shared" ref="BH99" si="898">BG99</f>
        <v>0.2162</v>
      </c>
      <c r="BI99" s="644">
        <f t="shared" si="813"/>
        <v>0.2162</v>
      </c>
      <c r="BJ99" s="644">
        <f t="shared" si="814"/>
        <v>0.2162</v>
      </c>
      <c r="BK99" s="506">
        <f t="shared" ref="BK99" si="899">BJ99</f>
        <v>0.2162</v>
      </c>
      <c r="BL99" s="644">
        <f t="shared" si="816"/>
        <v>0.2162</v>
      </c>
      <c r="BM99" s="644">
        <f t="shared" si="817"/>
        <v>0.2162</v>
      </c>
      <c r="BN99" s="506">
        <f t="shared" ref="BN99" si="900">BM99</f>
        <v>0.2162</v>
      </c>
      <c r="BO99" s="644">
        <f t="shared" si="819"/>
        <v>0.2162</v>
      </c>
      <c r="BP99" s="644">
        <f t="shared" si="820"/>
        <v>0.2162</v>
      </c>
      <c r="BQ99" s="506">
        <f t="shared" ref="BQ99" si="901">BP99</f>
        <v>0.2162</v>
      </c>
      <c r="BR99" s="644">
        <f t="shared" si="822"/>
        <v>0.2162</v>
      </c>
      <c r="BS99" s="644">
        <f t="shared" si="823"/>
        <v>0.2162</v>
      </c>
      <c r="BT99" s="506">
        <f t="shared" ref="BT99" si="902">BS99</f>
        <v>0.2162</v>
      </c>
      <c r="BU99" s="644">
        <f t="shared" si="825"/>
        <v>0.2162</v>
      </c>
      <c r="BV99" s="644">
        <f t="shared" si="826"/>
        <v>0.2162</v>
      </c>
      <c r="BW99" s="506">
        <f t="shared" ref="BW99" si="903">BV99</f>
        <v>0.2162</v>
      </c>
      <c r="BX99" s="644">
        <f t="shared" si="828"/>
        <v>0.2162</v>
      </c>
      <c r="BY99" s="644">
        <f t="shared" si="829"/>
        <v>0.2162</v>
      </c>
      <c r="BZ99" s="506">
        <f t="shared" ref="BZ99" si="904">BY99</f>
        <v>0.2162</v>
      </c>
      <c r="CA99" s="644">
        <f t="shared" si="831"/>
        <v>0.2162</v>
      </c>
      <c r="CB99" s="644">
        <f t="shared" si="832"/>
        <v>0.2162</v>
      </c>
      <c r="CC99" s="506">
        <f t="shared" si="832"/>
        <v>0.2162</v>
      </c>
      <c r="CD99" s="580"/>
      <c r="CE99" s="580"/>
      <c r="CF99"/>
      <c r="CG99"/>
      <c r="CH99"/>
      <c r="CI99"/>
      <c r="CJ99"/>
      <c r="CK99"/>
      <c r="CL99"/>
      <c r="CM99"/>
      <c r="CN99"/>
    </row>
    <row r="100" spans="1:92" x14ac:dyDescent="0.2">
      <c r="B100" s="226" t="s">
        <v>465</v>
      </c>
      <c r="C100"/>
      <c r="D100"/>
      <c r="E100"/>
      <c r="F100" s="723">
        <v>0.2109</v>
      </c>
      <c r="G100" s="644">
        <f t="shared" si="736"/>
        <v>0.2109</v>
      </c>
      <c r="H100" s="644">
        <f t="shared" si="737"/>
        <v>0.2109</v>
      </c>
      <c r="I100" s="723">
        <v>8.8200000000000001E-2</v>
      </c>
      <c r="J100" s="644">
        <f t="shared" si="738"/>
        <v>8.8200000000000001E-2</v>
      </c>
      <c r="K100" s="644">
        <f t="shared" si="739"/>
        <v>8.8200000000000001E-2</v>
      </c>
      <c r="L100" s="506">
        <f t="shared" ref="L100" si="905">+L94</f>
        <v>0</v>
      </c>
      <c r="M100" s="644">
        <f t="shared" si="765"/>
        <v>0</v>
      </c>
      <c r="N100" s="644">
        <f t="shared" si="766"/>
        <v>0</v>
      </c>
      <c r="O100" s="506">
        <f t="shared" ref="O100" si="906">+O94</f>
        <v>0</v>
      </c>
      <c r="P100" s="644">
        <f t="shared" si="768"/>
        <v>0</v>
      </c>
      <c r="Q100" s="644">
        <f t="shared" si="769"/>
        <v>0</v>
      </c>
      <c r="R100" s="506">
        <f t="shared" ref="R100" si="907">+R94</f>
        <v>0</v>
      </c>
      <c r="S100" s="644">
        <f t="shared" si="771"/>
        <v>0</v>
      </c>
      <c r="T100" s="644">
        <f t="shared" si="772"/>
        <v>0</v>
      </c>
      <c r="U100" s="506">
        <f t="shared" ref="U100" si="908">+U94</f>
        <v>0</v>
      </c>
      <c r="V100" s="644">
        <f t="shared" si="774"/>
        <v>0</v>
      </c>
      <c r="W100" s="644">
        <f t="shared" si="775"/>
        <v>0</v>
      </c>
      <c r="X100" s="506">
        <f t="shared" ref="X100" si="909">+X94</f>
        <v>0</v>
      </c>
      <c r="Y100" s="644">
        <f t="shared" si="777"/>
        <v>0</v>
      </c>
      <c r="Z100" s="644">
        <f t="shared" si="778"/>
        <v>0</v>
      </c>
      <c r="AA100" s="506">
        <f t="shared" ref="AA100" si="910">+AA94</f>
        <v>0</v>
      </c>
      <c r="AB100" s="644">
        <f t="shared" si="780"/>
        <v>0</v>
      </c>
      <c r="AC100" s="644">
        <f t="shared" si="781"/>
        <v>0</v>
      </c>
      <c r="AD100" s="506">
        <f t="shared" ref="AD100" si="911">+AD94</f>
        <v>0</v>
      </c>
      <c r="AE100" s="644">
        <f t="shared" si="783"/>
        <v>0</v>
      </c>
      <c r="AF100" s="644">
        <f t="shared" si="784"/>
        <v>0</v>
      </c>
      <c r="AG100" s="506">
        <f t="shared" ref="AG100" si="912">+AG94</f>
        <v>0</v>
      </c>
      <c r="AH100" s="644">
        <f t="shared" si="786"/>
        <v>0</v>
      </c>
      <c r="AI100" s="644">
        <f t="shared" si="787"/>
        <v>0</v>
      </c>
      <c r="AJ100" s="506">
        <f t="shared" ref="AJ100" si="913">+AJ94</f>
        <v>0</v>
      </c>
      <c r="AK100" s="644">
        <f t="shared" si="789"/>
        <v>0</v>
      </c>
      <c r="AL100" s="644">
        <f t="shared" si="790"/>
        <v>0</v>
      </c>
      <c r="AM100" s="506">
        <f t="shared" ref="AM100" si="914">+AM94</f>
        <v>0</v>
      </c>
      <c r="AN100" s="644">
        <f t="shared" si="792"/>
        <v>0</v>
      </c>
      <c r="AO100" s="644">
        <f t="shared" si="793"/>
        <v>0</v>
      </c>
      <c r="AP100" s="506">
        <f t="shared" ref="AP100" si="915">+AP94</f>
        <v>0</v>
      </c>
      <c r="AQ100" s="644">
        <f t="shared" si="795"/>
        <v>0</v>
      </c>
      <c r="AR100" s="644">
        <f t="shared" si="796"/>
        <v>0</v>
      </c>
      <c r="AS100" s="506">
        <f t="shared" ref="AS100" si="916">+AS94</f>
        <v>0</v>
      </c>
      <c r="AT100" s="644">
        <f t="shared" si="798"/>
        <v>0</v>
      </c>
      <c r="AU100" s="644">
        <f t="shared" si="799"/>
        <v>0</v>
      </c>
      <c r="AV100" s="506">
        <f t="shared" ref="AV100" si="917">+AV94</f>
        <v>0</v>
      </c>
      <c r="AW100" s="644">
        <f t="shared" si="801"/>
        <v>0</v>
      </c>
      <c r="AX100" s="644">
        <f t="shared" si="802"/>
        <v>0</v>
      </c>
      <c r="AY100" s="506">
        <f t="shared" ref="AY100" si="918">+AY94</f>
        <v>0</v>
      </c>
      <c r="AZ100" s="644">
        <f t="shared" si="804"/>
        <v>0</v>
      </c>
      <c r="BA100" s="644">
        <f t="shared" si="805"/>
        <v>0</v>
      </c>
      <c r="BB100" s="506">
        <f t="shared" ref="BB100" si="919">+BB94</f>
        <v>0</v>
      </c>
      <c r="BC100" s="644">
        <f t="shared" si="807"/>
        <v>0</v>
      </c>
      <c r="BD100" s="644">
        <f t="shared" si="808"/>
        <v>0</v>
      </c>
      <c r="BE100" s="506">
        <f t="shared" ref="BE100" si="920">+BE94</f>
        <v>0</v>
      </c>
      <c r="BF100" s="644">
        <f t="shared" si="810"/>
        <v>0</v>
      </c>
      <c r="BG100" s="644">
        <f t="shared" si="811"/>
        <v>0</v>
      </c>
      <c r="BH100" s="506">
        <f t="shared" ref="BH100" si="921">+BH94</f>
        <v>0</v>
      </c>
      <c r="BI100" s="644">
        <f t="shared" si="813"/>
        <v>0</v>
      </c>
      <c r="BJ100" s="644">
        <f t="shared" si="814"/>
        <v>0</v>
      </c>
      <c r="BK100" s="506">
        <f t="shared" ref="BK100" si="922">+BK94</f>
        <v>0</v>
      </c>
      <c r="BL100" s="644">
        <f t="shared" si="816"/>
        <v>0</v>
      </c>
      <c r="BM100" s="644">
        <f t="shared" si="817"/>
        <v>0</v>
      </c>
      <c r="BN100" s="506">
        <f t="shared" ref="BN100" si="923">+BN94</f>
        <v>0</v>
      </c>
      <c r="BO100" s="644">
        <f t="shared" si="819"/>
        <v>0</v>
      </c>
      <c r="BP100" s="644">
        <f t="shared" si="820"/>
        <v>0</v>
      </c>
      <c r="BQ100" s="506">
        <f t="shared" ref="BQ100" si="924">+BQ94</f>
        <v>0</v>
      </c>
      <c r="BR100" s="644">
        <f t="shared" si="822"/>
        <v>0</v>
      </c>
      <c r="BS100" s="644">
        <f t="shared" si="823"/>
        <v>0</v>
      </c>
      <c r="BT100" s="506">
        <f t="shared" ref="BT100" si="925">+BT94</f>
        <v>0</v>
      </c>
      <c r="BU100" s="644">
        <f t="shared" si="825"/>
        <v>0</v>
      </c>
      <c r="BV100" s="644">
        <f t="shared" si="826"/>
        <v>0</v>
      </c>
      <c r="BW100" s="506">
        <f t="shared" ref="BW100" si="926">+BW94</f>
        <v>0</v>
      </c>
      <c r="BX100" s="644">
        <f t="shared" si="828"/>
        <v>0</v>
      </c>
      <c r="BY100" s="644">
        <f t="shared" si="829"/>
        <v>0</v>
      </c>
      <c r="BZ100" s="506">
        <f t="shared" ref="BZ100" si="927">+BZ94</f>
        <v>0</v>
      </c>
      <c r="CA100" s="644">
        <f t="shared" si="831"/>
        <v>0</v>
      </c>
      <c r="CB100" s="644">
        <f t="shared" si="832"/>
        <v>0</v>
      </c>
      <c r="CC100" s="506">
        <f t="shared" ref="CC100" si="928">+CC94</f>
        <v>0</v>
      </c>
      <c r="CD100" s="580"/>
      <c r="CE100" s="643"/>
      <c r="CF100" s="241"/>
      <c r="CG100" s="241"/>
      <c r="CH100" s="241"/>
      <c r="CI100" s="241"/>
      <c r="CJ100" s="241"/>
      <c r="CK100" s="241"/>
    </row>
    <row r="101" spans="1:92" x14ac:dyDescent="0.2">
      <c r="B101" s="226" t="s">
        <v>460</v>
      </c>
      <c r="C101"/>
      <c r="D101"/>
      <c r="E101"/>
      <c r="F101" s="506"/>
      <c r="G101" s="644">
        <f t="shared" si="736"/>
        <v>0</v>
      </c>
      <c r="H101" s="644">
        <f t="shared" si="737"/>
        <v>0</v>
      </c>
      <c r="I101" s="506"/>
      <c r="J101" s="644">
        <f t="shared" si="738"/>
        <v>0</v>
      </c>
      <c r="K101" s="644">
        <f t="shared" si="739"/>
        <v>0</v>
      </c>
      <c r="L101" s="506">
        <f t="shared" ref="L101:L102" si="929">+K101</f>
        <v>0</v>
      </c>
      <c r="M101" s="644">
        <f t="shared" si="765"/>
        <v>0</v>
      </c>
      <c r="N101" s="644">
        <f t="shared" si="766"/>
        <v>0</v>
      </c>
      <c r="O101" s="506">
        <f t="shared" ref="O101:O102" si="930">+N101</f>
        <v>0</v>
      </c>
      <c r="P101" s="644">
        <f t="shared" si="768"/>
        <v>0</v>
      </c>
      <c r="Q101" s="644">
        <f t="shared" si="769"/>
        <v>0</v>
      </c>
      <c r="R101" s="506">
        <f t="shared" ref="R101:R102" si="931">+Q101</f>
        <v>0</v>
      </c>
      <c r="S101" s="644">
        <f t="shared" si="771"/>
        <v>0</v>
      </c>
      <c r="T101" s="644">
        <f t="shared" si="772"/>
        <v>0</v>
      </c>
      <c r="U101" s="506">
        <f t="shared" ref="U101:U102" si="932">+T101</f>
        <v>0</v>
      </c>
      <c r="V101" s="644">
        <f t="shared" si="774"/>
        <v>0</v>
      </c>
      <c r="W101" s="644">
        <f t="shared" si="775"/>
        <v>0</v>
      </c>
      <c r="X101" s="506">
        <f t="shared" ref="X101:X102" si="933">+W101</f>
        <v>0</v>
      </c>
      <c r="Y101" s="644">
        <f t="shared" si="777"/>
        <v>0</v>
      </c>
      <c r="Z101" s="644">
        <f t="shared" si="778"/>
        <v>0</v>
      </c>
      <c r="AA101" s="506">
        <f t="shared" ref="AA101:AA102" si="934">+Z101</f>
        <v>0</v>
      </c>
      <c r="AB101" s="644">
        <f t="shared" si="780"/>
        <v>0</v>
      </c>
      <c r="AC101" s="644">
        <f t="shared" si="781"/>
        <v>0</v>
      </c>
      <c r="AD101" s="506">
        <f t="shared" ref="AD101:AD102" si="935">+AC101</f>
        <v>0</v>
      </c>
      <c r="AE101" s="644">
        <f t="shared" si="783"/>
        <v>0</v>
      </c>
      <c r="AF101" s="644">
        <f t="shared" si="784"/>
        <v>0</v>
      </c>
      <c r="AG101" s="506">
        <f t="shared" ref="AG101:AG102" si="936">+AF101</f>
        <v>0</v>
      </c>
      <c r="AH101" s="644">
        <f t="shared" si="786"/>
        <v>0</v>
      </c>
      <c r="AI101" s="644">
        <f t="shared" si="787"/>
        <v>0</v>
      </c>
      <c r="AJ101" s="506">
        <f t="shared" ref="AJ101:AJ102" si="937">+AI101</f>
        <v>0</v>
      </c>
      <c r="AK101" s="644">
        <f t="shared" si="789"/>
        <v>0</v>
      </c>
      <c r="AL101" s="644">
        <f t="shared" si="790"/>
        <v>0</v>
      </c>
      <c r="AM101" s="506">
        <f t="shared" ref="AM101:AM102" si="938">+AL101</f>
        <v>0</v>
      </c>
      <c r="AN101" s="644">
        <f t="shared" si="792"/>
        <v>0</v>
      </c>
      <c r="AO101" s="644">
        <f t="shared" si="793"/>
        <v>0</v>
      </c>
      <c r="AP101" s="506">
        <f t="shared" ref="AP101:AP102" si="939">+AO101</f>
        <v>0</v>
      </c>
      <c r="AQ101" s="644">
        <f t="shared" si="795"/>
        <v>0</v>
      </c>
      <c r="AR101" s="644">
        <f t="shared" si="796"/>
        <v>0</v>
      </c>
      <c r="AS101" s="506">
        <f t="shared" ref="AS101:AS102" si="940">+AR101</f>
        <v>0</v>
      </c>
      <c r="AT101" s="644">
        <f t="shared" si="798"/>
        <v>0</v>
      </c>
      <c r="AU101" s="644">
        <f t="shared" si="799"/>
        <v>0</v>
      </c>
      <c r="AV101" s="506">
        <f t="shared" ref="AV101:AV102" si="941">+AU101</f>
        <v>0</v>
      </c>
      <c r="AW101" s="644">
        <f t="shared" si="801"/>
        <v>0</v>
      </c>
      <c r="AX101" s="644">
        <f t="shared" si="802"/>
        <v>0</v>
      </c>
      <c r="AY101" s="506">
        <f t="shared" ref="AY101:AY102" si="942">+AX101</f>
        <v>0</v>
      </c>
      <c r="AZ101" s="644">
        <f t="shared" si="804"/>
        <v>0</v>
      </c>
      <c r="BA101" s="644">
        <f t="shared" si="805"/>
        <v>0</v>
      </c>
      <c r="BB101" s="506">
        <f t="shared" ref="BB101:BB102" si="943">+BA101</f>
        <v>0</v>
      </c>
      <c r="BC101" s="644">
        <f t="shared" si="807"/>
        <v>0</v>
      </c>
      <c r="BD101" s="644">
        <f t="shared" si="808"/>
        <v>0</v>
      </c>
      <c r="BE101" s="506">
        <f t="shared" ref="BE101:BE102" si="944">+BD101</f>
        <v>0</v>
      </c>
      <c r="BF101" s="644">
        <f t="shared" si="810"/>
        <v>0</v>
      </c>
      <c r="BG101" s="644">
        <f t="shared" si="811"/>
        <v>0</v>
      </c>
      <c r="BH101" s="506">
        <f t="shared" ref="BH101:BH102" si="945">+BG101</f>
        <v>0</v>
      </c>
      <c r="BI101" s="644">
        <f t="shared" si="813"/>
        <v>0</v>
      </c>
      <c r="BJ101" s="644">
        <f t="shared" si="814"/>
        <v>0</v>
      </c>
      <c r="BK101" s="506">
        <f t="shared" ref="BK101:BK102" si="946">+BJ101</f>
        <v>0</v>
      </c>
      <c r="BL101" s="644">
        <f t="shared" si="816"/>
        <v>0</v>
      </c>
      <c r="BM101" s="644">
        <f t="shared" si="817"/>
        <v>0</v>
      </c>
      <c r="BN101" s="506">
        <f t="shared" ref="BN101:BN102" si="947">+BM101</f>
        <v>0</v>
      </c>
      <c r="BO101" s="644">
        <f t="shared" si="819"/>
        <v>0</v>
      </c>
      <c r="BP101" s="644">
        <f t="shared" si="820"/>
        <v>0</v>
      </c>
      <c r="BQ101" s="506">
        <f t="shared" ref="BQ101:BQ102" si="948">+BP101</f>
        <v>0</v>
      </c>
      <c r="BR101" s="644">
        <f t="shared" si="822"/>
        <v>0</v>
      </c>
      <c r="BS101" s="644">
        <f t="shared" si="823"/>
        <v>0</v>
      </c>
      <c r="BT101" s="506">
        <f t="shared" ref="BT101:BT102" si="949">+BS101</f>
        <v>0</v>
      </c>
      <c r="BU101" s="644">
        <f t="shared" si="825"/>
        <v>0</v>
      </c>
      <c r="BV101" s="644">
        <f t="shared" si="826"/>
        <v>0</v>
      </c>
      <c r="BW101" s="506">
        <f t="shared" ref="BW101:BW102" si="950">+BV101</f>
        <v>0</v>
      </c>
      <c r="BX101" s="644">
        <f t="shared" si="828"/>
        <v>0</v>
      </c>
      <c r="BY101" s="644">
        <f t="shared" si="829"/>
        <v>0</v>
      </c>
      <c r="BZ101" s="506">
        <f t="shared" ref="BZ101:BZ102" si="951">+BY101</f>
        <v>0</v>
      </c>
      <c r="CA101" s="644">
        <f t="shared" si="831"/>
        <v>0</v>
      </c>
      <c r="CB101" s="644">
        <f t="shared" si="832"/>
        <v>0</v>
      </c>
      <c r="CC101" s="506">
        <f t="shared" ref="CC101:CC102" si="952">+CB101</f>
        <v>0</v>
      </c>
      <c r="CD101" s="580"/>
      <c r="CE101" s="643"/>
      <c r="CF101" s="241"/>
      <c r="CG101" s="241"/>
      <c r="CH101" s="241"/>
      <c r="CI101" s="241"/>
      <c r="CJ101" s="241"/>
      <c r="CK101" s="241"/>
    </row>
    <row r="102" spans="1:92" x14ac:dyDescent="0.2">
      <c r="B102" s="226" t="s">
        <v>461</v>
      </c>
      <c r="C102"/>
      <c r="D102"/>
      <c r="E102"/>
      <c r="F102" s="506">
        <f>F96</f>
        <v>0.1719</v>
      </c>
      <c r="G102" s="644">
        <f t="shared" si="736"/>
        <v>0.1719</v>
      </c>
      <c r="H102" s="644">
        <f t="shared" si="737"/>
        <v>0.1719</v>
      </c>
      <c r="I102" s="506">
        <f>I96</f>
        <v>0.1719</v>
      </c>
      <c r="J102" s="644">
        <f t="shared" si="738"/>
        <v>0.1719</v>
      </c>
      <c r="K102" s="644">
        <f t="shared" si="739"/>
        <v>0.1719</v>
      </c>
      <c r="L102" s="506">
        <f t="shared" si="929"/>
        <v>0.1719</v>
      </c>
      <c r="M102" s="644">
        <f t="shared" si="765"/>
        <v>0.1719</v>
      </c>
      <c r="N102" s="644">
        <f t="shared" si="766"/>
        <v>0.1719</v>
      </c>
      <c r="O102" s="506">
        <f t="shared" si="930"/>
        <v>0.1719</v>
      </c>
      <c r="P102" s="644">
        <f t="shared" si="768"/>
        <v>0.1719</v>
      </c>
      <c r="Q102" s="644">
        <f t="shared" si="769"/>
        <v>0.1719</v>
      </c>
      <c r="R102" s="506">
        <f t="shared" si="931"/>
        <v>0.1719</v>
      </c>
      <c r="S102" s="644">
        <f t="shared" si="771"/>
        <v>0.1719</v>
      </c>
      <c r="T102" s="644">
        <f t="shared" si="772"/>
        <v>0.1719</v>
      </c>
      <c r="U102" s="506">
        <f t="shared" si="932"/>
        <v>0.1719</v>
      </c>
      <c r="V102" s="644">
        <f t="shared" si="774"/>
        <v>0.1719</v>
      </c>
      <c r="W102" s="644">
        <f t="shared" si="775"/>
        <v>0.1719</v>
      </c>
      <c r="X102" s="506">
        <f t="shared" si="933"/>
        <v>0.1719</v>
      </c>
      <c r="Y102" s="644">
        <f t="shared" si="777"/>
        <v>0.1719</v>
      </c>
      <c r="Z102" s="644">
        <f t="shared" si="778"/>
        <v>0.1719</v>
      </c>
      <c r="AA102" s="506">
        <f t="shared" si="934"/>
        <v>0.1719</v>
      </c>
      <c r="AB102" s="644">
        <f t="shared" si="780"/>
        <v>0.1719</v>
      </c>
      <c r="AC102" s="644">
        <f t="shared" si="781"/>
        <v>0.1719</v>
      </c>
      <c r="AD102" s="506">
        <f t="shared" si="935"/>
        <v>0.1719</v>
      </c>
      <c r="AE102" s="644">
        <f t="shared" si="783"/>
        <v>0.1719</v>
      </c>
      <c r="AF102" s="644">
        <f t="shared" si="784"/>
        <v>0.1719</v>
      </c>
      <c r="AG102" s="506">
        <f t="shared" si="936"/>
        <v>0.1719</v>
      </c>
      <c r="AH102" s="644">
        <f t="shared" si="786"/>
        <v>0.1719</v>
      </c>
      <c r="AI102" s="644">
        <f t="shared" si="787"/>
        <v>0.1719</v>
      </c>
      <c r="AJ102" s="506">
        <f t="shared" si="937"/>
        <v>0.1719</v>
      </c>
      <c r="AK102" s="644">
        <f t="shared" si="789"/>
        <v>0.1719</v>
      </c>
      <c r="AL102" s="644">
        <f t="shared" si="790"/>
        <v>0.1719</v>
      </c>
      <c r="AM102" s="506">
        <f t="shared" si="938"/>
        <v>0.1719</v>
      </c>
      <c r="AN102" s="644">
        <f t="shared" si="792"/>
        <v>0.1719</v>
      </c>
      <c r="AO102" s="644">
        <f t="shared" si="793"/>
        <v>0.1719</v>
      </c>
      <c r="AP102" s="506">
        <f t="shared" si="939"/>
        <v>0.1719</v>
      </c>
      <c r="AQ102" s="644">
        <f t="shared" si="795"/>
        <v>0.1719</v>
      </c>
      <c r="AR102" s="644">
        <f t="shared" si="796"/>
        <v>0.1719</v>
      </c>
      <c r="AS102" s="506">
        <f t="shared" si="940"/>
        <v>0.1719</v>
      </c>
      <c r="AT102" s="644">
        <f t="shared" si="798"/>
        <v>0.1719</v>
      </c>
      <c r="AU102" s="644">
        <f t="shared" si="799"/>
        <v>0.1719</v>
      </c>
      <c r="AV102" s="506">
        <f t="shared" si="941"/>
        <v>0.1719</v>
      </c>
      <c r="AW102" s="644">
        <f t="shared" si="801"/>
        <v>0.1719</v>
      </c>
      <c r="AX102" s="644">
        <f t="shared" si="802"/>
        <v>0.1719</v>
      </c>
      <c r="AY102" s="506">
        <f t="shared" si="942"/>
        <v>0.1719</v>
      </c>
      <c r="AZ102" s="644">
        <f t="shared" si="804"/>
        <v>0.1719</v>
      </c>
      <c r="BA102" s="644">
        <f t="shared" si="805"/>
        <v>0.1719</v>
      </c>
      <c r="BB102" s="506">
        <f t="shared" si="943"/>
        <v>0.1719</v>
      </c>
      <c r="BC102" s="644">
        <f t="shared" si="807"/>
        <v>0.1719</v>
      </c>
      <c r="BD102" s="644">
        <f t="shared" si="808"/>
        <v>0.1719</v>
      </c>
      <c r="BE102" s="506">
        <f t="shared" si="944"/>
        <v>0.1719</v>
      </c>
      <c r="BF102" s="644">
        <f t="shared" si="810"/>
        <v>0.1719</v>
      </c>
      <c r="BG102" s="644">
        <f t="shared" si="811"/>
        <v>0.1719</v>
      </c>
      <c r="BH102" s="506">
        <f t="shared" si="945"/>
        <v>0.1719</v>
      </c>
      <c r="BI102" s="644">
        <f t="shared" si="813"/>
        <v>0.1719</v>
      </c>
      <c r="BJ102" s="644">
        <f t="shared" si="814"/>
        <v>0.1719</v>
      </c>
      <c r="BK102" s="506">
        <f t="shared" si="946"/>
        <v>0.1719</v>
      </c>
      <c r="BL102" s="644">
        <f t="shared" si="816"/>
        <v>0.1719</v>
      </c>
      <c r="BM102" s="644">
        <f t="shared" si="817"/>
        <v>0.1719</v>
      </c>
      <c r="BN102" s="506">
        <f t="shared" si="947"/>
        <v>0.1719</v>
      </c>
      <c r="BO102" s="644">
        <f t="shared" si="819"/>
        <v>0.1719</v>
      </c>
      <c r="BP102" s="644">
        <f t="shared" si="820"/>
        <v>0.1719</v>
      </c>
      <c r="BQ102" s="506">
        <f t="shared" si="948"/>
        <v>0.1719</v>
      </c>
      <c r="BR102" s="644">
        <f t="shared" si="822"/>
        <v>0.1719</v>
      </c>
      <c r="BS102" s="644">
        <f t="shared" si="823"/>
        <v>0.1719</v>
      </c>
      <c r="BT102" s="506">
        <f t="shared" si="949"/>
        <v>0.1719</v>
      </c>
      <c r="BU102" s="644">
        <f t="shared" si="825"/>
        <v>0.1719</v>
      </c>
      <c r="BV102" s="644">
        <f t="shared" si="826"/>
        <v>0.1719</v>
      </c>
      <c r="BW102" s="506">
        <f t="shared" si="950"/>
        <v>0.1719</v>
      </c>
      <c r="BX102" s="644">
        <f t="shared" si="828"/>
        <v>0.1719</v>
      </c>
      <c r="BY102" s="644">
        <f t="shared" si="829"/>
        <v>0.1719</v>
      </c>
      <c r="BZ102" s="506">
        <f t="shared" si="951"/>
        <v>0.1719</v>
      </c>
      <c r="CA102" s="644">
        <f t="shared" si="831"/>
        <v>0.1719</v>
      </c>
      <c r="CB102" s="644">
        <f t="shared" si="832"/>
        <v>0.1719</v>
      </c>
      <c r="CC102" s="506">
        <f t="shared" si="952"/>
        <v>0.1719</v>
      </c>
      <c r="CD102" s="580"/>
      <c r="CE102" s="643"/>
      <c r="CF102" s="241"/>
      <c r="CG102" s="241"/>
      <c r="CH102" s="241"/>
      <c r="CI102" s="241"/>
      <c r="CJ102" s="241"/>
      <c r="CK102" s="241"/>
    </row>
    <row r="103" spans="1:92" ht="13.5" thickBot="1" x14ac:dyDescent="0.25">
      <c r="B103" s="226" t="s">
        <v>466</v>
      </c>
      <c r="C103"/>
      <c r="D103"/>
      <c r="E103"/>
      <c r="F103" s="508">
        <f>SUM(F98:F102)</f>
        <v>3.9323000000000001</v>
      </c>
      <c r="G103" s="645">
        <f t="shared" si="736"/>
        <v>3.9323000000000001</v>
      </c>
      <c r="H103" s="645">
        <f t="shared" si="737"/>
        <v>3.9323000000000001</v>
      </c>
      <c r="I103" s="508">
        <f>SUM(I98:I102)</f>
        <v>3.8407</v>
      </c>
      <c r="J103" s="645">
        <f t="shared" si="738"/>
        <v>3.8407</v>
      </c>
      <c r="K103" s="645">
        <f t="shared" si="739"/>
        <v>3.8407</v>
      </c>
      <c r="L103" s="508">
        <f t="shared" ref="L103" si="953">+L98+L99+L100+L101+L102</f>
        <v>3.4639130402434146</v>
      </c>
      <c r="M103" s="645">
        <f t="shared" si="765"/>
        <v>3.4639130402434146</v>
      </c>
      <c r="N103" s="645">
        <f t="shared" si="766"/>
        <v>3.4639130402434146</v>
      </c>
      <c r="O103" s="508">
        <f t="shared" ref="O103" si="954">+O98+O99+O100+O101+O102</f>
        <v>3.36752485693808</v>
      </c>
      <c r="P103" s="645">
        <f t="shared" si="768"/>
        <v>3.36752485693808</v>
      </c>
      <c r="Q103" s="645">
        <f t="shared" si="769"/>
        <v>3.36752485693808</v>
      </c>
      <c r="R103" s="508">
        <f t="shared" ref="R103" si="955">+R98+R99+R100+R101+R102</f>
        <v>3.5929507183845497</v>
      </c>
      <c r="S103" s="645">
        <f t="shared" si="771"/>
        <v>3.5929507183845497</v>
      </c>
      <c r="T103" s="645">
        <f t="shared" si="772"/>
        <v>3.5929507183845497</v>
      </c>
      <c r="U103" s="508">
        <f t="shared" ref="U103" si="956">+U98+U99+U100+U101+U102</f>
        <v>3.5731874577749427</v>
      </c>
      <c r="V103" s="645">
        <f t="shared" si="774"/>
        <v>3.5731874577749427</v>
      </c>
      <c r="W103" s="645">
        <f t="shared" si="775"/>
        <v>3.5731874577749427</v>
      </c>
      <c r="X103" s="508">
        <f t="shared" ref="X103" si="957">+X98+X99+X100+X101+X102</f>
        <v>3.4182326490369213</v>
      </c>
      <c r="Y103" s="645">
        <f t="shared" si="777"/>
        <v>3.4182326490369213</v>
      </c>
      <c r="Z103" s="645">
        <f t="shared" si="778"/>
        <v>3.4182326490369213</v>
      </c>
      <c r="AA103" s="508">
        <f t="shared" ref="AA103" si="958">+AA98+AA99+AA100+AA101+AA102</f>
        <v>3.3435245663605344</v>
      </c>
      <c r="AB103" s="645">
        <f t="shared" si="780"/>
        <v>3.3435245663605344</v>
      </c>
      <c r="AC103" s="645">
        <f t="shared" si="781"/>
        <v>3.3435245663605344</v>
      </c>
      <c r="AD103" s="508">
        <f t="shared" ref="AD103" si="959">+AD98+AD99+AD100+AD101+AD102</f>
        <v>3.4056376425132102</v>
      </c>
      <c r="AE103" s="645">
        <f t="shared" si="783"/>
        <v>3.4056376425132102</v>
      </c>
      <c r="AF103" s="645">
        <f t="shared" si="784"/>
        <v>3.4056376425132102</v>
      </c>
      <c r="AG103" s="508">
        <f t="shared" ref="AG103" si="960">+AG98+AG99+AG100+AG101+AG102</f>
        <v>3.392309226785847</v>
      </c>
      <c r="AH103" s="645">
        <f t="shared" si="786"/>
        <v>3.392309226785847</v>
      </c>
      <c r="AI103" s="645">
        <f t="shared" si="787"/>
        <v>3.392309226785847</v>
      </c>
      <c r="AJ103" s="508">
        <f t="shared" ref="AJ103" si="961">+AJ98+AJ99+AJ100+AJ101+AJ102</f>
        <v>3.3109704198958445</v>
      </c>
      <c r="AK103" s="645">
        <f t="shared" si="789"/>
        <v>3.3109704198958445</v>
      </c>
      <c r="AL103" s="645">
        <f t="shared" si="790"/>
        <v>3.3109704198958445</v>
      </c>
      <c r="AM103" s="508">
        <f t="shared" ref="AM103" si="962">+AM98+AM99+AM100+AM101+AM102</f>
        <v>3.2585790177201699</v>
      </c>
      <c r="AN103" s="645">
        <f t="shared" si="792"/>
        <v>3.2585790177201699</v>
      </c>
      <c r="AO103" s="645">
        <f t="shared" si="793"/>
        <v>3.2585790177201699</v>
      </c>
      <c r="AP103" s="508">
        <f t="shared" ref="AP103" si="963">+AP98+AP99+AP100+AP101+AP102</f>
        <v>3.3516470398994413</v>
      </c>
      <c r="AQ103" s="645">
        <f t="shared" si="795"/>
        <v>3.3516470398994413</v>
      </c>
      <c r="AR103" s="645">
        <f t="shared" si="796"/>
        <v>3.3516470398994413</v>
      </c>
      <c r="AS103" s="508">
        <f t="shared" ref="AS103" si="964">+AS98+AS99+AS100+AS101+AS102</f>
        <v>3.3725325895490572</v>
      </c>
      <c r="AT103" s="645">
        <f t="shared" si="798"/>
        <v>3.3725325895490572</v>
      </c>
      <c r="AU103" s="645">
        <f t="shared" si="799"/>
        <v>3.3725325895490572</v>
      </c>
      <c r="AV103" s="508">
        <f t="shared" ref="AV103" si="965">+AV98+AV99+AV100+AV101+AV102</f>
        <v>3.2922290252000108</v>
      </c>
      <c r="AW103" s="645">
        <f t="shared" si="801"/>
        <v>3.2922290252000108</v>
      </c>
      <c r="AX103" s="645">
        <f t="shared" si="802"/>
        <v>3.2922290252000108</v>
      </c>
      <c r="AY103" s="508">
        <f t="shared" ref="AY103" si="966">+AY98+AY99+AY100+AY101+AY102</f>
        <v>3.2308628895698428</v>
      </c>
      <c r="AZ103" s="645">
        <f t="shared" si="804"/>
        <v>3.2308628895698428</v>
      </c>
      <c r="BA103" s="645">
        <f t="shared" si="805"/>
        <v>3.2308628895698428</v>
      </c>
      <c r="BB103" s="508">
        <f t="shared" ref="BB103" si="967">+BB98+BB99+BB100+BB101+BB102</f>
        <v>3.3520893068723976</v>
      </c>
      <c r="BC103" s="645">
        <f t="shared" si="807"/>
        <v>3.3520893068723976</v>
      </c>
      <c r="BD103" s="645">
        <f t="shared" si="808"/>
        <v>3.3520893068723976</v>
      </c>
      <c r="BE103" s="508">
        <f t="shared" ref="BE103" si="968">+BE98+BE99+BE100+BE101+BE102</f>
        <v>3.3801243292303984</v>
      </c>
      <c r="BF103" s="645">
        <f t="shared" si="810"/>
        <v>3.3801243292303984</v>
      </c>
      <c r="BG103" s="645">
        <f t="shared" si="811"/>
        <v>3.3801243292303984</v>
      </c>
      <c r="BH103" s="508">
        <f t="shared" ref="BH103" si="969">+BH98+BH99+BH100+BH101+BH102</f>
        <v>3.3043897686230408</v>
      </c>
      <c r="BI103" s="645">
        <f t="shared" si="813"/>
        <v>3.3043897686230408</v>
      </c>
      <c r="BJ103" s="645">
        <f t="shared" si="814"/>
        <v>3.3043897686230408</v>
      </c>
      <c r="BK103" s="508">
        <f t="shared" ref="BK103" si="970">+BK98+BK99+BK100+BK101+BK102</f>
        <v>3.2394490475439772</v>
      </c>
      <c r="BL103" s="645">
        <f t="shared" si="816"/>
        <v>3.2394490475439772</v>
      </c>
      <c r="BM103" s="645">
        <f t="shared" si="817"/>
        <v>3.2394490475439772</v>
      </c>
      <c r="BN103" s="508">
        <f t="shared" ref="BN103" si="971">+BN98+BN99+BN100+BN101+BN102</f>
        <v>3.3828071931462298</v>
      </c>
      <c r="BO103" s="645">
        <f t="shared" si="819"/>
        <v>3.3828071931462298</v>
      </c>
      <c r="BP103" s="645">
        <f t="shared" si="820"/>
        <v>3.3828071931462298</v>
      </c>
      <c r="BQ103" s="508">
        <f t="shared" ref="BQ103" si="972">+BQ98+BQ99+BQ100+BQ101+BQ102</f>
        <v>3.4164089378095817</v>
      </c>
      <c r="BR103" s="645">
        <f t="shared" si="822"/>
        <v>3.4164089378095817</v>
      </c>
      <c r="BS103" s="645">
        <f t="shared" si="823"/>
        <v>3.4164089378095817</v>
      </c>
      <c r="BT103" s="508">
        <f t="shared" ref="BT103" si="973">+BT98+BT99+BT100+BT101+BT102</f>
        <v>3.3350666082194356</v>
      </c>
      <c r="BU103" s="645">
        <f t="shared" si="825"/>
        <v>3.3350666082194356</v>
      </c>
      <c r="BV103" s="645">
        <f t="shared" si="826"/>
        <v>3.3350666082194356</v>
      </c>
      <c r="BW103" s="508">
        <f t="shared" ref="BW103" si="974">+BW98+BW99+BW100+BW101+BW102</f>
        <v>3.267168845662888</v>
      </c>
      <c r="BX103" s="645">
        <f t="shared" si="828"/>
        <v>3.267168845662888</v>
      </c>
      <c r="BY103" s="645">
        <f t="shared" si="829"/>
        <v>3.267168845662888</v>
      </c>
      <c r="BZ103" s="508">
        <f t="shared" ref="BZ103" si="975">+BZ98+BZ99+BZ100+BZ101+BZ102</f>
        <v>3.4209299142570062</v>
      </c>
      <c r="CA103" s="645">
        <f t="shared" si="831"/>
        <v>3.4209299142570062</v>
      </c>
      <c r="CB103" s="645">
        <f t="shared" si="832"/>
        <v>3.4209299142570062</v>
      </c>
      <c r="CC103" s="508">
        <f t="shared" ref="CC103" si="976">+CC98+CC99+CC100+CC101+CC102</f>
        <v>1.8254643936530346</v>
      </c>
      <c r="CD103" s="580"/>
      <c r="CE103" s="646"/>
      <c r="CF103" s="242"/>
      <c r="CG103" s="242"/>
      <c r="CH103" s="242"/>
      <c r="CI103" s="242"/>
      <c r="CJ103" s="242"/>
      <c r="CK103" s="242"/>
    </row>
    <row r="104" spans="1:92" x14ac:dyDescent="0.2">
      <c r="C104"/>
      <c r="D104"/>
      <c r="E104"/>
      <c r="F104" s="580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  <c r="AV104" s="226"/>
      <c r="AW104" s="226"/>
      <c r="AX104" s="226"/>
      <c r="AY104" s="226"/>
      <c r="AZ104" s="226"/>
      <c r="BA104" s="226"/>
      <c r="BB104" s="226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6"/>
      <c r="BN104" s="226"/>
      <c r="BO104" s="226"/>
      <c r="BP104" s="226"/>
      <c r="BQ104" s="226"/>
      <c r="BR104" s="226"/>
      <c r="BS104" s="226"/>
      <c r="BT104" s="226"/>
      <c r="BU104" s="226"/>
      <c r="BV104" s="226"/>
      <c r="BW104" s="226"/>
      <c r="BX104" s="226"/>
      <c r="BY104" s="226"/>
      <c r="BZ104" s="226"/>
      <c r="CA104" s="226"/>
      <c r="CB104" s="226"/>
      <c r="CC104" s="226"/>
      <c r="CD104" s="226"/>
      <c r="CE104" s="226"/>
    </row>
    <row r="105" spans="1:92" x14ac:dyDescent="0.2"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6"/>
      <c r="BN105" s="226"/>
      <c r="BO105" s="226"/>
      <c r="BP105" s="226"/>
      <c r="BQ105" s="226"/>
      <c r="BR105" s="226"/>
      <c r="BS105" s="226"/>
      <c r="BT105" s="226"/>
      <c r="BU105" s="226"/>
      <c r="BV105" s="226"/>
      <c r="BW105" s="226"/>
      <c r="BX105" s="226"/>
      <c r="BY105" s="226"/>
      <c r="BZ105" s="226"/>
      <c r="CA105" s="226"/>
      <c r="CB105" s="226"/>
      <c r="CC105" s="226"/>
      <c r="CD105" s="226"/>
      <c r="CE105" s="226"/>
    </row>
    <row r="106" spans="1:92" x14ac:dyDescent="0.2"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6"/>
      <c r="BN106" s="226"/>
      <c r="BO106" s="226"/>
      <c r="BP106" s="226"/>
      <c r="BQ106" s="226"/>
      <c r="BR106" s="226"/>
      <c r="BS106" s="226"/>
      <c r="BT106" s="226"/>
      <c r="BU106" s="226"/>
      <c r="BV106" s="226"/>
      <c r="BW106" s="226"/>
      <c r="BX106" s="226"/>
      <c r="BY106" s="226"/>
      <c r="BZ106" s="226"/>
      <c r="CA106" s="226"/>
      <c r="CB106" s="226"/>
      <c r="CC106" s="226"/>
      <c r="CD106" s="226"/>
      <c r="CE106" s="226"/>
    </row>
    <row r="107" spans="1:92" x14ac:dyDescent="0.2">
      <c r="B107" s="226" t="s">
        <v>467</v>
      </c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6"/>
      <c r="BN107" s="226"/>
      <c r="BO107" s="226"/>
      <c r="BP107" s="226"/>
      <c r="BQ107" s="226"/>
      <c r="BR107" s="226"/>
      <c r="BS107" s="226"/>
      <c r="BT107" s="226"/>
      <c r="BU107" s="226"/>
      <c r="BV107" s="226"/>
      <c r="BW107" s="226"/>
      <c r="BX107" s="226"/>
      <c r="BY107" s="226"/>
      <c r="BZ107" s="226"/>
      <c r="CA107" s="226"/>
      <c r="CB107" s="226"/>
      <c r="CC107" s="226"/>
      <c r="CD107" s="226"/>
      <c r="CE107" s="226"/>
    </row>
    <row r="108" spans="1:92" x14ac:dyDescent="0.2">
      <c r="A108" s="647">
        <f>+A35</f>
        <v>5.7999999999999996E-3</v>
      </c>
      <c r="B108" s="226" t="s">
        <v>535</v>
      </c>
      <c r="H108" s="226"/>
      <c r="I108" s="226"/>
      <c r="J108" s="233">
        <f t="shared" ref="J108:N108" si="977">+((1/(1-$A$108))-1)*J32</f>
        <v>0</v>
      </c>
      <c r="K108" s="233">
        <f t="shared" si="977"/>
        <v>0</v>
      </c>
      <c r="L108" s="233">
        <f t="shared" si="977"/>
        <v>0</v>
      </c>
      <c r="M108" s="233">
        <f t="shared" si="977"/>
        <v>0</v>
      </c>
      <c r="N108" s="233">
        <f t="shared" si="977"/>
        <v>0</v>
      </c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Z108" s="226"/>
      <c r="AA108" s="233"/>
      <c r="AB108" s="233"/>
      <c r="AC108" s="233"/>
      <c r="AD108" s="233"/>
      <c r="AE108" s="233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6"/>
      <c r="BN108" s="226"/>
      <c r="BO108" s="226"/>
      <c r="BP108" s="226"/>
      <c r="BQ108" s="226"/>
      <c r="BR108" s="226"/>
      <c r="BS108" s="226"/>
      <c r="BT108" s="226"/>
      <c r="BU108" s="226"/>
      <c r="BV108" s="226"/>
      <c r="BW108" s="226"/>
      <c r="BX108" s="226"/>
      <c r="BY108" s="226"/>
      <c r="BZ108" s="226"/>
      <c r="CA108" s="226"/>
      <c r="CB108" s="226"/>
      <c r="CC108" s="226"/>
      <c r="CD108" s="226"/>
      <c r="CE108" s="226"/>
    </row>
    <row r="109" spans="1:92" x14ac:dyDescent="0.2"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26"/>
      <c r="Z109" s="226"/>
      <c r="AA109" s="226"/>
      <c r="AB109" s="226"/>
      <c r="AC109" s="226"/>
      <c r="AD109" s="226"/>
      <c r="AE109" s="226"/>
      <c r="AF109" s="226"/>
      <c r="AG109" s="226"/>
      <c r="AH109" s="226"/>
      <c r="AI109" s="226"/>
      <c r="AJ109" s="226"/>
      <c r="AK109" s="226"/>
      <c r="AL109" s="226"/>
      <c r="AM109" s="226"/>
      <c r="AN109" s="226"/>
      <c r="AO109" s="226"/>
      <c r="AP109" s="226"/>
      <c r="AQ109" s="226"/>
      <c r="AR109" s="226"/>
      <c r="AS109" s="226"/>
      <c r="AT109" s="226"/>
      <c r="AU109" s="226"/>
      <c r="AV109" s="226"/>
      <c r="AW109" s="226"/>
      <c r="AX109" s="226"/>
      <c r="AY109" s="226"/>
      <c r="AZ109" s="226"/>
      <c r="BA109" s="226"/>
      <c r="BB109" s="226"/>
      <c r="BC109" s="226"/>
      <c r="BD109" s="226"/>
      <c r="BE109" s="226"/>
      <c r="BF109" s="226"/>
      <c r="BG109" s="226"/>
      <c r="BH109" s="226"/>
      <c r="BI109" s="226"/>
      <c r="BJ109" s="226"/>
      <c r="BK109" s="226"/>
      <c r="BL109" s="226"/>
      <c r="BM109" s="226"/>
      <c r="BN109" s="226"/>
      <c r="BO109" s="226"/>
      <c r="BP109" s="226"/>
      <c r="BQ109" s="226"/>
      <c r="BR109" s="226"/>
      <c r="BS109" s="226"/>
      <c r="BT109" s="226"/>
      <c r="BU109" s="226"/>
      <c r="BV109" s="226"/>
      <c r="BW109" s="226"/>
      <c r="BX109" s="226"/>
      <c r="BY109" s="226"/>
      <c r="BZ109" s="226"/>
      <c r="CA109" s="226"/>
      <c r="CB109" s="226"/>
      <c r="CC109" s="226"/>
      <c r="CD109" s="226"/>
      <c r="CE109" s="226"/>
    </row>
    <row r="110" spans="1:92" x14ac:dyDescent="0.2">
      <c r="A110" s="648" t="s">
        <v>468</v>
      </c>
      <c r="B110" s="226" t="s">
        <v>424</v>
      </c>
      <c r="H110" s="226"/>
      <c r="I110" s="226"/>
      <c r="J110" s="233">
        <f t="shared" ref="J110:N110" si="978">+J36</f>
        <v>3.15E-2</v>
      </c>
      <c r="K110" s="233">
        <f t="shared" si="978"/>
        <v>3.15E-2</v>
      </c>
      <c r="L110" s="233">
        <f t="shared" si="978"/>
        <v>3.15E-2</v>
      </c>
      <c r="M110" s="233">
        <f t="shared" si="978"/>
        <v>3.15E-2</v>
      </c>
      <c r="N110" s="233">
        <f t="shared" si="978"/>
        <v>3.15E-2</v>
      </c>
      <c r="O110" s="233"/>
      <c r="P110" s="233"/>
      <c r="Q110" s="233"/>
      <c r="R110" s="233"/>
      <c r="S110" s="233"/>
      <c r="T110" s="233"/>
      <c r="U110" s="233"/>
      <c r="V110" s="233"/>
      <c r="W110" s="233"/>
      <c r="X110" s="233"/>
      <c r="Y110" s="233"/>
      <c r="Z110" s="226"/>
      <c r="AA110" s="233"/>
      <c r="AB110" s="233"/>
      <c r="AC110" s="233"/>
      <c r="AD110" s="233"/>
      <c r="AE110" s="233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  <c r="AY110" s="226"/>
      <c r="AZ110" s="226"/>
      <c r="BA110" s="226"/>
      <c r="BB110" s="226"/>
      <c r="BC110" s="226"/>
      <c r="BD110" s="226"/>
      <c r="BE110" s="226"/>
      <c r="BF110" s="226"/>
      <c r="BG110" s="226"/>
      <c r="BH110" s="226"/>
      <c r="BI110" s="226"/>
      <c r="BJ110" s="226"/>
      <c r="BK110" s="226"/>
      <c r="BL110" s="226"/>
      <c r="BM110" s="226"/>
      <c r="BN110" s="226"/>
      <c r="BO110" s="226"/>
      <c r="BP110" s="226"/>
      <c r="BQ110" s="226"/>
      <c r="BR110" s="226"/>
      <c r="BS110" s="226"/>
      <c r="BT110" s="226"/>
      <c r="BU110" s="226"/>
      <c r="BV110" s="226"/>
      <c r="BW110" s="226"/>
      <c r="BX110" s="226"/>
      <c r="BY110" s="226"/>
      <c r="BZ110" s="226"/>
      <c r="CA110" s="226"/>
      <c r="CB110" s="226"/>
      <c r="CC110" s="226"/>
      <c r="CD110" s="226"/>
      <c r="CE110" s="226"/>
    </row>
    <row r="111" spans="1:92" x14ac:dyDescent="0.2">
      <c r="H111" s="226"/>
      <c r="I111" s="226"/>
      <c r="J111" s="226"/>
      <c r="K111" s="226"/>
      <c r="L111" s="226"/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26"/>
      <c r="Z111" s="226"/>
      <c r="AA111" s="226"/>
      <c r="AB111" s="226"/>
      <c r="AC111" s="226"/>
      <c r="AD111" s="226"/>
      <c r="AE111" s="226"/>
      <c r="AF111" s="226"/>
      <c r="AG111" s="226"/>
      <c r="AH111" s="226"/>
      <c r="AI111" s="226"/>
      <c r="AJ111" s="226"/>
      <c r="AK111" s="226"/>
      <c r="AL111" s="226"/>
      <c r="AM111" s="226"/>
      <c r="AN111" s="226"/>
      <c r="AO111" s="226"/>
      <c r="AP111" s="226"/>
      <c r="AQ111" s="226"/>
      <c r="AR111" s="226"/>
      <c r="AS111" s="226"/>
      <c r="AT111" s="226"/>
      <c r="AU111" s="226"/>
      <c r="AV111" s="226"/>
      <c r="AW111" s="226"/>
      <c r="AX111" s="226"/>
      <c r="AY111" s="226"/>
      <c r="AZ111" s="226"/>
      <c r="BA111" s="226"/>
      <c r="BB111" s="226"/>
      <c r="BC111" s="226"/>
      <c r="BD111" s="226"/>
      <c r="BE111" s="226"/>
      <c r="BF111" s="226"/>
      <c r="BG111" s="226"/>
      <c r="BH111" s="226"/>
      <c r="BI111" s="226"/>
      <c r="BJ111" s="226"/>
      <c r="BK111" s="226"/>
      <c r="BL111" s="226"/>
      <c r="BM111" s="226"/>
      <c r="BN111" s="226"/>
      <c r="BO111" s="226"/>
      <c r="BP111" s="226"/>
      <c r="BQ111" s="226"/>
      <c r="BR111" s="226"/>
      <c r="BS111" s="226"/>
      <c r="BT111" s="226"/>
      <c r="BU111" s="226"/>
      <c r="BV111" s="226"/>
      <c r="BW111" s="226"/>
      <c r="BX111" s="226"/>
      <c r="BY111" s="226"/>
      <c r="BZ111" s="226"/>
      <c r="CA111" s="226"/>
      <c r="CB111" s="226"/>
      <c r="CC111" s="226"/>
      <c r="CD111" s="226"/>
      <c r="CE111" s="226"/>
    </row>
    <row r="112" spans="1:92" x14ac:dyDescent="0.2">
      <c r="A112" s="226">
        <v>1</v>
      </c>
      <c r="B112" s="226" t="s">
        <v>469</v>
      </c>
      <c r="H112" s="226"/>
      <c r="I112" s="226"/>
      <c r="J112" s="642">
        <f>+J32+J108+J110</f>
        <v>3.15E-2</v>
      </c>
      <c r="K112" s="642">
        <f t="shared" ref="K112:N112" si="979">+K32+K108+K110</f>
        <v>3.15E-2</v>
      </c>
      <c r="L112" s="642">
        <f t="shared" si="979"/>
        <v>3.15E-2</v>
      </c>
      <c r="M112" s="642">
        <f t="shared" si="979"/>
        <v>3.15E-2</v>
      </c>
      <c r="N112" s="642">
        <f t="shared" si="979"/>
        <v>3.15E-2</v>
      </c>
      <c r="O112" s="642"/>
      <c r="P112" s="642"/>
      <c r="Q112" s="642"/>
      <c r="R112" s="642"/>
      <c r="S112" s="642"/>
      <c r="T112" s="642"/>
      <c r="U112" s="642"/>
      <c r="V112" s="642"/>
      <c r="W112" s="642"/>
      <c r="X112" s="642"/>
      <c r="Y112" s="642"/>
      <c r="Z112" s="226"/>
      <c r="AA112" s="642"/>
      <c r="AB112" s="642"/>
      <c r="AC112" s="642"/>
      <c r="AD112" s="642"/>
      <c r="AE112" s="642"/>
      <c r="AF112" s="226"/>
      <c r="AG112" s="226"/>
      <c r="AH112" s="226"/>
      <c r="AI112" s="226"/>
      <c r="AJ112" s="226"/>
      <c r="AK112" s="226"/>
      <c r="AL112" s="226"/>
      <c r="AM112" s="226"/>
      <c r="AN112" s="226"/>
      <c r="AO112" s="226"/>
      <c r="AP112" s="226"/>
      <c r="AQ112" s="226"/>
      <c r="AR112" s="226"/>
      <c r="AS112" s="226"/>
      <c r="AT112" s="226"/>
      <c r="AU112" s="226"/>
      <c r="AV112" s="226"/>
      <c r="AW112" s="226"/>
      <c r="AX112" s="226"/>
      <c r="AY112" s="226"/>
      <c r="AZ112" s="226"/>
      <c r="BA112" s="226"/>
      <c r="BB112" s="226"/>
      <c r="BC112" s="226"/>
      <c r="BD112" s="226"/>
      <c r="BE112" s="226"/>
      <c r="BF112" s="226"/>
      <c r="BG112" s="226"/>
      <c r="BH112" s="226"/>
      <c r="BI112" s="226"/>
      <c r="BJ112" s="226"/>
      <c r="BK112" s="226"/>
      <c r="BL112" s="226"/>
      <c r="BM112" s="226"/>
      <c r="BN112" s="226"/>
      <c r="BO112" s="226"/>
      <c r="BP112" s="226"/>
      <c r="BQ112" s="226"/>
      <c r="BR112" s="226"/>
      <c r="BS112" s="226"/>
      <c r="BT112" s="226"/>
      <c r="BU112" s="226"/>
      <c r="BV112" s="226"/>
      <c r="BW112" s="226"/>
      <c r="BX112" s="226"/>
      <c r="BY112" s="226"/>
      <c r="BZ112" s="226"/>
      <c r="CA112" s="226"/>
      <c r="CB112" s="226"/>
      <c r="CC112" s="226"/>
      <c r="CD112" s="226"/>
      <c r="CE112" s="226"/>
    </row>
    <row r="113" spans="1:88" x14ac:dyDescent="0.2">
      <c r="H113" s="226"/>
      <c r="I113" s="226"/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6"/>
      <c r="Y113" s="226"/>
      <c r="Z113" s="226"/>
      <c r="AA113" s="226"/>
      <c r="AB113" s="226"/>
      <c r="AC113" s="226"/>
      <c r="AD113" s="226"/>
      <c r="AE113" s="226"/>
      <c r="AF113" s="226"/>
      <c r="AG113" s="226"/>
      <c r="AH113" s="226"/>
      <c r="AI113" s="226"/>
      <c r="AJ113" s="226"/>
      <c r="AK113" s="226"/>
      <c r="AL113" s="226"/>
      <c r="AM113" s="226"/>
      <c r="AN113" s="226"/>
      <c r="AO113" s="226"/>
      <c r="AP113" s="226"/>
      <c r="AQ113" s="226"/>
      <c r="AR113" s="226"/>
      <c r="AS113" s="226"/>
      <c r="AT113" s="226"/>
      <c r="AU113" s="226"/>
      <c r="AV113" s="226"/>
      <c r="AW113" s="226"/>
      <c r="AX113" s="226"/>
      <c r="AY113" s="226"/>
      <c r="AZ113" s="226"/>
      <c r="BA113" s="226"/>
      <c r="BB113" s="226"/>
      <c r="BC113" s="226"/>
      <c r="BD113" s="226"/>
      <c r="BE113" s="226"/>
      <c r="BF113" s="226"/>
      <c r="BG113" s="226"/>
      <c r="BH113" s="226"/>
      <c r="BI113" s="226"/>
      <c r="BJ113" s="226"/>
      <c r="BK113" s="226"/>
      <c r="BL113" s="226"/>
      <c r="BM113" s="226"/>
      <c r="BN113" s="226"/>
      <c r="BO113" s="226"/>
      <c r="BP113" s="226"/>
      <c r="BQ113" s="226"/>
      <c r="BR113" s="226"/>
      <c r="BS113" s="226"/>
      <c r="BT113" s="226"/>
      <c r="BU113" s="226"/>
      <c r="BV113" s="226"/>
      <c r="BW113" s="226"/>
      <c r="BX113" s="226"/>
      <c r="BY113" s="226"/>
      <c r="BZ113" s="226"/>
      <c r="CA113" s="226"/>
      <c r="CB113" s="226"/>
      <c r="CC113" s="226"/>
      <c r="CD113" s="226"/>
      <c r="CE113" s="226"/>
    </row>
    <row r="114" spans="1:88" x14ac:dyDescent="0.2">
      <c r="A114" s="226">
        <v>1</v>
      </c>
      <c r="B114" s="226" t="s">
        <v>374</v>
      </c>
      <c r="H114" s="226"/>
      <c r="I114" s="226"/>
      <c r="J114" s="638">
        <f t="shared" ref="J114:N114" si="980">+J26*J112</f>
        <v>0</v>
      </c>
      <c r="K114" s="638">
        <f t="shared" si="980"/>
        <v>0</v>
      </c>
      <c r="L114" s="638">
        <f t="shared" si="980"/>
        <v>0</v>
      </c>
      <c r="M114" s="638">
        <f t="shared" si="980"/>
        <v>0</v>
      </c>
      <c r="N114" s="638">
        <f t="shared" si="980"/>
        <v>0</v>
      </c>
      <c r="O114" s="638"/>
      <c r="P114" s="638"/>
      <c r="Q114" s="638"/>
      <c r="R114" s="638"/>
      <c r="S114" s="638"/>
      <c r="T114" s="638"/>
      <c r="U114" s="638"/>
      <c r="V114" s="638"/>
      <c r="W114" s="638"/>
      <c r="X114" s="638"/>
      <c r="Y114" s="638"/>
      <c r="Z114" s="226"/>
      <c r="AA114" s="638"/>
      <c r="AB114" s="638"/>
      <c r="AC114" s="638"/>
      <c r="AD114" s="638"/>
      <c r="AE114" s="638"/>
      <c r="AF114" s="226"/>
      <c r="AG114" s="226"/>
      <c r="AH114" s="226"/>
      <c r="AI114" s="226"/>
      <c r="AJ114" s="226"/>
      <c r="AK114" s="226"/>
      <c r="AL114" s="226"/>
      <c r="AM114" s="226"/>
      <c r="AN114" s="226"/>
      <c r="AO114" s="226"/>
      <c r="AP114" s="226"/>
      <c r="AQ114" s="226"/>
      <c r="AR114" s="226"/>
      <c r="AS114" s="226"/>
      <c r="AT114" s="226"/>
      <c r="AU114" s="226"/>
      <c r="AV114" s="226"/>
      <c r="AW114" s="226"/>
      <c r="AX114" s="226"/>
      <c r="AY114" s="226"/>
      <c r="AZ114" s="226"/>
      <c r="BA114" s="226"/>
      <c r="BB114" s="226"/>
      <c r="BC114" s="226"/>
      <c r="BD114" s="226"/>
      <c r="BE114" s="226"/>
      <c r="BF114" s="226"/>
      <c r="BG114" s="226"/>
      <c r="BH114" s="226"/>
      <c r="BI114" s="226"/>
      <c r="BJ114" s="226"/>
      <c r="BK114" s="226"/>
      <c r="BL114" s="226"/>
      <c r="BM114" s="226"/>
      <c r="BN114" s="226"/>
      <c r="BO114" s="226"/>
      <c r="BP114" s="226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/>
      <c r="CA114" s="226"/>
      <c r="CB114" s="226"/>
      <c r="CC114" s="226"/>
      <c r="CD114" s="226"/>
      <c r="CE114" s="226"/>
    </row>
    <row r="115" spans="1:88" x14ac:dyDescent="0.2">
      <c r="H115" s="226"/>
      <c r="I115" s="226"/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  <c r="Z115" s="226"/>
      <c r="AA115" s="226"/>
      <c r="AB115" s="226"/>
      <c r="AC115" s="226"/>
      <c r="AD115" s="226"/>
      <c r="AE115" s="226"/>
      <c r="AF115" s="226"/>
      <c r="AG115" s="226"/>
      <c r="AH115" s="226"/>
      <c r="AI115" s="226"/>
      <c r="AJ115" s="226"/>
      <c r="AK115" s="226"/>
      <c r="AL115" s="226"/>
      <c r="AM115" s="226"/>
      <c r="AN115" s="226"/>
      <c r="AO115" s="226"/>
      <c r="AP115" s="226"/>
      <c r="AQ115" s="226"/>
      <c r="AR115" s="226"/>
      <c r="AS115" s="226"/>
      <c r="AT115" s="226"/>
      <c r="AU115" s="226"/>
      <c r="AV115" s="226"/>
      <c r="AW115" s="226"/>
      <c r="AX115" s="226"/>
      <c r="AY115" s="226"/>
      <c r="AZ115" s="226"/>
      <c r="BA115" s="226"/>
      <c r="BB115" s="226"/>
      <c r="BC115" s="226"/>
      <c r="BD115" s="226"/>
      <c r="BE115" s="226"/>
      <c r="BF115" s="226"/>
      <c r="BG115" s="226"/>
      <c r="BH115" s="226"/>
      <c r="BI115" s="226"/>
      <c r="BJ115" s="226"/>
      <c r="BK115" s="226"/>
      <c r="BL115" s="226"/>
      <c r="BM115" s="226"/>
      <c r="BN115" s="226"/>
      <c r="BO115" s="226"/>
      <c r="BP115" s="226"/>
      <c r="BQ115" s="226"/>
      <c r="BR115" s="226"/>
      <c r="BS115" s="226"/>
      <c r="BT115" s="226"/>
      <c r="BU115" s="226"/>
      <c r="BV115" s="226"/>
      <c r="BW115" s="226"/>
      <c r="BX115" s="226"/>
      <c r="BY115" s="226"/>
      <c r="BZ115" s="226"/>
      <c r="CA115" s="226"/>
      <c r="CB115" s="226"/>
      <c r="CC115" s="226"/>
      <c r="CD115" s="226"/>
      <c r="CE115" s="226"/>
    </row>
    <row r="116" spans="1:88" x14ac:dyDescent="0.2">
      <c r="H116" s="226"/>
      <c r="I116" s="226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26"/>
      <c r="Z116" s="226"/>
      <c r="AA116" s="226"/>
      <c r="AB116" s="226"/>
      <c r="AC116" s="226"/>
      <c r="AD116" s="226"/>
      <c r="AE116" s="226"/>
      <c r="AF116" s="226"/>
      <c r="AG116" s="226"/>
      <c r="AH116" s="226"/>
      <c r="AI116" s="226"/>
      <c r="AJ116" s="226"/>
      <c r="AK116" s="226"/>
      <c r="AL116" s="226"/>
      <c r="AM116" s="226"/>
      <c r="AN116" s="226"/>
      <c r="AO116" s="226"/>
      <c r="AP116" s="226"/>
      <c r="AQ116" s="226"/>
      <c r="AR116" s="226"/>
      <c r="AS116" s="226"/>
      <c r="AT116" s="226"/>
      <c r="AU116" s="226"/>
      <c r="AV116" s="226"/>
      <c r="AW116" s="226"/>
      <c r="AX116" s="226"/>
      <c r="AY116" s="226"/>
      <c r="AZ116" s="226"/>
      <c r="BA116" s="226"/>
      <c r="BB116" s="226"/>
      <c r="BC116" s="226"/>
      <c r="BD116" s="226"/>
      <c r="BE116" s="226"/>
      <c r="BF116" s="226"/>
      <c r="BG116" s="226"/>
      <c r="BH116" s="226"/>
      <c r="BI116" s="226"/>
      <c r="BJ116" s="226"/>
      <c r="BK116" s="226"/>
      <c r="BL116" s="226"/>
      <c r="BM116" s="226"/>
      <c r="BN116" s="226"/>
      <c r="BO116" s="226"/>
      <c r="BP116" s="226"/>
      <c r="BQ116" s="226"/>
      <c r="BR116" s="226"/>
      <c r="BS116" s="226"/>
      <c r="BT116" s="226"/>
      <c r="BU116" s="226"/>
      <c r="BV116" s="226"/>
      <c r="BW116" s="226"/>
      <c r="BX116" s="226"/>
      <c r="BY116" s="226"/>
      <c r="BZ116" s="226"/>
      <c r="CA116" s="226"/>
      <c r="CB116" s="226"/>
      <c r="CC116" s="226"/>
      <c r="CD116" s="226"/>
      <c r="CE116" s="226"/>
    </row>
    <row r="117" spans="1:88" x14ac:dyDescent="0.2">
      <c r="H117" s="226"/>
      <c r="I117" s="226"/>
      <c r="J117" s="226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26"/>
      <c r="Z117" s="226"/>
      <c r="AA117" s="226"/>
      <c r="AB117" s="226"/>
      <c r="AC117" s="226"/>
      <c r="AD117" s="226"/>
      <c r="AE117" s="226"/>
      <c r="AF117" s="226"/>
      <c r="AG117" s="226"/>
      <c r="AH117" s="226"/>
      <c r="AI117" s="226"/>
      <c r="AJ117" s="226"/>
      <c r="AK117" s="226"/>
      <c r="AL117" s="226"/>
      <c r="AM117" s="226"/>
      <c r="AN117" s="226"/>
      <c r="AO117" s="226"/>
      <c r="AP117" s="226"/>
      <c r="AQ117" s="226"/>
      <c r="AR117" s="226"/>
      <c r="AS117" s="226" t="s">
        <v>506</v>
      </c>
      <c r="AT117" s="226"/>
      <c r="AU117" s="226"/>
      <c r="AV117" s="226"/>
      <c r="AW117" s="226"/>
      <c r="AX117" s="226"/>
      <c r="AY117" s="226"/>
      <c r="AZ117" s="226"/>
      <c r="BA117" s="226"/>
      <c r="BB117" s="226"/>
      <c r="BC117" s="226"/>
      <c r="BD117" s="226"/>
      <c r="BE117" s="226"/>
      <c r="BF117" s="226"/>
      <c r="BG117" s="226"/>
      <c r="BH117" s="226"/>
      <c r="BI117" s="226"/>
      <c r="BJ117" s="226"/>
      <c r="BK117" s="226"/>
      <c r="BL117" s="226"/>
      <c r="BM117" s="226"/>
      <c r="BN117" s="226"/>
      <c r="BO117" s="226"/>
      <c r="BP117" s="226"/>
      <c r="BQ117" s="226"/>
      <c r="BR117" s="226"/>
      <c r="BS117" s="226"/>
      <c r="BT117" s="226"/>
      <c r="BU117" s="226"/>
      <c r="BV117" s="226"/>
      <c r="BW117" s="226"/>
      <c r="BX117" s="226"/>
      <c r="BY117" s="226"/>
      <c r="BZ117" s="226"/>
      <c r="CA117" s="226"/>
      <c r="CB117" s="226"/>
      <c r="CC117" s="226"/>
      <c r="CD117" s="226"/>
      <c r="CE117" s="226"/>
    </row>
    <row r="118" spans="1:88" x14ac:dyDescent="0.2">
      <c r="H118" s="46" t="str">
        <f>+B53</f>
        <v>Difference &gt;</v>
      </c>
      <c r="I118" s="46">
        <f t="shared" ref="I118:T118" si="981">+I53</f>
        <v>0</v>
      </c>
      <c r="J118" s="46">
        <f t="shared" si="981"/>
        <v>0</v>
      </c>
      <c r="K118" s="46">
        <f t="shared" si="981"/>
        <v>0</v>
      </c>
      <c r="L118" s="46">
        <f t="shared" si="981"/>
        <v>0</v>
      </c>
      <c r="M118" s="46">
        <f t="shared" si="981"/>
        <v>0</v>
      </c>
      <c r="N118" s="46">
        <f t="shared" si="981"/>
        <v>0</v>
      </c>
      <c r="O118" s="46">
        <f t="shared" si="981"/>
        <v>0</v>
      </c>
      <c r="P118" s="46">
        <f t="shared" si="981"/>
        <v>0</v>
      </c>
      <c r="Q118" s="46">
        <f t="shared" si="981"/>
        <v>0</v>
      </c>
      <c r="R118" s="46">
        <f t="shared" si="981"/>
        <v>0</v>
      </c>
      <c r="S118" s="46">
        <f t="shared" si="981"/>
        <v>0</v>
      </c>
      <c r="T118" s="46">
        <f t="shared" si="981"/>
        <v>0</v>
      </c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6"/>
      <c r="BN118" s="226"/>
      <c r="BO118" s="226"/>
      <c r="BP118" s="226"/>
      <c r="BQ118" s="226"/>
      <c r="BR118" s="226"/>
      <c r="BS118" s="226"/>
      <c r="BT118" s="226"/>
      <c r="BU118" s="226"/>
      <c r="BV118" s="226"/>
      <c r="BW118" s="226"/>
      <c r="BX118" s="226"/>
      <c r="BY118" s="226"/>
      <c r="BZ118" s="226"/>
      <c r="CA118" s="226"/>
      <c r="CB118" s="226"/>
      <c r="CC118" s="226"/>
      <c r="CD118" s="226"/>
      <c r="CE118" s="226"/>
    </row>
    <row r="119" spans="1:88" x14ac:dyDescent="0.2">
      <c r="A119" s="46">
        <v>6500000</v>
      </c>
      <c r="B119" s="243" t="s">
        <v>537</v>
      </c>
      <c r="C119" s="243"/>
      <c r="D119" s="243"/>
      <c r="E119" s="243"/>
      <c r="F119" s="243"/>
      <c r="G119" s="243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226"/>
      <c r="AL119" s="226"/>
      <c r="AM119" s="226"/>
      <c r="AN119" s="226"/>
      <c r="AO119" s="226"/>
      <c r="AP119" s="226"/>
      <c r="AQ119" s="226"/>
      <c r="AR119" s="226"/>
      <c r="AS119" s="226"/>
      <c r="AT119" s="226"/>
      <c r="AU119" s="226"/>
      <c r="AV119" s="226"/>
      <c r="AW119" s="226"/>
      <c r="AX119" s="226"/>
      <c r="AY119" s="226"/>
      <c r="AZ119" s="226"/>
      <c r="BA119" s="226"/>
      <c r="BB119" s="226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6"/>
      <c r="BN119" s="226"/>
      <c r="BO119" s="226"/>
      <c r="BP119" s="226"/>
      <c r="BQ119" s="226"/>
      <c r="BR119" s="226"/>
      <c r="BS119" s="226"/>
      <c r="BT119" s="226"/>
      <c r="BU119" s="226"/>
      <c r="BV119" s="226"/>
      <c r="BW119" s="226"/>
      <c r="BX119" s="226"/>
      <c r="BY119" s="226"/>
      <c r="BZ119" s="226"/>
      <c r="CA119" s="226"/>
      <c r="CB119" s="226"/>
      <c r="CC119" s="226"/>
      <c r="CD119" s="226"/>
      <c r="CE119" s="226"/>
    </row>
    <row r="120" spans="1:88" x14ac:dyDescent="0.2">
      <c r="A120" s="226" t="s">
        <v>489</v>
      </c>
      <c r="H120" s="226"/>
      <c r="I120" s="226"/>
      <c r="J120" s="226"/>
      <c r="K120" s="226"/>
      <c r="L120" s="226"/>
      <c r="M120" s="226"/>
      <c r="N120" s="232"/>
      <c r="O120" s="628"/>
      <c r="P120" s="628"/>
      <c r="Q120" s="628"/>
      <c r="R120" s="628"/>
      <c r="S120" s="628"/>
      <c r="T120" s="232"/>
      <c r="U120" s="232"/>
      <c r="V120" s="232"/>
      <c r="W120" s="232"/>
      <c r="X120" s="232"/>
      <c r="Y120" s="232"/>
      <c r="Z120" s="232"/>
      <c r="AA120" s="232"/>
      <c r="AB120" s="226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6"/>
      <c r="BN120" s="226"/>
      <c r="BO120" s="226"/>
      <c r="BP120" s="226"/>
      <c r="BQ120" s="226"/>
      <c r="BR120" s="226"/>
      <c r="BS120" s="226"/>
      <c r="BT120" s="226"/>
      <c r="BU120" s="226"/>
      <c r="BV120" s="226"/>
      <c r="BW120" s="226"/>
      <c r="BX120" s="226"/>
      <c r="BY120" s="226"/>
      <c r="BZ120" s="226"/>
      <c r="CA120" s="226"/>
      <c r="CB120" s="226"/>
      <c r="CC120" s="226"/>
      <c r="CD120" s="226"/>
      <c r="CE120" s="226"/>
    </row>
    <row r="121" spans="1:88" x14ac:dyDescent="0.2">
      <c r="A121" s="628">
        <v>1</v>
      </c>
      <c r="B121" s="226" t="s">
        <v>409</v>
      </c>
      <c r="C121" s="232"/>
      <c r="D121" s="232"/>
      <c r="H121" s="226"/>
      <c r="I121" s="226"/>
      <c r="J121" s="226"/>
      <c r="K121" s="226"/>
      <c r="L121" s="711">
        <v>163650</v>
      </c>
      <c r="M121" s="711">
        <v>256463</v>
      </c>
      <c r="N121" s="711">
        <v>301661</v>
      </c>
      <c r="O121" s="711">
        <v>249144</v>
      </c>
      <c r="P121" s="711">
        <v>211296</v>
      </c>
      <c r="Q121" s="580"/>
      <c r="R121" s="580"/>
      <c r="S121" s="580"/>
      <c r="T121" s="580"/>
      <c r="U121" s="580"/>
      <c r="V121" s="232"/>
      <c r="W121" s="232"/>
      <c r="X121" s="232">
        <f>L121</f>
        <v>163650</v>
      </c>
      <c r="Y121" s="232">
        <f t="shared" ref="Y121:Y123" si="982">M121</f>
        <v>256463</v>
      </c>
      <c r="Z121" s="232">
        <f t="shared" ref="Z121:Z123" si="983">N121</f>
        <v>301661</v>
      </c>
      <c r="AA121" s="232">
        <f t="shared" ref="AA121:AA123" si="984">O121</f>
        <v>249144</v>
      </c>
      <c r="AB121" s="232">
        <f t="shared" ref="AB121:AB123" si="985">P121</f>
        <v>211296</v>
      </c>
      <c r="AC121" s="232"/>
      <c r="AD121" s="232"/>
      <c r="AE121" s="232"/>
      <c r="AF121" s="232"/>
      <c r="AG121" s="232"/>
      <c r="AH121" s="232"/>
      <c r="AI121" s="232"/>
      <c r="AJ121" s="232">
        <f>X121</f>
        <v>163650</v>
      </c>
      <c r="AK121" s="232">
        <f t="shared" ref="AK121:AK123" si="986">Y121</f>
        <v>256463</v>
      </c>
      <c r="AL121" s="232">
        <f t="shared" ref="AL121:AL123" si="987">Z121</f>
        <v>301661</v>
      </c>
      <c r="AM121" s="232">
        <f t="shared" ref="AM121:AM123" si="988">AA121</f>
        <v>249144</v>
      </c>
      <c r="AN121" s="232">
        <f t="shared" ref="AN121:AN123" si="989">AB121</f>
        <v>211296</v>
      </c>
      <c r="AO121" s="232"/>
      <c r="AP121" s="232"/>
      <c r="AQ121" s="232"/>
      <c r="AR121" s="232"/>
      <c r="AS121" s="232"/>
      <c r="AT121" s="232"/>
      <c r="AU121" s="232"/>
      <c r="AV121" s="232">
        <f>AJ121</f>
        <v>163650</v>
      </c>
      <c r="AW121" s="232">
        <f t="shared" ref="AW121:AW123" si="990">AK121</f>
        <v>256463</v>
      </c>
      <c r="AX121" s="232">
        <f t="shared" ref="AX121:AX123" si="991">AL121</f>
        <v>301661</v>
      </c>
      <c r="AY121" s="232">
        <f t="shared" ref="AY121:AY123" si="992">AM121</f>
        <v>249144</v>
      </c>
      <c r="AZ121" s="232">
        <f t="shared" ref="AZ121:AZ123" si="993">AN121</f>
        <v>211296</v>
      </c>
      <c r="BA121" s="232"/>
      <c r="BB121" s="232"/>
      <c r="BC121" s="232"/>
      <c r="BD121" s="232"/>
      <c r="BE121" s="232"/>
      <c r="BF121" s="232"/>
      <c r="BG121" s="232"/>
      <c r="BH121" s="232">
        <f>AV121</f>
        <v>163650</v>
      </c>
      <c r="BI121" s="232">
        <f t="shared" ref="BI121:BI123" si="994">AW121</f>
        <v>256463</v>
      </c>
      <c r="BJ121" s="232">
        <f t="shared" ref="BJ121:BJ123" si="995">AX121</f>
        <v>301661</v>
      </c>
      <c r="BK121" s="232">
        <f t="shared" ref="BK121:BK123" si="996">AY121</f>
        <v>249144</v>
      </c>
      <c r="BL121" s="232">
        <f t="shared" ref="BL121:BL123" si="997">AZ121</f>
        <v>211296</v>
      </c>
      <c r="BM121" s="232"/>
      <c r="BN121" s="232"/>
      <c r="BO121" s="232"/>
      <c r="BP121" s="232"/>
      <c r="BQ121" s="232"/>
      <c r="BR121" s="232"/>
      <c r="BS121" s="232"/>
      <c r="BT121" s="232">
        <f>BH121</f>
        <v>163650</v>
      </c>
      <c r="BU121" s="232">
        <f t="shared" ref="BU121:BU123" si="998">BI121</f>
        <v>256463</v>
      </c>
      <c r="BV121" s="232">
        <f t="shared" ref="BV121:BV123" si="999">BJ121</f>
        <v>301661</v>
      </c>
      <c r="BW121" s="232">
        <f t="shared" ref="BW121:BW123" si="1000">BK121</f>
        <v>249144</v>
      </c>
      <c r="BX121" s="232">
        <f t="shared" ref="BX121:BX123" si="1001">BL121</f>
        <v>211296</v>
      </c>
      <c r="BY121" s="232"/>
      <c r="BZ121" s="232"/>
      <c r="CA121" s="232"/>
      <c r="CB121" s="232"/>
      <c r="CC121" s="232"/>
      <c r="CD121" s="232"/>
      <c r="CE121" s="232"/>
      <c r="CF121" s="232">
        <f>BT121</f>
        <v>163650</v>
      </c>
      <c r="CG121" s="231"/>
      <c r="CH121" s="231"/>
      <c r="CI121" s="232"/>
      <c r="CJ121" s="232"/>
    </row>
    <row r="122" spans="1:88" x14ac:dyDescent="0.2">
      <c r="A122" s="243" t="s">
        <v>639</v>
      </c>
      <c r="B122" s="226" t="s">
        <v>410</v>
      </c>
      <c r="C122" s="729"/>
      <c r="D122" s="729"/>
      <c r="H122" s="226"/>
      <c r="I122" s="226"/>
      <c r="J122" s="226"/>
      <c r="K122" s="226"/>
      <c r="L122" s="727">
        <v>384114.99999999994</v>
      </c>
      <c r="M122" s="727">
        <v>768230</v>
      </c>
      <c r="N122" s="727">
        <v>921876</v>
      </c>
      <c r="O122" s="727">
        <v>806641.5</v>
      </c>
      <c r="P122" s="727">
        <v>576172.5</v>
      </c>
      <c r="Q122" s="580"/>
      <c r="R122" s="580"/>
      <c r="S122" s="580"/>
      <c r="T122" s="580"/>
      <c r="U122" s="580"/>
      <c r="V122" s="232"/>
      <c r="W122" s="232"/>
      <c r="X122" s="232">
        <f t="shared" ref="X122:X123" si="1002">L122</f>
        <v>384114.99999999994</v>
      </c>
      <c r="Y122" s="232">
        <f t="shared" si="982"/>
        <v>768230</v>
      </c>
      <c r="Z122" s="232">
        <f t="shared" si="983"/>
        <v>921876</v>
      </c>
      <c r="AA122" s="232">
        <f t="shared" si="984"/>
        <v>806641.5</v>
      </c>
      <c r="AB122" s="232">
        <f t="shared" si="985"/>
        <v>576172.5</v>
      </c>
      <c r="AC122" s="232"/>
      <c r="AD122" s="232"/>
      <c r="AE122" s="232"/>
      <c r="AF122" s="232"/>
      <c r="AG122" s="232"/>
      <c r="AH122" s="232"/>
      <c r="AI122" s="232"/>
      <c r="AJ122" s="232">
        <f t="shared" ref="AJ122:AJ123" si="1003">X122</f>
        <v>384114.99999999994</v>
      </c>
      <c r="AK122" s="232">
        <f t="shared" si="986"/>
        <v>768230</v>
      </c>
      <c r="AL122" s="232">
        <f t="shared" si="987"/>
        <v>921876</v>
      </c>
      <c r="AM122" s="232">
        <f t="shared" si="988"/>
        <v>806641.5</v>
      </c>
      <c r="AN122" s="232">
        <f t="shared" si="989"/>
        <v>576172.5</v>
      </c>
      <c r="AO122" s="232"/>
      <c r="AP122" s="232"/>
      <c r="AQ122" s="232"/>
      <c r="AR122" s="232"/>
      <c r="AS122" s="232"/>
      <c r="AT122" s="232"/>
      <c r="AU122" s="232"/>
      <c r="AV122" s="232">
        <f t="shared" ref="AV122:AV123" si="1004">AJ122</f>
        <v>384114.99999999994</v>
      </c>
      <c r="AW122" s="232">
        <f t="shared" si="990"/>
        <v>768230</v>
      </c>
      <c r="AX122" s="232">
        <f t="shared" si="991"/>
        <v>921876</v>
      </c>
      <c r="AY122" s="232">
        <f t="shared" si="992"/>
        <v>806641.5</v>
      </c>
      <c r="AZ122" s="232">
        <f t="shared" si="993"/>
        <v>576172.5</v>
      </c>
      <c r="BA122" s="232"/>
      <c r="BB122" s="232"/>
      <c r="BC122" s="232"/>
      <c r="BD122" s="232"/>
      <c r="BE122" s="232"/>
      <c r="BF122" s="232"/>
      <c r="BG122" s="232"/>
      <c r="BH122" s="232">
        <f t="shared" ref="BH122:BH123" si="1005">AV122</f>
        <v>384114.99999999994</v>
      </c>
      <c r="BI122" s="232">
        <f t="shared" si="994"/>
        <v>768230</v>
      </c>
      <c r="BJ122" s="232">
        <f t="shared" si="995"/>
        <v>921876</v>
      </c>
      <c r="BK122" s="232">
        <f t="shared" si="996"/>
        <v>806641.5</v>
      </c>
      <c r="BL122" s="232">
        <f t="shared" si="997"/>
        <v>576172.5</v>
      </c>
      <c r="BM122" s="232"/>
      <c r="BN122" s="232"/>
      <c r="BO122" s="232"/>
      <c r="BP122" s="232"/>
      <c r="BQ122" s="232"/>
      <c r="BR122" s="232"/>
      <c r="BS122" s="232"/>
      <c r="BT122" s="232">
        <f t="shared" ref="BT122:BT123" si="1006">BH122</f>
        <v>384114.99999999994</v>
      </c>
      <c r="BU122" s="232">
        <f t="shared" si="998"/>
        <v>768230</v>
      </c>
      <c r="BV122" s="232">
        <f t="shared" si="999"/>
        <v>921876</v>
      </c>
      <c r="BW122" s="232">
        <f t="shared" si="1000"/>
        <v>806641.5</v>
      </c>
      <c r="BX122" s="232">
        <f t="shared" si="1001"/>
        <v>576172.5</v>
      </c>
      <c r="BY122" s="232"/>
      <c r="BZ122" s="232"/>
      <c r="CA122" s="232"/>
      <c r="CB122" s="232"/>
      <c r="CC122" s="232"/>
      <c r="CD122" s="232"/>
      <c r="CE122" s="232"/>
      <c r="CF122" s="232">
        <f t="shared" ref="CF122:CF123" si="1007">BT122</f>
        <v>384114.99999999994</v>
      </c>
      <c r="CG122" s="231"/>
      <c r="CH122" s="231"/>
      <c r="CI122" s="232"/>
      <c r="CJ122" s="232"/>
    </row>
    <row r="123" spans="1:88" x14ac:dyDescent="0.2">
      <c r="B123" s="226" t="s">
        <v>411</v>
      </c>
      <c r="C123" s="730"/>
      <c r="D123" s="730"/>
      <c r="H123" s="226"/>
      <c r="I123" s="226"/>
      <c r="J123" s="226"/>
      <c r="K123" s="226"/>
      <c r="L123" s="728">
        <v>182160.91999999998</v>
      </c>
      <c r="M123" s="728">
        <v>737526.82000000007</v>
      </c>
      <c r="N123" s="728">
        <v>1174139.71</v>
      </c>
      <c r="O123" s="728">
        <v>1453422.75</v>
      </c>
      <c r="P123" s="728">
        <v>980213</v>
      </c>
      <c r="Q123" s="580"/>
      <c r="R123" s="580"/>
      <c r="S123" s="580"/>
      <c r="T123" s="580"/>
      <c r="U123" s="580"/>
      <c r="V123" s="232"/>
      <c r="W123" s="232"/>
      <c r="X123" s="649">
        <f t="shared" si="1002"/>
        <v>182160.91999999998</v>
      </c>
      <c r="Y123" s="649">
        <f t="shared" si="982"/>
        <v>737526.82000000007</v>
      </c>
      <c r="Z123" s="649">
        <f t="shared" si="983"/>
        <v>1174139.71</v>
      </c>
      <c r="AA123" s="649">
        <f t="shared" si="984"/>
        <v>1453422.75</v>
      </c>
      <c r="AB123" s="649">
        <f t="shared" si="985"/>
        <v>980213</v>
      </c>
      <c r="AC123" s="232"/>
      <c r="AD123" s="232"/>
      <c r="AE123" s="232"/>
      <c r="AF123" s="232"/>
      <c r="AG123" s="232"/>
      <c r="AH123" s="232"/>
      <c r="AI123" s="232"/>
      <c r="AJ123" s="649">
        <f t="shared" si="1003"/>
        <v>182160.91999999998</v>
      </c>
      <c r="AK123" s="649">
        <f t="shared" si="986"/>
        <v>737526.82000000007</v>
      </c>
      <c r="AL123" s="649">
        <f t="shared" si="987"/>
        <v>1174139.71</v>
      </c>
      <c r="AM123" s="649">
        <f t="shared" si="988"/>
        <v>1453422.75</v>
      </c>
      <c r="AN123" s="649">
        <f t="shared" si="989"/>
        <v>980213</v>
      </c>
      <c r="AO123" s="232"/>
      <c r="AP123" s="232"/>
      <c r="AQ123" s="232"/>
      <c r="AR123" s="232"/>
      <c r="AS123" s="232"/>
      <c r="AT123" s="232"/>
      <c r="AU123" s="232"/>
      <c r="AV123" s="649">
        <f t="shared" si="1004"/>
        <v>182160.91999999998</v>
      </c>
      <c r="AW123" s="649">
        <f t="shared" si="990"/>
        <v>737526.82000000007</v>
      </c>
      <c r="AX123" s="649">
        <f t="shared" si="991"/>
        <v>1174139.71</v>
      </c>
      <c r="AY123" s="649">
        <f t="shared" si="992"/>
        <v>1453422.75</v>
      </c>
      <c r="AZ123" s="649">
        <f t="shared" si="993"/>
        <v>980213</v>
      </c>
      <c r="BA123" s="232"/>
      <c r="BB123" s="232"/>
      <c r="BC123" s="232"/>
      <c r="BD123" s="232"/>
      <c r="BE123" s="232"/>
      <c r="BF123" s="232"/>
      <c r="BG123" s="232"/>
      <c r="BH123" s="649">
        <f t="shared" si="1005"/>
        <v>182160.91999999998</v>
      </c>
      <c r="BI123" s="649">
        <f t="shared" si="994"/>
        <v>737526.82000000007</v>
      </c>
      <c r="BJ123" s="649">
        <f t="shared" si="995"/>
        <v>1174139.71</v>
      </c>
      <c r="BK123" s="649">
        <f t="shared" si="996"/>
        <v>1453422.75</v>
      </c>
      <c r="BL123" s="649">
        <f t="shared" si="997"/>
        <v>980213</v>
      </c>
      <c r="BM123" s="232"/>
      <c r="BN123" s="232"/>
      <c r="BO123" s="232"/>
      <c r="BP123" s="232"/>
      <c r="BQ123" s="232"/>
      <c r="BR123" s="232"/>
      <c r="BS123" s="232"/>
      <c r="BT123" s="649">
        <f t="shared" si="1006"/>
        <v>182160.91999999998</v>
      </c>
      <c r="BU123" s="649">
        <f t="shared" si="998"/>
        <v>737526.82000000007</v>
      </c>
      <c r="BV123" s="649">
        <f t="shared" si="999"/>
        <v>1174139.71</v>
      </c>
      <c r="BW123" s="649">
        <f t="shared" si="1000"/>
        <v>1453422.75</v>
      </c>
      <c r="BX123" s="649">
        <f t="shared" si="1001"/>
        <v>980213</v>
      </c>
      <c r="BY123" s="232"/>
      <c r="BZ123" s="232"/>
      <c r="CA123" s="232"/>
      <c r="CB123" s="232"/>
      <c r="CC123" s="232"/>
      <c r="CD123" s="232"/>
      <c r="CE123" s="232"/>
      <c r="CF123" s="649">
        <f t="shared" si="1007"/>
        <v>182160.91999999998</v>
      </c>
      <c r="CG123" s="231"/>
      <c r="CH123" s="231"/>
      <c r="CI123" s="232"/>
      <c r="CJ123" s="232"/>
    </row>
    <row r="124" spans="1:88" x14ac:dyDescent="0.2">
      <c r="B124" s="226" t="s">
        <v>412</v>
      </c>
      <c r="C124" s="232">
        <f t="shared" ref="C124:D124" si="1008">SUM(C121:C123)</f>
        <v>0</v>
      </c>
      <c r="D124" s="232">
        <f t="shared" si="1008"/>
        <v>0</v>
      </c>
      <c r="H124" s="226"/>
      <c r="I124" s="226"/>
      <c r="J124" s="226"/>
      <c r="K124" s="226"/>
      <c r="L124" s="232">
        <f>SUM(L121:L123)</f>
        <v>729925.91999999993</v>
      </c>
      <c r="M124" s="232">
        <f t="shared" ref="M124:P124" si="1009">SUM(M121:M123)</f>
        <v>1762219.82</v>
      </c>
      <c r="N124" s="232">
        <f t="shared" si="1009"/>
        <v>2397676.71</v>
      </c>
      <c r="O124" s="232">
        <f t="shared" si="1009"/>
        <v>2509208.25</v>
      </c>
      <c r="P124" s="232">
        <f t="shared" si="1009"/>
        <v>1767681.5</v>
      </c>
      <c r="Q124" s="580"/>
      <c r="R124" s="580"/>
      <c r="S124" s="580"/>
      <c r="T124" s="580"/>
      <c r="U124" s="580"/>
      <c r="V124" s="232"/>
      <c r="W124" s="232"/>
      <c r="X124" s="232">
        <f>SUM(X121:X123)</f>
        <v>729925.91999999993</v>
      </c>
      <c r="Y124" s="232">
        <f t="shared" ref="Y124:AB124" si="1010">SUM(Y121:Y123)</f>
        <v>1762219.82</v>
      </c>
      <c r="Z124" s="232">
        <f t="shared" si="1010"/>
        <v>2397676.71</v>
      </c>
      <c r="AA124" s="232">
        <f t="shared" si="1010"/>
        <v>2509208.25</v>
      </c>
      <c r="AB124" s="232">
        <f t="shared" si="1010"/>
        <v>1767681.5</v>
      </c>
      <c r="AC124" s="232"/>
      <c r="AD124" s="232"/>
      <c r="AE124" s="232"/>
      <c r="AF124" s="232"/>
      <c r="AG124" s="232"/>
      <c r="AH124" s="232"/>
      <c r="AI124" s="232"/>
      <c r="AJ124" s="232">
        <f>SUM(AJ121:AJ123)</f>
        <v>729925.91999999993</v>
      </c>
      <c r="AK124" s="232">
        <f t="shared" ref="AK124" si="1011">SUM(AK121:AK123)</f>
        <v>1762219.82</v>
      </c>
      <c r="AL124" s="232">
        <f t="shared" ref="AL124" si="1012">SUM(AL121:AL123)</f>
        <v>2397676.71</v>
      </c>
      <c r="AM124" s="232">
        <f t="shared" ref="AM124" si="1013">SUM(AM121:AM123)</f>
        <v>2509208.25</v>
      </c>
      <c r="AN124" s="232">
        <f t="shared" ref="AN124" si="1014">SUM(AN121:AN123)</f>
        <v>1767681.5</v>
      </c>
      <c r="AO124" s="232"/>
      <c r="AP124" s="232"/>
      <c r="AQ124" s="232"/>
      <c r="AR124" s="232"/>
      <c r="AS124" s="232"/>
      <c r="AT124" s="232"/>
      <c r="AU124" s="232"/>
      <c r="AV124" s="232">
        <f>SUM(AV121:AV123)</f>
        <v>729925.91999999993</v>
      </c>
      <c r="AW124" s="232">
        <f t="shared" ref="AW124" si="1015">SUM(AW121:AW123)</f>
        <v>1762219.82</v>
      </c>
      <c r="AX124" s="232">
        <f t="shared" ref="AX124" si="1016">SUM(AX121:AX123)</f>
        <v>2397676.71</v>
      </c>
      <c r="AY124" s="232">
        <f t="shared" ref="AY124" si="1017">SUM(AY121:AY123)</f>
        <v>2509208.25</v>
      </c>
      <c r="AZ124" s="232">
        <f t="shared" ref="AZ124" si="1018">SUM(AZ121:AZ123)</f>
        <v>1767681.5</v>
      </c>
      <c r="BA124" s="232"/>
      <c r="BB124" s="232"/>
      <c r="BC124" s="232"/>
      <c r="BD124" s="232"/>
      <c r="BE124" s="232"/>
      <c r="BF124" s="232"/>
      <c r="BG124" s="232"/>
      <c r="BH124" s="232">
        <f>SUM(BH121:BH123)</f>
        <v>729925.91999999993</v>
      </c>
      <c r="BI124" s="232">
        <f t="shared" ref="BI124" si="1019">SUM(BI121:BI123)</f>
        <v>1762219.82</v>
      </c>
      <c r="BJ124" s="232">
        <f t="shared" ref="BJ124" si="1020">SUM(BJ121:BJ123)</f>
        <v>2397676.71</v>
      </c>
      <c r="BK124" s="232">
        <f t="shared" ref="BK124" si="1021">SUM(BK121:BK123)</f>
        <v>2509208.25</v>
      </c>
      <c r="BL124" s="232">
        <f t="shared" ref="BL124" si="1022">SUM(BL121:BL123)</f>
        <v>1767681.5</v>
      </c>
      <c r="BM124" s="232"/>
      <c r="BN124" s="232"/>
      <c r="BO124" s="232"/>
      <c r="BP124" s="232"/>
      <c r="BQ124" s="232"/>
      <c r="BR124" s="232"/>
      <c r="BS124" s="232"/>
      <c r="BT124" s="232">
        <f>SUM(BT121:BT123)</f>
        <v>729925.91999999993</v>
      </c>
      <c r="BU124" s="232">
        <f t="shared" ref="BU124" si="1023">SUM(BU121:BU123)</f>
        <v>1762219.82</v>
      </c>
      <c r="BV124" s="232">
        <f t="shared" ref="BV124" si="1024">SUM(BV121:BV123)</f>
        <v>2397676.71</v>
      </c>
      <c r="BW124" s="232">
        <f t="shared" ref="BW124" si="1025">SUM(BW121:BW123)</f>
        <v>2509208.25</v>
      </c>
      <c r="BX124" s="232">
        <f t="shared" ref="BX124" si="1026">SUM(BX121:BX123)</f>
        <v>1767681.5</v>
      </c>
      <c r="BY124" s="232"/>
      <c r="BZ124" s="232"/>
      <c r="CA124" s="232"/>
      <c r="CB124" s="232"/>
      <c r="CC124" s="232"/>
      <c r="CD124" s="232"/>
      <c r="CE124" s="232"/>
      <c r="CF124" s="232">
        <f>SUM(CF121:CF123)</f>
        <v>729925.91999999993</v>
      </c>
      <c r="CG124" s="231"/>
      <c r="CH124" s="231"/>
      <c r="CI124" s="228"/>
      <c r="CJ124" s="228"/>
    </row>
    <row r="125" spans="1:88" x14ac:dyDescent="0.2">
      <c r="D125" s="232"/>
      <c r="H125" s="226"/>
      <c r="I125" s="226"/>
      <c r="J125" s="226"/>
      <c r="K125" s="226"/>
      <c r="L125" s="226"/>
      <c r="M125" s="226"/>
      <c r="N125" s="226"/>
      <c r="O125" s="226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  <c r="AA125" s="232"/>
      <c r="AB125" s="232"/>
      <c r="AC125" s="232"/>
      <c r="AD125" s="232"/>
      <c r="AE125" s="232"/>
      <c r="AF125" s="232"/>
      <c r="AG125" s="232"/>
      <c r="AH125" s="232"/>
      <c r="AI125" s="232"/>
      <c r="AJ125" s="232"/>
      <c r="AK125" s="232"/>
      <c r="AL125" s="232"/>
      <c r="AM125" s="232"/>
      <c r="AN125" s="232"/>
      <c r="AO125" s="232"/>
      <c r="AP125" s="232"/>
      <c r="AQ125" s="232"/>
      <c r="AR125" s="232"/>
      <c r="AS125" s="232"/>
      <c r="AT125" s="232"/>
      <c r="AU125" s="232"/>
      <c r="AV125" s="232"/>
      <c r="AW125" s="232"/>
      <c r="AX125" s="232"/>
      <c r="AY125" s="232"/>
      <c r="AZ125" s="232"/>
      <c r="BA125" s="232"/>
      <c r="BB125" s="232"/>
      <c r="BC125" s="232"/>
      <c r="BD125" s="232"/>
      <c r="BE125" s="232"/>
      <c r="BF125" s="232"/>
      <c r="BG125" s="232"/>
      <c r="BH125" s="232"/>
      <c r="BI125" s="232"/>
      <c r="BJ125" s="232"/>
      <c r="BK125" s="232"/>
      <c r="BL125" s="232"/>
      <c r="BM125" s="232"/>
      <c r="BN125" s="232"/>
      <c r="BO125" s="232"/>
      <c r="BP125" s="232"/>
      <c r="BQ125" s="232"/>
      <c r="BR125" s="232"/>
      <c r="BS125" s="232"/>
      <c r="BT125" s="232"/>
      <c r="BU125" s="232"/>
      <c r="BV125" s="232"/>
      <c r="BW125" s="232"/>
      <c r="BX125" s="232"/>
      <c r="BY125" s="232"/>
      <c r="BZ125" s="232"/>
      <c r="CA125" s="232"/>
      <c r="CB125" s="232"/>
      <c r="CC125" s="232"/>
      <c r="CD125" s="232"/>
      <c r="CE125" s="232"/>
      <c r="CF125" s="232"/>
    </row>
    <row r="126" spans="1:88" x14ac:dyDescent="0.2">
      <c r="B126" s="226" t="s">
        <v>413</v>
      </c>
      <c r="C126" s="46"/>
      <c r="D126" s="232"/>
      <c r="E126" s="731"/>
      <c r="F126" s="731"/>
      <c r="G126" s="731"/>
      <c r="H126" s="46"/>
      <c r="I126" s="46">
        <f t="shared" ref="I126:I128" si="1027">U126</f>
        <v>168887.71428571429</v>
      </c>
      <c r="J126" s="46">
        <f t="shared" ref="J126:J128" si="1028">V126</f>
        <v>168887.71428571429</v>
      </c>
      <c r="K126" s="46">
        <f t="shared" ref="K126:K128" si="1029">W126</f>
        <v>168887.71428571429</v>
      </c>
      <c r="L126" s="46"/>
      <c r="M126" s="46"/>
      <c r="N126" s="46"/>
      <c r="O126" s="46"/>
      <c r="P126" s="232"/>
      <c r="Q126" s="246">
        <f>SUM(L121:P121)/7</f>
        <v>168887.71428571429</v>
      </c>
      <c r="R126" s="232">
        <f>+Q126</f>
        <v>168887.71428571429</v>
      </c>
      <c r="S126" s="232">
        <f t="shared" ref="S126:S128" si="1030">+R126</f>
        <v>168887.71428571429</v>
      </c>
      <c r="T126" s="232">
        <f t="shared" ref="T126:T128" si="1031">+S126</f>
        <v>168887.71428571429</v>
      </c>
      <c r="U126" s="232">
        <f t="shared" ref="U126:U128" si="1032">+T126</f>
        <v>168887.71428571429</v>
      </c>
      <c r="V126" s="232">
        <f t="shared" ref="V126:V128" si="1033">+U126</f>
        <v>168887.71428571429</v>
      </c>
      <c r="W126" s="232">
        <f t="shared" ref="W126:W128" si="1034">+V126</f>
        <v>168887.71428571429</v>
      </c>
      <c r="X126" s="232"/>
      <c r="Y126" s="232"/>
      <c r="Z126" s="232"/>
      <c r="AA126" s="232"/>
      <c r="AB126" s="232"/>
      <c r="AC126" s="232">
        <f>Q126</f>
        <v>168887.71428571429</v>
      </c>
      <c r="AD126" s="232">
        <f t="shared" ref="AD126:AD128" si="1035">R126</f>
        <v>168887.71428571429</v>
      </c>
      <c r="AE126" s="232">
        <f t="shared" ref="AE126:AE128" si="1036">S126</f>
        <v>168887.71428571429</v>
      </c>
      <c r="AF126" s="232">
        <f t="shared" ref="AF126:AF128" si="1037">T126</f>
        <v>168887.71428571429</v>
      </c>
      <c r="AG126" s="232">
        <f t="shared" ref="AG126:AG128" si="1038">U126</f>
        <v>168887.71428571429</v>
      </c>
      <c r="AH126" s="232">
        <f t="shared" ref="AH126:AH128" si="1039">V126</f>
        <v>168887.71428571429</v>
      </c>
      <c r="AI126" s="232">
        <f t="shared" ref="AI126:AI128" si="1040">W126</f>
        <v>168887.71428571429</v>
      </c>
      <c r="AJ126" s="232"/>
      <c r="AK126" s="232"/>
      <c r="AL126" s="232"/>
      <c r="AM126" s="232"/>
      <c r="AN126" s="232"/>
      <c r="AO126" s="232">
        <f>AC126</f>
        <v>168887.71428571429</v>
      </c>
      <c r="AP126" s="232">
        <f t="shared" ref="AP126:AP128" si="1041">AD126</f>
        <v>168887.71428571429</v>
      </c>
      <c r="AQ126" s="232">
        <f t="shared" ref="AQ126:AQ128" si="1042">AE126</f>
        <v>168887.71428571429</v>
      </c>
      <c r="AR126" s="232">
        <f t="shared" ref="AR126:AR128" si="1043">AF126</f>
        <v>168887.71428571429</v>
      </c>
      <c r="AS126" s="232">
        <f t="shared" ref="AS126:AS128" si="1044">AG126</f>
        <v>168887.71428571429</v>
      </c>
      <c r="AT126" s="232">
        <f t="shared" ref="AT126:AT128" si="1045">AH126</f>
        <v>168887.71428571429</v>
      </c>
      <c r="AU126" s="232">
        <f t="shared" ref="AU126:AU128" si="1046">AI126</f>
        <v>168887.71428571429</v>
      </c>
      <c r="AV126" s="232"/>
      <c r="AW126" s="232"/>
      <c r="AX126" s="232"/>
      <c r="AY126" s="232"/>
      <c r="AZ126" s="232"/>
      <c r="BA126" s="232">
        <f>AO126</f>
        <v>168887.71428571429</v>
      </c>
      <c r="BB126" s="232">
        <f t="shared" ref="BB126:BB128" si="1047">AP126</f>
        <v>168887.71428571429</v>
      </c>
      <c r="BC126" s="232">
        <f t="shared" ref="BC126:BC128" si="1048">AQ126</f>
        <v>168887.71428571429</v>
      </c>
      <c r="BD126" s="232">
        <f t="shared" ref="BD126:BD128" si="1049">AR126</f>
        <v>168887.71428571429</v>
      </c>
      <c r="BE126" s="232">
        <f t="shared" ref="BE126:BE128" si="1050">AS126</f>
        <v>168887.71428571429</v>
      </c>
      <c r="BF126" s="232">
        <f t="shared" ref="BF126:BF128" si="1051">AT126</f>
        <v>168887.71428571429</v>
      </c>
      <c r="BG126" s="232">
        <f t="shared" ref="BG126:BG128" si="1052">AU126</f>
        <v>168887.71428571429</v>
      </c>
      <c r="BH126" s="232"/>
      <c r="BI126" s="232"/>
      <c r="BJ126" s="232"/>
      <c r="BK126" s="232"/>
      <c r="BL126" s="232"/>
      <c r="BM126" s="232">
        <f>BA126</f>
        <v>168887.71428571429</v>
      </c>
      <c r="BN126" s="232">
        <f t="shared" ref="BN126:BN128" si="1053">BB126</f>
        <v>168887.71428571429</v>
      </c>
      <c r="BO126" s="232">
        <f t="shared" ref="BO126:BO128" si="1054">BC126</f>
        <v>168887.71428571429</v>
      </c>
      <c r="BP126" s="232">
        <f t="shared" ref="BP126:BP128" si="1055">BD126</f>
        <v>168887.71428571429</v>
      </c>
      <c r="BQ126" s="232">
        <f t="shared" ref="BQ126:BQ128" si="1056">BE126</f>
        <v>168887.71428571429</v>
      </c>
      <c r="BR126" s="232">
        <f t="shared" ref="BR126:BR128" si="1057">BF126</f>
        <v>168887.71428571429</v>
      </c>
      <c r="BS126" s="232">
        <f t="shared" ref="BS126:BS128" si="1058">BG126</f>
        <v>168887.71428571429</v>
      </c>
      <c r="BT126" s="232"/>
      <c r="BU126" s="232"/>
      <c r="BV126" s="232"/>
      <c r="BW126" s="232"/>
      <c r="BX126" s="232"/>
      <c r="BY126" s="232">
        <f>BM126</f>
        <v>168887.71428571429</v>
      </c>
      <c r="BZ126" s="232">
        <f t="shared" ref="BZ126:BZ128" si="1059">BN126</f>
        <v>168887.71428571429</v>
      </c>
      <c r="CA126" s="232">
        <f t="shared" ref="CA126:CA128" si="1060">BO126</f>
        <v>168887.71428571429</v>
      </c>
      <c r="CB126" s="232">
        <f t="shared" ref="CB126:CB128" si="1061">BP126</f>
        <v>168887.71428571429</v>
      </c>
      <c r="CC126" s="232">
        <f t="shared" ref="CC126:CC128" si="1062">BQ126</f>
        <v>168887.71428571429</v>
      </c>
      <c r="CD126" s="232">
        <f t="shared" ref="CD126:CD128" si="1063">BR126</f>
        <v>168887.71428571429</v>
      </c>
      <c r="CE126" s="232">
        <f t="shared" ref="CE126:CE128" si="1064">BS126</f>
        <v>168887.71428571429</v>
      </c>
      <c r="CF126" s="232"/>
      <c r="CG126" s="232"/>
      <c r="CH126" s="232"/>
    </row>
    <row r="127" spans="1:88" x14ac:dyDescent="0.2">
      <c r="B127" s="226" t="s">
        <v>414</v>
      </c>
      <c r="C127" s="46"/>
      <c r="D127" s="232"/>
      <c r="E127" s="732"/>
      <c r="F127" s="732"/>
      <c r="G127" s="732"/>
      <c r="H127" s="732"/>
      <c r="I127" s="732">
        <f t="shared" si="1027"/>
        <v>493862.14285714284</v>
      </c>
      <c r="J127" s="732">
        <f t="shared" si="1028"/>
        <v>493862.14285714284</v>
      </c>
      <c r="K127" s="732">
        <f t="shared" si="1029"/>
        <v>493862.14285714284</v>
      </c>
      <c r="L127" s="46"/>
      <c r="M127" s="46"/>
      <c r="N127" s="46"/>
      <c r="O127" s="46"/>
      <c r="P127" s="232"/>
      <c r="Q127" s="246">
        <f t="shared" ref="Q127:Q128" si="1065">SUM(L122:P122)/7</f>
        <v>493862.14285714284</v>
      </c>
      <c r="R127" s="232">
        <f t="shared" ref="R127:R128" si="1066">+Q127</f>
        <v>493862.14285714284</v>
      </c>
      <c r="S127" s="232">
        <f t="shared" si="1030"/>
        <v>493862.14285714284</v>
      </c>
      <c r="T127" s="232">
        <f t="shared" si="1031"/>
        <v>493862.14285714284</v>
      </c>
      <c r="U127" s="232">
        <f t="shared" si="1032"/>
        <v>493862.14285714284</v>
      </c>
      <c r="V127" s="232">
        <f t="shared" si="1033"/>
        <v>493862.14285714284</v>
      </c>
      <c r="W127" s="232">
        <f t="shared" si="1034"/>
        <v>493862.14285714284</v>
      </c>
      <c r="X127" s="232"/>
      <c r="Y127" s="232"/>
      <c r="Z127" s="232"/>
      <c r="AA127" s="232"/>
      <c r="AB127" s="232"/>
      <c r="AC127" s="232">
        <f t="shared" ref="AC127:AC128" si="1067">Q127</f>
        <v>493862.14285714284</v>
      </c>
      <c r="AD127" s="232">
        <f t="shared" si="1035"/>
        <v>493862.14285714284</v>
      </c>
      <c r="AE127" s="232">
        <f t="shared" si="1036"/>
        <v>493862.14285714284</v>
      </c>
      <c r="AF127" s="232">
        <f t="shared" si="1037"/>
        <v>493862.14285714284</v>
      </c>
      <c r="AG127" s="232">
        <f t="shared" si="1038"/>
        <v>493862.14285714284</v>
      </c>
      <c r="AH127" s="232">
        <f t="shared" si="1039"/>
        <v>493862.14285714284</v>
      </c>
      <c r="AI127" s="232">
        <f t="shared" si="1040"/>
        <v>493862.14285714284</v>
      </c>
      <c r="AJ127" s="232"/>
      <c r="AK127" s="232"/>
      <c r="AL127" s="232"/>
      <c r="AM127" s="232"/>
      <c r="AN127" s="232"/>
      <c r="AO127" s="232">
        <f t="shared" ref="AO127:AO128" si="1068">AC127</f>
        <v>493862.14285714284</v>
      </c>
      <c r="AP127" s="232">
        <f t="shared" si="1041"/>
        <v>493862.14285714284</v>
      </c>
      <c r="AQ127" s="232">
        <f t="shared" si="1042"/>
        <v>493862.14285714284</v>
      </c>
      <c r="AR127" s="232">
        <f t="shared" si="1043"/>
        <v>493862.14285714284</v>
      </c>
      <c r="AS127" s="232">
        <f t="shared" si="1044"/>
        <v>493862.14285714284</v>
      </c>
      <c r="AT127" s="232">
        <f t="shared" si="1045"/>
        <v>493862.14285714284</v>
      </c>
      <c r="AU127" s="232">
        <f t="shared" si="1046"/>
        <v>493862.14285714284</v>
      </c>
      <c r="AV127" s="232"/>
      <c r="AW127" s="232"/>
      <c r="AX127" s="232"/>
      <c r="AY127" s="232"/>
      <c r="AZ127" s="232"/>
      <c r="BA127" s="232">
        <f t="shared" ref="BA127:BA128" si="1069">AO127</f>
        <v>493862.14285714284</v>
      </c>
      <c r="BB127" s="232">
        <f t="shared" si="1047"/>
        <v>493862.14285714284</v>
      </c>
      <c r="BC127" s="232">
        <f t="shared" si="1048"/>
        <v>493862.14285714284</v>
      </c>
      <c r="BD127" s="232">
        <f t="shared" si="1049"/>
        <v>493862.14285714284</v>
      </c>
      <c r="BE127" s="232">
        <f t="shared" si="1050"/>
        <v>493862.14285714284</v>
      </c>
      <c r="BF127" s="232">
        <f t="shared" si="1051"/>
        <v>493862.14285714284</v>
      </c>
      <c r="BG127" s="232">
        <f t="shared" si="1052"/>
        <v>493862.14285714284</v>
      </c>
      <c r="BH127" s="232"/>
      <c r="BI127" s="232"/>
      <c r="BJ127" s="232"/>
      <c r="BK127" s="232"/>
      <c r="BL127" s="232"/>
      <c r="BM127" s="232">
        <f t="shared" ref="BM127:BM128" si="1070">BA127</f>
        <v>493862.14285714284</v>
      </c>
      <c r="BN127" s="232">
        <f t="shared" si="1053"/>
        <v>493862.14285714284</v>
      </c>
      <c r="BO127" s="232">
        <f t="shared" si="1054"/>
        <v>493862.14285714284</v>
      </c>
      <c r="BP127" s="232">
        <f t="shared" si="1055"/>
        <v>493862.14285714284</v>
      </c>
      <c r="BQ127" s="232">
        <f t="shared" si="1056"/>
        <v>493862.14285714284</v>
      </c>
      <c r="BR127" s="232">
        <f t="shared" si="1057"/>
        <v>493862.14285714284</v>
      </c>
      <c r="BS127" s="232">
        <f t="shared" si="1058"/>
        <v>493862.14285714284</v>
      </c>
      <c r="BT127" s="232"/>
      <c r="BU127" s="232"/>
      <c r="BV127" s="232"/>
      <c r="BW127" s="232"/>
      <c r="BX127" s="232"/>
      <c r="BY127" s="232">
        <f t="shared" ref="BY127:BY128" si="1071">BM127</f>
        <v>493862.14285714284</v>
      </c>
      <c r="BZ127" s="232">
        <f t="shared" si="1059"/>
        <v>493862.14285714284</v>
      </c>
      <c r="CA127" s="232">
        <f t="shared" si="1060"/>
        <v>493862.14285714284</v>
      </c>
      <c r="CB127" s="232">
        <f t="shared" si="1061"/>
        <v>493862.14285714284</v>
      </c>
      <c r="CC127" s="232">
        <f t="shared" si="1062"/>
        <v>493862.14285714284</v>
      </c>
      <c r="CD127" s="232">
        <f t="shared" si="1063"/>
        <v>493862.14285714284</v>
      </c>
      <c r="CE127" s="232">
        <f t="shared" si="1064"/>
        <v>493862.14285714284</v>
      </c>
      <c r="CF127" s="232"/>
      <c r="CG127" s="232"/>
      <c r="CH127" s="232"/>
    </row>
    <row r="128" spans="1:88" x14ac:dyDescent="0.2">
      <c r="B128" s="226" t="s">
        <v>415</v>
      </c>
      <c r="C128" s="580"/>
      <c r="D128" s="580"/>
      <c r="E128" s="730"/>
      <c r="F128" s="730"/>
      <c r="G128" s="730"/>
      <c r="H128" s="730"/>
      <c r="I128" s="730">
        <f t="shared" si="1027"/>
        <v>646780.45714285714</v>
      </c>
      <c r="J128" s="730">
        <f t="shared" si="1028"/>
        <v>646780.45714285714</v>
      </c>
      <c r="K128" s="730">
        <f t="shared" si="1029"/>
        <v>646780.45714285714</v>
      </c>
      <c r="L128" s="580"/>
      <c r="M128" s="580"/>
      <c r="N128" s="580"/>
      <c r="O128" s="580"/>
      <c r="P128" s="580"/>
      <c r="Q128" s="650">
        <f t="shared" si="1065"/>
        <v>646780.45714285714</v>
      </c>
      <c r="R128" s="649">
        <f t="shared" si="1066"/>
        <v>646780.45714285714</v>
      </c>
      <c r="S128" s="649">
        <f t="shared" si="1030"/>
        <v>646780.45714285714</v>
      </c>
      <c r="T128" s="649">
        <f t="shared" si="1031"/>
        <v>646780.45714285714</v>
      </c>
      <c r="U128" s="649">
        <f t="shared" si="1032"/>
        <v>646780.45714285714</v>
      </c>
      <c r="V128" s="649">
        <f t="shared" si="1033"/>
        <v>646780.45714285714</v>
      </c>
      <c r="W128" s="649">
        <f t="shared" si="1034"/>
        <v>646780.45714285714</v>
      </c>
      <c r="X128" s="232"/>
      <c r="Y128" s="232"/>
      <c r="Z128" s="232"/>
      <c r="AA128" s="232"/>
      <c r="AB128" s="232"/>
      <c r="AC128" s="649">
        <f t="shared" si="1067"/>
        <v>646780.45714285714</v>
      </c>
      <c r="AD128" s="649">
        <f t="shared" si="1035"/>
        <v>646780.45714285714</v>
      </c>
      <c r="AE128" s="649">
        <f t="shared" si="1036"/>
        <v>646780.45714285714</v>
      </c>
      <c r="AF128" s="649">
        <f t="shared" si="1037"/>
        <v>646780.45714285714</v>
      </c>
      <c r="AG128" s="649">
        <f t="shared" si="1038"/>
        <v>646780.45714285714</v>
      </c>
      <c r="AH128" s="649">
        <f t="shared" si="1039"/>
        <v>646780.45714285714</v>
      </c>
      <c r="AI128" s="649">
        <f t="shared" si="1040"/>
        <v>646780.45714285714</v>
      </c>
      <c r="AJ128" s="232"/>
      <c r="AK128" s="232"/>
      <c r="AL128" s="232"/>
      <c r="AM128" s="232"/>
      <c r="AN128" s="232"/>
      <c r="AO128" s="649">
        <f t="shared" si="1068"/>
        <v>646780.45714285714</v>
      </c>
      <c r="AP128" s="649">
        <f t="shared" si="1041"/>
        <v>646780.45714285714</v>
      </c>
      <c r="AQ128" s="649">
        <f t="shared" si="1042"/>
        <v>646780.45714285714</v>
      </c>
      <c r="AR128" s="649">
        <f t="shared" si="1043"/>
        <v>646780.45714285714</v>
      </c>
      <c r="AS128" s="649">
        <f t="shared" si="1044"/>
        <v>646780.45714285714</v>
      </c>
      <c r="AT128" s="649">
        <f t="shared" si="1045"/>
        <v>646780.45714285714</v>
      </c>
      <c r="AU128" s="649">
        <f t="shared" si="1046"/>
        <v>646780.45714285714</v>
      </c>
      <c r="AV128" s="232"/>
      <c r="AW128" s="232"/>
      <c r="AX128" s="232"/>
      <c r="AY128" s="232"/>
      <c r="AZ128" s="232"/>
      <c r="BA128" s="649">
        <f t="shared" si="1069"/>
        <v>646780.45714285714</v>
      </c>
      <c r="BB128" s="649">
        <f t="shared" si="1047"/>
        <v>646780.45714285714</v>
      </c>
      <c r="BC128" s="649">
        <f t="shared" si="1048"/>
        <v>646780.45714285714</v>
      </c>
      <c r="BD128" s="649">
        <f t="shared" si="1049"/>
        <v>646780.45714285714</v>
      </c>
      <c r="BE128" s="649">
        <f t="shared" si="1050"/>
        <v>646780.45714285714</v>
      </c>
      <c r="BF128" s="649">
        <f t="shared" si="1051"/>
        <v>646780.45714285714</v>
      </c>
      <c r="BG128" s="649">
        <f t="shared" si="1052"/>
        <v>646780.45714285714</v>
      </c>
      <c r="BH128" s="232"/>
      <c r="BI128" s="232"/>
      <c r="BJ128" s="232"/>
      <c r="BK128" s="232"/>
      <c r="BL128" s="232"/>
      <c r="BM128" s="649">
        <f t="shared" si="1070"/>
        <v>646780.45714285714</v>
      </c>
      <c r="BN128" s="649">
        <f t="shared" si="1053"/>
        <v>646780.45714285714</v>
      </c>
      <c r="BO128" s="649">
        <f t="shared" si="1054"/>
        <v>646780.45714285714</v>
      </c>
      <c r="BP128" s="649">
        <f t="shared" si="1055"/>
        <v>646780.45714285714</v>
      </c>
      <c r="BQ128" s="649">
        <f t="shared" si="1056"/>
        <v>646780.45714285714</v>
      </c>
      <c r="BR128" s="649">
        <f t="shared" si="1057"/>
        <v>646780.45714285714</v>
      </c>
      <c r="BS128" s="649">
        <f t="shared" si="1058"/>
        <v>646780.45714285714</v>
      </c>
      <c r="BT128" s="232"/>
      <c r="BU128" s="232"/>
      <c r="BV128" s="232"/>
      <c r="BW128" s="232"/>
      <c r="BX128" s="232"/>
      <c r="BY128" s="649">
        <f t="shared" si="1071"/>
        <v>646780.45714285714</v>
      </c>
      <c r="BZ128" s="649">
        <f t="shared" si="1059"/>
        <v>646780.45714285714</v>
      </c>
      <c r="CA128" s="649">
        <f t="shared" si="1060"/>
        <v>646780.45714285714</v>
      </c>
      <c r="CB128" s="649">
        <f t="shared" si="1061"/>
        <v>646780.45714285714</v>
      </c>
      <c r="CC128" s="649">
        <f t="shared" si="1062"/>
        <v>646780.45714285714</v>
      </c>
      <c r="CD128" s="649">
        <f t="shared" si="1063"/>
        <v>646780.45714285714</v>
      </c>
      <c r="CE128" s="649">
        <f t="shared" si="1064"/>
        <v>646780.45714285714</v>
      </c>
      <c r="CF128" s="232"/>
      <c r="CG128" s="232"/>
      <c r="CH128" s="232"/>
    </row>
    <row r="129" spans="1:86" x14ac:dyDescent="0.2">
      <c r="B129" s="226" t="s">
        <v>416</v>
      </c>
      <c r="C129" s="580"/>
      <c r="D129" s="580"/>
      <c r="E129" s="46">
        <f t="shared" ref="E129:G129" si="1072">SUM(E126:E128)</f>
        <v>0</v>
      </c>
      <c r="F129" s="46">
        <f t="shared" si="1072"/>
        <v>0</v>
      </c>
      <c r="G129" s="46">
        <f t="shared" si="1072"/>
        <v>0</v>
      </c>
      <c r="H129" s="46">
        <f>SUM(H126:H128)</f>
        <v>0</v>
      </c>
      <c r="I129" s="46">
        <f t="shared" ref="I129:K129" si="1073">SUM(I126:I128)</f>
        <v>1309530.3142857142</v>
      </c>
      <c r="J129" s="46">
        <f>SUM(J126:J128)</f>
        <v>1309530.3142857142</v>
      </c>
      <c r="K129" s="46">
        <f t="shared" si="1073"/>
        <v>1309530.3142857142</v>
      </c>
      <c r="L129" s="580"/>
      <c r="M129" s="580"/>
      <c r="N129" s="580"/>
      <c r="O129" s="580"/>
      <c r="P129" s="580"/>
      <c r="Q129" s="232">
        <f>SUM(Q126:Q128)</f>
        <v>1309530.3142857142</v>
      </c>
      <c r="R129" s="232">
        <f t="shared" ref="R129:W129" si="1074">SUM(R126:R128)</f>
        <v>1309530.3142857142</v>
      </c>
      <c r="S129" s="232">
        <f t="shared" si="1074"/>
        <v>1309530.3142857142</v>
      </c>
      <c r="T129" s="232">
        <f t="shared" si="1074"/>
        <v>1309530.3142857142</v>
      </c>
      <c r="U129" s="232">
        <f t="shared" si="1074"/>
        <v>1309530.3142857142</v>
      </c>
      <c r="V129" s="232">
        <f t="shared" si="1074"/>
        <v>1309530.3142857142</v>
      </c>
      <c r="W129" s="232">
        <f t="shared" si="1074"/>
        <v>1309530.3142857142</v>
      </c>
      <c r="X129" s="232"/>
      <c r="Y129" s="232"/>
      <c r="Z129" s="232"/>
      <c r="AA129" s="232"/>
      <c r="AB129" s="232"/>
      <c r="AC129" s="232">
        <f t="shared" ref="AC129:AI129" si="1075">AC126+AC127+AC128</f>
        <v>1309530.3142857142</v>
      </c>
      <c r="AD129" s="232">
        <f t="shared" si="1075"/>
        <v>1309530.3142857142</v>
      </c>
      <c r="AE129" s="232">
        <f t="shared" si="1075"/>
        <v>1309530.3142857142</v>
      </c>
      <c r="AF129" s="232">
        <f t="shared" si="1075"/>
        <v>1309530.3142857142</v>
      </c>
      <c r="AG129" s="232">
        <f t="shared" si="1075"/>
        <v>1309530.3142857142</v>
      </c>
      <c r="AH129" s="232">
        <f t="shared" si="1075"/>
        <v>1309530.3142857142</v>
      </c>
      <c r="AI129" s="232">
        <f t="shared" si="1075"/>
        <v>1309530.3142857142</v>
      </c>
      <c r="AJ129" s="232"/>
      <c r="AK129" s="232"/>
      <c r="AL129" s="232"/>
      <c r="AM129" s="232"/>
      <c r="AN129" s="232"/>
      <c r="AO129" s="232">
        <f t="shared" ref="AO129:AU129" si="1076">AO126+AO127+AO128</f>
        <v>1309530.3142857142</v>
      </c>
      <c r="AP129" s="232">
        <f t="shared" si="1076"/>
        <v>1309530.3142857142</v>
      </c>
      <c r="AQ129" s="232">
        <f t="shared" si="1076"/>
        <v>1309530.3142857142</v>
      </c>
      <c r="AR129" s="232">
        <f t="shared" si="1076"/>
        <v>1309530.3142857142</v>
      </c>
      <c r="AS129" s="232">
        <f t="shared" si="1076"/>
        <v>1309530.3142857142</v>
      </c>
      <c r="AT129" s="232">
        <f t="shared" si="1076"/>
        <v>1309530.3142857142</v>
      </c>
      <c r="AU129" s="232">
        <f t="shared" si="1076"/>
        <v>1309530.3142857142</v>
      </c>
      <c r="AV129" s="232"/>
      <c r="AW129" s="232"/>
      <c r="AX129" s="232"/>
      <c r="AY129" s="232"/>
      <c r="AZ129" s="232"/>
      <c r="BA129" s="232">
        <f t="shared" ref="BA129:BG129" si="1077">BA126+BA127+BA128</f>
        <v>1309530.3142857142</v>
      </c>
      <c r="BB129" s="232">
        <f t="shared" si="1077"/>
        <v>1309530.3142857142</v>
      </c>
      <c r="BC129" s="232">
        <f t="shared" si="1077"/>
        <v>1309530.3142857142</v>
      </c>
      <c r="BD129" s="232">
        <f t="shared" si="1077"/>
        <v>1309530.3142857142</v>
      </c>
      <c r="BE129" s="232">
        <f t="shared" si="1077"/>
        <v>1309530.3142857142</v>
      </c>
      <c r="BF129" s="232">
        <f t="shared" si="1077"/>
        <v>1309530.3142857142</v>
      </c>
      <c r="BG129" s="232">
        <f t="shared" si="1077"/>
        <v>1309530.3142857142</v>
      </c>
      <c r="BH129" s="232"/>
      <c r="BI129" s="232"/>
      <c r="BJ129" s="232"/>
      <c r="BK129" s="232"/>
      <c r="BL129" s="232"/>
      <c r="BM129" s="232">
        <f t="shared" ref="BM129:BS129" si="1078">BM126+BM127+BM128</f>
        <v>1309530.3142857142</v>
      </c>
      <c r="BN129" s="232">
        <f t="shared" si="1078"/>
        <v>1309530.3142857142</v>
      </c>
      <c r="BO129" s="232">
        <f t="shared" si="1078"/>
        <v>1309530.3142857142</v>
      </c>
      <c r="BP129" s="232">
        <f t="shared" si="1078"/>
        <v>1309530.3142857142</v>
      </c>
      <c r="BQ129" s="232">
        <f t="shared" si="1078"/>
        <v>1309530.3142857142</v>
      </c>
      <c r="BR129" s="232">
        <f t="shared" si="1078"/>
        <v>1309530.3142857142</v>
      </c>
      <c r="BS129" s="232">
        <f t="shared" si="1078"/>
        <v>1309530.3142857142</v>
      </c>
      <c r="BT129" s="232"/>
      <c r="BU129" s="232"/>
      <c r="BV129" s="232"/>
      <c r="BW129" s="232"/>
      <c r="BX129" s="232"/>
      <c r="BY129" s="232">
        <f t="shared" ref="BY129:CE129" si="1079">BY126+BY127+BY128</f>
        <v>1309530.3142857142</v>
      </c>
      <c r="BZ129" s="232">
        <f t="shared" si="1079"/>
        <v>1309530.3142857142</v>
      </c>
      <c r="CA129" s="232">
        <f t="shared" si="1079"/>
        <v>1309530.3142857142</v>
      </c>
      <c r="CB129" s="232">
        <f t="shared" si="1079"/>
        <v>1309530.3142857142</v>
      </c>
      <c r="CC129" s="232">
        <f t="shared" si="1079"/>
        <v>1309530.3142857142</v>
      </c>
      <c r="CD129" s="232">
        <f t="shared" si="1079"/>
        <v>1309530.3142857142</v>
      </c>
      <c r="CE129" s="232">
        <f t="shared" si="1079"/>
        <v>1309530.3142857142</v>
      </c>
      <c r="CF129" s="232"/>
      <c r="CG129" s="228"/>
      <c r="CH129" s="228"/>
    </row>
    <row r="130" spans="1:86" x14ac:dyDescent="0.2">
      <c r="H130" s="226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</row>
    <row r="131" spans="1:86" x14ac:dyDescent="0.2">
      <c r="A131" s="226" t="s">
        <v>490</v>
      </c>
      <c r="H131" s="226"/>
      <c r="I131" s="226"/>
      <c r="J131" s="226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</row>
    <row r="132" spans="1:86" x14ac:dyDescent="0.2">
      <c r="B132" s="226" t="s">
        <v>409</v>
      </c>
      <c r="C132" s="46">
        <f t="shared" ref="C132:D132" si="1080">+C121*$A$121</f>
        <v>0</v>
      </c>
      <c r="D132" s="46">
        <f t="shared" si="1080"/>
        <v>0</v>
      </c>
      <c r="H132" s="226"/>
      <c r="I132" s="226"/>
      <c r="J132" s="226"/>
      <c r="K132" s="226"/>
      <c r="L132" s="46">
        <f t="shared" ref="L132:P132" si="1081">+L121*$A$121</f>
        <v>163650</v>
      </c>
      <c r="M132" s="46">
        <f t="shared" si="1081"/>
        <v>256463</v>
      </c>
      <c r="N132" s="46">
        <f t="shared" si="1081"/>
        <v>301661</v>
      </c>
      <c r="O132" s="46">
        <f t="shared" si="1081"/>
        <v>249144</v>
      </c>
      <c r="P132" s="46">
        <f t="shared" si="1081"/>
        <v>211296</v>
      </c>
      <c r="Q132" s="46"/>
      <c r="R132" s="46"/>
      <c r="S132" s="46"/>
      <c r="T132" s="46"/>
      <c r="U132" s="4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</row>
    <row r="133" spans="1:86" x14ac:dyDescent="0.2">
      <c r="B133" s="226" t="s">
        <v>410</v>
      </c>
      <c r="C133" s="46">
        <f t="shared" ref="C133:D133" si="1082">+C122*$A$121</f>
        <v>0</v>
      </c>
      <c r="D133" s="46">
        <f t="shared" si="1082"/>
        <v>0</v>
      </c>
      <c r="H133" s="226"/>
      <c r="I133" s="226"/>
      <c r="J133" s="226"/>
      <c r="K133" s="226"/>
      <c r="L133" s="46">
        <f t="shared" ref="L133:P133" si="1083">+L122*$A$121</f>
        <v>384114.99999999994</v>
      </c>
      <c r="M133" s="46">
        <f t="shared" si="1083"/>
        <v>768230</v>
      </c>
      <c r="N133" s="46">
        <f t="shared" si="1083"/>
        <v>921876</v>
      </c>
      <c r="O133" s="46">
        <f t="shared" si="1083"/>
        <v>806641.5</v>
      </c>
      <c r="P133" s="46">
        <f t="shared" si="1083"/>
        <v>576172.5</v>
      </c>
      <c r="Q133" s="46"/>
      <c r="R133" s="46"/>
      <c r="S133" s="46"/>
      <c r="T133" s="46"/>
      <c r="U133" s="4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</row>
    <row r="134" spans="1:86" x14ac:dyDescent="0.2">
      <c r="B134" s="226" t="s">
        <v>411</v>
      </c>
      <c r="C134" s="360">
        <f t="shared" ref="C134:D134" si="1084">+C123*$A$121</f>
        <v>0</v>
      </c>
      <c r="D134" s="360">
        <f t="shared" si="1084"/>
        <v>0</v>
      </c>
      <c r="H134" s="226"/>
      <c r="I134" s="226"/>
      <c r="J134" s="226"/>
      <c r="K134" s="226"/>
      <c r="L134" s="360">
        <f t="shared" ref="L134:P134" si="1085">+L123*$A$121</f>
        <v>182160.91999999998</v>
      </c>
      <c r="M134" s="360">
        <f t="shared" si="1085"/>
        <v>737526.82000000007</v>
      </c>
      <c r="N134" s="360">
        <f t="shared" si="1085"/>
        <v>1174139.71</v>
      </c>
      <c r="O134" s="360">
        <f t="shared" si="1085"/>
        <v>1453422.75</v>
      </c>
      <c r="P134" s="360">
        <f t="shared" si="1085"/>
        <v>980213</v>
      </c>
      <c r="Q134" s="46"/>
      <c r="R134" s="46"/>
      <c r="S134" s="46"/>
      <c r="T134" s="46"/>
      <c r="U134" s="4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</row>
    <row r="135" spans="1:86" x14ac:dyDescent="0.2">
      <c r="B135" s="226" t="s">
        <v>412</v>
      </c>
      <c r="C135" s="232">
        <f t="shared" ref="C135:D135" si="1086">SUM(C132+C133+C134)</f>
        <v>0</v>
      </c>
      <c r="D135" s="232">
        <f t="shared" si="1086"/>
        <v>0</v>
      </c>
      <c r="H135" s="226"/>
      <c r="I135" s="226"/>
      <c r="J135" s="226"/>
      <c r="K135" s="226"/>
      <c r="L135" s="232">
        <f t="shared" ref="L135:P135" si="1087">SUM(L132+L133+L134)</f>
        <v>729925.91999999993</v>
      </c>
      <c r="M135" s="232">
        <f t="shared" si="1087"/>
        <v>1762219.82</v>
      </c>
      <c r="N135" s="232">
        <f t="shared" si="1087"/>
        <v>2397676.71</v>
      </c>
      <c r="O135" s="232">
        <f t="shared" si="1087"/>
        <v>2509208.25</v>
      </c>
      <c r="P135" s="232">
        <f t="shared" si="1087"/>
        <v>1767681.5</v>
      </c>
      <c r="Q135" s="232"/>
      <c r="R135" s="232"/>
      <c r="S135" s="232"/>
      <c r="T135" s="232"/>
      <c r="U135" s="232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</row>
    <row r="136" spans="1:86" x14ac:dyDescent="0.2">
      <c r="C136" s="227"/>
      <c r="D136" s="228"/>
      <c r="P136" s="228"/>
      <c r="Q136" s="228"/>
      <c r="R136" s="228"/>
      <c r="S136" s="228"/>
      <c r="T136" s="228"/>
      <c r="U136" s="228"/>
    </row>
    <row r="137" spans="1:86" x14ac:dyDescent="0.2">
      <c r="B137" s="226" t="s">
        <v>413</v>
      </c>
      <c r="C137" s="35"/>
      <c r="D137" s="35"/>
      <c r="E137" s="46">
        <f t="shared" ref="E137:G137" si="1088">+E126*$A$121</f>
        <v>0</v>
      </c>
      <c r="F137" s="46">
        <f t="shared" si="1088"/>
        <v>0</v>
      </c>
      <c r="G137" s="46">
        <f t="shared" si="1088"/>
        <v>0</v>
      </c>
      <c r="H137" s="35">
        <f>+H126*$A$121</f>
        <v>0</v>
      </c>
      <c r="I137" s="35">
        <f t="shared" ref="I137:K137" si="1089">+I126*$A$121</f>
        <v>168887.71428571429</v>
      </c>
      <c r="J137" s="35">
        <f>+J126*$A$121</f>
        <v>168887.71428571429</v>
      </c>
      <c r="K137" s="35">
        <f t="shared" si="1089"/>
        <v>168887.71428571429</v>
      </c>
      <c r="L137" s="35"/>
      <c r="M137" s="35"/>
      <c r="N137" s="35"/>
      <c r="O137" s="35"/>
      <c r="P137" s="35"/>
      <c r="Q137" s="46">
        <f t="shared" ref="Q137:U137" si="1090">+Q126*$A$121</f>
        <v>168887.71428571429</v>
      </c>
      <c r="R137" s="46">
        <f t="shared" si="1090"/>
        <v>168887.71428571429</v>
      </c>
      <c r="S137" s="46">
        <f t="shared" si="1090"/>
        <v>168887.71428571429</v>
      </c>
      <c r="T137" s="46">
        <f t="shared" si="1090"/>
        <v>168887.71428571429</v>
      </c>
      <c r="U137" s="46">
        <f t="shared" si="1090"/>
        <v>168887.71428571429</v>
      </c>
      <c r="V137" s="35">
        <f>+V126*$A$121</f>
        <v>168887.71428571429</v>
      </c>
      <c r="W137" s="35">
        <f t="shared" ref="W137" si="1091">+W126*$A$121</f>
        <v>168887.71428571429</v>
      </c>
    </row>
    <row r="138" spans="1:86" x14ac:dyDescent="0.2">
      <c r="B138" s="226" t="s">
        <v>414</v>
      </c>
      <c r="C138" s="35"/>
      <c r="D138" s="35"/>
      <c r="E138" s="46">
        <f t="shared" ref="E138:G138" si="1092">+E127*$A$121</f>
        <v>0</v>
      </c>
      <c r="F138" s="46">
        <f t="shared" si="1092"/>
        <v>0</v>
      </c>
      <c r="G138" s="46">
        <f t="shared" si="1092"/>
        <v>0</v>
      </c>
      <c r="H138" s="35">
        <f t="shared" ref="H138:I139" si="1093">+H127*$A$121</f>
        <v>0</v>
      </c>
      <c r="I138" s="35">
        <f t="shared" si="1093"/>
        <v>493862.14285714284</v>
      </c>
      <c r="J138" s="35">
        <f t="shared" ref="J138:K138" si="1094">+J127*$A$121</f>
        <v>493862.14285714284</v>
      </c>
      <c r="K138" s="35">
        <f t="shared" si="1094"/>
        <v>493862.14285714284</v>
      </c>
      <c r="L138" s="35"/>
      <c r="M138" s="35"/>
      <c r="N138" s="35"/>
      <c r="O138" s="35"/>
      <c r="P138" s="35"/>
      <c r="Q138" s="46">
        <f t="shared" ref="Q138:W138" si="1095">+Q127*$A$121</f>
        <v>493862.14285714284</v>
      </c>
      <c r="R138" s="46">
        <f t="shared" si="1095"/>
        <v>493862.14285714284</v>
      </c>
      <c r="S138" s="46">
        <f t="shared" si="1095"/>
        <v>493862.14285714284</v>
      </c>
      <c r="T138" s="46">
        <f t="shared" si="1095"/>
        <v>493862.14285714284</v>
      </c>
      <c r="U138" s="46">
        <f t="shared" si="1095"/>
        <v>493862.14285714284</v>
      </c>
      <c r="V138" s="35">
        <f t="shared" si="1095"/>
        <v>493862.14285714284</v>
      </c>
      <c r="W138" s="35">
        <f t="shared" si="1095"/>
        <v>493862.14285714284</v>
      </c>
    </row>
    <row r="139" spans="1:86" x14ac:dyDescent="0.2">
      <c r="B139" s="226" t="s">
        <v>415</v>
      </c>
      <c r="C139" s="35"/>
      <c r="D139" s="35"/>
      <c r="E139" s="46">
        <f t="shared" ref="E139:G139" si="1096">+E128*$A$121</f>
        <v>0</v>
      </c>
      <c r="F139" s="46">
        <f t="shared" si="1096"/>
        <v>0</v>
      </c>
      <c r="G139" s="46">
        <f t="shared" si="1096"/>
        <v>0</v>
      </c>
      <c r="H139" s="35">
        <f t="shared" si="1093"/>
        <v>0</v>
      </c>
      <c r="I139" s="35">
        <f t="shared" si="1093"/>
        <v>646780.45714285714</v>
      </c>
      <c r="J139" s="35">
        <f t="shared" ref="J139:K139" si="1097">+J128*$A$121</f>
        <v>646780.45714285714</v>
      </c>
      <c r="K139" s="35">
        <f t="shared" si="1097"/>
        <v>646780.45714285714</v>
      </c>
      <c r="L139" s="35"/>
      <c r="M139" s="35"/>
      <c r="N139" s="35"/>
      <c r="O139" s="35"/>
      <c r="P139" s="35"/>
      <c r="Q139" s="46">
        <f t="shared" ref="Q139:W139" si="1098">+Q128*$A$121</f>
        <v>646780.45714285714</v>
      </c>
      <c r="R139" s="46">
        <f t="shared" si="1098"/>
        <v>646780.45714285714</v>
      </c>
      <c r="S139" s="46">
        <f t="shared" si="1098"/>
        <v>646780.45714285714</v>
      </c>
      <c r="T139" s="46">
        <f t="shared" si="1098"/>
        <v>646780.45714285714</v>
      </c>
      <c r="U139" s="46">
        <f t="shared" si="1098"/>
        <v>646780.45714285714</v>
      </c>
      <c r="V139" s="35">
        <f t="shared" si="1098"/>
        <v>646780.45714285714</v>
      </c>
      <c r="W139" s="35">
        <f t="shared" si="1098"/>
        <v>646780.45714285714</v>
      </c>
    </row>
    <row r="140" spans="1:86" x14ac:dyDescent="0.2">
      <c r="B140" s="226" t="s">
        <v>416</v>
      </c>
      <c r="C140" s="228"/>
      <c r="D140" s="228"/>
      <c r="E140" s="232">
        <f t="shared" ref="E140:G140" si="1099">E137+E138+E139</f>
        <v>0</v>
      </c>
      <c r="F140" s="232">
        <f t="shared" si="1099"/>
        <v>0</v>
      </c>
      <c r="G140" s="232">
        <f t="shared" si="1099"/>
        <v>0</v>
      </c>
      <c r="H140" s="228">
        <f t="shared" ref="H140:I140" si="1100">H137+H138+H139</f>
        <v>0</v>
      </c>
      <c r="I140" s="228">
        <f t="shared" si="1100"/>
        <v>1309530.3142857142</v>
      </c>
      <c r="J140" s="228">
        <f t="shared" ref="J140:K140" si="1101">J137+J138+J139</f>
        <v>1309530.3142857142</v>
      </c>
      <c r="K140" s="228">
        <f t="shared" si="1101"/>
        <v>1309530.3142857142</v>
      </c>
      <c r="L140" s="228"/>
      <c r="M140" s="228"/>
      <c r="N140" s="228"/>
      <c r="O140" s="228"/>
      <c r="P140" s="228"/>
      <c r="Q140" s="232">
        <f t="shared" ref="Q140:W140" si="1102">Q137+Q138+Q139</f>
        <v>1309530.3142857142</v>
      </c>
      <c r="R140" s="232">
        <f t="shared" si="1102"/>
        <v>1309530.3142857142</v>
      </c>
      <c r="S140" s="232">
        <f t="shared" si="1102"/>
        <v>1309530.3142857142</v>
      </c>
      <c r="T140" s="232">
        <f t="shared" si="1102"/>
        <v>1309530.3142857142</v>
      </c>
      <c r="U140" s="232">
        <f t="shared" si="1102"/>
        <v>1309530.3142857142</v>
      </c>
      <c r="V140" s="228">
        <f t="shared" si="1102"/>
        <v>1309530.3142857142</v>
      </c>
      <c r="W140" s="228">
        <f t="shared" si="1102"/>
        <v>1309530.3142857142</v>
      </c>
    </row>
    <row r="142" spans="1:86" x14ac:dyDescent="0.2">
      <c r="B142" s="226" t="s">
        <v>491</v>
      </c>
    </row>
    <row r="143" spans="1:86" x14ac:dyDescent="0.2">
      <c r="B143" s="469">
        <f>SUM(C126:I126)-SUM(C137:I137)</f>
        <v>0</v>
      </c>
      <c r="C143" s="46"/>
      <c r="D143" s="46"/>
      <c r="E143" s="46"/>
      <c r="F143" s="46"/>
      <c r="G143" s="46"/>
    </row>
    <row r="144" spans="1:86" x14ac:dyDescent="0.2">
      <c r="B144" s="226" t="s">
        <v>492</v>
      </c>
      <c r="T144" s="244"/>
      <c r="U144" s="228"/>
      <c r="V144" s="230"/>
      <c r="W144" s="245"/>
    </row>
    <row r="145" spans="2:23" x14ac:dyDescent="0.2">
      <c r="B145" s="470">
        <f>SUM(C127:I127)-SUM(C138:I138)</f>
        <v>0</v>
      </c>
      <c r="C145" s="246"/>
      <c r="D145" s="246"/>
      <c r="E145" s="246"/>
      <c r="F145" s="246"/>
      <c r="G145" s="246"/>
      <c r="T145" s="244"/>
      <c r="U145" s="228"/>
      <c r="V145" s="230"/>
      <c r="W145" s="245"/>
    </row>
    <row r="146" spans="2:23" x14ac:dyDescent="0.2">
      <c r="B146" s="226" t="s">
        <v>493</v>
      </c>
      <c r="T146" s="244"/>
      <c r="U146" s="228"/>
      <c r="V146" s="230"/>
      <c r="W146" s="245"/>
    </row>
    <row r="147" spans="2:23" x14ac:dyDescent="0.2">
      <c r="B147" s="470">
        <f>SUM(C128:I128)-SUM(C139:I139)</f>
        <v>0</v>
      </c>
      <c r="C147" s="246"/>
      <c r="D147" s="246"/>
      <c r="E147" s="246"/>
      <c r="F147" s="246"/>
      <c r="G147" s="246"/>
    </row>
    <row r="148" spans="2:23" x14ac:dyDescent="0.2">
      <c r="V148" s="244"/>
    </row>
    <row r="150" spans="2:23" x14ac:dyDescent="0.2">
      <c r="B150" s="226" t="s">
        <v>494</v>
      </c>
    </row>
    <row r="151" spans="2:23" x14ac:dyDescent="0.2">
      <c r="B151" s="246">
        <f>+B143+B147</f>
        <v>0</v>
      </c>
      <c r="C151" s="246"/>
      <c r="D151" s="246"/>
      <c r="E151" s="246"/>
      <c r="F151" s="246"/>
      <c r="G151" s="246"/>
    </row>
  </sheetData>
  <phoneticPr fontId="2" type="noConversion"/>
  <pageMargins left="0.75" right="0.75" top="1" bottom="1" header="0.5" footer="0.5"/>
  <pageSetup scale="38" fitToHeight="2" orientation="landscape" horizontalDpi="300" r:id="rId1"/>
  <headerFooter alignWithMargins="0"/>
  <rowBreaks count="1" manualBreakCount="1">
    <brk id="53" max="76" man="1"/>
  </rowBreaks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view="pageBreakPreview" zoomScale="70" zoomScaleNormal="100" zoomScaleSheetLayoutView="70" workbookViewId="0">
      <pane ySplit="8" topLeftCell="A15" activePane="bottomLeft" state="frozen"/>
      <selection activeCell="E28" sqref="E28"/>
      <selection pane="bottomLeft" activeCell="H2" sqref="H2"/>
    </sheetView>
  </sheetViews>
  <sheetFormatPr defaultColWidth="9.140625" defaultRowHeight="12.75" x14ac:dyDescent="0.2"/>
  <cols>
    <col min="1" max="1" width="9.140625" style="205"/>
    <col min="2" max="2" width="26" style="205" bestFit="1" customWidth="1"/>
    <col min="3" max="6" width="10.7109375" style="205" customWidth="1"/>
    <col min="7" max="16384" width="9.140625" style="205"/>
  </cols>
  <sheetData>
    <row r="1" spans="1:9" x14ac:dyDescent="0.2">
      <c r="A1" s="617" t="s">
        <v>93</v>
      </c>
      <c r="B1" s="618"/>
      <c r="C1" s="617"/>
      <c r="D1" s="617"/>
      <c r="E1" s="617"/>
      <c r="F1" s="622"/>
    </row>
    <row r="2" spans="1:9" x14ac:dyDescent="0.2">
      <c r="A2" s="617" t="s">
        <v>676</v>
      </c>
      <c r="B2" s="618"/>
      <c r="C2" s="617"/>
      <c r="D2" s="617"/>
      <c r="E2" s="617"/>
      <c r="F2" s="622"/>
    </row>
    <row r="3" spans="1:9" x14ac:dyDescent="0.2">
      <c r="A3" s="617" t="str">
        <f>'Test Year Revenue Present'!G6</f>
        <v>TEST YEAR ENDING MAR, 31 2019</v>
      </c>
      <c r="B3" s="618"/>
      <c r="C3" s="617"/>
      <c r="D3" s="617"/>
      <c r="E3" s="617"/>
      <c r="F3" s="622"/>
    </row>
    <row r="4" spans="1:9" x14ac:dyDescent="0.2">
      <c r="A4" s="254"/>
      <c r="B4" s="255"/>
      <c r="C4" s="255"/>
      <c r="D4" s="255"/>
      <c r="E4" s="255"/>
    </row>
    <row r="5" spans="1:9" x14ac:dyDescent="0.2">
      <c r="A5" s="254"/>
      <c r="B5" s="255"/>
      <c r="C5" s="255"/>
      <c r="D5" s="255"/>
      <c r="E5" s="255"/>
    </row>
    <row r="6" spans="1:9" x14ac:dyDescent="0.2">
      <c r="A6" s="265" t="s">
        <v>12</v>
      </c>
      <c r="B6" s="255"/>
      <c r="C6" s="265" t="s">
        <v>677</v>
      </c>
      <c r="D6" s="265" t="s">
        <v>170</v>
      </c>
      <c r="E6" s="265" t="s">
        <v>171</v>
      </c>
    </row>
    <row r="7" spans="1:9" x14ac:dyDescent="0.2">
      <c r="A7" s="277" t="s">
        <v>17</v>
      </c>
      <c r="B7" s="278" t="s">
        <v>173</v>
      </c>
      <c r="C7" s="277" t="s">
        <v>678</v>
      </c>
      <c r="D7" s="277" t="s">
        <v>6</v>
      </c>
      <c r="E7" s="277" t="s">
        <v>6</v>
      </c>
      <c r="F7" s="253"/>
    </row>
    <row r="8" spans="1:9" ht="15.75" x14ac:dyDescent="0.25">
      <c r="A8" s="257"/>
      <c r="B8" s="265" t="s">
        <v>13</v>
      </c>
      <c r="C8" s="265" t="s">
        <v>14</v>
      </c>
      <c r="D8" s="265" t="s">
        <v>15</v>
      </c>
      <c r="E8" s="265" t="s">
        <v>16</v>
      </c>
      <c r="F8" s="265" t="s">
        <v>108</v>
      </c>
    </row>
    <row r="9" spans="1:9" x14ac:dyDescent="0.2">
      <c r="A9" s="255"/>
      <c r="B9" s="258"/>
      <c r="C9" s="255"/>
      <c r="D9" s="255"/>
      <c r="E9" s="255"/>
    </row>
    <row r="10" spans="1:9" ht="15.75" x14ac:dyDescent="0.25">
      <c r="A10" s="265">
        <v>1</v>
      </c>
      <c r="B10" s="258" t="s">
        <v>177</v>
      </c>
      <c r="C10" s="272"/>
      <c r="D10" s="473"/>
      <c r="E10" s="272"/>
    </row>
    <row r="11" spans="1:9" x14ac:dyDescent="0.2">
      <c r="A11" s="265">
        <v>2</v>
      </c>
      <c r="B11" s="255" t="s">
        <v>179</v>
      </c>
      <c r="C11" s="267" t="s">
        <v>7</v>
      </c>
      <c r="D11" s="619">
        <f>'Rate Design'!G12</f>
        <v>19.059999999999999</v>
      </c>
      <c r="E11" s="619">
        <f>'Rate Design'!H12</f>
        <v>20.5</v>
      </c>
      <c r="H11" s="747">
        <f>+E11-D11</f>
        <v>1.4400000000000013</v>
      </c>
      <c r="I11" s="375">
        <f>+H11/D11</f>
        <v>7.5550891920251911E-2</v>
      </c>
    </row>
    <row r="12" spans="1:9" x14ac:dyDescent="0.2">
      <c r="A12" s="265">
        <v>3</v>
      </c>
      <c r="B12" s="255" t="s">
        <v>181</v>
      </c>
      <c r="C12" s="267" t="s">
        <v>7</v>
      </c>
      <c r="D12" s="140">
        <f>'Rate Design'!G13</f>
        <v>49.74</v>
      </c>
      <c r="E12" s="140">
        <f>'Rate Design'!H13</f>
        <v>52.5</v>
      </c>
      <c r="H12" s="747">
        <f t="shared" ref="H12:H15" si="0">+E12-D12</f>
        <v>2.759999999999998</v>
      </c>
      <c r="I12" s="375">
        <f t="shared" ref="I12:I15" si="1">+H12/D12</f>
        <v>5.5488540410132646E-2</v>
      </c>
    </row>
    <row r="13" spans="1:9" x14ac:dyDescent="0.2">
      <c r="A13" s="265">
        <v>4</v>
      </c>
      <c r="B13" s="255" t="s">
        <v>527</v>
      </c>
      <c r="C13" s="267" t="s">
        <v>522</v>
      </c>
      <c r="D13" s="140">
        <f>'Rate Design'!G14</f>
        <v>393.35</v>
      </c>
      <c r="E13" s="140">
        <f>'Rate Design'!H14</f>
        <v>400</v>
      </c>
      <c r="H13" s="747">
        <f t="shared" si="0"/>
        <v>6.6499999999999773</v>
      </c>
      <c r="I13" s="375">
        <f t="shared" si="1"/>
        <v>1.6906063302402383E-2</v>
      </c>
    </row>
    <row r="14" spans="1:9" x14ac:dyDescent="0.2">
      <c r="A14" s="265">
        <v>5</v>
      </c>
      <c r="B14" s="255" t="s">
        <v>524</v>
      </c>
      <c r="C14" s="267" t="s">
        <v>523</v>
      </c>
      <c r="D14" s="140">
        <f>'Rate Design'!G15</f>
        <v>396.49</v>
      </c>
      <c r="E14" s="140">
        <f>'Rate Design'!H15</f>
        <v>400</v>
      </c>
      <c r="H14" s="747">
        <f t="shared" si="0"/>
        <v>3.5099999999999909</v>
      </c>
      <c r="I14" s="375">
        <f t="shared" si="1"/>
        <v>8.8526822870690081E-3</v>
      </c>
    </row>
    <row r="15" spans="1:9" x14ac:dyDescent="0.2">
      <c r="A15" s="265">
        <v>6</v>
      </c>
      <c r="B15" s="255" t="s">
        <v>526</v>
      </c>
      <c r="C15" s="267" t="s">
        <v>525</v>
      </c>
      <c r="D15" s="140">
        <f>'Rate Design'!G16</f>
        <v>398.04</v>
      </c>
      <c r="E15" s="140">
        <f>'Rate Design'!H16</f>
        <v>400</v>
      </c>
      <c r="H15" s="747">
        <f t="shared" si="0"/>
        <v>1.9599999999999795</v>
      </c>
      <c r="I15" s="375">
        <f t="shared" si="1"/>
        <v>4.9241282283187101E-3</v>
      </c>
    </row>
    <row r="16" spans="1:9" x14ac:dyDescent="0.2">
      <c r="A16" s="265">
        <v>7</v>
      </c>
      <c r="B16" s="255"/>
      <c r="C16" s="267"/>
      <c r="D16" s="546"/>
      <c r="E16" s="294"/>
    </row>
    <row r="17" spans="1:12" ht="15.75" x14ac:dyDescent="0.25">
      <c r="A17" s="265">
        <v>8</v>
      </c>
      <c r="B17" s="258" t="s">
        <v>187</v>
      </c>
      <c r="C17" s="283"/>
      <c r="D17" s="546"/>
      <c r="E17" s="307">
        <f>+D17</f>
        <v>0</v>
      </c>
    </row>
    <row r="18" spans="1:12" x14ac:dyDescent="0.2">
      <c r="A18" s="265">
        <v>9</v>
      </c>
      <c r="B18" s="255" t="s">
        <v>403</v>
      </c>
      <c r="C18" s="267" t="s">
        <v>7</v>
      </c>
      <c r="D18" s="262"/>
      <c r="E18" s="262"/>
    </row>
    <row r="19" spans="1:12" ht="15.75" x14ac:dyDescent="0.25">
      <c r="A19" s="265">
        <v>10</v>
      </c>
      <c r="B19" s="265" t="s">
        <v>190</v>
      </c>
      <c r="C19" s="283"/>
      <c r="D19" s="621">
        <f>'Rate Design'!G19</f>
        <v>1.534</v>
      </c>
      <c r="E19" s="621">
        <f>'Rate Design'!H19</f>
        <v>1.825</v>
      </c>
      <c r="H19" s="205">
        <v>5.0564</v>
      </c>
      <c r="I19" s="748">
        <f>+H19+D19</f>
        <v>6.5903999999999998</v>
      </c>
      <c r="J19" s="748">
        <f>+E19+H19</f>
        <v>6.8814000000000002</v>
      </c>
      <c r="K19" s="748">
        <f>+J19-I19</f>
        <v>0.29100000000000037</v>
      </c>
      <c r="L19" s="375">
        <f>+K19/I19</f>
        <v>4.4155134741442156E-2</v>
      </c>
    </row>
    <row r="20" spans="1:12" x14ac:dyDescent="0.2">
      <c r="A20" s="265">
        <v>11</v>
      </c>
      <c r="B20" s="265" t="s">
        <v>191</v>
      </c>
      <c r="C20" s="267"/>
      <c r="D20" s="14">
        <f>'Rate Design'!G20</f>
        <v>0.95</v>
      </c>
      <c r="E20" s="14">
        <f>'Rate Design'!H20</f>
        <v>1.1850000000000001</v>
      </c>
      <c r="H20" s="205">
        <f>+H19</f>
        <v>5.0564</v>
      </c>
      <c r="I20" s="748">
        <f t="shared" ref="I20:I21" si="2">+H20+D20</f>
        <v>6.0064000000000002</v>
      </c>
      <c r="J20" s="748">
        <f t="shared" ref="J20:J21" si="3">+E20+H20</f>
        <v>6.2414000000000005</v>
      </c>
      <c r="K20" s="748">
        <f t="shared" ref="K20:K21" si="4">+J20-I20</f>
        <v>0.23500000000000032</v>
      </c>
      <c r="L20" s="375">
        <f t="shared" ref="L20:L21" si="5">+K20/I20</f>
        <v>3.9124933404368727E-2</v>
      </c>
    </row>
    <row r="21" spans="1:12" x14ac:dyDescent="0.2">
      <c r="A21" s="265">
        <v>12</v>
      </c>
      <c r="B21" s="265" t="s">
        <v>192</v>
      </c>
      <c r="C21" s="272"/>
      <c r="D21" s="14">
        <f>'Rate Design'!G21</f>
        <v>0.74</v>
      </c>
      <c r="E21" s="14">
        <f>'Rate Design'!H21</f>
        <v>0.9</v>
      </c>
      <c r="H21" s="205">
        <f>+H20</f>
        <v>5.0564</v>
      </c>
      <c r="I21" s="748">
        <f t="shared" si="2"/>
        <v>5.7964000000000002</v>
      </c>
      <c r="J21" s="748">
        <f t="shared" si="3"/>
        <v>5.9564000000000004</v>
      </c>
      <c r="K21" s="748">
        <f t="shared" si="4"/>
        <v>0.16000000000000014</v>
      </c>
      <c r="L21" s="375">
        <f t="shared" si="5"/>
        <v>2.7603340004140525E-2</v>
      </c>
    </row>
    <row r="22" spans="1:12" x14ac:dyDescent="0.2">
      <c r="A22" s="265">
        <v>13</v>
      </c>
      <c r="B22" s="255" t="s">
        <v>524</v>
      </c>
      <c r="C22" s="267" t="s">
        <v>523</v>
      </c>
      <c r="D22" s="619"/>
      <c r="E22" s="619"/>
    </row>
    <row r="23" spans="1:12" ht="15.75" x14ac:dyDescent="0.25">
      <c r="A23" s="265">
        <v>14</v>
      </c>
      <c r="B23" s="265" t="s">
        <v>190</v>
      </c>
      <c r="C23" s="283"/>
      <c r="D23" s="621">
        <f>'Rate Design'!G23</f>
        <v>1.6233</v>
      </c>
      <c r="E23" s="621">
        <f>'Rate Design'!H23</f>
        <v>1.825</v>
      </c>
      <c r="K23" s="748">
        <f>+E23-D23</f>
        <v>0.20169999999999999</v>
      </c>
      <c r="L23" s="375">
        <f>+K23/D23</f>
        <v>0.12425306474465594</v>
      </c>
    </row>
    <row r="24" spans="1:12" x14ac:dyDescent="0.2">
      <c r="A24" s="265">
        <v>15</v>
      </c>
      <c r="B24" s="265" t="s">
        <v>191</v>
      </c>
      <c r="C24" s="267"/>
      <c r="D24" s="14">
        <f>'Rate Design'!G24</f>
        <v>1.0052999999999999</v>
      </c>
      <c r="E24" s="14">
        <f>'Rate Design'!H24</f>
        <v>1.1850000000000001</v>
      </c>
      <c r="K24" s="748">
        <f t="shared" ref="K24:K25" si="6">+E24-D24</f>
        <v>0.17970000000000019</v>
      </c>
      <c r="L24" s="375">
        <f t="shared" ref="L24:L25" si="7">+K24/D24</f>
        <v>0.17875261116084773</v>
      </c>
    </row>
    <row r="25" spans="1:12" x14ac:dyDescent="0.2">
      <c r="A25" s="265">
        <v>16</v>
      </c>
      <c r="B25" s="265" t="s">
        <v>192</v>
      </c>
      <c r="C25" s="272"/>
      <c r="D25" s="14">
        <f>'Rate Design'!G25</f>
        <v>0.78310000000000002</v>
      </c>
      <c r="E25" s="14">
        <f>'Rate Design'!H25</f>
        <v>0.9</v>
      </c>
      <c r="K25" s="748">
        <f t="shared" si="6"/>
        <v>0.1169</v>
      </c>
      <c r="L25" s="375">
        <f t="shared" si="7"/>
        <v>0.1492785084918912</v>
      </c>
    </row>
    <row r="26" spans="1:12" x14ac:dyDescent="0.2">
      <c r="A26" s="265">
        <v>17</v>
      </c>
      <c r="B26" s="255" t="s">
        <v>527</v>
      </c>
      <c r="C26" s="267" t="s">
        <v>522</v>
      </c>
      <c r="D26" s="272"/>
      <c r="E26" s="272"/>
    </row>
    <row r="27" spans="1:12" x14ac:dyDescent="0.2">
      <c r="A27" s="265">
        <v>18</v>
      </c>
      <c r="B27" s="265" t="s">
        <v>196</v>
      </c>
      <c r="C27" s="272"/>
      <c r="D27" s="621">
        <f>'Rate Design'!G27</f>
        <v>0.90900000000000003</v>
      </c>
      <c r="E27" s="621">
        <f>'Rate Design'!H27</f>
        <v>1.0449999999999999</v>
      </c>
      <c r="H27" s="205">
        <v>3.8407</v>
      </c>
      <c r="I27" s="748">
        <f>+D27+H27</f>
        <v>4.7496999999999998</v>
      </c>
      <c r="J27" s="748">
        <f>+H27+E27</f>
        <v>4.8856999999999999</v>
      </c>
      <c r="K27" s="748">
        <f>+J27-I27</f>
        <v>0.13600000000000012</v>
      </c>
      <c r="L27" s="375">
        <f>+K27/I27</f>
        <v>2.8633387371834036E-2</v>
      </c>
    </row>
    <row r="28" spans="1:12" x14ac:dyDescent="0.2">
      <c r="A28" s="265">
        <v>19</v>
      </c>
      <c r="B28" s="265" t="s">
        <v>192</v>
      </c>
      <c r="C28" s="272"/>
      <c r="D28" s="14">
        <f>'Rate Design'!G28</f>
        <v>0.68489999999999995</v>
      </c>
      <c r="E28" s="14">
        <f>'Rate Design'!H28</f>
        <v>0.76400000000000001</v>
      </c>
      <c r="H28" s="205">
        <f>+H27</f>
        <v>3.8407</v>
      </c>
      <c r="I28" s="749">
        <f>+H28+D28</f>
        <v>4.5255999999999998</v>
      </c>
      <c r="J28" s="749">
        <f>+H28+E28</f>
        <v>4.6047000000000002</v>
      </c>
      <c r="K28" s="748">
        <f t="shared" ref="K28" si="8">+J28-I28</f>
        <v>7.9100000000000392E-2</v>
      </c>
      <c r="L28" s="375">
        <f t="shared" ref="L28" si="9">+K28/I28</f>
        <v>1.7478345412763035E-2</v>
      </c>
    </row>
    <row r="29" spans="1:12" x14ac:dyDescent="0.2">
      <c r="A29" s="265">
        <v>20</v>
      </c>
      <c r="B29" s="255" t="s">
        <v>526</v>
      </c>
      <c r="C29" s="267" t="s">
        <v>525</v>
      </c>
      <c r="D29" s="272"/>
      <c r="E29" s="272"/>
    </row>
    <row r="30" spans="1:12" x14ac:dyDescent="0.2">
      <c r="A30" s="265">
        <v>21</v>
      </c>
      <c r="B30" s="265" t="s">
        <v>196</v>
      </c>
      <c r="C30" s="272"/>
      <c r="D30" s="621">
        <f>'Rate Design'!G30</f>
        <v>0.90310000000000012</v>
      </c>
      <c r="E30" s="621">
        <f>'Rate Design'!H30</f>
        <v>1.0449999999999999</v>
      </c>
      <c r="K30" s="748">
        <f t="shared" ref="K30" si="10">+E30-D30</f>
        <v>0.1418999999999998</v>
      </c>
      <c r="L30" s="375">
        <f t="shared" ref="L30" si="11">+K30/D30</f>
        <v>0.15712545676004849</v>
      </c>
    </row>
    <row r="31" spans="1:12" x14ac:dyDescent="0.2">
      <c r="A31" s="265">
        <v>22</v>
      </c>
      <c r="B31" s="265" t="s">
        <v>192</v>
      </c>
      <c r="C31" s="272"/>
      <c r="D31" s="14">
        <f>'Rate Design'!G31</f>
        <v>0.68049999999999999</v>
      </c>
      <c r="E31" s="14">
        <f>'Rate Design'!H31</f>
        <v>0.76400000000000001</v>
      </c>
      <c r="K31" s="748">
        <f t="shared" ref="K31" si="12">+E31-D31</f>
        <v>8.3500000000000019E-2</v>
      </c>
      <c r="L31" s="375">
        <f t="shared" ref="L31" si="13">+K31/D31</f>
        <v>0.12270389419544456</v>
      </c>
    </row>
    <row r="32" spans="1:12" x14ac:dyDescent="0.2">
      <c r="A32" s="265">
        <v>23</v>
      </c>
      <c r="B32" s="265"/>
      <c r="C32" s="272"/>
      <c r="D32" s="14"/>
      <c r="E32" s="14"/>
    </row>
    <row r="33" spans="1:6" x14ac:dyDescent="0.2">
      <c r="A33" s="265">
        <v>24</v>
      </c>
      <c r="B33" s="258" t="s">
        <v>204</v>
      </c>
      <c r="C33" s="272"/>
      <c r="D33" s="276"/>
      <c r="E33" s="276"/>
    </row>
    <row r="34" spans="1:6" x14ac:dyDescent="0.2">
      <c r="A34" s="265">
        <v>25</v>
      </c>
      <c r="B34" s="255" t="s">
        <v>205</v>
      </c>
      <c r="C34" s="267" t="s">
        <v>206</v>
      </c>
      <c r="D34" s="620">
        <f>'Rate Design'!G33</f>
        <v>50</v>
      </c>
      <c r="E34" s="620">
        <f>'Rate Design'!H33</f>
        <v>50</v>
      </c>
    </row>
    <row r="35" spans="1:6" x14ac:dyDescent="0.2">
      <c r="A35" s="265">
        <v>26</v>
      </c>
      <c r="B35" s="255" t="s">
        <v>207</v>
      </c>
      <c r="C35" s="267" t="s">
        <v>186</v>
      </c>
      <c r="D35" s="140">
        <f>'Rate Design'!G34</f>
        <v>0.1</v>
      </c>
      <c r="E35" s="140">
        <f>'Rate Design'!H34</f>
        <v>0.1</v>
      </c>
    </row>
    <row r="36" spans="1:6" x14ac:dyDescent="0.2">
      <c r="A36" s="265">
        <v>27</v>
      </c>
      <c r="B36" s="255"/>
      <c r="C36" s="267"/>
      <c r="D36" s="547"/>
      <c r="E36" s="294"/>
    </row>
    <row r="37" spans="1:6" x14ac:dyDescent="0.2">
      <c r="A37" s="265">
        <v>28</v>
      </c>
      <c r="B37" s="255"/>
      <c r="C37" s="617" t="s">
        <v>219</v>
      </c>
      <c r="D37" s="617"/>
      <c r="E37" s="617" t="s">
        <v>172</v>
      </c>
      <c r="F37" s="617"/>
    </row>
    <row r="38" spans="1:6" x14ac:dyDescent="0.2">
      <c r="A38" s="265">
        <v>29</v>
      </c>
      <c r="B38" s="255"/>
      <c r="C38" s="277" t="s">
        <v>175</v>
      </c>
      <c r="D38" s="277" t="s">
        <v>176</v>
      </c>
      <c r="E38" s="277" t="s">
        <v>175</v>
      </c>
      <c r="F38" s="280" t="s">
        <v>176</v>
      </c>
    </row>
    <row r="39" spans="1:6" x14ac:dyDescent="0.2">
      <c r="A39" s="265">
        <v>30</v>
      </c>
      <c r="B39" s="258" t="s">
        <v>178</v>
      </c>
    </row>
    <row r="40" spans="1:6" x14ac:dyDescent="0.2">
      <c r="A40" s="265">
        <v>31</v>
      </c>
      <c r="B40" s="255" t="s">
        <v>180</v>
      </c>
      <c r="C40" s="623">
        <f>'Rate Design'!L12</f>
        <v>34</v>
      </c>
      <c r="D40" s="623">
        <f>'Rate Design'!M12</f>
        <v>44</v>
      </c>
      <c r="E40" s="623">
        <f>'Rate Design'!N12</f>
        <v>34</v>
      </c>
      <c r="F40" s="623">
        <f>'Rate Design'!O12</f>
        <v>44</v>
      </c>
    </row>
    <row r="41" spans="1:6" x14ac:dyDescent="0.2">
      <c r="A41" s="265">
        <v>32</v>
      </c>
      <c r="B41" s="255" t="s">
        <v>220</v>
      </c>
      <c r="C41" s="624">
        <f>'Rate Design'!L13</f>
        <v>23</v>
      </c>
      <c r="D41" s="624">
        <f>'Rate Design'!M13</f>
        <v>28</v>
      </c>
      <c r="E41" s="624">
        <f>'Rate Design'!N13</f>
        <v>23</v>
      </c>
      <c r="F41" s="624">
        <f>'Rate Design'!O13</f>
        <v>28</v>
      </c>
    </row>
    <row r="42" spans="1:6" x14ac:dyDescent="0.2">
      <c r="A42" s="265">
        <v>33</v>
      </c>
      <c r="B42" s="255" t="s">
        <v>221</v>
      </c>
      <c r="C42" s="624">
        <f>'Rate Design'!L14</f>
        <v>12</v>
      </c>
      <c r="D42" s="624">
        <f>'Rate Design'!M14</f>
        <v>14</v>
      </c>
      <c r="E42" s="624">
        <f>'Rate Design'!N14</f>
        <v>12</v>
      </c>
      <c r="F42" s="624">
        <f>'Rate Design'!O14</f>
        <v>14</v>
      </c>
    </row>
    <row r="43" spans="1:6" x14ac:dyDescent="0.2">
      <c r="A43" s="265">
        <v>34</v>
      </c>
      <c r="B43" s="255" t="s">
        <v>222</v>
      </c>
      <c r="C43" s="624">
        <f>'Rate Design'!L15</f>
        <v>39</v>
      </c>
      <c r="D43" s="624">
        <f>'Rate Design'!M15</f>
        <v>47</v>
      </c>
      <c r="E43" s="624">
        <f>'Rate Design'!N15</f>
        <v>39</v>
      </c>
      <c r="F43" s="624">
        <f>'Rate Design'!O15</f>
        <v>47</v>
      </c>
    </row>
    <row r="44" spans="1:6" x14ac:dyDescent="0.2">
      <c r="A44" s="265">
        <v>35</v>
      </c>
      <c r="B44" s="255" t="s">
        <v>223</v>
      </c>
      <c r="C44" s="624">
        <f>'Rate Design'!L16</f>
        <v>65</v>
      </c>
      <c r="D44" s="624">
        <f>'Rate Design'!M16</f>
        <v>73</v>
      </c>
      <c r="E44" s="624">
        <f>'Rate Design'!N16</f>
        <v>65</v>
      </c>
      <c r="F44" s="624">
        <f>'Rate Design'!O16</f>
        <v>73</v>
      </c>
    </row>
    <row r="45" spans="1:6" x14ac:dyDescent="0.2">
      <c r="A45" s="265">
        <v>36</v>
      </c>
      <c r="B45" s="255" t="s">
        <v>195</v>
      </c>
      <c r="C45" s="624">
        <f>'Rate Design'!L17</f>
        <v>0</v>
      </c>
      <c r="D45" s="624" t="str">
        <f>'Rate Design'!M17</f>
        <v>N/A</v>
      </c>
      <c r="E45" s="624">
        <f>'Rate Design'!N17</f>
        <v>0</v>
      </c>
      <c r="F45" s="624" t="str">
        <f>'Rate Design'!O17</f>
        <v>N/A</v>
      </c>
    </row>
    <row r="46" spans="1:6" x14ac:dyDescent="0.2">
      <c r="A46" s="265">
        <v>37</v>
      </c>
      <c r="B46" s="255" t="s">
        <v>224</v>
      </c>
      <c r="C46" s="624">
        <f>'Rate Design'!L18</f>
        <v>20</v>
      </c>
      <c r="D46" s="624" t="str">
        <f>'Rate Design'!M18</f>
        <v>N/A</v>
      </c>
      <c r="E46" s="624">
        <f>'Rate Design'!N18</f>
        <v>20</v>
      </c>
      <c r="F46" s="624" t="str">
        <f>'Rate Design'!O18</f>
        <v>N/A</v>
      </c>
    </row>
    <row r="47" spans="1:6" x14ac:dyDescent="0.2">
      <c r="A47" s="265">
        <v>38</v>
      </c>
      <c r="B47" s="255" t="s">
        <v>197</v>
      </c>
      <c r="C47" s="624">
        <f>'Rate Design'!L19</f>
        <v>25</v>
      </c>
      <c r="D47" s="624" t="str">
        <f>'Rate Design'!M19</f>
        <v>N/A</v>
      </c>
      <c r="E47" s="624">
        <f>'Rate Design'!N19</f>
        <v>25</v>
      </c>
      <c r="F47" s="624" t="str">
        <f>'Rate Design'!O19</f>
        <v>N/A</v>
      </c>
    </row>
    <row r="48" spans="1:6" x14ac:dyDescent="0.2">
      <c r="A48" s="265">
        <v>39</v>
      </c>
      <c r="B48" s="255" t="s">
        <v>198</v>
      </c>
      <c r="C48" s="624">
        <f>'Rate Design'!L21</f>
        <v>75</v>
      </c>
      <c r="D48" s="624" t="str">
        <f>'Rate Design'!M21</f>
        <v>N/A</v>
      </c>
      <c r="E48" s="624">
        <f>'Rate Design'!N21</f>
        <v>75</v>
      </c>
      <c r="F48" s="624" t="str">
        <f>'Rate Design'!O21</f>
        <v>N/A</v>
      </c>
    </row>
    <row r="49" spans="1:6" x14ac:dyDescent="0.2">
      <c r="A49" s="265">
        <v>40</v>
      </c>
      <c r="B49" s="255" t="s">
        <v>199</v>
      </c>
      <c r="C49" s="624">
        <f>'Rate Design'!L22</f>
        <v>175</v>
      </c>
      <c r="D49" s="624" t="str">
        <f>'Rate Design'!M22</f>
        <v>N/A</v>
      </c>
      <c r="E49" s="624">
        <f>'Rate Design'!N22</f>
        <v>175</v>
      </c>
      <c r="F49" s="624" t="str">
        <f>'Rate Design'!O22</f>
        <v>N/A</v>
      </c>
    </row>
    <row r="50" spans="1:6" x14ac:dyDescent="0.2">
      <c r="A50" s="265">
        <v>41</v>
      </c>
      <c r="B50" s="255" t="s">
        <v>202</v>
      </c>
      <c r="C50" s="625">
        <f>'Rate Design'!L20</f>
        <v>0.05</v>
      </c>
      <c r="D50" s="625">
        <f>'Rate Design'!M20</f>
        <v>0.05</v>
      </c>
      <c r="E50" s="625">
        <f>'Rate Design'!N20</f>
        <v>0.05</v>
      </c>
      <c r="F50" s="625">
        <f>'Rate Design'!O20</f>
        <v>0.05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1">
    <tabColor rgb="FFFF0000"/>
  </sheetPr>
  <dimension ref="A1:AK4251"/>
  <sheetViews>
    <sheetView showGridLines="0" topLeftCell="A16" workbookViewId="0">
      <selection activeCell="E40" sqref="E40"/>
    </sheetView>
  </sheetViews>
  <sheetFormatPr defaultColWidth="9" defaultRowHeight="12.75" x14ac:dyDescent="0.2"/>
  <cols>
    <col min="1" max="1" width="5.5703125" style="2" bestFit="1" customWidth="1"/>
    <col min="2" max="2" width="29.5703125" style="2" customWidth="1"/>
    <col min="3" max="3" width="9.85546875" style="3" bestFit="1" customWidth="1"/>
    <col min="4" max="4" width="15.140625" style="3" customWidth="1"/>
    <col min="5" max="5" width="9" style="3"/>
    <col min="6" max="6" width="19" style="3" customWidth="1"/>
    <col min="7" max="7" width="3" style="3" customWidth="1"/>
    <col min="8" max="8" width="12.85546875" style="3" customWidth="1"/>
    <col min="9" max="9" width="26.85546875" style="17" customWidth="1"/>
    <col min="10" max="10" width="16.42578125" style="18" customWidth="1"/>
    <col min="11" max="11" width="13.85546875" style="18" customWidth="1"/>
    <col min="12" max="12" width="16.5703125" style="18" customWidth="1"/>
    <col min="13" max="13" width="11.5703125" style="18" bestFit="1" customWidth="1"/>
    <col min="14" max="14" width="17.5703125" style="18" customWidth="1"/>
    <col min="15" max="37" width="9" style="18"/>
    <col min="38" max="16384" width="9" style="3"/>
  </cols>
  <sheetData>
    <row r="1" spans="1:37" s="2" customFormat="1" x14ac:dyDescent="0.2">
      <c r="B1" s="2" t="s">
        <v>394</v>
      </c>
      <c r="G1" s="6" t="s">
        <v>10</v>
      </c>
      <c r="H1" s="6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</row>
    <row r="2" spans="1:37" s="2" customFormat="1" x14ac:dyDescent="0.2"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</row>
    <row r="3" spans="1:37" s="2" customFormat="1" x14ac:dyDescent="0.2">
      <c r="A3" s="19" t="s">
        <v>9</v>
      </c>
      <c r="B3" s="19"/>
      <c r="C3" s="19"/>
      <c r="D3" s="19"/>
      <c r="E3" s="20"/>
      <c r="F3" s="19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</row>
    <row r="4" spans="1:37" s="2" customFormat="1" x14ac:dyDescent="0.2">
      <c r="A4" s="19" t="s">
        <v>11</v>
      </c>
      <c r="B4" s="19"/>
      <c r="C4" s="19"/>
      <c r="D4" s="19"/>
      <c r="E4" s="20"/>
      <c r="F4" s="19"/>
      <c r="I4" s="17"/>
      <c r="J4" s="17"/>
      <c r="K4" s="17"/>
      <c r="L4" s="22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</row>
    <row r="5" spans="1:37" s="2" customFormat="1" x14ac:dyDescent="0.2">
      <c r="A5" s="19" t="s">
        <v>547</v>
      </c>
      <c r="B5" s="19"/>
      <c r="C5" s="19"/>
      <c r="D5" s="19"/>
      <c r="E5" s="21"/>
      <c r="F5" s="19"/>
      <c r="I5" s="17"/>
      <c r="J5" s="17"/>
      <c r="K5" s="17"/>
      <c r="L5" s="23"/>
      <c r="M5" s="17"/>
      <c r="N5" s="23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</row>
    <row r="6" spans="1:37" s="2" customFormat="1" x14ac:dyDescent="0.2"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</row>
    <row r="7" spans="1:37" s="2" customFormat="1" x14ac:dyDescent="0.2">
      <c r="A7" s="8" t="s">
        <v>12</v>
      </c>
      <c r="C7" s="5" t="s">
        <v>18</v>
      </c>
      <c r="F7" s="5" t="s">
        <v>19</v>
      </c>
      <c r="G7" s="16"/>
      <c r="H7" s="16"/>
      <c r="I7" s="16"/>
      <c r="J7" s="16"/>
      <c r="K7" s="16"/>
      <c r="L7" s="16"/>
      <c r="M7" s="16"/>
      <c r="N7" s="16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</row>
    <row r="8" spans="1:37" s="2" customFormat="1" ht="25.5" x14ac:dyDescent="0.2">
      <c r="A8" s="9" t="s">
        <v>17</v>
      </c>
      <c r="B8" s="10" t="s">
        <v>27</v>
      </c>
      <c r="C8" s="11" t="s">
        <v>20</v>
      </c>
      <c r="D8" s="11" t="s">
        <v>21</v>
      </c>
      <c r="E8" s="11" t="s">
        <v>6</v>
      </c>
      <c r="F8" s="11" t="s">
        <v>22</v>
      </c>
      <c r="G8" s="17"/>
      <c r="H8" s="162" t="s">
        <v>499</v>
      </c>
      <c r="I8" s="17"/>
      <c r="J8" s="195" t="s">
        <v>539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s="2" customFormat="1" x14ac:dyDescent="0.2">
      <c r="C9" s="5" t="s">
        <v>13</v>
      </c>
      <c r="D9" s="5" t="s">
        <v>14</v>
      </c>
      <c r="E9" s="5" t="s">
        <v>15</v>
      </c>
      <c r="F9" s="5" t="s">
        <v>16</v>
      </c>
      <c r="G9" s="16"/>
      <c r="H9" s="16"/>
      <c r="I9" s="17"/>
      <c r="J9" s="17"/>
      <c r="K9" s="16"/>
      <c r="L9" s="17"/>
      <c r="M9" s="17"/>
      <c r="N9" s="16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</row>
    <row r="10" spans="1:37" x14ac:dyDescent="0.2">
      <c r="G10" s="16"/>
      <c r="H10" s="16"/>
      <c r="J10" s="16"/>
      <c r="K10" s="16"/>
      <c r="L10" s="16"/>
      <c r="M10" s="16"/>
      <c r="N10" s="16"/>
    </row>
    <row r="11" spans="1:37" x14ac:dyDescent="0.2">
      <c r="A11" s="2">
        <v>1</v>
      </c>
      <c r="B11" s="36" t="s">
        <v>30</v>
      </c>
      <c r="C11" s="16"/>
      <c r="D11" s="16"/>
      <c r="E11" s="16"/>
      <c r="F11" s="16"/>
      <c r="K11" s="16"/>
      <c r="L11" s="16"/>
      <c r="M11" s="16"/>
      <c r="N11" s="16"/>
    </row>
    <row r="12" spans="1:37" x14ac:dyDescent="0.2">
      <c r="A12" s="2">
        <v>2</v>
      </c>
      <c r="B12" s="2" t="s">
        <v>23</v>
      </c>
      <c r="C12" s="7">
        <f>'Test Year Monthly - (Pres)'!P12</f>
        <v>51334630.411812663</v>
      </c>
      <c r="D12" s="7"/>
      <c r="E12" s="12">
        <f>'Rate Design'!G12</f>
        <v>19.059999999999999</v>
      </c>
      <c r="F12" s="4">
        <f>C12*E12</f>
        <v>978438055.6491493</v>
      </c>
      <c r="H12" s="164">
        <f>'Test Year Monthly - (Pres)'!P18</f>
        <v>0</v>
      </c>
    </row>
    <row r="13" spans="1:37" x14ac:dyDescent="0.2">
      <c r="A13" s="2">
        <v>3</v>
      </c>
      <c r="B13" s="2" t="s">
        <v>24</v>
      </c>
      <c r="C13" s="7"/>
      <c r="D13" s="7">
        <f>'Test Year Monthly - (Pres)'!P13</f>
        <v>1886367</v>
      </c>
      <c r="E13" s="15">
        <f>'Rate Design'!G19</f>
        <v>1.534</v>
      </c>
      <c r="F13" s="7">
        <f>D13*E13</f>
        <v>2893686.9780000001</v>
      </c>
      <c r="J13" s="50">
        <f>SUM('Test Year Monthly - (Pres)'!D13:G13)+'Test Year Monthly - (Pres)'!O13</f>
        <v>789849</v>
      </c>
    </row>
    <row r="14" spans="1:37" x14ac:dyDescent="0.2">
      <c r="A14" s="2">
        <v>4</v>
      </c>
      <c r="B14" s="2" t="s">
        <v>28</v>
      </c>
      <c r="C14" s="2"/>
      <c r="D14" s="7">
        <f>'Test Year Monthly - (Pres)'!P14</f>
        <v>10026385.522694048</v>
      </c>
      <c r="E14" s="15">
        <f>'Rate Design'!G20</f>
        <v>0.95</v>
      </c>
      <c r="F14" s="7">
        <f>D14*E14</f>
        <v>9525066.2465593442</v>
      </c>
      <c r="J14" s="50">
        <f>SUM('Test Year Monthly - (Pres)'!K14:O14)</f>
        <v>7740869.295525657</v>
      </c>
    </row>
    <row r="15" spans="1:37" x14ac:dyDescent="0.2">
      <c r="A15" s="2">
        <v>5</v>
      </c>
      <c r="B15" s="2" t="s">
        <v>29</v>
      </c>
      <c r="C15" s="2"/>
      <c r="D15" s="171">
        <v>0</v>
      </c>
      <c r="E15" s="15">
        <f>'Rate Design'!G21</f>
        <v>0.74</v>
      </c>
      <c r="F15" s="7">
        <f>D15*E15</f>
        <v>0</v>
      </c>
      <c r="J15" s="50">
        <f>SUM('Test Year Monthly - (Pres)'!K15:O15)</f>
        <v>0</v>
      </c>
    </row>
    <row r="16" spans="1:37" x14ac:dyDescent="0.2">
      <c r="A16" s="2">
        <v>6</v>
      </c>
      <c r="B16" s="33" t="s">
        <v>26</v>
      </c>
      <c r="C16" s="32">
        <f>SUM(C12:C15)</f>
        <v>51334630.411812663</v>
      </c>
      <c r="D16" s="32">
        <f>SUM(D12:D15)</f>
        <v>11912752.522694048</v>
      </c>
      <c r="E16" s="33"/>
      <c r="F16" s="32">
        <f>SUM(F12:F15)</f>
        <v>990856808.87370872</v>
      </c>
      <c r="G16" s="2"/>
      <c r="H16" s="39">
        <f>H12+F16</f>
        <v>990856808.87370872</v>
      </c>
      <c r="I16" s="17" t="s">
        <v>500</v>
      </c>
      <c r="J16" s="32">
        <f>SUM(J13:J15)</f>
        <v>8530718.295525657</v>
      </c>
      <c r="K16" s="160"/>
    </row>
    <row r="17" spans="1:11" x14ac:dyDescent="0.2">
      <c r="A17" s="2">
        <v>7</v>
      </c>
      <c r="C17" s="2"/>
      <c r="D17" s="2"/>
      <c r="E17" s="2"/>
      <c r="F17" s="2"/>
      <c r="G17" s="2"/>
      <c r="H17" s="2"/>
      <c r="J17" s="17"/>
    </row>
    <row r="18" spans="1:11" x14ac:dyDescent="0.2">
      <c r="A18" s="2">
        <v>8</v>
      </c>
      <c r="B18" s="17" t="s">
        <v>475</v>
      </c>
      <c r="C18" s="38"/>
      <c r="D18" s="38"/>
      <c r="E18" s="17"/>
      <c r="F18" s="39"/>
      <c r="G18" s="2"/>
      <c r="H18" s="2"/>
      <c r="J18" s="17"/>
    </row>
    <row r="19" spans="1:11" x14ac:dyDescent="0.2">
      <c r="A19" s="2">
        <v>9</v>
      </c>
      <c r="B19" s="36" t="s">
        <v>474</v>
      </c>
      <c r="C19" s="2"/>
      <c r="D19" s="2"/>
      <c r="E19" s="2"/>
      <c r="F19" s="2"/>
      <c r="G19" s="2"/>
      <c r="H19" s="2"/>
      <c r="J19" s="17"/>
    </row>
    <row r="20" spans="1:11" x14ac:dyDescent="0.2">
      <c r="A20" s="2">
        <v>10</v>
      </c>
      <c r="B20" s="2" t="s">
        <v>23</v>
      </c>
      <c r="C20" s="37">
        <f>'Test Year Monthly - (Pres)'!P21+'Test Year Monthly - (Pres)'!P39</f>
        <v>19883348.95809038</v>
      </c>
      <c r="D20" s="16"/>
      <c r="E20" s="101">
        <f>'Rate Design'!G13</f>
        <v>49.74</v>
      </c>
      <c r="F20" s="4">
        <f>C20*E20</f>
        <v>988997777.17541552</v>
      </c>
      <c r="G20" s="2"/>
      <c r="H20" s="163">
        <f>'Test Year Monthly - (Pres)'!P27+'Test Year Monthly - (Pres)'!P45</f>
        <v>0</v>
      </c>
      <c r="J20" s="17"/>
    </row>
    <row r="21" spans="1:11" x14ac:dyDescent="0.2">
      <c r="A21" s="2">
        <v>11</v>
      </c>
      <c r="B21" s="2" t="s">
        <v>24</v>
      </c>
      <c r="C21" s="7"/>
      <c r="D21" s="7">
        <f>'Test Year Monthly - (Pres)'!P22+'Test Year Monthly - (Pres)'!P40</f>
        <v>227574</v>
      </c>
      <c r="E21" s="15">
        <f>E13</f>
        <v>1.534</v>
      </c>
      <c r="F21" s="7">
        <f>D21*E21</f>
        <v>349098.516</v>
      </c>
      <c r="G21" s="2"/>
      <c r="H21" s="2"/>
      <c r="J21" s="50">
        <f>SUM('Test Year Monthly - (Pres)'!D22:G22)+'Test Year Monthly - (Pres)'!O22</f>
        <v>87693</v>
      </c>
    </row>
    <row r="22" spans="1:11" x14ac:dyDescent="0.2">
      <c r="A22" s="2">
        <v>12</v>
      </c>
      <c r="B22" s="2" t="s">
        <v>25</v>
      </c>
      <c r="C22" s="7"/>
      <c r="D22" s="7">
        <f>'Test Year Monthly - (Pres)'!P23+'Test Year Monthly - (Pres)'!P41</f>
        <v>5150147.5832027039</v>
      </c>
      <c r="E22" s="15">
        <f>E14</f>
        <v>0.95</v>
      </c>
      <c r="F22" s="7">
        <f>D22*E22</f>
        <v>4892640.2040425688</v>
      </c>
      <c r="G22" s="2"/>
      <c r="H22" s="2"/>
      <c r="J22" s="50">
        <f>SUM('Test Year Monthly - (Pres)'!D23:G23)+'Test Year Monthly - (Pres)'!O23</f>
        <v>1472436.0792967584</v>
      </c>
    </row>
    <row r="23" spans="1:11" x14ac:dyDescent="0.2">
      <c r="A23" s="2">
        <v>13</v>
      </c>
      <c r="B23" s="2" t="s">
        <v>29</v>
      </c>
      <c r="C23" s="7"/>
      <c r="D23" s="7">
        <f>'Test Year Monthly - (Pres)'!P24+'Test Year Monthly - (Pres)'!P42</f>
        <v>698412.42679729685</v>
      </c>
      <c r="E23" s="15">
        <f>E15</f>
        <v>0.74</v>
      </c>
      <c r="F23" s="7">
        <f>D23*E23</f>
        <v>516825.19582999969</v>
      </c>
      <c r="G23" s="2"/>
      <c r="H23" s="2"/>
      <c r="J23" s="45">
        <f>SUM('Test Year Monthly - (Pres)'!K24:O24)+SUM('Test Year Monthly - (Pres)'!K42:O42)</f>
        <v>457945.85911046329</v>
      </c>
    </row>
    <row r="24" spans="1:11" x14ac:dyDescent="0.2">
      <c r="A24" s="2">
        <v>14</v>
      </c>
      <c r="B24" s="33" t="s">
        <v>26</v>
      </c>
      <c r="C24" s="32">
        <f>SUM(C20:C23)</f>
        <v>19883348.95809038</v>
      </c>
      <c r="D24" s="32">
        <f>SUM(D21:D23)</f>
        <v>6076134.0100000007</v>
      </c>
      <c r="E24" s="33"/>
      <c r="F24" s="32">
        <f>SUM(F20:F23)</f>
        <v>994756341.09128809</v>
      </c>
      <c r="G24" s="2"/>
      <c r="H24" s="61">
        <f>H20+F24</f>
        <v>994756341.09128809</v>
      </c>
      <c r="I24" s="17" t="s">
        <v>501</v>
      </c>
      <c r="J24" s="32">
        <f>SUM(J21:J23)</f>
        <v>2018074.9384072218</v>
      </c>
      <c r="K24" s="160"/>
    </row>
    <row r="25" spans="1:11" x14ac:dyDescent="0.2">
      <c r="A25" s="2">
        <v>15</v>
      </c>
      <c r="C25" s="2"/>
      <c r="D25" s="2"/>
      <c r="E25" s="15"/>
      <c r="F25" s="2"/>
      <c r="G25" s="2"/>
      <c r="H25" s="2"/>
      <c r="J25" s="17"/>
    </row>
    <row r="26" spans="1:11" x14ac:dyDescent="0.2">
      <c r="A26" s="2">
        <v>16</v>
      </c>
      <c r="B26" s="36" t="s">
        <v>540</v>
      </c>
      <c r="C26" s="2"/>
      <c r="D26" s="2"/>
      <c r="E26" s="15"/>
      <c r="F26" s="2"/>
      <c r="G26" s="2"/>
      <c r="H26" s="2"/>
      <c r="J26" s="17"/>
    </row>
    <row r="27" spans="1:11" x14ac:dyDescent="0.2">
      <c r="A27" s="2">
        <v>17</v>
      </c>
      <c r="B27" s="2" t="s">
        <v>23</v>
      </c>
      <c r="C27" s="7">
        <f>'Test Year Monthly - (Pres)'!P30</f>
        <v>801863.62421333336</v>
      </c>
      <c r="D27" s="7"/>
      <c r="E27" s="101">
        <f>E20</f>
        <v>49.74</v>
      </c>
      <c r="F27" s="4">
        <f>C27*E27</f>
        <v>39884696.668371201</v>
      </c>
      <c r="G27" s="2"/>
      <c r="H27" s="163">
        <f>'Test Year Monthly - (Pres)'!P36</f>
        <v>0</v>
      </c>
      <c r="J27" s="17"/>
    </row>
    <row r="28" spans="1:11" x14ac:dyDescent="0.2">
      <c r="A28" s="2">
        <v>18</v>
      </c>
      <c r="B28" s="2" t="s">
        <v>35</v>
      </c>
      <c r="C28" s="7"/>
      <c r="D28" s="7">
        <f>'Test Year Monthly - (Pres)'!P31</f>
        <v>2429</v>
      </c>
      <c r="E28" s="15">
        <f>E21</f>
        <v>1.534</v>
      </c>
      <c r="F28" s="13">
        <f t="shared" ref="F28:F33" si="0">D28*E28</f>
        <v>3726.0860000000002</v>
      </c>
      <c r="J28" s="50">
        <f>SUM('Test Year Monthly - (Pres)'!D31:G31)+'Test Year Monthly - (Pres)'!O31</f>
        <v>1006.9222222222222</v>
      </c>
    </row>
    <row r="29" spans="1:11" x14ac:dyDescent="0.2">
      <c r="A29" s="2">
        <v>19</v>
      </c>
      <c r="B29" s="2" t="s">
        <v>36</v>
      </c>
      <c r="C29" s="7"/>
      <c r="D29" s="7">
        <f>'Test Year Monthly - (Pres)'!P32</f>
        <v>242140.31999999995</v>
      </c>
      <c r="E29" s="15">
        <f>E22</f>
        <v>0.95</v>
      </c>
      <c r="F29" s="13">
        <f t="shared" si="0"/>
        <v>230033.30399999995</v>
      </c>
      <c r="G29" s="2"/>
      <c r="H29" s="2"/>
      <c r="J29" s="50">
        <f>SUM('Test Year Monthly - (Pres)'!D32:G32)+'Test Year Monthly - (Pres)'!O32</f>
        <v>85209.72</v>
      </c>
    </row>
    <row r="30" spans="1:11" x14ac:dyDescent="0.2">
      <c r="A30" s="2">
        <v>20</v>
      </c>
      <c r="B30" s="2" t="s">
        <v>37</v>
      </c>
      <c r="C30" s="7"/>
      <c r="D30" s="7">
        <f>'Test Year Monthly - (Pres)'!P33</f>
        <v>325879.88</v>
      </c>
      <c r="E30" s="15">
        <f>E23</f>
        <v>0.74</v>
      </c>
      <c r="F30" s="13">
        <f t="shared" si="0"/>
        <v>241151.11120000001</v>
      </c>
      <c r="G30" s="2"/>
      <c r="H30" s="2"/>
      <c r="J30" s="50">
        <f>SUM('Test Year Monthly - (Pres)'!D33:G33)+'Test Year Monthly - (Pres)'!O33</f>
        <v>111696.34</v>
      </c>
    </row>
    <row r="31" spans="1:11" x14ac:dyDescent="0.2">
      <c r="A31" s="2">
        <v>21</v>
      </c>
      <c r="B31" s="2" t="s">
        <v>32</v>
      </c>
      <c r="C31" s="7"/>
      <c r="D31" s="7"/>
      <c r="E31" s="15">
        <f>E28</f>
        <v>1.534</v>
      </c>
      <c r="F31" s="13">
        <f t="shared" si="0"/>
        <v>0</v>
      </c>
      <c r="G31" s="2"/>
      <c r="H31" s="2"/>
      <c r="J31" s="27"/>
    </row>
    <row r="32" spans="1:11" x14ac:dyDescent="0.2">
      <c r="A32" s="2">
        <v>22</v>
      </c>
      <c r="B32" s="2" t="s">
        <v>33</v>
      </c>
      <c r="C32" s="7"/>
      <c r="D32" s="7"/>
      <c r="E32" s="15">
        <f>E29</f>
        <v>0.95</v>
      </c>
      <c r="F32" s="13">
        <f t="shared" si="0"/>
        <v>0</v>
      </c>
      <c r="G32" s="2"/>
      <c r="H32" s="2"/>
      <c r="J32" s="27"/>
    </row>
    <row r="33" spans="1:14" x14ac:dyDescent="0.2">
      <c r="A33" s="2">
        <v>23</v>
      </c>
      <c r="B33" s="2" t="s">
        <v>34</v>
      </c>
      <c r="C33" s="7"/>
      <c r="D33" s="7"/>
      <c r="E33" s="15">
        <f>E30</f>
        <v>0.74</v>
      </c>
      <c r="F33" s="13">
        <f t="shared" si="0"/>
        <v>0</v>
      </c>
      <c r="G33" s="2"/>
      <c r="H33" s="2"/>
      <c r="J33" s="27"/>
    </row>
    <row r="34" spans="1:14" x14ac:dyDescent="0.2">
      <c r="A34" s="2">
        <v>24</v>
      </c>
      <c r="B34" s="33" t="s">
        <v>26</v>
      </c>
      <c r="C34" s="32">
        <f>SUM(C27:C33)</f>
        <v>801863.62421333336</v>
      </c>
      <c r="D34" s="32">
        <f>SUM(D28:D33)</f>
        <v>570449.19999999995</v>
      </c>
      <c r="E34" s="33"/>
      <c r="F34" s="34">
        <f>SUM(F27:F33)</f>
        <v>40359607.169571199</v>
      </c>
      <c r="G34" s="2"/>
      <c r="H34" s="61">
        <f>H27+F34</f>
        <v>40359607.169571199</v>
      </c>
      <c r="I34" s="17" t="s">
        <v>502</v>
      </c>
      <c r="J34" s="32">
        <f>SUM(J28:J33)</f>
        <v>197912.9822222222</v>
      </c>
    </row>
    <row r="35" spans="1:14" x14ac:dyDescent="0.2">
      <c r="A35" s="2">
        <v>25</v>
      </c>
    </row>
    <row r="36" spans="1:14" x14ac:dyDescent="0.2">
      <c r="A36" s="2">
        <v>26</v>
      </c>
      <c r="B36" s="2" t="s">
        <v>476</v>
      </c>
      <c r="K36" s="160"/>
    </row>
    <row r="37" spans="1:14" x14ac:dyDescent="0.2">
      <c r="A37" s="2">
        <v>27</v>
      </c>
      <c r="B37" s="159" t="s">
        <v>541</v>
      </c>
      <c r="C37" s="2"/>
      <c r="D37" s="2"/>
      <c r="E37" s="2"/>
      <c r="F37" s="2"/>
      <c r="G37" s="2"/>
      <c r="H37" s="2"/>
      <c r="J37" s="17"/>
      <c r="K37" s="160"/>
    </row>
    <row r="38" spans="1:14" x14ac:dyDescent="0.2">
      <c r="A38" s="2">
        <v>28</v>
      </c>
      <c r="B38" s="2" t="s">
        <v>542</v>
      </c>
      <c r="C38" s="7">
        <f>'Test Year Monthly - (Pres)'!P48+'Test Year Monthly - (Pres)'!P56</f>
        <v>420150.64184900007</v>
      </c>
      <c r="D38" s="2"/>
      <c r="E38" s="101">
        <f>'Test Year Monthly - (Pres)'!C56</f>
        <v>0</v>
      </c>
      <c r="F38" s="4">
        <f>C38*E38</f>
        <v>0</v>
      </c>
      <c r="G38" s="2"/>
      <c r="H38" s="163">
        <f>'Test Year Monthly - (Pres)'!P53+'Test Year Monthly - (Pres)'!P61</f>
        <v>0</v>
      </c>
    </row>
    <row r="39" spans="1:14" x14ac:dyDescent="0.2">
      <c r="A39" s="2">
        <v>25</v>
      </c>
      <c r="B39" s="2" t="s">
        <v>543</v>
      </c>
      <c r="C39" s="44">
        <f>'Test Year Monthly - (Pres)'!P64</f>
        <v>7820798.4338450693</v>
      </c>
      <c r="E39" s="196">
        <f>'Test Year Monthly - (Pres)'!C64</f>
        <v>0</v>
      </c>
      <c r="F39" s="7">
        <f>C39*E39</f>
        <v>0</v>
      </c>
      <c r="J39" s="17"/>
    </row>
    <row r="40" spans="1:14" x14ac:dyDescent="0.2">
      <c r="A40" s="2">
        <v>26</v>
      </c>
      <c r="B40" s="2" t="s">
        <v>544</v>
      </c>
      <c r="C40" s="44">
        <f>'Test Year Monthly - (Pres)'!P80</f>
        <v>7263287.4338205745</v>
      </c>
      <c r="E40" s="196">
        <f>'Monthly Forecast'!C80</f>
        <v>398.04</v>
      </c>
      <c r="F40" s="7">
        <f t="shared" ref="F40:F41" si="1">C40*E40</f>
        <v>2891078930.1579418</v>
      </c>
      <c r="J40" s="38"/>
    </row>
    <row r="41" spans="1:14" x14ac:dyDescent="0.2">
      <c r="A41" s="2">
        <v>27</v>
      </c>
      <c r="B41" s="2" t="s">
        <v>545</v>
      </c>
      <c r="C41" s="44">
        <f>'Test Year Monthly - (Pres)'!P89</f>
        <v>2274059.6602829527</v>
      </c>
      <c r="E41" s="196">
        <f>'Test Year Monthly - (Pres)'!C89</f>
        <v>0</v>
      </c>
      <c r="F41" s="7">
        <f t="shared" si="1"/>
        <v>0</v>
      </c>
    </row>
    <row r="42" spans="1:14" x14ac:dyDescent="0.2">
      <c r="A42" s="2">
        <v>28</v>
      </c>
    </row>
    <row r="43" spans="1:14" x14ac:dyDescent="0.2">
      <c r="A43" s="2">
        <v>29</v>
      </c>
      <c r="B43" s="2" t="s">
        <v>1</v>
      </c>
      <c r="C43" s="7"/>
      <c r="D43" s="2"/>
      <c r="E43" s="166">
        <v>50</v>
      </c>
      <c r="F43" s="7">
        <f>+'Test Year Monthly - (Pres)'!P65+'Test Year Monthly - (Pres)'!P81+'Test Year Monthly - (Pres)'!P90</f>
        <v>2514.6</v>
      </c>
      <c r="G43" s="2"/>
      <c r="H43" s="2"/>
      <c r="J43" s="38"/>
      <c r="K43" s="17"/>
      <c r="L43" s="23"/>
      <c r="M43" s="24"/>
      <c r="N43" s="23"/>
    </row>
    <row r="44" spans="1:14" x14ac:dyDescent="0.2">
      <c r="A44" s="2">
        <v>30</v>
      </c>
      <c r="B44" s="2" t="s">
        <v>62</v>
      </c>
      <c r="C44" s="7"/>
      <c r="E44" s="165" t="s">
        <v>61</v>
      </c>
      <c r="F44" s="7">
        <f>'Test Year Monthly - (Pres)'!P66+'Test Year Monthly - (Pres)'!P82+'Test Year Monthly - (Pres)'!P91</f>
        <v>124000</v>
      </c>
      <c r="G44" s="2"/>
      <c r="H44" s="2"/>
      <c r="J44" s="38"/>
      <c r="L44" s="23"/>
      <c r="M44" s="24"/>
      <c r="N44" s="23"/>
    </row>
    <row r="45" spans="1:14" x14ac:dyDescent="0.2">
      <c r="A45" s="2">
        <v>31</v>
      </c>
      <c r="B45" s="2" t="s">
        <v>2</v>
      </c>
      <c r="C45" s="7"/>
      <c r="D45" s="58"/>
      <c r="E45" s="180">
        <v>0.1</v>
      </c>
      <c r="F45" s="7">
        <f>'Test Year Monthly - (Pres)'!P67+'Test Year Monthly - (Pres)'!P83+'Test Year Monthly - (Pres)'!P92</f>
        <v>130600</v>
      </c>
      <c r="G45" s="2"/>
      <c r="H45" s="2"/>
      <c r="J45" s="53"/>
      <c r="L45" s="23"/>
      <c r="M45" s="24"/>
      <c r="N45" s="23"/>
    </row>
    <row r="46" spans="1:14" x14ac:dyDescent="0.2">
      <c r="A46" s="2">
        <v>32</v>
      </c>
      <c r="B46" s="2" t="s">
        <v>45</v>
      </c>
      <c r="D46" s="46">
        <f>'Test Year Monthly - (Pres)'!P57+'Test Year Monthly - (Pres)'!P49</f>
        <v>142</v>
      </c>
      <c r="E46" s="15">
        <f>'Test Year Monthly - (Pres)'!C49</f>
        <v>393.35</v>
      </c>
      <c r="F46" s="7">
        <f>D46*E46</f>
        <v>55855.700000000004</v>
      </c>
      <c r="G46" s="2"/>
      <c r="H46" s="2"/>
      <c r="J46" s="50">
        <f>SUM(('Test Year Monthly - (Pres)'!D49:G49),('Test Year Monthly - (Pres)'!D57:G57))+'Test Year Monthly - (Pres)'!O49+'Test Year Monthly - (Pres)'!O57</f>
        <v>60</v>
      </c>
      <c r="K46" s="64"/>
      <c r="L46" s="23"/>
      <c r="M46" s="24"/>
      <c r="N46" s="23"/>
    </row>
    <row r="47" spans="1:14" x14ac:dyDescent="0.2">
      <c r="A47" s="2">
        <v>33</v>
      </c>
      <c r="B47" s="2" t="s">
        <v>44</v>
      </c>
      <c r="D47" s="46">
        <f>'Test Year Monthly - (Pres)'!P50+'Test Year Monthly - (Pres)'!P58</f>
        <v>357170.81799999997</v>
      </c>
      <c r="E47" s="15">
        <f>'Test Year Monthly - (Pres)'!C50</f>
        <v>0.90900000000000003</v>
      </c>
      <c r="F47" s="7">
        <f>D47*E47</f>
        <v>324668.27356199996</v>
      </c>
      <c r="G47" s="2"/>
      <c r="H47" s="2"/>
      <c r="J47" s="50">
        <f>SUM(('Test Year Monthly - (Pres)'!D50:G50),('Test Year Monthly - (Pres)'!D58:G58))+'Test Year Monthly - (Pres)'!O50+'Test Year Monthly - (Pres)'!O58</f>
        <v>127261.28</v>
      </c>
      <c r="K47" s="17"/>
      <c r="L47" s="23"/>
      <c r="M47" s="24"/>
      <c r="N47" s="23"/>
    </row>
    <row r="48" spans="1:14" x14ac:dyDescent="0.2">
      <c r="A48" s="2">
        <v>34</v>
      </c>
      <c r="B48" s="2" t="s">
        <v>58</v>
      </c>
      <c r="D48" s="7">
        <f>'Test Year Monthly - (Pres)'!P68</f>
        <v>2531.6000000000004</v>
      </c>
      <c r="E48" s="15">
        <f>'Test Year Monthly - (Pres)'!C68</f>
        <v>0</v>
      </c>
      <c r="F48" s="7">
        <f>D48*E48</f>
        <v>0</v>
      </c>
      <c r="G48" s="2"/>
      <c r="H48" s="2"/>
      <c r="J48" s="50">
        <f>SUM('Test Year Monthly - (Pres)'!D68:G68)+'Test Year Monthly - (Pres)'!O68</f>
        <v>772.00000000000011</v>
      </c>
      <c r="K48" s="17"/>
      <c r="L48" s="23"/>
      <c r="M48" s="24"/>
      <c r="N48" s="23"/>
    </row>
    <row r="49" spans="1:14" x14ac:dyDescent="0.2">
      <c r="A49" s="2">
        <v>35</v>
      </c>
      <c r="B49" s="2" t="s">
        <v>59</v>
      </c>
      <c r="D49" s="7">
        <f>'Test Year Monthly - (Pres)'!P69</f>
        <v>430853</v>
      </c>
      <c r="E49" s="15">
        <f>'Test Year Monthly - (Pres)'!C69</f>
        <v>1.6233</v>
      </c>
      <c r="F49" s="7">
        <f t="shared" ref="F49:F50" si="2">D49*E49</f>
        <v>699403.67489999998</v>
      </c>
      <c r="G49" s="2"/>
      <c r="H49" s="2"/>
      <c r="J49" s="50">
        <f>SUM('Test Year Monthly - (Pres)'!D69:G69)+'Test Year Monthly - (Pres)'!O69</f>
        <v>177378</v>
      </c>
      <c r="K49" s="17"/>
      <c r="L49" s="23"/>
      <c r="M49" s="24"/>
      <c r="N49" s="23"/>
    </row>
    <row r="50" spans="1:14" x14ac:dyDescent="0.2">
      <c r="A50" s="2">
        <v>36</v>
      </c>
      <c r="B50" s="2" t="s">
        <v>60</v>
      </c>
      <c r="D50" s="7">
        <f>'Test Year Monthly - (Pres)'!P70</f>
        <v>5440706.4673495488</v>
      </c>
      <c r="E50" s="15">
        <f>'Test Year Monthly - (Pres)'!C70</f>
        <v>1.0052999999999999</v>
      </c>
      <c r="F50" s="7">
        <f t="shared" si="2"/>
        <v>5469542.2116265008</v>
      </c>
      <c r="G50" s="2"/>
      <c r="H50" s="2"/>
      <c r="J50" s="50">
        <f>SUM('Test Year Monthly - (Pres)'!D70:G70)+'Test Year Monthly - (Pres)'!O70</f>
        <v>2085784.5298101266</v>
      </c>
      <c r="K50" s="17"/>
      <c r="L50" s="23"/>
      <c r="M50" s="24"/>
      <c r="N50" s="23"/>
    </row>
    <row r="51" spans="1:14" x14ac:dyDescent="0.2">
      <c r="A51" s="2">
        <v>37</v>
      </c>
      <c r="B51" s="2" t="s">
        <v>55</v>
      </c>
      <c r="D51" s="7">
        <f>'Test Year Monthly - (Pres)'!P84</f>
        <v>3772.8999999999996</v>
      </c>
      <c r="E51" s="15">
        <f>'Test Year Monthly - (Pres)'!C84</f>
        <v>0</v>
      </c>
      <c r="F51" s="7">
        <f>D51*E51</f>
        <v>0</v>
      </c>
      <c r="G51" s="2"/>
      <c r="H51" s="2"/>
      <c r="J51" s="50">
        <f>SUM('Test Year Monthly - (Pres)'!D84:G84)+'Test Year Monthly - (Pres)'!O84</f>
        <v>1531.9</v>
      </c>
      <c r="K51" s="17"/>
      <c r="L51" s="23"/>
      <c r="M51" s="24"/>
      <c r="N51" s="23"/>
    </row>
    <row r="52" spans="1:14" x14ac:dyDescent="0.2">
      <c r="A52" s="2">
        <v>38</v>
      </c>
      <c r="B52" s="2" t="s">
        <v>56</v>
      </c>
      <c r="D52" s="7">
        <f>'Test Year Monthly - (Pres)'!P85</f>
        <v>5389404.071656039</v>
      </c>
      <c r="E52" s="15">
        <f>'Test Year Monthly - (Pres)'!C85</f>
        <v>0.90310000000000012</v>
      </c>
      <c r="F52" s="7">
        <f>D52*E52</f>
        <v>4867170.8171125697</v>
      </c>
      <c r="G52" s="2"/>
      <c r="H52" s="2"/>
      <c r="J52" s="50">
        <f>SUM('Test Year Monthly - (Pres)'!D85:G85)+'Test Year Monthly - (Pres)'!O85</f>
        <v>2182974.8562624068</v>
      </c>
      <c r="K52" s="17"/>
      <c r="L52" s="23"/>
      <c r="M52" s="24"/>
      <c r="N52" s="23"/>
    </row>
    <row r="53" spans="1:14" x14ac:dyDescent="0.2">
      <c r="A53" s="2">
        <v>39</v>
      </c>
      <c r="B53" s="2" t="s">
        <v>53</v>
      </c>
      <c r="C53" s="7"/>
      <c r="D53" s="35">
        <f>'Test Year Monthly - (Pres)'!P93</f>
        <v>69484.2</v>
      </c>
      <c r="E53" s="182" t="s">
        <v>61</v>
      </c>
      <c r="F53" s="7">
        <f>'Test Year Monthly - (Pres)'!P94</f>
        <v>13823013</v>
      </c>
      <c r="G53" s="2"/>
      <c r="H53" s="2"/>
      <c r="J53" s="50">
        <f>SUM('Test Year Monthly - (Pres)'!D93:G93)+'Test Year Monthly - (Pres)'!O93</f>
        <v>26641.100000000002</v>
      </c>
      <c r="K53" s="17"/>
      <c r="L53" s="23"/>
      <c r="M53" s="24"/>
      <c r="N53" s="23"/>
    </row>
    <row r="54" spans="1:14" x14ac:dyDescent="0.2">
      <c r="A54" s="2">
        <v>40</v>
      </c>
      <c r="B54" s="33" t="s">
        <v>26</v>
      </c>
      <c r="C54" s="32">
        <f>SUM(C38:C53)</f>
        <v>17778296.169797599</v>
      </c>
      <c r="D54" s="32">
        <f>SUM(D46:D53)</f>
        <v>11694065.057005588</v>
      </c>
      <c r="E54" s="33"/>
      <c r="F54" s="34">
        <f>SUM(F38:F53)</f>
        <v>2916575698.4351425</v>
      </c>
      <c r="G54" s="2"/>
      <c r="H54" s="61">
        <f>H38+F54</f>
        <v>2916575698.4351425</v>
      </c>
      <c r="I54" s="17" t="s">
        <v>503</v>
      </c>
      <c r="J54" s="32">
        <f>SUM(J48:J53)</f>
        <v>4475082.3860725332</v>
      </c>
      <c r="K54" s="160"/>
    </row>
    <row r="55" spans="1:14" x14ac:dyDescent="0.2">
      <c r="A55" s="2">
        <v>41</v>
      </c>
      <c r="K55" s="17"/>
    </row>
    <row r="56" spans="1:14" x14ac:dyDescent="0.2">
      <c r="A56" s="2">
        <v>42</v>
      </c>
      <c r="B56" s="2" t="s">
        <v>311</v>
      </c>
      <c r="F56" s="76">
        <f>'Test Year Monthly - (Pres)'!P98</f>
        <v>0</v>
      </c>
    </row>
    <row r="57" spans="1:14" x14ac:dyDescent="0.2">
      <c r="A57" s="2">
        <v>43</v>
      </c>
      <c r="B57" s="2" t="s">
        <v>99</v>
      </c>
      <c r="C57" s="23"/>
      <c r="D57" s="23"/>
      <c r="E57" s="24"/>
      <c r="F57" s="76">
        <f>'Test Year Monthly - (Pres)'!P99</f>
        <v>806054</v>
      </c>
      <c r="G57" s="17"/>
      <c r="H57" s="17"/>
      <c r="J57" s="17"/>
      <c r="L57" s="23"/>
      <c r="M57" s="24"/>
      <c r="N57" s="23"/>
    </row>
    <row r="58" spans="1:14" x14ac:dyDescent="0.2">
      <c r="A58" s="2">
        <f>A57+1</f>
        <v>44</v>
      </c>
      <c r="B58" s="17"/>
      <c r="C58" s="23"/>
      <c r="D58" s="23"/>
      <c r="E58" s="56"/>
      <c r="F58" s="23"/>
      <c r="G58" s="64"/>
      <c r="H58" s="64"/>
      <c r="J58" s="17"/>
      <c r="L58" s="23"/>
      <c r="M58" s="24"/>
      <c r="N58" s="23"/>
    </row>
    <row r="59" spans="1:14" x14ac:dyDescent="0.2">
      <c r="A59" s="2">
        <f t="shared" ref="A59:A61" si="3">A58+1</f>
        <v>45</v>
      </c>
      <c r="B59" s="91" t="s">
        <v>63</v>
      </c>
      <c r="C59" s="92">
        <f>C54+C34+C24+C16</f>
        <v>89798139.16391398</v>
      </c>
      <c r="D59" s="92">
        <f>D54+D34+D24+D16</f>
        <v>30253400.789699636</v>
      </c>
      <c r="E59" s="93"/>
      <c r="F59" s="94">
        <f>F54+F34+F24+F16+F56+F57</f>
        <v>4943354509.5697107</v>
      </c>
      <c r="G59" s="17"/>
      <c r="H59" s="17"/>
      <c r="J59" s="92">
        <f>J54+J34+J24+J16</f>
        <v>15221788.602227634</v>
      </c>
      <c r="K59" s="160"/>
      <c r="L59" s="23"/>
      <c r="M59" s="24"/>
      <c r="N59" s="23"/>
    </row>
    <row r="60" spans="1:14" x14ac:dyDescent="0.2">
      <c r="A60" s="2">
        <f t="shared" si="3"/>
        <v>46</v>
      </c>
      <c r="K60" s="52"/>
      <c r="L60" s="23"/>
      <c r="M60" s="24"/>
      <c r="N60" s="23"/>
    </row>
    <row r="61" spans="1:14" x14ac:dyDescent="0.2">
      <c r="A61" s="2">
        <f t="shared" si="3"/>
        <v>47</v>
      </c>
      <c r="F61" s="3">
        <f>'Rate Design'!L49</f>
        <v>92020146.510686189</v>
      </c>
      <c r="H61" s="76">
        <f>H12+H20+H27+H38</f>
        <v>0</v>
      </c>
      <c r="I61" s="17" t="s">
        <v>504</v>
      </c>
      <c r="K61" s="17"/>
      <c r="L61" s="23"/>
      <c r="M61" s="24"/>
      <c r="N61" s="23"/>
    </row>
    <row r="62" spans="1:14" x14ac:dyDescent="0.2">
      <c r="C62" s="7"/>
      <c r="D62" s="7"/>
      <c r="E62" s="15"/>
      <c r="F62" s="7"/>
      <c r="G62" s="2"/>
      <c r="H62" s="2"/>
      <c r="J62" s="38"/>
      <c r="K62" s="17"/>
      <c r="L62" s="23"/>
      <c r="M62" s="24"/>
      <c r="N62" s="23"/>
    </row>
    <row r="63" spans="1:14" x14ac:dyDescent="0.2">
      <c r="C63" s="7"/>
      <c r="D63" s="7"/>
      <c r="E63" s="15"/>
      <c r="F63" s="7">
        <f>F59-F61</f>
        <v>4851334363.0590248</v>
      </c>
      <c r="G63" s="2"/>
      <c r="H63" s="61">
        <f>H61+F59</f>
        <v>4943354509.5697107</v>
      </c>
      <c r="I63" s="17" t="s">
        <v>505</v>
      </c>
      <c r="J63" s="38"/>
      <c r="K63" s="17"/>
      <c r="L63" s="23"/>
      <c r="M63" s="24"/>
      <c r="N63" s="23"/>
    </row>
    <row r="64" spans="1:14" x14ac:dyDescent="0.2">
      <c r="K64" s="17"/>
      <c r="L64" s="23"/>
      <c r="M64" s="24"/>
      <c r="N64" s="23"/>
    </row>
    <row r="65" spans="2:14" x14ac:dyDescent="0.2">
      <c r="K65" s="17"/>
      <c r="L65" s="23"/>
      <c r="M65" s="24"/>
      <c r="N65" s="23"/>
    </row>
    <row r="66" spans="2:14" x14ac:dyDescent="0.2">
      <c r="K66" s="17"/>
      <c r="L66" s="23"/>
      <c r="M66" s="24"/>
      <c r="N66" s="23"/>
    </row>
    <row r="67" spans="2:14" x14ac:dyDescent="0.2">
      <c r="K67" s="17"/>
      <c r="L67" s="23"/>
      <c r="M67" s="24"/>
      <c r="N67" s="23"/>
    </row>
    <row r="68" spans="2:14" x14ac:dyDescent="0.2">
      <c r="K68" s="17"/>
      <c r="L68" s="23"/>
      <c r="M68" s="24"/>
      <c r="N68" s="23"/>
    </row>
    <row r="69" spans="2:14" x14ac:dyDescent="0.2">
      <c r="K69" s="17"/>
      <c r="L69" s="23"/>
      <c r="M69" s="24"/>
      <c r="N69" s="23"/>
    </row>
    <row r="70" spans="2:14" x14ac:dyDescent="0.2">
      <c r="K70" s="17"/>
      <c r="L70" s="23"/>
      <c r="M70" s="24"/>
      <c r="N70" s="23"/>
    </row>
    <row r="71" spans="2:14" x14ac:dyDescent="0.2">
      <c r="K71" s="17"/>
      <c r="L71" s="23"/>
      <c r="M71" s="24"/>
      <c r="N71" s="23"/>
    </row>
    <row r="72" spans="2:14" x14ac:dyDescent="0.2">
      <c r="B72" s="17"/>
      <c r="C72" s="23"/>
      <c r="D72" s="23"/>
      <c r="E72" s="80"/>
      <c r="F72" s="38"/>
      <c r="G72" s="64"/>
      <c r="H72" s="64"/>
      <c r="J72" s="38"/>
      <c r="K72" s="17"/>
      <c r="L72" s="23"/>
      <c r="M72" s="24"/>
      <c r="N72" s="23"/>
    </row>
    <row r="73" spans="2:14" x14ac:dyDescent="0.2">
      <c r="B73" s="17"/>
      <c r="C73" s="23"/>
      <c r="D73" s="23"/>
      <c r="E73" s="24"/>
      <c r="F73" s="23"/>
      <c r="G73" s="64"/>
      <c r="H73" s="64"/>
      <c r="J73" s="38"/>
      <c r="K73" s="17"/>
      <c r="L73" s="23"/>
      <c r="M73" s="24"/>
      <c r="N73" s="23"/>
    </row>
    <row r="74" spans="2:14" x14ac:dyDescent="0.2">
      <c r="B74" s="17"/>
      <c r="C74" s="23"/>
      <c r="D74" s="23"/>
      <c r="E74" s="24"/>
      <c r="F74" s="23"/>
      <c r="G74" s="17"/>
      <c r="H74" s="17"/>
      <c r="J74" s="38"/>
      <c r="K74" s="17"/>
      <c r="L74" s="23"/>
      <c r="M74" s="24"/>
      <c r="N74" s="23"/>
    </row>
    <row r="75" spans="2:14" x14ac:dyDescent="0.2">
      <c r="B75" s="17"/>
      <c r="C75" s="23"/>
      <c r="D75" s="23"/>
      <c r="E75" s="24"/>
      <c r="F75" s="23"/>
      <c r="G75" s="17"/>
      <c r="H75" s="17"/>
      <c r="J75" s="38"/>
      <c r="K75" s="17"/>
      <c r="L75" s="23"/>
      <c r="M75" s="24"/>
      <c r="N75" s="23"/>
    </row>
    <row r="76" spans="2:14" x14ac:dyDescent="0.2">
      <c r="B76" s="17"/>
      <c r="C76" s="23"/>
      <c r="D76" s="23"/>
      <c r="E76" s="24"/>
      <c r="F76" s="23"/>
      <c r="G76" s="17"/>
      <c r="H76" s="17"/>
      <c r="J76" s="38"/>
      <c r="K76" s="17"/>
      <c r="L76" s="23"/>
      <c r="M76" s="24"/>
      <c r="N76" s="23"/>
    </row>
    <row r="77" spans="2:14" x14ac:dyDescent="0.2">
      <c r="B77" s="17"/>
      <c r="C77" s="23"/>
      <c r="D77" s="23"/>
      <c r="E77" s="24"/>
      <c r="F77" s="23"/>
      <c r="G77" s="17"/>
      <c r="H77" s="17"/>
      <c r="J77" s="38"/>
      <c r="K77" s="17"/>
      <c r="L77" s="23"/>
      <c r="M77" s="24"/>
      <c r="N77" s="23"/>
    </row>
    <row r="78" spans="2:14" x14ac:dyDescent="0.2">
      <c r="B78" s="17"/>
      <c r="C78" s="23"/>
      <c r="D78" s="23"/>
      <c r="E78" s="24"/>
      <c r="F78" s="23"/>
      <c r="G78" s="17"/>
      <c r="H78" s="17"/>
      <c r="J78" s="38"/>
      <c r="K78" s="17"/>
      <c r="L78" s="23"/>
      <c r="M78" s="24"/>
      <c r="N78" s="23"/>
    </row>
    <row r="79" spans="2:14" x14ac:dyDescent="0.2">
      <c r="B79" s="17"/>
      <c r="C79" s="23"/>
      <c r="D79" s="23"/>
      <c r="E79" s="24"/>
      <c r="F79" s="23"/>
      <c r="G79" s="17"/>
      <c r="H79" s="17"/>
      <c r="J79" s="38"/>
      <c r="K79" s="17"/>
      <c r="L79" s="23"/>
      <c r="M79" s="24"/>
      <c r="N79" s="23"/>
    </row>
    <row r="80" spans="2:14" x14ac:dyDescent="0.2">
      <c r="B80" s="17"/>
      <c r="C80" s="23"/>
      <c r="D80" s="23"/>
      <c r="E80" s="24"/>
      <c r="F80" s="23"/>
      <c r="G80" s="17"/>
      <c r="H80" s="17"/>
      <c r="J80" s="38"/>
      <c r="K80" s="17"/>
      <c r="L80" s="23"/>
      <c r="M80" s="24"/>
      <c r="N80" s="23"/>
    </row>
    <row r="81" spans="2:14" x14ac:dyDescent="0.2">
      <c r="B81" s="17"/>
      <c r="C81" s="23"/>
      <c r="D81" s="23"/>
      <c r="E81" s="24"/>
      <c r="F81" s="23"/>
      <c r="G81" s="17"/>
      <c r="H81" s="17"/>
      <c r="J81" s="38"/>
      <c r="K81" s="17"/>
      <c r="L81" s="23"/>
      <c r="M81" s="24"/>
      <c r="N81" s="23"/>
    </row>
    <row r="82" spans="2:14" x14ac:dyDescent="0.2">
      <c r="B82" s="17"/>
      <c r="C82" s="23"/>
      <c r="D82" s="23"/>
      <c r="E82" s="24"/>
      <c r="F82" s="23"/>
      <c r="G82" s="17"/>
      <c r="H82" s="17"/>
      <c r="J82" s="38"/>
      <c r="K82" s="17"/>
      <c r="L82" s="23"/>
      <c r="M82" s="24"/>
      <c r="N82" s="23"/>
    </row>
    <row r="83" spans="2:14" x14ac:dyDescent="0.2">
      <c r="B83" s="17"/>
      <c r="C83" s="23"/>
      <c r="D83" s="23"/>
      <c r="E83" s="24"/>
      <c r="F83" s="23"/>
      <c r="G83" s="17"/>
      <c r="H83" s="17"/>
      <c r="J83" s="38"/>
      <c r="K83" s="17"/>
      <c r="L83" s="23"/>
      <c r="M83" s="24"/>
      <c r="N83" s="23"/>
    </row>
    <row r="84" spans="2:14" x14ac:dyDescent="0.2">
      <c r="B84" s="17"/>
      <c r="C84" s="23"/>
      <c r="D84" s="23"/>
      <c r="E84" s="24"/>
      <c r="F84" s="23"/>
      <c r="G84" s="17"/>
      <c r="H84" s="17"/>
      <c r="J84" s="38"/>
      <c r="K84" s="17"/>
      <c r="L84" s="23"/>
      <c r="M84" s="24"/>
      <c r="N84" s="23"/>
    </row>
    <row r="85" spans="2:14" x14ac:dyDescent="0.2">
      <c r="B85" s="17"/>
      <c r="C85" s="23"/>
      <c r="D85" s="23"/>
      <c r="E85" s="24"/>
      <c r="F85" s="23"/>
      <c r="G85" s="17"/>
      <c r="H85" s="17"/>
      <c r="J85" s="38"/>
      <c r="K85" s="17"/>
      <c r="L85" s="23"/>
      <c r="M85" s="24"/>
      <c r="N85" s="23"/>
    </row>
    <row r="86" spans="2:14" x14ac:dyDescent="0.2">
      <c r="B86" s="17"/>
      <c r="C86" s="23"/>
      <c r="D86" s="23"/>
      <c r="E86" s="24"/>
      <c r="F86" s="23"/>
      <c r="G86" s="17"/>
      <c r="H86" s="17"/>
      <c r="J86" s="38"/>
      <c r="K86" s="17"/>
      <c r="L86" s="23"/>
      <c r="M86" s="24"/>
      <c r="N86" s="23"/>
    </row>
    <row r="87" spans="2:14" x14ac:dyDescent="0.2">
      <c r="B87" s="17"/>
      <c r="C87" s="23"/>
      <c r="D87" s="23"/>
      <c r="E87" s="79"/>
      <c r="F87" s="23"/>
      <c r="G87" s="17"/>
      <c r="H87" s="17"/>
      <c r="J87" s="38"/>
      <c r="K87" s="17"/>
      <c r="L87" s="23"/>
      <c r="M87" s="24"/>
      <c r="N87" s="23"/>
    </row>
    <row r="88" spans="2:14" x14ac:dyDescent="0.2">
      <c r="B88" s="17"/>
      <c r="C88" s="23"/>
      <c r="D88" s="23"/>
      <c r="E88" s="24"/>
      <c r="F88" s="23"/>
      <c r="G88" s="17"/>
      <c r="H88" s="17"/>
      <c r="I88" s="38"/>
      <c r="J88" s="38"/>
      <c r="K88" s="17"/>
      <c r="L88" s="23"/>
      <c r="M88" s="24"/>
      <c r="N88" s="23"/>
    </row>
    <row r="89" spans="2:14" x14ac:dyDescent="0.2">
      <c r="B89" s="17"/>
      <c r="C89" s="23"/>
      <c r="D89" s="23"/>
      <c r="E89" s="79"/>
      <c r="F89" s="23"/>
      <c r="G89" s="17"/>
      <c r="H89" s="17"/>
      <c r="I89" s="38"/>
      <c r="J89" s="38"/>
      <c r="K89" s="17"/>
      <c r="L89" s="23"/>
      <c r="M89" s="24"/>
      <c r="N89" s="23"/>
    </row>
    <row r="90" spans="2:14" x14ac:dyDescent="0.2">
      <c r="B90" s="17"/>
      <c r="C90" s="23"/>
      <c r="D90" s="23"/>
      <c r="E90" s="24"/>
      <c r="F90" s="23"/>
      <c r="G90" s="17"/>
      <c r="H90" s="17"/>
      <c r="I90" s="38"/>
      <c r="J90" s="17"/>
      <c r="K90" s="17"/>
      <c r="L90" s="23"/>
      <c r="M90" s="24"/>
      <c r="N90" s="23"/>
    </row>
    <row r="91" spans="2:14" x14ac:dyDescent="0.2">
      <c r="B91" s="17"/>
      <c r="C91" s="23"/>
      <c r="D91" s="23"/>
      <c r="E91" s="79"/>
      <c r="F91" s="23"/>
      <c r="G91" s="17"/>
      <c r="H91" s="17"/>
      <c r="I91" s="38"/>
      <c r="J91" s="17"/>
      <c r="K91" s="17"/>
      <c r="L91" s="23"/>
      <c r="M91" s="24"/>
      <c r="N91" s="23"/>
    </row>
    <row r="92" spans="2:14" x14ac:dyDescent="0.2">
      <c r="B92" s="17"/>
      <c r="C92" s="23"/>
      <c r="D92" s="23"/>
      <c r="E92" s="24"/>
      <c r="F92" s="23"/>
      <c r="G92" s="17"/>
      <c r="H92" s="17"/>
      <c r="I92" s="38"/>
      <c r="J92" s="17"/>
      <c r="K92" s="17"/>
      <c r="L92" s="23"/>
      <c r="M92" s="24"/>
      <c r="N92" s="23"/>
    </row>
    <row r="93" spans="2:14" x14ac:dyDescent="0.2">
      <c r="B93" s="17"/>
      <c r="C93" s="23"/>
      <c r="D93" s="23"/>
      <c r="E93" s="79"/>
      <c r="F93" s="23"/>
      <c r="G93" s="17"/>
      <c r="H93" s="17"/>
      <c r="I93" s="38"/>
      <c r="J93" s="17"/>
      <c r="K93" s="17"/>
      <c r="L93" s="23"/>
      <c r="M93" s="24"/>
      <c r="N93" s="23"/>
    </row>
    <row r="94" spans="2:14" x14ac:dyDescent="0.2">
      <c r="B94" s="17"/>
      <c r="C94" s="23"/>
      <c r="D94" s="23"/>
      <c r="E94" s="24"/>
      <c r="F94" s="23"/>
      <c r="G94" s="17"/>
      <c r="H94" s="17"/>
      <c r="I94" s="38"/>
      <c r="J94" s="17"/>
      <c r="K94" s="17"/>
      <c r="L94" s="23"/>
      <c r="M94" s="24"/>
      <c r="N94" s="23"/>
    </row>
    <row r="95" spans="2:14" x14ac:dyDescent="0.2">
      <c r="B95" s="17"/>
      <c r="C95" s="23"/>
      <c r="D95" s="23"/>
      <c r="E95" s="80"/>
      <c r="F95" s="23"/>
      <c r="G95" s="17"/>
      <c r="H95" s="17"/>
      <c r="I95" s="38"/>
      <c r="J95" s="158"/>
      <c r="K95" s="17"/>
      <c r="L95" s="23"/>
      <c r="M95" s="24"/>
      <c r="N95" s="23"/>
    </row>
    <row r="96" spans="2:14" x14ac:dyDescent="0.2">
      <c r="B96" s="17"/>
      <c r="C96" s="23"/>
      <c r="D96" s="23"/>
      <c r="E96" s="24"/>
      <c r="F96" s="23"/>
      <c r="G96" s="17"/>
      <c r="H96" s="17"/>
      <c r="I96" s="38"/>
      <c r="J96" s="17"/>
      <c r="K96" s="17"/>
      <c r="L96" s="23"/>
      <c r="M96" s="24"/>
      <c r="N96" s="23"/>
    </row>
    <row r="97" spans="1:14" x14ac:dyDescent="0.2">
      <c r="B97" s="17"/>
      <c r="C97" s="38"/>
      <c r="D97" s="38"/>
      <c r="E97" s="17"/>
      <c r="F97" s="39"/>
      <c r="G97" s="17"/>
      <c r="H97" s="17"/>
      <c r="I97" s="38"/>
      <c r="J97" s="17"/>
      <c r="K97" s="17"/>
      <c r="L97" s="23"/>
      <c r="M97" s="24"/>
      <c r="N97" s="23"/>
    </row>
    <row r="98" spans="1:14" x14ac:dyDescent="0.2">
      <c r="M98" s="24"/>
      <c r="N98" s="23"/>
    </row>
    <row r="99" spans="1:14" x14ac:dyDescent="0.2">
      <c r="K99" s="17"/>
      <c r="L99" s="23"/>
      <c r="M99" s="24"/>
      <c r="N99" s="23"/>
    </row>
    <row r="100" spans="1:14" x14ac:dyDescent="0.2">
      <c r="C100" s="7"/>
      <c r="D100" s="7"/>
      <c r="E100" s="12"/>
      <c r="F100" s="7"/>
      <c r="G100" s="2"/>
      <c r="H100" s="2"/>
      <c r="J100" s="90"/>
      <c r="K100" s="17"/>
      <c r="L100" s="23"/>
      <c r="M100" s="24"/>
      <c r="N100" s="23"/>
    </row>
    <row r="101" spans="1:14" x14ac:dyDescent="0.2">
      <c r="J101" s="17"/>
      <c r="K101" s="17"/>
      <c r="L101" s="23"/>
      <c r="M101" s="24"/>
      <c r="N101" s="23"/>
    </row>
    <row r="102" spans="1:14" x14ac:dyDescent="0.2">
      <c r="C102" s="7"/>
      <c r="D102" s="7"/>
      <c r="E102" s="15"/>
      <c r="F102" s="7"/>
      <c r="G102" s="17"/>
      <c r="H102" s="17"/>
      <c r="J102" s="86"/>
      <c r="K102" s="17"/>
      <c r="L102" s="23"/>
      <c r="M102" s="24"/>
      <c r="N102" s="23"/>
    </row>
    <row r="103" spans="1:14" x14ac:dyDescent="0.2">
      <c r="M103" s="24"/>
      <c r="N103" s="23"/>
    </row>
    <row r="104" spans="1:14" x14ac:dyDescent="0.2">
      <c r="C104" s="7"/>
      <c r="D104" s="7"/>
      <c r="E104" s="15"/>
      <c r="F104" s="7"/>
      <c r="G104" s="17"/>
      <c r="H104" s="17"/>
      <c r="J104" s="17"/>
      <c r="K104" s="17"/>
      <c r="L104" s="23"/>
      <c r="M104" s="24"/>
      <c r="N104" s="23"/>
    </row>
    <row r="105" spans="1:14" x14ac:dyDescent="0.2">
      <c r="C105" s="7"/>
      <c r="D105" s="7"/>
      <c r="E105" s="15"/>
      <c r="F105" s="7"/>
      <c r="G105" s="2"/>
      <c r="H105" s="2"/>
      <c r="J105" s="17"/>
      <c r="K105" s="17"/>
      <c r="L105" s="23"/>
      <c r="M105" s="24"/>
      <c r="N105" s="23"/>
    </row>
    <row r="106" spans="1:14" x14ac:dyDescent="0.2">
      <c r="C106" s="7"/>
      <c r="D106" s="7"/>
      <c r="E106" s="15"/>
      <c r="F106" s="7"/>
      <c r="G106" s="2"/>
      <c r="H106" s="2"/>
      <c r="J106" s="17"/>
      <c r="K106" s="17"/>
      <c r="L106" s="23"/>
      <c r="M106" s="24"/>
      <c r="N106" s="23"/>
    </row>
    <row r="107" spans="1:14" x14ac:dyDescent="0.2">
      <c r="B107" s="42"/>
      <c r="C107" s="7"/>
      <c r="D107" s="7"/>
      <c r="E107" s="40"/>
      <c r="F107" s="7"/>
      <c r="G107" s="2"/>
      <c r="H107" s="2"/>
      <c r="J107" s="17"/>
      <c r="K107" s="17"/>
      <c r="L107" s="23"/>
      <c r="M107" s="24"/>
      <c r="N107" s="23"/>
    </row>
    <row r="108" spans="1:14" x14ac:dyDescent="0.2">
      <c r="B108" s="42"/>
      <c r="C108" s="7"/>
      <c r="D108" s="7"/>
      <c r="E108" s="15"/>
      <c r="F108" s="7"/>
      <c r="G108" s="2"/>
      <c r="H108" s="2"/>
      <c r="J108" s="17"/>
      <c r="K108" s="17"/>
      <c r="L108" s="23"/>
      <c r="M108" s="24"/>
      <c r="N108" s="23"/>
    </row>
    <row r="109" spans="1:14" x14ac:dyDescent="0.2">
      <c r="B109" s="42"/>
      <c r="C109" s="7"/>
      <c r="D109" s="7"/>
      <c r="E109" s="15"/>
      <c r="F109" s="7"/>
      <c r="G109" s="2"/>
      <c r="H109" s="2"/>
      <c r="J109" s="17"/>
      <c r="K109" s="17"/>
      <c r="L109" s="23"/>
      <c r="M109" s="24"/>
      <c r="N109" s="23"/>
    </row>
    <row r="110" spans="1:14" x14ac:dyDescent="0.2">
      <c r="A110" s="17"/>
      <c r="B110" s="17"/>
      <c r="C110" s="23"/>
      <c r="D110" s="23"/>
      <c r="E110" s="87"/>
      <c r="F110" s="23"/>
      <c r="G110" s="17"/>
      <c r="H110" s="17"/>
      <c r="I110" s="23"/>
      <c r="J110" s="17"/>
      <c r="K110" s="17"/>
      <c r="L110" s="23"/>
      <c r="M110" s="24"/>
      <c r="N110" s="23"/>
    </row>
    <row r="111" spans="1:14" x14ac:dyDescent="0.2">
      <c r="A111" s="17"/>
      <c r="B111" s="17"/>
      <c r="C111" s="23"/>
      <c r="D111" s="23"/>
      <c r="E111" s="17"/>
      <c r="F111" s="23"/>
      <c r="G111" s="17"/>
      <c r="H111" s="17"/>
      <c r="I111" s="23"/>
      <c r="J111" s="17"/>
      <c r="K111" s="17"/>
      <c r="L111" s="23"/>
      <c r="M111" s="24"/>
      <c r="N111" s="23"/>
    </row>
    <row r="112" spans="1:14" x14ac:dyDescent="0.2">
      <c r="A112" s="17"/>
      <c r="B112" s="17"/>
      <c r="C112" s="23"/>
      <c r="D112" s="23"/>
      <c r="E112" s="17"/>
      <c r="F112" s="23"/>
      <c r="G112" s="17"/>
      <c r="H112" s="17"/>
      <c r="I112" s="23"/>
      <c r="J112" s="17"/>
      <c r="K112" s="17"/>
      <c r="L112" s="23"/>
      <c r="M112" s="24"/>
      <c r="N112" s="23"/>
    </row>
    <row r="113" spans="1:14" x14ac:dyDescent="0.2">
      <c r="A113" s="17"/>
      <c r="B113" s="17"/>
      <c r="C113" s="23"/>
      <c r="D113" s="23"/>
      <c r="E113" s="28"/>
      <c r="F113" s="23"/>
      <c r="G113" s="17"/>
      <c r="H113" s="17"/>
      <c r="J113" s="17"/>
      <c r="K113" s="17"/>
      <c r="L113" s="23"/>
      <c r="M113" s="24"/>
      <c r="N113" s="23"/>
    </row>
    <row r="114" spans="1:14" x14ac:dyDescent="0.2">
      <c r="A114" s="17"/>
      <c r="B114" s="17"/>
      <c r="C114" s="38"/>
      <c r="D114" s="31"/>
      <c r="E114" s="54"/>
      <c r="F114" s="31"/>
      <c r="G114" s="17"/>
      <c r="H114" s="17"/>
      <c r="J114" s="17"/>
      <c r="K114" s="17"/>
      <c r="L114" s="23"/>
      <c r="M114" s="24"/>
      <c r="N114" s="23"/>
    </row>
    <row r="115" spans="1:14" x14ac:dyDescent="0.2">
      <c r="A115" s="17"/>
      <c r="B115" s="17"/>
      <c r="C115" s="38"/>
      <c r="D115" s="38"/>
      <c r="E115" s="17"/>
      <c r="F115" s="39"/>
      <c r="G115" s="17"/>
      <c r="H115" s="17"/>
      <c r="I115" s="16"/>
      <c r="J115" s="17"/>
      <c r="K115" s="17"/>
      <c r="L115" s="23"/>
      <c r="M115" s="24"/>
      <c r="N115" s="23"/>
    </row>
    <row r="116" spans="1:14" x14ac:dyDescent="0.2">
      <c r="A116" s="17"/>
      <c r="B116" s="17"/>
      <c r="C116" s="17"/>
      <c r="D116" s="23"/>
      <c r="E116" s="17"/>
      <c r="F116" s="23"/>
      <c r="G116" s="17"/>
      <c r="H116" s="17"/>
      <c r="J116" s="17"/>
      <c r="K116" s="17"/>
      <c r="L116" s="23"/>
      <c r="M116" s="24"/>
      <c r="N116" s="23"/>
    </row>
    <row r="117" spans="1:14" x14ac:dyDescent="0.2">
      <c r="A117" s="17"/>
      <c r="B117" s="17"/>
      <c r="C117" s="23"/>
      <c r="D117" s="23"/>
      <c r="E117" s="17"/>
      <c r="F117" s="23"/>
      <c r="G117" s="17"/>
      <c r="H117" s="17"/>
      <c r="J117" s="17"/>
      <c r="K117" s="17"/>
      <c r="L117" s="23"/>
      <c r="M117" s="24"/>
      <c r="N117" s="23"/>
    </row>
    <row r="118" spans="1:14" x14ac:dyDescent="0.2">
      <c r="A118" s="17"/>
      <c r="B118" s="17"/>
      <c r="C118" s="23"/>
      <c r="D118" s="23"/>
      <c r="E118" s="17"/>
      <c r="F118" s="17"/>
      <c r="G118" s="17"/>
      <c r="H118" s="17"/>
      <c r="J118" s="17"/>
      <c r="K118" s="17"/>
      <c r="L118" s="23"/>
      <c r="M118" s="24"/>
      <c r="N118" s="23"/>
    </row>
    <row r="119" spans="1:14" x14ac:dyDescent="0.2">
      <c r="A119" s="17"/>
      <c r="B119" s="55"/>
      <c r="C119" s="23"/>
      <c r="D119" s="23"/>
      <c r="E119" s="56"/>
      <c r="F119" s="22"/>
      <c r="G119" s="17"/>
      <c r="H119" s="17"/>
      <c r="J119" s="17"/>
      <c r="K119" s="17"/>
      <c r="L119" s="23"/>
      <c r="M119" s="24"/>
      <c r="N119" s="23"/>
    </row>
    <row r="120" spans="1:14" x14ac:dyDescent="0.2">
      <c r="A120" s="17"/>
      <c r="B120" s="17"/>
      <c r="C120" s="23"/>
      <c r="D120" s="23"/>
      <c r="E120" s="56"/>
      <c r="F120" s="22"/>
      <c r="G120" s="17"/>
      <c r="H120" s="17"/>
      <c r="J120" s="17"/>
      <c r="K120" s="17"/>
      <c r="L120" s="23"/>
      <c r="M120" s="24"/>
      <c r="N120" s="23"/>
    </row>
    <row r="121" spans="1:14" x14ac:dyDescent="0.2">
      <c r="A121" s="17"/>
      <c r="B121" s="17"/>
      <c r="C121" s="23"/>
      <c r="D121" s="23"/>
      <c r="E121" s="57"/>
      <c r="F121" s="23"/>
      <c r="G121" s="17"/>
      <c r="H121" s="17"/>
      <c r="J121" s="17"/>
      <c r="K121" s="17"/>
      <c r="L121" s="23"/>
      <c r="M121" s="24"/>
      <c r="N121" s="23"/>
    </row>
    <row r="122" spans="1:14" x14ac:dyDescent="0.2">
      <c r="A122" s="17"/>
      <c r="B122" s="17"/>
      <c r="C122" s="17"/>
      <c r="D122" s="23"/>
      <c r="E122" s="17"/>
      <c r="F122" s="23"/>
      <c r="G122" s="17"/>
      <c r="H122" s="17"/>
      <c r="J122" s="17"/>
      <c r="K122" s="17"/>
      <c r="L122" s="23"/>
      <c r="M122" s="24"/>
      <c r="N122" s="23"/>
    </row>
    <row r="123" spans="1:14" x14ac:dyDescent="0.2">
      <c r="A123" s="17"/>
      <c r="B123" s="17"/>
      <c r="C123" s="17"/>
      <c r="D123" s="23"/>
      <c r="E123" s="17"/>
      <c r="F123" s="23"/>
      <c r="G123" s="17"/>
      <c r="H123" s="17"/>
      <c r="J123" s="17"/>
      <c r="K123" s="17"/>
      <c r="L123" s="23"/>
      <c r="M123" s="24"/>
      <c r="N123" s="23"/>
    </row>
    <row r="124" spans="1:14" x14ac:dyDescent="0.2">
      <c r="A124" s="17"/>
      <c r="B124" s="17"/>
      <c r="C124" s="17"/>
      <c r="D124" s="23"/>
      <c r="E124" s="17"/>
      <c r="F124" s="23"/>
      <c r="G124" s="30"/>
      <c r="H124" s="30"/>
      <c r="J124" s="17"/>
      <c r="K124" s="17"/>
      <c r="L124" s="23"/>
      <c r="M124" s="24"/>
      <c r="N124" s="23"/>
    </row>
    <row r="125" spans="1:14" x14ac:dyDescent="0.2">
      <c r="A125" s="17"/>
      <c r="B125" s="17"/>
      <c r="C125" s="17"/>
      <c r="D125" s="23"/>
      <c r="E125" s="17"/>
      <c r="F125" s="23"/>
      <c r="G125" s="30"/>
      <c r="H125" s="30"/>
      <c r="J125" s="17"/>
      <c r="K125" s="17"/>
      <c r="L125" s="23"/>
      <c r="M125" s="24"/>
      <c r="N125" s="23"/>
    </row>
    <row r="126" spans="1:14" x14ac:dyDescent="0.2">
      <c r="A126" s="17"/>
      <c r="B126" s="17"/>
      <c r="C126" s="17"/>
      <c r="D126" s="23"/>
      <c r="E126" s="17"/>
      <c r="F126" s="23"/>
      <c r="G126" s="30"/>
      <c r="H126" s="30"/>
      <c r="J126" s="17"/>
      <c r="K126" s="17"/>
      <c r="L126" s="23"/>
      <c r="M126" s="24"/>
      <c r="N126" s="23"/>
    </row>
    <row r="127" spans="1:14" x14ac:dyDescent="0.2">
      <c r="A127" s="17"/>
      <c r="B127" s="17"/>
      <c r="C127" s="17"/>
      <c r="D127" s="23"/>
      <c r="E127" s="17"/>
      <c r="F127" s="23"/>
      <c r="G127" s="23"/>
      <c r="H127" s="23"/>
      <c r="J127" s="17"/>
      <c r="K127" s="17"/>
      <c r="L127" s="23"/>
      <c r="M127" s="24"/>
      <c r="N127" s="23"/>
    </row>
    <row r="128" spans="1:14" x14ac:dyDescent="0.2">
      <c r="A128" s="17"/>
      <c r="B128" s="17"/>
      <c r="C128" s="17"/>
      <c r="D128" s="23"/>
      <c r="E128" s="17"/>
      <c r="F128" s="23"/>
      <c r="G128" s="17"/>
      <c r="H128" s="17"/>
      <c r="J128" s="17"/>
      <c r="K128" s="17"/>
      <c r="L128" s="23"/>
      <c r="M128" s="24"/>
      <c r="N128" s="23"/>
    </row>
    <row r="129" spans="1:14" x14ac:dyDescent="0.2">
      <c r="A129" s="17"/>
      <c r="B129" s="17"/>
      <c r="C129" s="17"/>
      <c r="D129" s="23"/>
      <c r="E129" s="17"/>
      <c r="F129" s="23"/>
      <c r="G129" s="17"/>
      <c r="H129" s="17"/>
      <c r="J129" s="17"/>
      <c r="K129" s="17"/>
      <c r="L129" s="23"/>
      <c r="M129" s="24"/>
      <c r="N129" s="23"/>
    </row>
    <row r="130" spans="1:14" x14ac:dyDescent="0.2">
      <c r="A130" s="17"/>
      <c r="B130" s="17"/>
      <c r="C130" s="17"/>
      <c r="D130" s="23"/>
      <c r="E130" s="17"/>
      <c r="F130" s="23"/>
      <c r="G130" s="17"/>
      <c r="H130" s="17"/>
      <c r="J130" s="17"/>
      <c r="K130" s="17"/>
      <c r="L130" s="23"/>
      <c r="M130" s="24"/>
      <c r="N130" s="23"/>
    </row>
    <row r="131" spans="1:14" x14ac:dyDescent="0.2">
      <c r="A131" s="17"/>
      <c r="B131" s="17"/>
      <c r="C131" s="17"/>
      <c r="D131" s="23"/>
      <c r="E131" s="17"/>
      <c r="F131" s="23"/>
      <c r="G131" s="17"/>
      <c r="H131" s="17"/>
      <c r="J131" s="17"/>
      <c r="K131" s="17"/>
      <c r="L131" s="23"/>
      <c r="M131" s="24"/>
      <c r="N131" s="23"/>
    </row>
    <row r="132" spans="1:14" x14ac:dyDescent="0.2">
      <c r="A132" s="17"/>
      <c r="B132" s="17"/>
      <c r="C132" s="17"/>
      <c r="D132" s="23"/>
      <c r="E132" s="17"/>
      <c r="F132" s="23"/>
      <c r="G132" s="17"/>
      <c r="H132" s="17"/>
      <c r="J132" s="17"/>
      <c r="K132" s="17"/>
      <c r="L132" s="23"/>
      <c r="M132" s="24"/>
      <c r="N132" s="23"/>
    </row>
    <row r="133" spans="1:14" x14ac:dyDescent="0.2">
      <c r="A133" s="17"/>
      <c r="B133" s="17"/>
      <c r="C133" s="17"/>
      <c r="D133" s="23"/>
      <c r="E133" s="17"/>
      <c r="F133" s="23"/>
      <c r="G133" s="17"/>
      <c r="H133" s="17"/>
      <c r="J133" s="17"/>
      <c r="K133" s="17"/>
      <c r="L133" s="23"/>
      <c r="M133" s="24"/>
      <c r="N133" s="23"/>
    </row>
    <row r="134" spans="1:14" x14ac:dyDescent="0.2">
      <c r="A134" s="17"/>
      <c r="B134" s="17"/>
      <c r="C134" s="17"/>
      <c r="D134" s="23"/>
      <c r="E134" s="17"/>
      <c r="F134" s="23"/>
      <c r="G134" s="17"/>
      <c r="H134" s="17"/>
      <c r="J134" s="17"/>
      <c r="K134" s="17"/>
      <c r="L134" s="23"/>
      <c r="M134" s="24"/>
      <c r="N134" s="23"/>
    </row>
    <row r="135" spans="1:14" x14ac:dyDescent="0.2">
      <c r="A135" s="17"/>
      <c r="B135" s="17"/>
      <c r="C135" s="17"/>
      <c r="D135" s="23"/>
      <c r="E135" s="17"/>
      <c r="F135" s="23"/>
      <c r="G135" s="17"/>
      <c r="H135" s="17"/>
      <c r="J135" s="17"/>
      <c r="K135" s="17"/>
      <c r="L135" s="23"/>
      <c r="M135" s="24"/>
      <c r="N135" s="23"/>
    </row>
    <row r="136" spans="1:14" x14ac:dyDescent="0.2">
      <c r="A136" s="17"/>
      <c r="B136" s="17"/>
      <c r="C136" s="17"/>
      <c r="D136" s="23"/>
      <c r="E136" s="17"/>
      <c r="F136" s="23"/>
      <c r="G136" s="17"/>
      <c r="H136" s="17"/>
      <c r="J136" s="17"/>
      <c r="K136" s="17"/>
      <c r="L136" s="23"/>
      <c r="M136" s="24"/>
      <c r="N136" s="23"/>
    </row>
    <row r="137" spans="1:14" x14ac:dyDescent="0.2">
      <c r="A137" s="17"/>
      <c r="B137" s="17"/>
      <c r="C137" s="17"/>
      <c r="D137" s="23"/>
      <c r="E137" s="17"/>
      <c r="F137" s="23"/>
      <c r="G137" s="17"/>
      <c r="H137" s="17"/>
      <c r="J137" s="17"/>
      <c r="K137" s="17"/>
      <c r="L137" s="23"/>
      <c r="M137" s="24"/>
      <c r="N137" s="23"/>
    </row>
    <row r="138" spans="1:14" x14ac:dyDescent="0.2">
      <c r="A138" s="17"/>
      <c r="B138" s="17"/>
      <c r="C138" s="17"/>
      <c r="D138" s="23"/>
      <c r="E138" s="17"/>
      <c r="F138" s="23"/>
      <c r="G138" s="17"/>
      <c r="H138" s="17"/>
      <c r="J138" s="17"/>
      <c r="K138" s="17"/>
      <c r="L138" s="23"/>
      <c r="M138" s="24"/>
      <c r="N138" s="23"/>
    </row>
    <row r="139" spans="1:14" x14ac:dyDescent="0.2">
      <c r="A139" s="17"/>
      <c r="B139" s="17"/>
      <c r="C139" s="17"/>
      <c r="D139" s="23"/>
      <c r="E139" s="17"/>
      <c r="F139" s="23"/>
      <c r="G139" s="17"/>
      <c r="H139" s="17"/>
      <c r="J139" s="17"/>
      <c r="K139" s="17"/>
      <c r="L139" s="23"/>
      <c r="M139" s="24"/>
      <c r="N139" s="23"/>
    </row>
    <row r="140" spans="1:14" x14ac:dyDescent="0.2">
      <c r="A140" s="17"/>
      <c r="B140" s="17"/>
      <c r="C140" s="17"/>
      <c r="D140" s="23"/>
      <c r="E140" s="17"/>
      <c r="F140" s="23"/>
      <c r="G140" s="17"/>
      <c r="H140" s="17"/>
      <c r="J140" s="17"/>
      <c r="K140" s="17"/>
      <c r="L140" s="23"/>
      <c r="M140" s="24"/>
      <c r="N140" s="23"/>
    </row>
    <row r="141" spans="1:14" x14ac:dyDescent="0.2">
      <c r="A141" s="17"/>
      <c r="B141" s="17"/>
      <c r="C141" s="17"/>
      <c r="D141" s="23"/>
      <c r="E141" s="17"/>
      <c r="F141" s="23"/>
      <c r="G141" s="17"/>
      <c r="H141" s="17"/>
      <c r="J141" s="17"/>
      <c r="K141" s="17"/>
      <c r="L141" s="23"/>
      <c r="M141" s="24"/>
      <c r="N141" s="23"/>
    </row>
    <row r="142" spans="1:14" x14ac:dyDescent="0.2">
      <c r="A142" s="17"/>
      <c r="B142" s="17"/>
      <c r="C142" s="17"/>
      <c r="D142" s="23"/>
      <c r="E142" s="17"/>
      <c r="F142" s="23"/>
      <c r="G142" s="17"/>
      <c r="H142" s="17"/>
      <c r="J142" s="17"/>
      <c r="K142" s="17"/>
      <c r="L142" s="23"/>
      <c r="M142" s="24"/>
      <c r="N142" s="23"/>
    </row>
    <row r="143" spans="1:14" x14ac:dyDescent="0.2">
      <c r="A143" s="17"/>
      <c r="B143" s="17"/>
      <c r="C143" s="17"/>
      <c r="D143" s="23"/>
      <c r="E143" s="17"/>
      <c r="F143" s="23"/>
      <c r="G143" s="17"/>
      <c r="H143" s="17"/>
      <c r="I143" s="23"/>
      <c r="J143" s="17"/>
      <c r="K143" s="17"/>
      <c r="L143" s="23"/>
      <c r="M143" s="24"/>
      <c r="N143" s="23"/>
    </row>
    <row r="144" spans="1:14" x14ac:dyDescent="0.2">
      <c r="A144" s="17"/>
      <c r="B144" s="17"/>
      <c r="C144" s="17"/>
      <c r="D144" s="23"/>
      <c r="E144" s="28"/>
      <c r="F144" s="23"/>
      <c r="G144" s="17"/>
      <c r="H144" s="17"/>
      <c r="I144" s="23"/>
      <c r="J144" s="17"/>
      <c r="K144" s="17"/>
      <c r="L144" s="23"/>
      <c r="M144" s="24"/>
      <c r="N144" s="23"/>
    </row>
    <row r="145" spans="1:14" x14ac:dyDescent="0.2">
      <c r="A145" s="17"/>
      <c r="B145" s="17"/>
      <c r="C145" s="17"/>
      <c r="D145" s="31"/>
      <c r="E145" s="54"/>
      <c r="F145" s="31"/>
      <c r="G145" s="17"/>
      <c r="H145" s="17"/>
      <c r="I145" s="23"/>
      <c r="J145" s="17"/>
      <c r="K145" s="17"/>
      <c r="L145" s="23"/>
      <c r="M145" s="24"/>
      <c r="N145" s="23"/>
    </row>
    <row r="146" spans="1:14" x14ac:dyDescent="0.2">
      <c r="A146" s="17"/>
      <c r="B146" s="17"/>
      <c r="C146" s="38"/>
      <c r="D146" s="38"/>
      <c r="E146" s="17"/>
      <c r="F146" s="39"/>
      <c r="G146" s="17"/>
      <c r="H146" s="17"/>
      <c r="J146" s="17"/>
      <c r="K146" s="17"/>
      <c r="L146" s="23"/>
      <c r="M146" s="24"/>
      <c r="N146" s="23"/>
    </row>
    <row r="147" spans="1:14" x14ac:dyDescent="0.2">
      <c r="A147" s="17"/>
      <c r="B147" s="17"/>
      <c r="C147" s="30"/>
      <c r="D147" s="23"/>
      <c r="E147" s="29"/>
      <c r="F147" s="22"/>
      <c r="G147" s="17"/>
      <c r="H147" s="17"/>
      <c r="J147" s="17"/>
      <c r="K147" s="17"/>
      <c r="L147" s="23"/>
      <c r="M147" s="24"/>
      <c r="N147" s="23"/>
    </row>
    <row r="148" spans="1:14" x14ac:dyDescent="0.2">
      <c r="A148" s="17"/>
      <c r="B148" s="17"/>
      <c r="C148" s="17"/>
      <c r="D148" s="17"/>
      <c r="E148" s="17"/>
      <c r="F148" s="17"/>
      <c r="G148" s="17"/>
      <c r="H148" s="17"/>
      <c r="I148" s="31"/>
      <c r="J148" s="17"/>
      <c r="K148" s="17"/>
      <c r="L148" s="23"/>
      <c r="M148" s="24"/>
      <c r="N148" s="23"/>
    </row>
    <row r="149" spans="1:14" x14ac:dyDescent="0.2">
      <c r="A149" s="17"/>
      <c r="B149" s="17"/>
      <c r="C149" s="17"/>
      <c r="D149" s="17"/>
      <c r="E149" s="17"/>
      <c r="F149" s="17"/>
      <c r="G149" s="17"/>
      <c r="H149" s="17"/>
      <c r="I149" s="31"/>
      <c r="J149" s="23"/>
      <c r="K149" s="23"/>
      <c r="L149" s="23"/>
      <c r="M149" s="24"/>
      <c r="N149" s="23"/>
    </row>
    <row r="150" spans="1:14" x14ac:dyDescent="0.2">
      <c r="A150" s="17"/>
      <c r="B150" s="55"/>
      <c r="C150" s="17"/>
      <c r="D150" s="17"/>
      <c r="E150" s="17"/>
      <c r="F150" s="17"/>
      <c r="G150" s="17"/>
      <c r="H150" s="17"/>
      <c r="J150" s="22"/>
      <c r="K150" s="23"/>
      <c r="L150" s="23"/>
      <c r="M150" s="25"/>
      <c r="N150" s="22"/>
    </row>
    <row r="151" spans="1:14" x14ac:dyDescent="0.2">
      <c r="A151" s="17"/>
      <c r="B151" s="17"/>
      <c r="C151" s="17"/>
      <c r="D151" s="17"/>
      <c r="E151" s="17"/>
      <c r="F151" s="17"/>
      <c r="G151" s="17"/>
      <c r="H151" s="17"/>
      <c r="J151" s="23"/>
      <c r="K151" s="23"/>
      <c r="L151" s="23"/>
      <c r="M151" s="24"/>
      <c r="N151" s="23"/>
    </row>
    <row r="152" spans="1:14" x14ac:dyDescent="0.2">
      <c r="A152" s="17"/>
      <c r="B152" s="17"/>
      <c r="C152" s="17"/>
      <c r="D152" s="17"/>
      <c r="E152" s="17"/>
      <c r="F152" s="17"/>
      <c r="G152" s="17"/>
      <c r="H152" s="17"/>
      <c r="J152" s="26"/>
      <c r="L152" s="26"/>
      <c r="M152" s="17"/>
      <c r="N152" s="17"/>
    </row>
    <row r="153" spans="1:14" x14ac:dyDescent="0.2">
      <c r="A153" s="17"/>
      <c r="B153" s="17"/>
      <c r="C153" s="17"/>
      <c r="D153" s="17"/>
      <c r="E153" s="17"/>
      <c r="F153" s="17"/>
      <c r="G153" s="17"/>
      <c r="H153" s="17"/>
      <c r="J153" s="16"/>
      <c r="K153" s="16"/>
      <c r="L153" s="17"/>
      <c r="M153" s="17"/>
      <c r="N153" s="16"/>
    </row>
    <row r="154" spans="1:14" x14ac:dyDescent="0.2">
      <c r="A154" s="17"/>
      <c r="B154" s="17"/>
      <c r="C154" s="17"/>
      <c r="D154" s="17"/>
      <c r="E154" s="17"/>
      <c r="F154" s="17"/>
      <c r="G154" s="17"/>
      <c r="H154" s="17"/>
      <c r="J154" s="16"/>
      <c r="K154" s="16"/>
      <c r="L154" s="16"/>
      <c r="M154" s="16"/>
      <c r="N154" s="16"/>
    </row>
    <row r="155" spans="1:14" x14ac:dyDescent="0.2">
      <c r="A155" s="17"/>
      <c r="B155" s="17"/>
      <c r="C155" s="17"/>
      <c r="D155" s="17"/>
      <c r="E155" s="17"/>
      <c r="F155" s="17"/>
      <c r="G155" s="17"/>
      <c r="H155" s="17"/>
    </row>
    <row r="156" spans="1:14" x14ac:dyDescent="0.2">
      <c r="A156" s="17"/>
      <c r="B156" s="17"/>
      <c r="C156" s="17"/>
      <c r="D156" s="17"/>
      <c r="E156" s="17"/>
      <c r="F156" s="17"/>
      <c r="G156" s="17"/>
      <c r="H156" s="17"/>
    </row>
    <row r="157" spans="1:14" x14ac:dyDescent="0.2">
      <c r="A157" s="17"/>
      <c r="B157" s="17"/>
      <c r="C157" s="17"/>
      <c r="D157" s="17"/>
      <c r="E157" s="17"/>
      <c r="F157" s="17"/>
      <c r="G157" s="17"/>
      <c r="H157" s="17"/>
    </row>
    <row r="158" spans="1:14" x14ac:dyDescent="0.2">
      <c r="A158" s="17"/>
      <c r="B158" s="17"/>
      <c r="C158" s="17"/>
      <c r="D158" s="17"/>
      <c r="E158" s="17"/>
      <c r="F158" s="17"/>
      <c r="G158" s="17"/>
      <c r="H158" s="17"/>
    </row>
    <row r="159" spans="1:14" x14ac:dyDescent="0.2">
      <c r="A159" s="17"/>
      <c r="B159" s="17"/>
      <c r="C159" s="17"/>
      <c r="D159" s="17"/>
      <c r="E159" s="17"/>
      <c r="F159" s="17"/>
      <c r="G159" s="17"/>
      <c r="H159" s="17"/>
    </row>
    <row r="160" spans="1:14" x14ac:dyDescent="0.2">
      <c r="A160" s="17"/>
      <c r="B160" s="17"/>
      <c r="C160" s="17"/>
      <c r="D160" s="17"/>
      <c r="E160" s="17"/>
      <c r="F160" s="17"/>
      <c r="G160" s="17"/>
      <c r="H160" s="17"/>
    </row>
    <row r="161" spans="1:15" x14ac:dyDescent="0.2">
      <c r="A161" s="17"/>
      <c r="B161" s="17"/>
      <c r="C161" s="17"/>
      <c r="D161" s="17"/>
      <c r="E161" s="17"/>
      <c r="F161" s="17"/>
      <c r="G161" s="17"/>
      <c r="H161" s="17"/>
    </row>
    <row r="162" spans="1:15" x14ac:dyDescent="0.2">
      <c r="A162" s="17"/>
      <c r="B162" s="17"/>
      <c r="C162" s="17"/>
      <c r="D162" s="17"/>
      <c r="E162" s="17"/>
      <c r="F162" s="17"/>
      <c r="G162" s="17"/>
      <c r="H162" s="17"/>
    </row>
    <row r="163" spans="1:15" x14ac:dyDescent="0.2">
      <c r="A163" s="17"/>
      <c r="B163" s="17"/>
      <c r="C163" s="17"/>
      <c r="D163" s="17"/>
      <c r="E163" s="17"/>
      <c r="F163" s="17"/>
      <c r="G163" s="17"/>
      <c r="H163" s="17"/>
    </row>
    <row r="164" spans="1:15" x14ac:dyDescent="0.2">
      <c r="A164" s="17"/>
      <c r="B164" s="17"/>
      <c r="C164" s="17"/>
      <c r="D164" s="17"/>
      <c r="E164" s="17"/>
      <c r="F164" s="17"/>
      <c r="G164" s="17"/>
      <c r="H164" s="17"/>
      <c r="O164" s="27"/>
    </row>
    <row r="165" spans="1:15" x14ac:dyDescent="0.2">
      <c r="A165" s="17"/>
      <c r="B165" s="17"/>
      <c r="C165" s="17"/>
      <c r="D165" s="17"/>
      <c r="E165" s="17"/>
      <c r="F165" s="17"/>
      <c r="G165" s="17"/>
      <c r="H165" s="17"/>
      <c r="O165" s="27"/>
    </row>
    <row r="166" spans="1:15" x14ac:dyDescent="0.2">
      <c r="A166" s="17"/>
      <c r="B166" s="17"/>
      <c r="C166" s="17"/>
      <c r="D166" s="17"/>
      <c r="E166" s="17"/>
      <c r="F166" s="17"/>
      <c r="G166" s="17"/>
      <c r="H166" s="17"/>
      <c r="O166" s="27"/>
    </row>
    <row r="167" spans="1:15" x14ac:dyDescent="0.2">
      <c r="A167" s="17"/>
      <c r="B167" s="17"/>
      <c r="C167" s="17"/>
      <c r="D167" s="17"/>
      <c r="E167" s="17"/>
      <c r="F167" s="17"/>
      <c r="G167" s="17"/>
      <c r="H167" s="17"/>
    </row>
    <row r="168" spans="1:15" x14ac:dyDescent="0.2">
      <c r="A168" s="17"/>
      <c r="B168" s="17"/>
      <c r="C168" s="17"/>
      <c r="D168" s="17"/>
      <c r="E168" s="17"/>
      <c r="F168" s="17"/>
      <c r="G168" s="17"/>
      <c r="H168" s="17"/>
    </row>
    <row r="169" spans="1:15" x14ac:dyDescent="0.2">
      <c r="A169" s="17"/>
      <c r="B169" s="17"/>
      <c r="C169" s="17"/>
      <c r="D169" s="17"/>
      <c r="E169" s="17"/>
      <c r="F169" s="17"/>
      <c r="G169" s="17"/>
      <c r="H169" s="17"/>
    </row>
    <row r="170" spans="1:15" x14ac:dyDescent="0.2">
      <c r="A170" s="17"/>
      <c r="B170" s="17"/>
      <c r="C170" s="17"/>
      <c r="D170" s="17"/>
      <c r="E170" s="17"/>
      <c r="F170" s="17"/>
      <c r="G170" s="17"/>
      <c r="H170" s="17"/>
    </row>
    <row r="171" spans="1:15" x14ac:dyDescent="0.2">
      <c r="A171" s="17"/>
      <c r="B171" s="17"/>
      <c r="C171" s="17"/>
      <c r="D171" s="17"/>
      <c r="E171" s="17"/>
      <c r="F171" s="17"/>
      <c r="G171" s="17"/>
      <c r="H171" s="17"/>
    </row>
    <row r="172" spans="1:15" x14ac:dyDescent="0.2">
      <c r="A172" s="17"/>
      <c r="B172" s="17"/>
      <c r="C172" s="17"/>
      <c r="D172" s="17"/>
      <c r="E172" s="17"/>
      <c r="F172" s="17"/>
      <c r="G172" s="17"/>
      <c r="H172" s="17"/>
    </row>
    <row r="173" spans="1:15" x14ac:dyDescent="0.2">
      <c r="A173" s="17"/>
      <c r="B173" s="17"/>
      <c r="C173" s="17"/>
      <c r="D173" s="17"/>
      <c r="E173" s="17"/>
      <c r="F173" s="17"/>
      <c r="G173" s="17"/>
      <c r="H173" s="17"/>
    </row>
    <row r="174" spans="1:15" x14ac:dyDescent="0.2">
      <c r="A174" s="17"/>
      <c r="B174" s="17"/>
      <c r="C174" s="17"/>
      <c r="D174" s="17"/>
      <c r="E174" s="17"/>
      <c r="F174" s="17"/>
      <c r="G174" s="17"/>
      <c r="H174" s="17"/>
    </row>
    <row r="175" spans="1:15" x14ac:dyDescent="0.2">
      <c r="A175" s="17"/>
      <c r="B175" s="17"/>
      <c r="C175" s="17"/>
      <c r="D175" s="17"/>
      <c r="E175" s="17"/>
      <c r="F175" s="17"/>
      <c r="G175" s="17"/>
      <c r="H175" s="17"/>
    </row>
    <row r="176" spans="1:15" x14ac:dyDescent="0.2">
      <c r="A176" s="17"/>
      <c r="B176" s="17"/>
      <c r="C176" s="17"/>
      <c r="D176" s="17"/>
      <c r="E176" s="17"/>
      <c r="F176" s="17"/>
      <c r="G176" s="17"/>
      <c r="H176" s="17"/>
    </row>
    <row r="177" spans="1:14" x14ac:dyDescent="0.2">
      <c r="A177" s="17"/>
      <c r="B177" s="17"/>
      <c r="C177" s="17"/>
      <c r="D177" s="17"/>
      <c r="E177" s="17"/>
      <c r="F177" s="17"/>
      <c r="G177" s="17"/>
      <c r="H177" s="17"/>
    </row>
    <row r="178" spans="1:14" x14ac:dyDescent="0.2">
      <c r="A178" s="17"/>
      <c r="B178" s="17"/>
      <c r="C178" s="17"/>
      <c r="D178" s="17"/>
      <c r="E178" s="17"/>
      <c r="F178" s="17"/>
      <c r="G178" s="17"/>
      <c r="H178" s="17"/>
    </row>
    <row r="179" spans="1:14" x14ac:dyDescent="0.2">
      <c r="A179" s="17"/>
      <c r="B179" s="17"/>
      <c r="C179" s="17"/>
      <c r="D179" s="17"/>
      <c r="E179" s="17"/>
      <c r="F179" s="17"/>
      <c r="G179" s="17"/>
      <c r="H179" s="17"/>
    </row>
    <row r="180" spans="1:14" x14ac:dyDescent="0.2">
      <c r="A180" s="17"/>
      <c r="B180" s="17"/>
      <c r="C180" s="17"/>
      <c r="D180" s="17"/>
      <c r="E180" s="17"/>
      <c r="F180" s="17"/>
      <c r="G180" s="17"/>
      <c r="H180" s="17"/>
    </row>
    <row r="181" spans="1:14" x14ac:dyDescent="0.2">
      <c r="A181" s="17"/>
      <c r="B181" s="17"/>
      <c r="C181" s="17"/>
      <c r="D181" s="17"/>
      <c r="E181" s="17"/>
      <c r="F181" s="17"/>
      <c r="G181" s="17"/>
      <c r="H181" s="17"/>
    </row>
    <row r="182" spans="1:14" x14ac:dyDescent="0.2">
      <c r="A182" s="17"/>
      <c r="B182" s="17"/>
      <c r="C182" s="17"/>
      <c r="D182" s="17"/>
      <c r="E182" s="17"/>
      <c r="F182" s="17"/>
      <c r="G182" s="17"/>
      <c r="H182" s="17"/>
      <c r="J182" s="23"/>
    </row>
    <row r="183" spans="1:14" x14ac:dyDescent="0.2">
      <c r="A183" s="17"/>
      <c r="B183" s="17"/>
      <c r="C183" s="17"/>
      <c r="D183" s="17"/>
      <c r="E183" s="17"/>
      <c r="F183" s="17"/>
      <c r="G183" s="17"/>
      <c r="H183" s="17"/>
      <c r="J183" s="22"/>
    </row>
    <row r="184" spans="1:14" x14ac:dyDescent="0.2">
      <c r="A184" s="17"/>
      <c r="B184" s="17"/>
      <c r="C184" s="17"/>
      <c r="D184" s="17"/>
      <c r="E184" s="17"/>
      <c r="F184" s="17"/>
      <c r="G184" s="17"/>
      <c r="H184" s="17"/>
      <c r="J184" s="23"/>
      <c r="K184" s="23"/>
      <c r="L184" s="23"/>
      <c r="M184" s="23"/>
      <c r="N184" s="22"/>
    </row>
    <row r="185" spans="1:14" x14ac:dyDescent="0.2">
      <c r="A185" s="17"/>
      <c r="B185" s="17"/>
      <c r="C185" s="17"/>
      <c r="D185" s="17"/>
      <c r="E185" s="17"/>
      <c r="F185" s="17"/>
      <c r="G185" s="17"/>
      <c r="H185" s="17"/>
      <c r="J185" s="30"/>
      <c r="K185" s="23"/>
      <c r="L185" s="23"/>
      <c r="M185" s="17"/>
      <c r="N185" s="22"/>
    </row>
    <row r="186" spans="1:14" x14ac:dyDescent="0.2">
      <c r="A186" s="17"/>
      <c r="B186" s="17"/>
      <c r="C186" s="17"/>
      <c r="D186" s="17"/>
      <c r="E186" s="17"/>
      <c r="F186" s="17"/>
      <c r="G186" s="17"/>
      <c r="H186" s="17"/>
      <c r="J186" s="17"/>
      <c r="K186" s="17"/>
      <c r="L186" s="23"/>
      <c r="M186" s="23"/>
      <c r="N186" s="23"/>
    </row>
    <row r="187" spans="1:14" x14ac:dyDescent="0.2">
      <c r="A187" s="17"/>
      <c r="B187" s="17"/>
      <c r="C187" s="17"/>
      <c r="D187" s="17"/>
      <c r="E187" s="17"/>
      <c r="F187" s="17"/>
      <c r="G187" s="17"/>
      <c r="H187" s="17"/>
      <c r="J187" s="31"/>
      <c r="L187" s="31"/>
      <c r="N187" s="31"/>
    </row>
    <row r="188" spans="1:14" x14ac:dyDescent="0.2">
      <c r="A188" s="17"/>
      <c r="B188" s="17"/>
      <c r="C188" s="17"/>
      <c r="D188" s="17"/>
      <c r="E188" s="17"/>
      <c r="F188" s="17"/>
      <c r="G188" s="17"/>
      <c r="H188" s="17"/>
      <c r="J188" s="31"/>
      <c r="L188" s="31"/>
      <c r="N188" s="31"/>
    </row>
    <row r="189" spans="1:14" x14ac:dyDescent="0.2">
      <c r="A189" s="17"/>
      <c r="B189" s="17"/>
      <c r="C189" s="17"/>
      <c r="D189" s="17"/>
      <c r="E189" s="17"/>
      <c r="F189" s="17"/>
      <c r="G189" s="17"/>
      <c r="H189" s="17"/>
    </row>
    <row r="190" spans="1:14" x14ac:dyDescent="0.2">
      <c r="A190" s="17"/>
      <c r="B190" s="17"/>
      <c r="C190" s="17"/>
      <c r="D190" s="17"/>
      <c r="E190" s="17"/>
      <c r="F190" s="17"/>
      <c r="G190" s="17"/>
      <c r="H190" s="17"/>
    </row>
    <row r="191" spans="1:14" x14ac:dyDescent="0.2">
      <c r="A191" s="17"/>
      <c r="B191" s="17"/>
      <c r="C191" s="17"/>
      <c r="D191" s="17"/>
      <c r="E191" s="17"/>
      <c r="F191" s="17"/>
      <c r="G191" s="17"/>
      <c r="H191" s="17"/>
    </row>
    <row r="192" spans="1:14" x14ac:dyDescent="0.2">
      <c r="A192" s="17"/>
      <c r="B192" s="17"/>
      <c r="C192" s="17"/>
      <c r="D192" s="17"/>
      <c r="E192" s="17"/>
      <c r="F192" s="17"/>
      <c r="G192" s="17"/>
      <c r="H192" s="17"/>
    </row>
    <row r="193" spans="1:8" x14ac:dyDescent="0.2">
      <c r="A193" s="17"/>
      <c r="B193" s="17"/>
      <c r="C193" s="17"/>
      <c r="D193" s="17"/>
      <c r="E193" s="17"/>
      <c r="F193" s="17"/>
      <c r="G193" s="17"/>
      <c r="H193" s="17"/>
    </row>
    <row r="194" spans="1:8" x14ac:dyDescent="0.2">
      <c r="A194" s="17"/>
      <c r="B194" s="17"/>
      <c r="C194" s="17"/>
      <c r="D194" s="17"/>
      <c r="E194" s="17"/>
      <c r="F194" s="17"/>
      <c r="G194" s="17"/>
      <c r="H194" s="17"/>
    </row>
    <row r="195" spans="1:8" x14ac:dyDescent="0.2">
      <c r="A195" s="17"/>
      <c r="B195" s="17"/>
      <c r="C195" s="17"/>
      <c r="D195" s="17"/>
      <c r="E195" s="17"/>
      <c r="F195" s="17"/>
      <c r="G195" s="17"/>
      <c r="H195" s="17"/>
    </row>
    <row r="196" spans="1:8" x14ac:dyDescent="0.2">
      <c r="A196" s="17"/>
      <c r="B196" s="17"/>
      <c r="C196" s="17"/>
      <c r="D196" s="17"/>
      <c r="E196" s="17"/>
      <c r="F196" s="17"/>
      <c r="G196" s="17"/>
      <c r="H196" s="17"/>
    </row>
    <row r="197" spans="1:8" x14ac:dyDescent="0.2">
      <c r="A197" s="17"/>
      <c r="B197" s="17"/>
      <c r="C197" s="17"/>
      <c r="D197" s="17"/>
      <c r="E197" s="17"/>
      <c r="F197" s="17"/>
      <c r="G197" s="17"/>
      <c r="H197" s="17"/>
    </row>
    <row r="198" spans="1:8" x14ac:dyDescent="0.2">
      <c r="A198" s="17"/>
      <c r="B198" s="17"/>
      <c r="C198" s="17"/>
      <c r="D198" s="17"/>
      <c r="E198" s="17"/>
      <c r="F198" s="17"/>
      <c r="G198" s="17"/>
      <c r="H198" s="17"/>
    </row>
    <row r="199" spans="1:8" x14ac:dyDescent="0.2">
      <c r="A199" s="17"/>
      <c r="B199" s="17"/>
      <c r="C199" s="17"/>
      <c r="D199" s="17"/>
      <c r="E199" s="17"/>
      <c r="F199" s="17"/>
      <c r="G199" s="17"/>
      <c r="H199" s="17"/>
    </row>
    <row r="200" spans="1:8" x14ac:dyDescent="0.2">
      <c r="A200" s="17"/>
      <c r="B200" s="17"/>
      <c r="C200" s="17"/>
      <c r="D200" s="17"/>
      <c r="E200" s="17"/>
      <c r="F200" s="17"/>
      <c r="G200" s="17"/>
      <c r="H200" s="17"/>
    </row>
    <row r="201" spans="1:8" x14ac:dyDescent="0.2">
      <c r="A201" s="17"/>
      <c r="B201" s="17"/>
      <c r="C201" s="17"/>
      <c r="D201" s="17"/>
      <c r="E201" s="17"/>
      <c r="F201" s="17"/>
      <c r="G201" s="17"/>
      <c r="H201" s="17"/>
    </row>
    <row r="202" spans="1:8" x14ac:dyDescent="0.2">
      <c r="A202" s="17"/>
      <c r="B202" s="17"/>
      <c r="C202" s="17"/>
      <c r="D202" s="17"/>
      <c r="E202" s="17"/>
      <c r="F202" s="17"/>
      <c r="G202" s="17"/>
      <c r="H202" s="17"/>
    </row>
    <row r="203" spans="1:8" x14ac:dyDescent="0.2">
      <c r="A203" s="17"/>
      <c r="B203" s="17"/>
      <c r="C203" s="17"/>
      <c r="D203" s="17"/>
      <c r="E203" s="17"/>
      <c r="F203" s="17"/>
      <c r="G203" s="17"/>
      <c r="H203" s="17"/>
    </row>
    <row r="204" spans="1:8" x14ac:dyDescent="0.2">
      <c r="A204" s="17"/>
      <c r="B204" s="17"/>
      <c r="C204" s="17"/>
      <c r="D204" s="17"/>
      <c r="E204" s="17"/>
      <c r="F204" s="17"/>
      <c r="G204" s="17"/>
      <c r="H204" s="17"/>
    </row>
    <row r="205" spans="1:8" x14ac:dyDescent="0.2">
      <c r="A205" s="17"/>
      <c r="B205" s="17"/>
      <c r="C205" s="17"/>
      <c r="D205" s="17"/>
      <c r="E205" s="17"/>
      <c r="F205" s="17"/>
      <c r="G205" s="17"/>
      <c r="H205" s="17"/>
    </row>
    <row r="206" spans="1:8" x14ac:dyDescent="0.2">
      <c r="A206" s="17"/>
      <c r="B206" s="17"/>
      <c r="C206" s="17"/>
      <c r="D206" s="17"/>
      <c r="E206" s="17"/>
      <c r="F206" s="17"/>
      <c r="G206" s="17"/>
      <c r="H206" s="17"/>
    </row>
    <row r="207" spans="1:8" x14ac:dyDescent="0.2">
      <c r="A207" s="17"/>
      <c r="B207" s="17"/>
      <c r="C207" s="17"/>
      <c r="D207" s="17"/>
      <c r="E207" s="17"/>
      <c r="F207" s="17"/>
      <c r="G207" s="17"/>
      <c r="H207" s="17"/>
    </row>
    <row r="208" spans="1:8" x14ac:dyDescent="0.2">
      <c r="A208" s="17"/>
      <c r="B208" s="17"/>
      <c r="C208" s="17"/>
      <c r="D208" s="17"/>
      <c r="E208" s="17"/>
      <c r="F208" s="17"/>
      <c r="G208" s="17"/>
      <c r="H208" s="17"/>
    </row>
    <row r="209" spans="1:8" x14ac:dyDescent="0.2">
      <c r="A209" s="17"/>
      <c r="B209" s="17"/>
      <c r="C209" s="17"/>
      <c r="D209" s="17"/>
      <c r="E209" s="17"/>
      <c r="F209" s="17"/>
      <c r="G209" s="17"/>
      <c r="H209" s="17"/>
    </row>
    <row r="210" spans="1:8" x14ac:dyDescent="0.2">
      <c r="A210" s="17"/>
      <c r="B210" s="17"/>
      <c r="C210" s="17"/>
      <c r="D210" s="17"/>
      <c r="E210" s="17"/>
      <c r="F210" s="17"/>
      <c r="G210" s="17"/>
      <c r="H210" s="17"/>
    </row>
    <row r="211" spans="1:8" x14ac:dyDescent="0.2">
      <c r="A211" s="17"/>
      <c r="B211" s="17"/>
      <c r="C211" s="17"/>
      <c r="D211" s="17"/>
      <c r="E211" s="17"/>
      <c r="F211" s="17"/>
      <c r="G211" s="17"/>
      <c r="H211" s="17"/>
    </row>
    <row r="212" spans="1:8" x14ac:dyDescent="0.2">
      <c r="A212" s="17"/>
      <c r="B212" s="17"/>
      <c r="C212" s="17"/>
      <c r="D212" s="17"/>
      <c r="E212" s="17"/>
      <c r="F212" s="17"/>
      <c r="G212" s="17"/>
      <c r="H212" s="17"/>
    </row>
    <row r="213" spans="1:8" x14ac:dyDescent="0.2">
      <c r="A213" s="17"/>
      <c r="B213" s="17"/>
      <c r="C213" s="17"/>
      <c r="D213" s="17"/>
      <c r="E213" s="17"/>
      <c r="F213" s="17"/>
      <c r="G213" s="17"/>
      <c r="H213" s="17"/>
    </row>
    <row r="214" spans="1:8" x14ac:dyDescent="0.2">
      <c r="A214" s="17"/>
      <c r="B214" s="17"/>
      <c r="C214" s="17"/>
      <c r="D214" s="17"/>
      <c r="E214" s="17"/>
      <c r="F214" s="17"/>
      <c r="G214" s="17"/>
      <c r="H214" s="17"/>
    </row>
    <row r="215" spans="1:8" x14ac:dyDescent="0.2">
      <c r="A215" s="17"/>
      <c r="B215" s="17"/>
      <c r="C215" s="17"/>
      <c r="D215" s="17"/>
      <c r="E215" s="17"/>
      <c r="F215" s="17"/>
      <c r="G215" s="17"/>
      <c r="H215" s="17"/>
    </row>
    <row r="216" spans="1:8" x14ac:dyDescent="0.2">
      <c r="A216" s="17"/>
      <c r="B216" s="17"/>
      <c r="C216" s="17"/>
      <c r="D216" s="17"/>
      <c r="E216" s="17"/>
      <c r="F216" s="17"/>
      <c r="G216" s="17"/>
      <c r="H216" s="17"/>
    </row>
    <row r="217" spans="1:8" x14ac:dyDescent="0.2">
      <c r="A217" s="17"/>
      <c r="B217" s="17"/>
      <c r="C217" s="17"/>
      <c r="D217" s="17"/>
      <c r="E217" s="17"/>
      <c r="F217" s="17"/>
      <c r="G217" s="17"/>
      <c r="H217" s="17"/>
    </row>
    <row r="218" spans="1:8" x14ac:dyDescent="0.2">
      <c r="A218" s="17"/>
      <c r="B218" s="17"/>
      <c r="C218" s="17"/>
      <c r="D218" s="17"/>
      <c r="E218" s="17"/>
      <c r="F218" s="17"/>
      <c r="G218" s="17"/>
      <c r="H218" s="17"/>
    </row>
    <row r="219" spans="1:8" x14ac:dyDescent="0.2">
      <c r="A219" s="17"/>
      <c r="B219" s="17"/>
      <c r="C219" s="17"/>
      <c r="D219" s="17"/>
      <c r="E219" s="17"/>
      <c r="F219" s="17"/>
      <c r="G219" s="17"/>
      <c r="H219" s="17"/>
    </row>
    <row r="220" spans="1:8" x14ac:dyDescent="0.2">
      <c r="A220" s="17"/>
      <c r="B220" s="17"/>
      <c r="C220" s="17"/>
      <c r="D220" s="17"/>
      <c r="E220" s="17"/>
      <c r="F220" s="17"/>
      <c r="G220" s="17"/>
      <c r="H220" s="17"/>
    </row>
    <row r="221" spans="1:8" x14ac:dyDescent="0.2">
      <c r="A221" s="17"/>
      <c r="B221" s="17"/>
      <c r="C221" s="17"/>
      <c r="D221" s="17"/>
      <c r="E221" s="17"/>
      <c r="F221" s="17"/>
      <c r="G221" s="17"/>
      <c r="H221" s="17"/>
    </row>
    <row r="222" spans="1:8" x14ac:dyDescent="0.2">
      <c r="A222" s="17"/>
      <c r="B222" s="17"/>
      <c r="C222" s="17"/>
      <c r="D222" s="17"/>
      <c r="E222" s="17"/>
      <c r="F222" s="17"/>
      <c r="G222" s="17"/>
      <c r="H222" s="17"/>
    </row>
    <row r="223" spans="1:8" x14ac:dyDescent="0.2">
      <c r="A223" s="17"/>
      <c r="B223" s="17"/>
      <c r="C223" s="17"/>
      <c r="D223" s="17"/>
      <c r="E223" s="17"/>
      <c r="F223" s="17"/>
      <c r="G223" s="17"/>
      <c r="H223" s="17"/>
    </row>
    <row r="224" spans="1:8" x14ac:dyDescent="0.2">
      <c r="A224" s="17"/>
      <c r="B224" s="17"/>
      <c r="C224" s="17"/>
      <c r="D224" s="17"/>
      <c r="E224" s="17"/>
      <c r="F224" s="17"/>
      <c r="G224" s="17"/>
      <c r="H224" s="17"/>
    </row>
    <row r="225" spans="1:8" x14ac:dyDescent="0.2">
      <c r="A225" s="17"/>
      <c r="B225" s="17"/>
      <c r="C225" s="17"/>
      <c r="D225" s="17"/>
      <c r="E225" s="17"/>
      <c r="F225" s="17"/>
      <c r="G225" s="17"/>
      <c r="H225" s="17"/>
    </row>
    <row r="226" spans="1:8" x14ac:dyDescent="0.2">
      <c r="A226" s="17"/>
      <c r="B226" s="17"/>
      <c r="C226" s="17"/>
      <c r="D226" s="17"/>
      <c r="E226" s="17"/>
      <c r="F226" s="17"/>
      <c r="G226" s="17"/>
      <c r="H226" s="17"/>
    </row>
    <row r="227" spans="1:8" x14ac:dyDescent="0.2">
      <c r="A227" s="17"/>
      <c r="B227" s="17"/>
      <c r="C227" s="17"/>
      <c r="D227" s="17"/>
      <c r="E227" s="17"/>
      <c r="F227" s="17"/>
      <c r="G227" s="17"/>
      <c r="H227" s="17"/>
    </row>
    <row r="228" spans="1:8" x14ac:dyDescent="0.2">
      <c r="A228" s="17"/>
      <c r="B228" s="17"/>
      <c r="C228" s="17"/>
      <c r="D228" s="17"/>
      <c r="E228" s="17"/>
      <c r="F228" s="17"/>
      <c r="G228" s="17"/>
      <c r="H228" s="17"/>
    </row>
    <row r="229" spans="1:8" x14ac:dyDescent="0.2">
      <c r="A229" s="17"/>
      <c r="B229" s="17"/>
      <c r="C229" s="17"/>
      <c r="D229" s="17"/>
      <c r="E229" s="17"/>
      <c r="F229" s="17"/>
      <c r="G229" s="17"/>
      <c r="H229" s="17"/>
    </row>
    <row r="230" spans="1:8" x14ac:dyDescent="0.2">
      <c r="A230" s="17"/>
      <c r="B230" s="17"/>
      <c r="C230" s="17"/>
      <c r="D230" s="17"/>
      <c r="E230" s="17"/>
      <c r="F230" s="17"/>
      <c r="G230" s="17"/>
      <c r="H230" s="17"/>
    </row>
    <row r="231" spans="1:8" x14ac:dyDescent="0.2">
      <c r="A231" s="17"/>
      <c r="B231" s="17"/>
      <c r="C231" s="17"/>
      <c r="D231" s="17"/>
      <c r="E231" s="17"/>
      <c r="F231" s="17"/>
      <c r="G231" s="17"/>
      <c r="H231" s="17"/>
    </row>
    <row r="232" spans="1:8" x14ac:dyDescent="0.2">
      <c r="A232" s="17"/>
      <c r="B232" s="17"/>
      <c r="C232" s="17"/>
      <c r="D232" s="17"/>
      <c r="E232" s="17"/>
      <c r="F232" s="17"/>
      <c r="G232" s="17"/>
      <c r="H232" s="17"/>
    </row>
    <row r="233" spans="1:8" x14ac:dyDescent="0.2">
      <c r="A233" s="17"/>
      <c r="B233" s="17"/>
      <c r="C233" s="17"/>
      <c r="D233" s="17"/>
      <c r="E233" s="17"/>
      <c r="F233" s="17"/>
      <c r="G233" s="17"/>
      <c r="H233" s="17"/>
    </row>
    <row r="234" spans="1:8" x14ac:dyDescent="0.2">
      <c r="A234" s="17"/>
      <c r="B234" s="17"/>
      <c r="C234" s="17"/>
      <c r="D234" s="17"/>
      <c r="E234" s="17"/>
      <c r="F234" s="17"/>
      <c r="G234" s="17"/>
      <c r="H234" s="17"/>
    </row>
    <row r="235" spans="1:8" x14ac:dyDescent="0.2">
      <c r="A235" s="17"/>
      <c r="B235" s="17"/>
      <c r="C235" s="17"/>
      <c r="D235" s="17"/>
      <c r="E235" s="17"/>
      <c r="F235" s="17"/>
      <c r="G235" s="17"/>
      <c r="H235" s="17"/>
    </row>
    <row r="236" spans="1:8" x14ac:dyDescent="0.2">
      <c r="A236" s="17"/>
      <c r="B236" s="17"/>
      <c r="C236" s="17"/>
      <c r="D236" s="17"/>
      <c r="E236" s="17"/>
      <c r="F236" s="17"/>
      <c r="G236" s="17"/>
      <c r="H236" s="17"/>
    </row>
    <row r="237" spans="1:8" x14ac:dyDescent="0.2">
      <c r="A237" s="17"/>
      <c r="B237" s="17"/>
      <c r="C237" s="17"/>
      <c r="D237" s="17"/>
      <c r="E237" s="17"/>
      <c r="F237" s="17"/>
      <c r="G237" s="17"/>
      <c r="H237" s="17"/>
    </row>
    <row r="238" spans="1:8" x14ac:dyDescent="0.2">
      <c r="A238" s="17"/>
      <c r="B238" s="17"/>
      <c r="C238" s="17"/>
      <c r="D238" s="17"/>
      <c r="E238" s="17"/>
      <c r="F238" s="17"/>
      <c r="G238" s="17"/>
      <c r="H238" s="17"/>
    </row>
    <row r="239" spans="1:8" x14ac:dyDescent="0.2">
      <c r="A239" s="17"/>
      <c r="B239" s="17"/>
      <c r="C239" s="17"/>
      <c r="D239" s="17"/>
      <c r="E239" s="17"/>
      <c r="F239" s="17"/>
      <c r="G239" s="17"/>
      <c r="H239" s="17"/>
    </row>
    <row r="240" spans="1:8" x14ac:dyDescent="0.2">
      <c r="A240" s="17"/>
      <c r="B240" s="17"/>
      <c r="C240" s="17"/>
      <c r="D240" s="17"/>
      <c r="E240" s="17"/>
      <c r="F240" s="17"/>
      <c r="G240" s="17"/>
      <c r="H240" s="17"/>
    </row>
    <row r="241" spans="1:8" x14ac:dyDescent="0.2">
      <c r="A241" s="17"/>
      <c r="B241" s="17"/>
      <c r="C241" s="17"/>
      <c r="D241" s="17"/>
      <c r="E241" s="17"/>
      <c r="F241" s="17"/>
      <c r="G241" s="17"/>
      <c r="H241" s="17"/>
    </row>
    <row r="242" spans="1:8" x14ac:dyDescent="0.2">
      <c r="A242" s="17"/>
      <c r="B242" s="17"/>
      <c r="C242" s="17"/>
      <c r="D242" s="17"/>
      <c r="E242" s="17"/>
      <c r="F242" s="17"/>
      <c r="G242" s="17"/>
      <c r="H242" s="17"/>
    </row>
    <row r="243" spans="1:8" x14ac:dyDescent="0.2">
      <c r="A243" s="17"/>
      <c r="B243" s="17"/>
      <c r="C243" s="17"/>
      <c r="D243" s="17"/>
      <c r="E243" s="17"/>
      <c r="F243" s="17"/>
      <c r="G243" s="17"/>
      <c r="H243" s="17"/>
    </row>
    <row r="244" spans="1:8" x14ac:dyDescent="0.2">
      <c r="A244" s="17"/>
      <c r="B244" s="17"/>
      <c r="C244" s="17"/>
      <c r="D244" s="17"/>
      <c r="E244" s="17"/>
      <c r="F244" s="17"/>
      <c r="G244" s="17"/>
      <c r="H244" s="17"/>
    </row>
    <row r="245" spans="1:8" x14ac:dyDescent="0.2">
      <c r="A245" s="17"/>
      <c r="B245" s="17"/>
      <c r="C245" s="17"/>
      <c r="D245" s="17"/>
      <c r="E245" s="17"/>
      <c r="F245" s="17"/>
      <c r="G245" s="17"/>
      <c r="H245" s="17"/>
    </row>
    <row r="246" spans="1:8" x14ac:dyDescent="0.2">
      <c r="A246" s="17"/>
      <c r="B246" s="17"/>
      <c r="C246" s="17"/>
      <c r="D246" s="17"/>
      <c r="E246" s="17"/>
      <c r="F246" s="17"/>
      <c r="G246" s="17"/>
      <c r="H246" s="17"/>
    </row>
    <row r="247" spans="1:8" x14ac:dyDescent="0.2">
      <c r="A247" s="17"/>
      <c r="B247" s="17"/>
      <c r="C247" s="17"/>
      <c r="D247" s="17"/>
      <c r="E247" s="17"/>
      <c r="F247" s="17"/>
      <c r="G247" s="17"/>
      <c r="H247" s="17"/>
    </row>
    <row r="248" spans="1:8" x14ac:dyDescent="0.2">
      <c r="A248" s="17"/>
      <c r="B248" s="17"/>
      <c r="C248" s="17"/>
      <c r="D248" s="17"/>
      <c r="E248" s="17"/>
      <c r="F248" s="17"/>
      <c r="G248" s="17"/>
      <c r="H248" s="17"/>
    </row>
    <row r="249" spans="1:8" x14ac:dyDescent="0.2">
      <c r="A249" s="17"/>
      <c r="B249" s="17"/>
      <c r="C249" s="17"/>
      <c r="D249" s="17"/>
      <c r="E249" s="17"/>
      <c r="F249" s="17"/>
      <c r="G249" s="17"/>
      <c r="H249" s="17"/>
    </row>
    <row r="250" spans="1:8" x14ac:dyDescent="0.2">
      <c r="A250" s="17"/>
      <c r="B250" s="17"/>
      <c r="C250" s="17"/>
      <c r="D250" s="17"/>
      <c r="E250" s="17"/>
      <c r="F250" s="17"/>
      <c r="G250" s="17"/>
      <c r="H250" s="17"/>
    </row>
    <row r="251" spans="1:8" x14ac:dyDescent="0.2">
      <c r="A251" s="17"/>
      <c r="B251" s="17"/>
      <c r="C251" s="17"/>
      <c r="D251" s="17"/>
      <c r="E251" s="17"/>
      <c r="F251" s="17"/>
      <c r="G251" s="17"/>
      <c r="H251" s="17"/>
    </row>
    <row r="252" spans="1:8" x14ac:dyDescent="0.2">
      <c r="A252" s="17"/>
      <c r="B252" s="17"/>
      <c r="C252" s="17"/>
      <c r="D252" s="17"/>
      <c r="E252" s="17"/>
      <c r="F252" s="17"/>
      <c r="G252" s="17"/>
      <c r="H252" s="17"/>
    </row>
    <row r="253" spans="1:8" x14ac:dyDescent="0.2">
      <c r="A253" s="17"/>
      <c r="B253" s="17"/>
      <c r="C253" s="17"/>
      <c r="D253" s="17"/>
      <c r="E253" s="17"/>
      <c r="F253" s="17"/>
      <c r="G253" s="17"/>
      <c r="H253" s="17"/>
    </row>
    <row r="254" spans="1:8" x14ac:dyDescent="0.2">
      <c r="A254" s="17"/>
      <c r="B254" s="17"/>
      <c r="C254" s="17"/>
      <c r="D254" s="17"/>
      <c r="E254" s="17"/>
      <c r="F254" s="17"/>
      <c r="G254" s="17"/>
      <c r="H254" s="17"/>
    </row>
    <row r="255" spans="1:8" x14ac:dyDescent="0.2">
      <c r="A255" s="17"/>
      <c r="B255" s="17"/>
      <c r="C255" s="17"/>
      <c r="D255" s="17"/>
      <c r="E255" s="17"/>
      <c r="F255" s="17"/>
      <c r="G255" s="17"/>
      <c r="H255" s="17"/>
    </row>
    <row r="256" spans="1:8" x14ac:dyDescent="0.2">
      <c r="A256" s="17"/>
      <c r="B256" s="17"/>
      <c r="C256" s="17"/>
      <c r="D256" s="17"/>
      <c r="E256" s="17"/>
      <c r="F256" s="17"/>
      <c r="G256" s="17"/>
      <c r="H256" s="17"/>
    </row>
    <row r="257" spans="1:8" x14ac:dyDescent="0.2">
      <c r="A257" s="17"/>
      <c r="B257" s="17"/>
      <c r="C257" s="17"/>
      <c r="D257" s="17"/>
      <c r="E257" s="17"/>
      <c r="F257" s="17"/>
      <c r="G257" s="17"/>
      <c r="H257" s="17"/>
    </row>
    <row r="258" spans="1:8" x14ac:dyDescent="0.2">
      <c r="A258" s="17"/>
      <c r="B258" s="17"/>
      <c r="C258" s="17"/>
      <c r="D258" s="17"/>
      <c r="E258" s="17"/>
      <c r="F258" s="17"/>
      <c r="G258" s="17"/>
      <c r="H258" s="17"/>
    </row>
    <row r="259" spans="1:8" x14ac:dyDescent="0.2">
      <c r="A259" s="17"/>
      <c r="B259" s="17"/>
      <c r="C259" s="17"/>
      <c r="D259" s="17"/>
      <c r="E259" s="17"/>
      <c r="F259" s="17"/>
      <c r="G259" s="17"/>
      <c r="H259" s="17"/>
    </row>
    <row r="260" spans="1:8" x14ac:dyDescent="0.2">
      <c r="A260" s="17"/>
      <c r="B260" s="17"/>
      <c r="C260" s="17"/>
      <c r="D260" s="17"/>
      <c r="E260" s="17"/>
      <c r="F260" s="17"/>
      <c r="G260" s="17"/>
      <c r="H260" s="17"/>
    </row>
    <row r="261" spans="1:8" x14ac:dyDescent="0.2">
      <c r="A261" s="17"/>
      <c r="B261" s="17"/>
      <c r="C261" s="17"/>
      <c r="D261" s="17"/>
      <c r="E261" s="17"/>
      <c r="F261" s="17"/>
      <c r="G261" s="17"/>
      <c r="H261" s="17"/>
    </row>
    <row r="262" spans="1:8" x14ac:dyDescent="0.2">
      <c r="A262" s="17"/>
      <c r="B262" s="17"/>
      <c r="C262" s="17"/>
      <c r="D262" s="17"/>
      <c r="E262" s="17"/>
      <c r="F262" s="17"/>
      <c r="G262" s="17"/>
      <c r="H262" s="17"/>
    </row>
    <row r="263" spans="1:8" x14ac:dyDescent="0.2">
      <c r="A263" s="17"/>
      <c r="B263" s="17"/>
      <c r="C263" s="17"/>
      <c r="D263" s="17"/>
      <c r="E263" s="17"/>
      <c r="F263" s="17"/>
      <c r="G263" s="17"/>
      <c r="H263" s="17"/>
    </row>
    <row r="264" spans="1:8" x14ac:dyDescent="0.2">
      <c r="A264" s="17"/>
      <c r="B264" s="17"/>
      <c r="C264" s="17"/>
      <c r="D264" s="17"/>
      <c r="E264" s="17"/>
      <c r="F264" s="17"/>
      <c r="G264" s="17"/>
      <c r="H264" s="17"/>
    </row>
    <row r="265" spans="1:8" x14ac:dyDescent="0.2">
      <c r="A265" s="17"/>
      <c r="B265" s="17"/>
      <c r="C265" s="17"/>
      <c r="D265" s="17"/>
      <c r="E265" s="17"/>
      <c r="F265" s="17"/>
      <c r="G265" s="17"/>
      <c r="H265" s="17"/>
    </row>
    <row r="266" spans="1:8" x14ac:dyDescent="0.2">
      <c r="A266" s="17"/>
      <c r="B266" s="17"/>
      <c r="C266" s="17"/>
      <c r="D266" s="17"/>
      <c r="E266" s="17"/>
      <c r="F266" s="17"/>
      <c r="G266" s="17"/>
      <c r="H266" s="17"/>
    </row>
    <row r="267" spans="1:8" x14ac:dyDescent="0.2">
      <c r="A267" s="17"/>
      <c r="B267" s="17"/>
      <c r="C267" s="17"/>
      <c r="D267" s="17"/>
      <c r="E267" s="17"/>
      <c r="F267" s="17"/>
      <c r="G267" s="17"/>
      <c r="H267" s="17"/>
    </row>
    <row r="268" spans="1:8" x14ac:dyDescent="0.2">
      <c r="A268" s="17"/>
      <c r="B268" s="17"/>
      <c r="C268" s="17"/>
      <c r="D268" s="17"/>
      <c r="E268" s="17"/>
      <c r="F268" s="17"/>
      <c r="G268" s="17"/>
      <c r="H268" s="17"/>
    </row>
    <row r="269" spans="1:8" x14ac:dyDescent="0.2">
      <c r="A269" s="17"/>
      <c r="B269" s="17"/>
      <c r="C269" s="17"/>
      <c r="D269" s="17"/>
      <c r="E269" s="17"/>
      <c r="F269" s="17"/>
      <c r="G269" s="17"/>
      <c r="H269" s="17"/>
    </row>
    <row r="270" spans="1:8" x14ac:dyDescent="0.2">
      <c r="A270" s="17"/>
      <c r="B270" s="17"/>
      <c r="C270" s="17"/>
      <c r="D270" s="17"/>
      <c r="E270" s="17"/>
      <c r="F270" s="17"/>
      <c r="G270" s="17"/>
      <c r="H270" s="17"/>
    </row>
    <row r="271" spans="1:8" x14ac:dyDescent="0.2">
      <c r="A271" s="17"/>
      <c r="B271" s="17"/>
      <c r="C271" s="17"/>
      <c r="D271" s="17"/>
      <c r="E271" s="17"/>
      <c r="F271" s="17"/>
      <c r="G271" s="17"/>
      <c r="H271" s="17"/>
    </row>
    <row r="272" spans="1:8" x14ac:dyDescent="0.2">
      <c r="A272" s="17"/>
      <c r="B272" s="17"/>
      <c r="C272" s="17"/>
      <c r="D272" s="17"/>
      <c r="E272" s="17"/>
      <c r="F272" s="17"/>
      <c r="G272" s="17"/>
      <c r="H272" s="17"/>
    </row>
    <row r="273" spans="1:8" x14ac:dyDescent="0.2">
      <c r="A273" s="17"/>
      <c r="B273" s="17"/>
      <c r="C273" s="17"/>
      <c r="D273" s="17"/>
      <c r="E273" s="17"/>
      <c r="F273" s="17"/>
      <c r="G273" s="17"/>
      <c r="H273" s="17"/>
    </row>
    <row r="274" spans="1:8" x14ac:dyDescent="0.2">
      <c r="A274" s="17"/>
      <c r="B274" s="17"/>
      <c r="C274" s="17"/>
      <c r="D274" s="17"/>
      <c r="E274" s="17"/>
      <c r="F274" s="17"/>
      <c r="G274" s="17"/>
      <c r="H274" s="17"/>
    </row>
    <row r="275" spans="1:8" x14ac:dyDescent="0.2">
      <c r="A275" s="17"/>
      <c r="B275" s="17"/>
      <c r="C275" s="17"/>
      <c r="D275" s="17"/>
      <c r="E275" s="17"/>
      <c r="F275" s="17"/>
      <c r="G275" s="17"/>
      <c r="H275" s="17"/>
    </row>
    <row r="276" spans="1:8" x14ac:dyDescent="0.2">
      <c r="A276" s="17"/>
      <c r="B276" s="17"/>
      <c r="C276" s="17"/>
      <c r="D276" s="17"/>
      <c r="E276" s="17"/>
      <c r="F276" s="17"/>
      <c r="G276" s="17"/>
      <c r="H276" s="17"/>
    </row>
    <row r="277" spans="1:8" x14ac:dyDescent="0.2">
      <c r="A277" s="17"/>
      <c r="B277" s="17"/>
      <c r="C277" s="17"/>
      <c r="D277" s="17"/>
      <c r="E277" s="17"/>
      <c r="F277" s="17"/>
      <c r="G277" s="17"/>
      <c r="H277" s="17"/>
    </row>
    <row r="278" spans="1:8" x14ac:dyDescent="0.2">
      <c r="A278" s="17"/>
      <c r="B278" s="17"/>
      <c r="C278" s="17"/>
      <c r="D278" s="17"/>
      <c r="E278" s="17"/>
      <c r="F278" s="17"/>
      <c r="G278" s="17"/>
      <c r="H278" s="17"/>
    </row>
    <row r="279" spans="1:8" x14ac:dyDescent="0.2">
      <c r="A279" s="17"/>
      <c r="B279" s="17"/>
      <c r="C279" s="17"/>
      <c r="D279" s="17"/>
      <c r="E279" s="17"/>
      <c r="F279" s="17"/>
      <c r="G279" s="17"/>
      <c r="H279" s="17"/>
    </row>
    <row r="280" spans="1:8" x14ac:dyDescent="0.2">
      <c r="A280" s="17"/>
      <c r="B280" s="17"/>
      <c r="C280" s="17"/>
      <c r="D280" s="17"/>
      <c r="E280" s="17"/>
      <c r="F280" s="17"/>
      <c r="G280" s="17"/>
      <c r="H280" s="17"/>
    </row>
    <row r="281" spans="1:8" x14ac:dyDescent="0.2">
      <c r="A281" s="17"/>
      <c r="B281" s="17"/>
      <c r="C281" s="17"/>
      <c r="D281" s="17"/>
      <c r="E281" s="17"/>
      <c r="F281" s="17"/>
      <c r="G281" s="17"/>
      <c r="H281" s="17"/>
    </row>
    <row r="282" spans="1:8" x14ac:dyDescent="0.2">
      <c r="A282" s="17"/>
      <c r="B282" s="17"/>
      <c r="C282" s="17"/>
      <c r="D282" s="17"/>
      <c r="E282" s="17"/>
      <c r="F282" s="17"/>
      <c r="G282" s="17"/>
      <c r="H282" s="17"/>
    </row>
    <row r="283" spans="1:8" x14ac:dyDescent="0.2">
      <c r="A283" s="17"/>
      <c r="B283" s="17"/>
      <c r="C283" s="17"/>
      <c r="D283" s="17"/>
      <c r="E283" s="17"/>
      <c r="F283" s="17"/>
      <c r="G283" s="17"/>
      <c r="H283" s="17"/>
    </row>
    <row r="284" spans="1:8" x14ac:dyDescent="0.2">
      <c r="A284" s="17"/>
      <c r="B284" s="17"/>
      <c r="C284" s="17"/>
      <c r="D284" s="17"/>
      <c r="E284" s="17"/>
      <c r="F284" s="17"/>
      <c r="G284" s="17"/>
      <c r="H284" s="17"/>
    </row>
    <row r="285" spans="1:8" x14ac:dyDescent="0.2">
      <c r="A285" s="17"/>
      <c r="B285" s="17"/>
      <c r="C285" s="17"/>
      <c r="D285" s="17"/>
      <c r="E285" s="17"/>
      <c r="F285" s="17"/>
      <c r="G285" s="17"/>
      <c r="H285" s="17"/>
    </row>
    <row r="286" spans="1:8" x14ac:dyDescent="0.2">
      <c r="A286" s="17"/>
      <c r="B286" s="17"/>
      <c r="C286" s="17"/>
      <c r="D286" s="17"/>
      <c r="E286" s="17"/>
      <c r="F286" s="17"/>
      <c r="G286" s="17"/>
      <c r="H286" s="17"/>
    </row>
    <row r="287" spans="1:8" x14ac:dyDescent="0.2">
      <c r="A287" s="17"/>
      <c r="B287" s="17"/>
      <c r="C287" s="17"/>
      <c r="D287" s="17"/>
      <c r="E287" s="17"/>
      <c r="F287" s="17"/>
      <c r="G287" s="17"/>
      <c r="H287" s="17"/>
    </row>
    <row r="288" spans="1:8" x14ac:dyDescent="0.2">
      <c r="A288" s="17"/>
      <c r="B288" s="17"/>
      <c r="C288" s="17"/>
      <c r="D288" s="17"/>
      <c r="E288" s="17"/>
      <c r="F288" s="17"/>
      <c r="G288" s="17"/>
      <c r="H288" s="17"/>
    </row>
    <row r="289" spans="1:8" x14ac:dyDescent="0.2">
      <c r="A289" s="17"/>
      <c r="B289" s="17"/>
      <c r="C289" s="17"/>
      <c r="D289" s="17"/>
      <c r="E289" s="17"/>
      <c r="F289" s="17"/>
      <c r="G289" s="17"/>
      <c r="H289" s="17"/>
    </row>
    <row r="290" spans="1:8" x14ac:dyDescent="0.2">
      <c r="A290" s="17"/>
      <c r="B290" s="17"/>
      <c r="C290" s="17"/>
      <c r="D290" s="17"/>
      <c r="E290" s="17"/>
      <c r="F290" s="17"/>
      <c r="G290" s="17"/>
      <c r="H290" s="17"/>
    </row>
    <row r="291" spans="1:8" x14ac:dyDescent="0.2">
      <c r="A291" s="17"/>
      <c r="B291" s="17"/>
      <c r="C291" s="17"/>
      <c r="D291" s="17"/>
      <c r="E291" s="17"/>
      <c r="F291" s="17"/>
      <c r="G291" s="17"/>
      <c r="H291" s="17"/>
    </row>
    <row r="292" spans="1:8" x14ac:dyDescent="0.2">
      <c r="A292" s="17"/>
      <c r="B292" s="17"/>
      <c r="C292" s="17"/>
      <c r="D292" s="17"/>
      <c r="E292" s="17"/>
      <c r="F292" s="17"/>
      <c r="G292" s="17"/>
      <c r="H292" s="17"/>
    </row>
    <row r="293" spans="1:8" x14ac:dyDescent="0.2">
      <c r="A293" s="17"/>
      <c r="B293" s="17"/>
      <c r="C293" s="17"/>
      <c r="D293" s="17"/>
      <c r="E293" s="17"/>
      <c r="F293" s="17"/>
      <c r="G293" s="17"/>
      <c r="H293" s="17"/>
    </row>
    <row r="294" spans="1:8" x14ac:dyDescent="0.2">
      <c r="A294" s="17"/>
      <c r="B294" s="17"/>
      <c r="C294" s="17"/>
      <c r="D294" s="17"/>
      <c r="E294" s="17"/>
      <c r="F294" s="17"/>
      <c r="G294" s="17"/>
      <c r="H294" s="17"/>
    </row>
    <row r="295" spans="1:8" x14ac:dyDescent="0.2">
      <c r="A295" s="17"/>
      <c r="B295" s="17"/>
      <c r="C295" s="17"/>
      <c r="D295" s="17"/>
      <c r="E295" s="17"/>
      <c r="F295" s="17"/>
      <c r="G295" s="17"/>
      <c r="H295" s="17"/>
    </row>
    <row r="296" spans="1:8" x14ac:dyDescent="0.2">
      <c r="A296" s="17"/>
      <c r="B296" s="17"/>
      <c r="C296" s="17"/>
      <c r="D296" s="17"/>
      <c r="E296" s="17"/>
      <c r="F296" s="17"/>
      <c r="G296" s="17"/>
      <c r="H296" s="17"/>
    </row>
    <row r="297" spans="1:8" x14ac:dyDescent="0.2">
      <c r="A297" s="17"/>
      <c r="B297" s="17"/>
      <c r="C297" s="17"/>
      <c r="D297" s="17"/>
      <c r="E297" s="17"/>
      <c r="F297" s="17"/>
      <c r="G297" s="17"/>
      <c r="H297" s="17"/>
    </row>
    <row r="298" spans="1:8" x14ac:dyDescent="0.2">
      <c r="A298" s="17"/>
      <c r="B298" s="17"/>
      <c r="C298" s="17"/>
      <c r="D298" s="17"/>
      <c r="E298" s="17"/>
      <c r="F298" s="17"/>
      <c r="G298" s="17"/>
      <c r="H298" s="17"/>
    </row>
    <row r="299" spans="1:8" x14ac:dyDescent="0.2">
      <c r="A299" s="17"/>
      <c r="B299" s="17"/>
      <c r="C299" s="17"/>
      <c r="D299" s="17"/>
      <c r="E299" s="17"/>
      <c r="F299" s="17"/>
      <c r="G299" s="17"/>
      <c r="H299" s="17"/>
    </row>
    <row r="300" spans="1:8" x14ac:dyDescent="0.2">
      <c r="A300" s="17"/>
      <c r="B300" s="17"/>
      <c r="C300" s="17"/>
      <c r="D300" s="17"/>
      <c r="E300" s="17"/>
      <c r="F300" s="17"/>
      <c r="G300" s="17"/>
      <c r="H300" s="17"/>
    </row>
    <row r="301" spans="1:8" x14ac:dyDescent="0.2">
      <c r="A301" s="17"/>
      <c r="B301" s="17"/>
      <c r="C301" s="17"/>
      <c r="D301" s="17"/>
      <c r="E301" s="17"/>
      <c r="F301" s="17"/>
      <c r="G301" s="17"/>
      <c r="H301" s="17"/>
    </row>
    <row r="302" spans="1:8" x14ac:dyDescent="0.2">
      <c r="A302" s="17"/>
      <c r="B302" s="17"/>
      <c r="C302" s="17"/>
      <c r="D302" s="17"/>
      <c r="E302" s="17"/>
      <c r="F302" s="17"/>
      <c r="G302" s="17"/>
      <c r="H302" s="17"/>
    </row>
    <row r="303" spans="1:8" x14ac:dyDescent="0.2">
      <c r="A303" s="17"/>
      <c r="B303" s="17"/>
      <c r="C303" s="17"/>
      <c r="D303" s="17"/>
      <c r="E303" s="17"/>
      <c r="F303" s="17"/>
      <c r="G303" s="17"/>
      <c r="H303" s="17"/>
    </row>
    <row r="304" spans="1:8" x14ac:dyDescent="0.2">
      <c r="A304" s="17"/>
      <c r="B304" s="17"/>
      <c r="C304" s="17"/>
      <c r="D304" s="17"/>
      <c r="E304" s="17"/>
      <c r="F304" s="17"/>
      <c r="G304" s="17"/>
      <c r="H304" s="17"/>
    </row>
    <row r="305" spans="1:8" x14ac:dyDescent="0.2">
      <c r="A305" s="17"/>
      <c r="B305" s="17"/>
      <c r="C305" s="17"/>
      <c r="D305" s="17"/>
      <c r="E305" s="17"/>
      <c r="F305" s="17"/>
      <c r="G305" s="17"/>
      <c r="H305" s="17"/>
    </row>
    <row r="306" spans="1:8" x14ac:dyDescent="0.2">
      <c r="A306" s="17"/>
      <c r="B306" s="17"/>
      <c r="C306" s="17"/>
      <c r="D306" s="17"/>
      <c r="E306" s="17"/>
      <c r="F306" s="17"/>
      <c r="G306" s="17"/>
      <c r="H306" s="17"/>
    </row>
    <row r="307" spans="1:8" x14ac:dyDescent="0.2">
      <c r="A307" s="17"/>
      <c r="B307" s="17"/>
      <c r="C307" s="17"/>
      <c r="D307" s="17"/>
      <c r="E307" s="17"/>
      <c r="F307" s="17"/>
      <c r="G307" s="17"/>
      <c r="H307" s="17"/>
    </row>
    <row r="308" spans="1:8" x14ac:dyDescent="0.2">
      <c r="A308" s="17"/>
      <c r="B308" s="17"/>
      <c r="C308" s="17"/>
      <c r="D308" s="17"/>
      <c r="E308" s="17"/>
      <c r="F308" s="17"/>
      <c r="G308" s="17"/>
      <c r="H308" s="17"/>
    </row>
    <row r="309" spans="1:8" x14ac:dyDescent="0.2">
      <c r="A309" s="17"/>
      <c r="B309" s="17"/>
      <c r="C309" s="17"/>
      <c r="D309" s="17"/>
      <c r="E309" s="17"/>
      <c r="F309" s="17"/>
      <c r="G309" s="17"/>
      <c r="H309" s="17"/>
    </row>
    <row r="310" spans="1:8" x14ac:dyDescent="0.2">
      <c r="A310" s="17"/>
      <c r="B310" s="17"/>
      <c r="C310" s="17"/>
      <c r="D310" s="17"/>
      <c r="E310" s="17"/>
      <c r="F310" s="17"/>
      <c r="G310" s="17"/>
      <c r="H310" s="17"/>
    </row>
    <row r="311" spans="1:8" x14ac:dyDescent="0.2">
      <c r="A311" s="17"/>
      <c r="B311" s="17"/>
      <c r="C311" s="17"/>
      <c r="D311" s="17"/>
      <c r="E311" s="17"/>
      <c r="F311" s="17"/>
      <c r="G311" s="17"/>
      <c r="H311" s="17"/>
    </row>
    <row r="312" spans="1:8" x14ac:dyDescent="0.2">
      <c r="A312" s="17"/>
      <c r="B312" s="17"/>
      <c r="C312" s="17"/>
      <c r="D312" s="17"/>
      <c r="E312" s="17"/>
      <c r="F312" s="17"/>
      <c r="G312" s="17"/>
      <c r="H312" s="17"/>
    </row>
    <row r="313" spans="1:8" x14ac:dyDescent="0.2">
      <c r="A313" s="17"/>
      <c r="B313" s="17"/>
      <c r="C313" s="17"/>
      <c r="D313" s="17"/>
      <c r="E313" s="17"/>
      <c r="F313" s="17"/>
      <c r="G313" s="17"/>
      <c r="H313" s="17"/>
    </row>
    <row r="314" spans="1:8" x14ac:dyDescent="0.2">
      <c r="A314" s="17"/>
      <c r="B314" s="17"/>
      <c r="C314" s="17"/>
      <c r="D314" s="17"/>
      <c r="E314" s="17"/>
      <c r="F314" s="17"/>
      <c r="G314" s="17"/>
      <c r="H314" s="17"/>
    </row>
    <row r="315" spans="1:8" x14ac:dyDescent="0.2">
      <c r="A315" s="17"/>
      <c r="B315" s="17"/>
      <c r="C315" s="17"/>
      <c r="D315" s="17"/>
      <c r="E315" s="17"/>
      <c r="F315" s="17"/>
      <c r="G315" s="17"/>
      <c r="H315" s="17"/>
    </row>
    <row r="316" spans="1:8" x14ac:dyDescent="0.2">
      <c r="A316" s="17"/>
      <c r="B316" s="17"/>
      <c r="C316" s="17"/>
      <c r="D316" s="17"/>
      <c r="E316" s="17"/>
      <c r="F316" s="17"/>
      <c r="G316" s="17"/>
      <c r="H316" s="17"/>
    </row>
    <row r="317" spans="1:8" x14ac:dyDescent="0.2">
      <c r="A317" s="17"/>
      <c r="B317" s="17"/>
      <c r="C317" s="17"/>
      <c r="D317" s="17"/>
      <c r="E317" s="17"/>
      <c r="F317" s="17"/>
      <c r="G317" s="17"/>
      <c r="H317" s="17"/>
    </row>
    <row r="318" spans="1:8" x14ac:dyDescent="0.2">
      <c r="A318" s="17"/>
      <c r="B318" s="17"/>
      <c r="C318" s="17"/>
      <c r="D318" s="17"/>
      <c r="E318" s="17"/>
      <c r="F318" s="17"/>
      <c r="G318" s="17"/>
      <c r="H318" s="17"/>
    </row>
    <row r="319" spans="1:8" x14ac:dyDescent="0.2">
      <c r="A319" s="17"/>
      <c r="B319" s="17"/>
      <c r="C319" s="17"/>
      <c r="D319" s="17"/>
      <c r="E319" s="17"/>
      <c r="F319" s="17"/>
      <c r="G319" s="17"/>
      <c r="H319" s="17"/>
    </row>
    <row r="320" spans="1:8" x14ac:dyDescent="0.2">
      <c r="A320" s="17"/>
      <c r="B320" s="17"/>
      <c r="C320" s="17"/>
      <c r="D320" s="17"/>
      <c r="E320" s="17"/>
      <c r="F320" s="17"/>
      <c r="G320" s="17"/>
      <c r="H320" s="17"/>
    </row>
    <row r="321" spans="1:8" x14ac:dyDescent="0.2">
      <c r="A321" s="17"/>
      <c r="B321" s="17"/>
      <c r="C321" s="17"/>
      <c r="D321" s="17"/>
      <c r="E321" s="17"/>
      <c r="F321" s="17"/>
      <c r="G321" s="17"/>
      <c r="H321" s="17"/>
    </row>
    <row r="322" spans="1:8" x14ac:dyDescent="0.2">
      <c r="A322" s="17"/>
      <c r="B322" s="17"/>
      <c r="C322" s="17"/>
      <c r="D322" s="17"/>
      <c r="E322" s="17"/>
      <c r="F322" s="17"/>
      <c r="G322" s="17"/>
      <c r="H322" s="17"/>
    </row>
    <row r="323" spans="1:8" x14ac:dyDescent="0.2">
      <c r="A323" s="17"/>
      <c r="B323" s="17"/>
      <c r="C323" s="17"/>
      <c r="D323" s="17"/>
      <c r="E323" s="17"/>
      <c r="F323" s="17"/>
      <c r="G323" s="17"/>
      <c r="H323" s="17"/>
    </row>
    <row r="324" spans="1:8" x14ac:dyDescent="0.2">
      <c r="A324" s="17"/>
      <c r="B324" s="17"/>
      <c r="C324" s="17"/>
      <c r="D324" s="17"/>
      <c r="E324" s="17"/>
      <c r="F324" s="17"/>
      <c r="G324" s="17"/>
      <c r="H324" s="17"/>
    </row>
    <row r="325" spans="1:8" x14ac:dyDescent="0.2">
      <c r="A325" s="17"/>
      <c r="B325" s="17"/>
      <c r="C325" s="17"/>
      <c r="D325" s="17"/>
      <c r="E325" s="17"/>
      <c r="F325" s="17"/>
      <c r="G325" s="17"/>
      <c r="H325" s="17"/>
    </row>
    <row r="326" spans="1:8" x14ac:dyDescent="0.2">
      <c r="A326" s="17"/>
      <c r="B326" s="17"/>
      <c r="C326" s="17"/>
      <c r="D326" s="17"/>
      <c r="E326" s="17"/>
      <c r="F326" s="17"/>
      <c r="G326" s="17"/>
      <c r="H326" s="17"/>
    </row>
    <row r="327" spans="1:8" x14ac:dyDescent="0.2">
      <c r="A327" s="17"/>
      <c r="B327" s="17"/>
      <c r="C327" s="17"/>
      <c r="D327" s="17"/>
      <c r="E327" s="17"/>
      <c r="F327" s="17"/>
      <c r="G327" s="17"/>
      <c r="H327" s="17"/>
    </row>
    <row r="328" spans="1:8" x14ac:dyDescent="0.2">
      <c r="A328" s="17"/>
      <c r="B328" s="17"/>
      <c r="C328" s="17"/>
      <c r="D328" s="17"/>
      <c r="E328" s="17"/>
      <c r="F328" s="17"/>
      <c r="G328" s="17"/>
      <c r="H328" s="17"/>
    </row>
    <row r="329" spans="1:8" x14ac:dyDescent="0.2">
      <c r="A329" s="17"/>
      <c r="B329" s="17"/>
      <c r="C329" s="17"/>
      <c r="D329" s="17"/>
      <c r="E329" s="17"/>
      <c r="F329" s="17"/>
      <c r="G329" s="17"/>
      <c r="H329" s="17"/>
    </row>
    <row r="330" spans="1:8" x14ac:dyDescent="0.2">
      <c r="A330" s="17"/>
      <c r="B330" s="17"/>
      <c r="C330" s="17"/>
      <c r="D330" s="17"/>
      <c r="E330" s="17"/>
      <c r="F330" s="17"/>
      <c r="G330" s="17"/>
      <c r="H330" s="17"/>
    </row>
    <row r="331" spans="1:8" x14ac:dyDescent="0.2">
      <c r="A331" s="17"/>
      <c r="B331" s="17"/>
      <c r="C331" s="17"/>
      <c r="D331" s="17"/>
      <c r="E331" s="17"/>
      <c r="F331" s="17"/>
      <c r="G331" s="17"/>
      <c r="H331" s="17"/>
    </row>
    <row r="332" spans="1:8" x14ac:dyDescent="0.2">
      <c r="A332" s="17"/>
      <c r="B332" s="17"/>
      <c r="C332" s="17"/>
      <c r="D332" s="17"/>
      <c r="E332" s="17"/>
      <c r="F332" s="17"/>
      <c r="G332" s="17"/>
      <c r="H332" s="17"/>
    </row>
    <row r="333" spans="1:8" x14ac:dyDescent="0.2">
      <c r="A333" s="17"/>
      <c r="B333" s="17"/>
      <c r="C333" s="17"/>
      <c r="D333" s="17"/>
      <c r="E333" s="17"/>
      <c r="F333" s="17"/>
      <c r="G333" s="17"/>
      <c r="H333" s="17"/>
    </row>
    <row r="334" spans="1:8" x14ac:dyDescent="0.2">
      <c r="A334" s="17"/>
      <c r="B334" s="17"/>
      <c r="C334" s="17"/>
      <c r="D334" s="17"/>
      <c r="E334" s="17"/>
      <c r="F334" s="17"/>
      <c r="G334" s="17"/>
      <c r="H334" s="17"/>
    </row>
    <row r="335" spans="1:8" x14ac:dyDescent="0.2">
      <c r="A335" s="17"/>
      <c r="B335" s="17"/>
      <c r="C335" s="17"/>
      <c r="D335" s="17"/>
      <c r="E335" s="17"/>
      <c r="F335" s="17"/>
      <c r="G335" s="17"/>
      <c r="H335" s="17"/>
    </row>
    <row r="336" spans="1:8" x14ac:dyDescent="0.2">
      <c r="A336" s="17"/>
      <c r="B336" s="17"/>
      <c r="C336" s="17"/>
      <c r="D336" s="17"/>
      <c r="E336" s="17"/>
      <c r="F336" s="17"/>
      <c r="G336" s="17"/>
      <c r="H336" s="17"/>
    </row>
    <row r="337" spans="1:8" x14ac:dyDescent="0.2">
      <c r="A337" s="17"/>
      <c r="B337" s="17"/>
      <c r="C337" s="17"/>
      <c r="D337" s="17"/>
      <c r="E337" s="17"/>
      <c r="F337" s="17"/>
      <c r="G337" s="17"/>
      <c r="H337" s="17"/>
    </row>
    <row r="338" spans="1:8" x14ac:dyDescent="0.2">
      <c r="A338" s="17"/>
      <c r="B338" s="17"/>
      <c r="C338" s="17"/>
      <c r="D338" s="17"/>
      <c r="E338" s="17"/>
      <c r="F338" s="17"/>
      <c r="G338" s="17"/>
      <c r="H338" s="17"/>
    </row>
    <row r="339" spans="1:8" x14ac:dyDescent="0.2">
      <c r="A339" s="17"/>
      <c r="B339" s="17"/>
      <c r="C339" s="17"/>
      <c r="D339" s="17"/>
      <c r="E339" s="17"/>
      <c r="F339" s="17"/>
      <c r="G339" s="17"/>
      <c r="H339" s="17"/>
    </row>
    <row r="340" spans="1:8" x14ac:dyDescent="0.2">
      <c r="A340" s="17"/>
      <c r="B340" s="17"/>
      <c r="C340" s="17"/>
      <c r="D340" s="17"/>
      <c r="E340" s="17"/>
      <c r="F340" s="17"/>
      <c r="G340" s="17"/>
      <c r="H340" s="17"/>
    </row>
    <row r="341" spans="1:8" x14ac:dyDescent="0.2">
      <c r="A341" s="17"/>
      <c r="B341" s="17"/>
      <c r="C341" s="17"/>
      <c r="D341" s="17"/>
      <c r="E341" s="17"/>
      <c r="F341" s="17"/>
      <c r="G341" s="17"/>
      <c r="H341" s="17"/>
    </row>
    <row r="342" spans="1:8" x14ac:dyDescent="0.2">
      <c r="A342" s="17"/>
      <c r="B342" s="17"/>
      <c r="C342" s="17"/>
      <c r="D342" s="17"/>
      <c r="E342" s="17"/>
      <c r="F342" s="17"/>
      <c r="G342" s="17"/>
      <c r="H342" s="17"/>
    </row>
    <row r="343" spans="1:8" x14ac:dyDescent="0.2">
      <c r="A343" s="17"/>
      <c r="B343" s="17"/>
      <c r="C343" s="17"/>
      <c r="D343" s="17"/>
      <c r="E343" s="17"/>
      <c r="F343" s="17"/>
      <c r="G343" s="17"/>
      <c r="H343" s="17"/>
    </row>
    <row r="344" spans="1:8" x14ac:dyDescent="0.2">
      <c r="A344" s="17"/>
      <c r="B344" s="17"/>
      <c r="C344" s="17"/>
      <c r="D344" s="17"/>
      <c r="E344" s="17"/>
      <c r="F344" s="17"/>
      <c r="G344" s="17"/>
      <c r="H344" s="17"/>
    </row>
    <row r="345" spans="1:8" x14ac:dyDescent="0.2">
      <c r="A345" s="17"/>
      <c r="B345" s="17"/>
      <c r="C345" s="17"/>
      <c r="D345" s="17"/>
      <c r="E345" s="17"/>
      <c r="F345" s="17"/>
      <c r="G345" s="17"/>
      <c r="H345" s="17"/>
    </row>
    <row r="346" spans="1:8" x14ac:dyDescent="0.2">
      <c r="A346" s="17"/>
      <c r="B346" s="17"/>
      <c r="C346" s="17"/>
      <c r="D346" s="17"/>
      <c r="E346" s="17"/>
      <c r="F346" s="17"/>
      <c r="G346" s="17"/>
      <c r="H346" s="17"/>
    </row>
    <row r="347" spans="1:8" x14ac:dyDescent="0.2">
      <c r="A347" s="17"/>
      <c r="B347" s="17"/>
      <c r="C347" s="17"/>
      <c r="D347" s="17"/>
      <c r="E347" s="17"/>
      <c r="F347" s="17"/>
      <c r="G347" s="17"/>
      <c r="H347" s="17"/>
    </row>
    <row r="348" spans="1:8" x14ac:dyDescent="0.2">
      <c r="A348" s="17"/>
      <c r="B348" s="17"/>
      <c r="C348" s="17"/>
      <c r="D348" s="17"/>
      <c r="E348" s="17"/>
      <c r="F348" s="17"/>
      <c r="G348" s="17"/>
      <c r="H348" s="17"/>
    </row>
    <row r="349" spans="1:8" x14ac:dyDescent="0.2">
      <c r="A349" s="17"/>
      <c r="B349" s="17"/>
      <c r="C349" s="17"/>
      <c r="D349" s="17"/>
      <c r="E349" s="17"/>
      <c r="F349" s="17"/>
      <c r="G349" s="17"/>
      <c r="H349" s="17"/>
    </row>
    <row r="350" spans="1:8" x14ac:dyDescent="0.2">
      <c r="A350" s="17"/>
      <c r="B350" s="17"/>
      <c r="C350" s="17"/>
      <c r="D350" s="17"/>
      <c r="E350" s="17"/>
      <c r="F350" s="17"/>
      <c r="G350" s="17"/>
      <c r="H350" s="17"/>
    </row>
    <row r="351" spans="1:8" x14ac:dyDescent="0.2">
      <c r="A351" s="17"/>
      <c r="B351" s="17"/>
      <c r="C351" s="17"/>
      <c r="D351" s="17"/>
      <c r="E351" s="17"/>
      <c r="F351" s="17"/>
      <c r="G351" s="17"/>
      <c r="H351" s="17"/>
    </row>
    <row r="352" spans="1:8" x14ac:dyDescent="0.2">
      <c r="A352" s="17"/>
      <c r="B352" s="17"/>
      <c r="C352" s="17"/>
      <c r="D352" s="17"/>
      <c r="E352" s="17"/>
      <c r="F352" s="17"/>
      <c r="G352" s="17"/>
      <c r="H352" s="17"/>
    </row>
    <row r="353" spans="1:8" x14ac:dyDescent="0.2">
      <c r="A353" s="17"/>
      <c r="B353" s="17"/>
      <c r="C353" s="17"/>
      <c r="D353" s="17"/>
      <c r="E353" s="17"/>
      <c r="F353" s="17"/>
      <c r="G353" s="17"/>
      <c r="H353" s="17"/>
    </row>
    <row r="354" spans="1:8" x14ac:dyDescent="0.2">
      <c r="A354" s="17"/>
      <c r="B354" s="17"/>
      <c r="C354" s="17"/>
      <c r="D354" s="17"/>
      <c r="E354" s="17"/>
      <c r="F354" s="17"/>
      <c r="G354" s="17"/>
      <c r="H354" s="17"/>
    </row>
    <row r="355" spans="1:8" x14ac:dyDescent="0.2">
      <c r="A355" s="17"/>
      <c r="B355" s="17"/>
      <c r="C355" s="17"/>
      <c r="D355" s="17"/>
      <c r="E355" s="17"/>
      <c r="F355" s="17"/>
      <c r="G355" s="17"/>
      <c r="H355" s="17"/>
    </row>
    <row r="356" spans="1:8" x14ac:dyDescent="0.2">
      <c r="A356" s="17"/>
      <c r="B356" s="17"/>
      <c r="C356" s="17"/>
      <c r="D356" s="17"/>
      <c r="E356" s="17"/>
      <c r="F356" s="17"/>
      <c r="G356" s="17"/>
      <c r="H356" s="17"/>
    </row>
    <row r="357" spans="1:8" x14ac:dyDescent="0.2">
      <c r="A357" s="17"/>
      <c r="B357" s="17"/>
      <c r="C357" s="17"/>
      <c r="D357" s="17"/>
      <c r="E357" s="17"/>
      <c r="F357" s="17"/>
      <c r="G357" s="17"/>
      <c r="H357" s="17"/>
    </row>
    <row r="358" spans="1:8" x14ac:dyDescent="0.2">
      <c r="A358" s="17"/>
      <c r="B358" s="17"/>
      <c r="C358" s="17"/>
      <c r="D358" s="17"/>
      <c r="E358" s="17"/>
      <c r="F358" s="17"/>
      <c r="G358" s="17"/>
      <c r="H358" s="17"/>
    </row>
    <row r="359" spans="1:8" x14ac:dyDescent="0.2">
      <c r="A359" s="17"/>
      <c r="B359" s="17"/>
      <c r="C359" s="17"/>
      <c r="D359" s="17"/>
      <c r="E359" s="17"/>
      <c r="F359" s="17"/>
      <c r="G359" s="17"/>
      <c r="H359" s="17"/>
    </row>
    <row r="360" spans="1:8" x14ac:dyDescent="0.2">
      <c r="A360" s="17"/>
      <c r="B360" s="17"/>
      <c r="C360" s="17"/>
      <c r="D360" s="17"/>
      <c r="E360" s="17"/>
      <c r="F360" s="17"/>
      <c r="G360" s="17"/>
      <c r="H360" s="17"/>
    </row>
    <row r="361" spans="1:8" x14ac:dyDescent="0.2">
      <c r="A361" s="17"/>
      <c r="B361" s="17"/>
      <c r="C361" s="17"/>
      <c r="D361" s="17"/>
      <c r="E361" s="17"/>
      <c r="F361" s="17"/>
      <c r="G361" s="17"/>
      <c r="H361" s="17"/>
    </row>
    <row r="362" spans="1:8" x14ac:dyDescent="0.2">
      <c r="A362" s="17"/>
      <c r="B362" s="17"/>
      <c r="C362" s="17"/>
      <c r="D362" s="17"/>
      <c r="E362" s="17"/>
      <c r="F362" s="17"/>
      <c r="G362" s="17"/>
      <c r="H362" s="17"/>
    </row>
    <row r="363" spans="1:8" x14ac:dyDescent="0.2">
      <c r="A363" s="17"/>
      <c r="B363" s="17"/>
      <c r="C363" s="17"/>
      <c r="D363" s="17"/>
      <c r="E363" s="17"/>
      <c r="F363" s="17"/>
      <c r="G363" s="17"/>
      <c r="H363" s="17"/>
    </row>
    <row r="364" spans="1:8" x14ac:dyDescent="0.2">
      <c r="A364" s="17"/>
      <c r="B364" s="17"/>
      <c r="C364" s="17"/>
      <c r="D364" s="17"/>
      <c r="E364" s="17"/>
      <c r="F364" s="17"/>
      <c r="G364" s="17"/>
      <c r="H364" s="17"/>
    </row>
    <row r="365" spans="1:8" x14ac:dyDescent="0.2">
      <c r="A365" s="17"/>
      <c r="B365" s="17"/>
      <c r="C365" s="17"/>
      <c r="D365" s="17"/>
      <c r="E365" s="17"/>
      <c r="F365" s="17"/>
      <c r="G365" s="17"/>
      <c r="H365" s="17"/>
    </row>
    <row r="366" spans="1:8" x14ac:dyDescent="0.2">
      <c r="A366" s="17"/>
      <c r="B366" s="17"/>
      <c r="C366" s="17"/>
      <c r="D366" s="17"/>
      <c r="E366" s="17"/>
      <c r="F366" s="17"/>
      <c r="G366" s="17"/>
      <c r="H366" s="17"/>
    </row>
    <row r="367" spans="1:8" x14ac:dyDescent="0.2">
      <c r="A367" s="17"/>
      <c r="B367" s="17"/>
      <c r="C367" s="17"/>
      <c r="D367" s="17"/>
      <c r="E367" s="17"/>
      <c r="F367" s="17"/>
      <c r="G367" s="17"/>
      <c r="H367" s="17"/>
    </row>
    <row r="368" spans="1:8" x14ac:dyDescent="0.2">
      <c r="A368" s="17"/>
      <c r="B368" s="17"/>
      <c r="C368" s="17"/>
      <c r="D368" s="17"/>
      <c r="E368" s="17"/>
      <c r="F368" s="17"/>
      <c r="G368" s="17"/>
      <c r="H368" s="17"/>
    </row>
    <row r="369" spans="1:8" x14ac:dyDescent="0.2">
      <c r="A369" s="17"/>
      <c r="B369" s="17"/>
      <c r="C369" s="17"/>
      <c r="D369" s="17"/>
      <c r="E369" s="17"/>
      <c r="F369" s="17"/>
      <c r="G369" s="17"/>
      <c r="H369" s="17"/>
    </row>
    <row r="370" spans="1:8" x14ac:dyDescent="0.2">
      <c r="A370" s="17"/>
      <c r="B370" s="17"/>
      <c r="C370" s="17"/>
      <c r="D370" s="17"/>
      <c r="E370" s="17"/>
      <c r="F370" s="17"/>
      <c r="G370" s="17"/>
      <c r="H370" s="17"/>
    </row>
    <row r="371" spans="1:8" x14ac:dyDescent="0.2">
      <c r="A371" s="17"/>
      <c r="B371" s="17"/>
      <c r="C371" s="17"/>
      <c r="D371" s="17"/>
      <c r="E371" s="17"/>
      <c r="F371" s="17"/>
      <c r="G371" s="17"/>
      <c r="H371" s="17"/>
    </row>
    <row r="372" spans="1:8" x14ac:dyDescent="0.2">
      <c r="A372" s="17"/>
      <c r="B372" s="17"/>
      <c r="C372" s="17"/>
      <c r="D372" s="17"/>
      <c r="E372" s="17"/>
      <c r="F372" s="17"/>
      <c r="G372" s="17"/>
      <c r="H372" s="17"/>
    </row>
    <row r="373" spans="1:8" x14ac:dyDescent="0.2">
      <c r="A373" s="17"/>
      <c r="B373" s="17"/>
      <c r="C373" s="17"/>
      <c r="D373" s="17"/>
      <c r="E373" s="17"/>
      <c r="F373" s="17"/>
      <c r="G373" s="17"/>
      <c r="H373" s="17"/>
    </row>
    <row r="374" spans="1:8" x14ac:dyDescent="0.2">
      <c r="A374" s="17"/>
      <c r="B374" s="17"/>
      <c r="C374" s="17"/>
      <c r="D374" s="17"/>
      <c r="E374" s="17"/>
      <c r="F374" s="17"/>
      <c r="G374" s="17"/>
      <c r="H374" s="17"/>
    </row>
    <row r="375" spans="1:8" x14ac:dyDescent="0.2">
      <c r="A375" s="17"/>
      <c r="B375" s="17"/>
      <c r="C375" s="17"/>
      <c r="D375" s="17"/>
      <c r="E375" s="17"/>
      <c r="F375" s="17"/>
      <c r="G375" s="17"/>
      <c r="H375" s="17"/>
    </row>
    <row r="376" spans="1:8" x14ac:dyDescent="0.2">
      <c r="A376" s="17"/>
      <c r="B376" s="17"/>
      <c r="C376" s="17"/>
      <c r="D376" s="17"/>
      <c r="E376" s="17"/>
      <c r="F376" s="17"/>
      <c r="G376" s="17"/>
      <c r="H376" s="17"/>
    </row>
    <row r="377" spans="1:8" x14ac:dyDescent="0.2">
      <c r="A377" s="17"/>
      <c r="B377" s="17"/>
      <c r="C377" s="17"/>
      <c r="D377" s="17"/>
      <c r="E377" s="17"/>
      <c r="F377" s="17"/>
      <c r="G377" s="17"/>
      <c r="H377" s="17"/>
    </row>
    <row r="378" spans="1:8" x14ac:dyDescent="0.2">
      <c r="A378" s="17"/>
      <c r="B378" s="17"/>
      <c r="C378" s="17"/>
      <c r="D378" s="17"/>
      <c r="E378" s="17"/>
      <c r="F378" s="17"/>
      <c r="G378" s="17"/>
      <c r="H378" s="17"/>
    </row>
    <row r="379" spans="1:8" x14ac:dyDescent="0.2">
      <c r="A379" s="17"/>
      <c r="B379" s="17"/>
      <c r="C379" s="17"/>
      <c r="D379" s="17"/>
      <c r="E379" s="17"/>
      <c r="F379" s="17"/>
      <c r="G379" s="17"/>
      <c r="H379" s="17"/>
    </row>
    <row r="380" spans="1:8" x14ac:dyDescent="0.2">
      <c r="A380" s="17"/>
      <c r="B380" s="17"/>
      <c r="C380" s="17"/>
      <c r="D380" s="17"/>
      <c r="E380" s="17"/>
      <c r="F380" s="17"/>
      <c r="G380" s="17"/>
      <c r="H380" s="17"/>
    </row>
    <row r="381" spans="1:8" x14ac:dyDescent="0.2">
      <c r="A381" s="17"/>
      <c r="B381" s="17"/>
      <c r="C381" s="17"/>
      <c r="D381" s="17"/>
      <c r="E381" s="17"/>
      <c r="F381" s="17"/>
      <c r="G381" s="17"/>
      <c r="H381" s="17"/>
    </row>
    <row r="382" spans="1:8" x14ac:dyDescent="0.2">
      <c r="A382" s="17"/>
      <c r="B382" s="17"/>
      <c r="C382" s="17"/>
      <c r="D382" s="17"/>
      <c r="E382" s="17"/>
      <c r="F382" s="17"/>
      <c r="G382" s="17"/>
      <c r="H382" s="17"/>
    </row>
    <row r="383" spans="1:8" x14ac:dyDescent="0.2">
      <c r="A383" s="17"/>
      <c r="B383" s="17"/>
      <c r="C383" s="17"/>
      <c r="D383" s="17"/>
      <c r="E383" s="17"/>
      <c r="F383" s="17"/>
      <c r="G383" s="17"/>
      <c r="H383" s="17"/>
    </row>
    <row r="384" spans="1:8" x14ac:dyDescent="0.2">
      <c r="A384" s="17"/>
      <c r="B384" s="17"/>
      <c r="C384" s="17"/>
      <c r="D384" s="17"/>
      <c r="E384" s="17"/>
      <c r="F384" s="17"/>
      <c r="G384" s="17"/>
      <c r="H384" s="17"/>
    </row>
    <row r="385" spans="1:8" x14ac:dyDescent="0.2">
      <c r="A385" s="17"/>
      <c r="B385" s="17"/>
      <c r="C385" s="17"/>
      <c r="D385" s="17"/>
      <c r="E385" s="17"/>
      <c r="F385" s="17"/>
      <c r="G385" s="17"/>
      <c r="H385" s="17"/>
    </row>
    <row r="386" spans="1:8" x14ac:dyDescent="0.2">
      <c r="A386" s="17"/>
      <c r="B386" s="17"/>
      <c r="C386" s="17"/>
      <c r="D386" s="17"/>
      <c r="E386" s="17"/>
      <c r="F386" s="17"/>
      <c r="G386" s="17"/>
      <c r="H386" s="17"/>
    </row>
    <row r="387" spans="1:8" x14ac:dyDescent="0.2">
      <c r="A387" s="17"/>
      <c r="B387" s="17"/>
      <c r="C387" s="17"/>
      <c r="D387" s="17"/>
      <c r="E387" s="17"/>
      <c r="F387" s="17"/>
      <c r="G387" s="17"/>
      <c r="H387" s="17"/>
    </row>
    <row r="388" spans="1:8" x14ac:dyDescent="0.2">
      <c r="A388" s="17"/>
      <c r="B388" s="17"/>
      <c r="C388" s="17"/>
      <c r="D388" s="17"/>
      <c r="E388" s="17"/>
      <c r="F388" s="17"/>
      <c r="G388" s="17"/>
      <c r="H388" s="17"/>
    </row>
    <row r="389" spans="1:8" x14ac:dyDescent="0.2">
      <c r="A389" s="17"/>
      <c r="B389" s="17"/>
      <c r="C389" s="17"/>
      <c r="D389" s="17"/>
      <c r="E389" s="17"/>
      <c r="F389" s="17"/>
      <c r="G389" s="17"/>
      <c r="H389" s="17"/>
    </row>
    <row r="390" spans="1:8" x14ac:dyDescent="0.2">
      <c r="A390" s="17"/>
      <c r="B390" s="17"/>
      <c r="C390" s="17"/>
      <c r="D390" s="17"/>
      <c r="E390" s="17"/>
      <c r="F390" s="17"/>
      <c r="G390" s="17"/>
      <c r="H390" s="17"/>
    </row>
    <row r="391" spans="1:8" x14ac:dyDescent="0.2">
      <c r="A391" s="17"/>
      <c r="B391" s="17"/>
      <c r="C391" s="17"/>
      <c r="D391" s="17"/>
      <c r="E391" s="17"/>
      <c r="F391" s="17"/>
      <c r="G391" s="17"/>
      <c r="H391" s="17"/>
    </row>
    <row r="392" spans="1:8" x14ac:dyDescent="0.2">
      <c r="A392" s="17"/>
      <c r="B392" s="17"/>
      <c r="C392" s="17"/>
      <c r="D392" s="17"/>
      <c r="E392" s="17"/>
      <c r="F392" s="17"/>
      <c r="G392" s="17"/>
      <c r="H392" s="17"/>
    </row>
    <row r="393" spans="1:8" x14ac:dyDescent="0.2">
      <c r="A393" s="17"/>
      <c r="B393" s="17"/>
      <c r="C393" s="17"/>
      <c r="D393" s="17"/>
      <c r="E393" s="17"/>
      <c r="F393" s="17"/>
      <c r="G393" s="17"/>
      <c r="H393" s="17"/>
    </row>
    <row r="394" spans="1:8" x14ac:dyDescent="0.2">
      <c r="A394" s="17"/>
      <c r="B394" s="17"/>
      <c r="C394" s="17"/>
      <c r="D394" s="17"/>
      <c r="E394" s="17"/>
      <c r="F394" s="17"/>
      <c r="G394" s="17"/>
      <c r="H394" s="17"/>
    </row>
    <row r="395" spans="1:8" x14ac:dyDescent="0.2">
      <c r="A395" s="17"/>
      <c r="B395" s="17"/>
      <c r="C395" s="17"/>
      <c r="D395" s="17"/>
      <c r="E395" s="17"/>
      <c r="F395" s="17"/>
      <c r="G395" s="17"/>
      <c r="H395" s="17"/>
    </row>
    <row r="396" spans="1:8" x14ac:dyDescent="0.2">
      <c r="A396" s="17"/>
      <c r="B396" s="17"/>
      <c r="C396" s="17"/>
      <c r="D396" s="17"/>
      <c r="E396" s="17"/>
      <c r="F396" s="17"/>
      <c r="G396" s="17"/>
      <c r="H396" s="17"/>
    </row>
    <row r="397" spans="1:8" x14ac:dyDescent="0.2">
      <c r="A397" s="17"/>
      <c r="B397" s="17"/>
      <c r="C397" s="17"/>
      <c r="D397" s="17"/>
      <c r="E397" s="17"/>
      <c r="F397" s="17"/>
      <c r="G397" s="17"/>
      <c r="H397" s="17"/>
    </row>
    <row r="398" spans="1:8" x14ac:dyDescent="0.2">
      <c r="A398" s="17"/>
      <c r="B398" s="17"/>
      <c r="C398" s="17"/>
      <c r="D398" s="17"/>
      <c r="E398" s="17"/>
      <c r="F398" s="17"/>
      <c r="G398" s="17"/>
      <c r="H398" s="17"/>
    </row>
    <row r="399" spans="1:8" x14ac:dyDescent="0.2">
      <c r="A399" s="17"/>
      <c r="B399" s="17"/>
      <c r="C399" s="17"/>
      <c r="D399" s="17"/>
      <c r="E399" s="17"/>
      <c r="F399" s="17"/>
      <c r="G399" s="17"/>
      <c r="H399" s="17"/>
    </row>
    <row r="400" spans="1:8" x14ac:dyDescent="0.2">
      <c r="A400" s="17"/>
      <c r="B400" s="17"/>
      <c r="C400" s="17"/>
      <c r="D400" s="17"/>
      <c r="E400" s="17"/>
      <c r="F400" s="17"/>
      <c r="G400" s="17"/>
      <c r="H400" s="17"/>
    </row>
    <row r="401" spans="1:8" x14ac:dyDescent="0.2">
      <c r="A401" s="17"/>
      <c r="B401" s="17"/>
      <c r="C401" s="17"/>
      <c r="D401" s="17"/>
      <c r="E401" s="17"/>
      <c r="F401" s="17"/>
      <c r="G401" s="17"/>
      <c r="H401" s="17"/>
    </row>
    <row r="402" spans="1:8" x14ac:dyDescent="0.2">
      <c r="A402" s="17"/>
      <c r="B402" s="17"/>
      <c r="C402" s="17"/>
      <c r="D402" s="17"/>
      <c r="E402" s="17"/>
      <c r="F402" s="17"/>
      <c r="G402" s="17"/>
      <c r="H402" s="17"/>
    </row>
    <row r="403" spans="1:8" x14ac:dyDescent="0.2">
      <c r="A403" s="17"/>
      <c r="B403" s="17"/>
      <c r="C403" s="17"/>
      <c r="D403" s="17"/>
      <c r="E403" s="17"/>
      <c r="F403" s="17"/>
      <c r="G403" s="17"/>
      <c r="H403" s="17"/>
    </row>
    <row r="404" spans="1:8" x14ac:dyDescent="0.2">
      <c r="A404" s="17"/>
      <c r="B404" s="17"/>
      <c r="C404" s="17"/>
      <c r="D404" s="17"/>
      <c r="E404" s="17"/>
      <c r="F404" s="17"/>
      <c r="G404" s="17"/>
      <c r="H404" s="17"/>
    </row>
    <row r="405" spans="1:8" x14ac:dyDescent="0.2">
      <c r="A405" s="17"/>
      <c r="B405" s="17"/>
      <c r="C405" s="17"/>
      <c r="D405" s="17"/>
      <c r="E405" s="17"/>
      <c r="F405" s="17"/>
      <c r="G405" s="17"/>
      <c r="H405" s="17"/>
    </row>
    <row r="406" spans="1:8" x14ac:dyDescent="0.2">
      <c r="A406" s="17"/>
      <c r="B406" s="17"/>
      <c r="C406" s="17"/>
      <c r="D406" s="17"/>
      <c r="E406" s="17"/>
      <c r="F406" s="17"/>
      <c r="G406" s="17"/>
      <c r="H406" s="17"/>
    </row>
    <row r="407" spans="1:8" x14ac:dyDescent="0.2">
      <c r="A407" s="17"/>
      <c r="B407" s="17"/>
      <c r="C407" s="17"/>
      <c r="D407" s="17"/>
      <c r="E407" s="17"/>
      <c r="F407" s="17"/>
      <c r="G407" s="17"/>
      <c r="H407" s="17"/>
    </row>
    <row r="408" spans="1:8" x14ac:dyDescent="0.2">
      <c r="A408" s="17"/>
      <c r="B408" s="17"/>
      <c r="C408" s="17"/>
      <c r="D408" s="17"/>
      <c r="E408" s="17"/>
      <c r="F408" s="17"/>
      <c r="G408" s="17"/>
      <c r="H408" s="17"/>
    </row>
    <row r="409" spans="1:8" x14ac:dyDescent="0.2">
      <c r="A409" s="17"/>
      <c r="B409" s="17"/>
      <c r="C409" s="17"/>
      <c r="D409" s="17"/>
      <c r="E409" s="17"/>
      <c r="F409" s="17"/>
      <c r="G409" s="17"/>
      <c r="H409" s="17"/>
    </row>
    <row r="410" spans="1:8" x14ac:dyDescent="0.2">
      <c r="A410" s="17"/>
      <c r="B410" s="17"/>
      <c r="C410" s="17"/>
      <c r="D410" s="17"/>
      <c r="E410" s="17"/>
      <c r="F410" s="17"/>
      <c r="G410" s="17"/>
      <c r="H410" s="17"/>
    </row>
    <row r="411" spans="1:8" x14ac:dyDescent="0.2">
      <c r="A411" s="17"/>
      <c r="B411" s="17"/>
      <c r="C411" s="17"/>
      <c r="D411" s="17"/>
      <c r="E411" s="17"/>
      <c r="F411" s="17"/>
      <c r="G411" s="17"/>
      <c r="H411" s="17"/>
    </row>
    <row r="412" spans="1:8" x14ac:dyDescent="0.2">
      <c r="A412" s="17"/>
      <c r="B412" s="17"/>
      <c r="C412" s="17"/>
      <c r="D412" s="17"/>
      <c r="E412" s="17"/>
      <c r="F412" s="17"/>
      <c r="G412" s="17"/>
      <c r="H412" s="17"/>
    </row>
    <row r="413" spans="1:8" x14ac:dyDescent="0.2">
      <c r="A413" s="17"/>
      <c r="B413" s="17"/>
      <c r="C413" s="17"/>
      <c r="D413" s="17"/>
      <c r="E413" s="17"/>
      <c r="F413" s="17"/>
      <c r="G413" s="17"/>
      <c r="H413" s="17"/>
    </row>
    <row r="414" spans="1:8" x14ac:dyDescent="0.2">
      <c r="A414" s="17"/>
      <c r="B414" s="17"/>
      <c r="C414" s="17"/>
      <c r="D414" s="17"/>
      <c r="E414" s="17"/>
      <c r="F414" s="17"/>
      <c r="G414" s="17"/>
      <c r="H414" s="17"/>
    </row>
    <row r="415" spans="1:8" x14ac:dyDescent="0.2">
      <c r="A415" s="17"/>
      <c r="B415" s="17"/>
      <c r="C415" s="17"/>
      <c r="D415" s="17"/>
      <c r="E415" s="17"/>
      <c r="F415" s="17"/>
      <c r="G415" s="17"/>
      <c r="H415" s="17"/>
    </row>
    <row r="416" spans="1:8" x14ac:dyDescent="0.2">
      <c r="A416" s="17"/>
      <c r="B416" s="17"/>
      <c r="C416" s="17"/>
      <c r="D416" s="17"/>
      <c r="E416" s="17"/>
      <c r="F416" s="17"/>
      <c r="G416" s="17"/>
      <c r="H416" s="17"/>
    </row>
    <row r="417" spans="1:8" x14ac:dyDescent="0.2">
      <c r="A417" s="17"/>
      <c r="B417" s="17"/>
      <c r="C417" s="17"/>
      <c r="D417" s="17"/>
      <c r="E417" s="17"/>
      <c r="F417" s="17"/>
      <c r="G417" s="17"/>
      <c r="H417" s="17"/>
    </row>
    <row r="418" spans="1:8" x14ac:dyDescent="0.2">
      <c r="A418" s="17"/>
      <c r="B418" s="17"/>
      <c r="C418" s="17"/>
      <c r="D418" s="17"/>
      <c r="E418" s="17"/>
      <c r="F418" s="17"/>
      <c r="G418" s="17"/>
      <c r="H418" s="17"/>
    </row>
    <row r="419" spans="1:8" x14ac:dyDescent="0.2">
      <c r="A419" s="17"/>
      <c r="B419" s="17"/>
      <c r="C419" s="17"/>
      <c r="D419" s="17"/>
      <c r="E419" s="17"/>
      <c r="F419" s="17"/>
      <c r="G419" s="17"/>
      <c r="H419" s="17"/>
    </row>
    <row r="420" spans="1:8" x14ac:dyDescent="0.2">
      <c r="A420" s="17"/>
      <c r="B420" s="17"/>
      <c r="C420" s="17"/>
      <c r="D420" s="17"/>
      <c r="E420" s="17"/>
      <c r="F420" s="17"/>
      <c r="G420" s="17"/>
      <c r="H420" s="17"/>
    </row>
    <row r="421" spans="1:8" x14ac:dyDescent="0.2">
      <c r="A421" s="17"/>
      <c r="B421" s="17"/>
      <c r="C421" s="17"/>
      <c r="D421" s="17"/>
      <c r="E421" s="17"/>
      <c r="F421" s="17"/>
      <c r="G421" s="17"/>
      <c r="H421" s="17"/>
    </row>
    <row r="422" spans="1:8" x14ac:dyDescent="0.2">
      <c r="A422" s="17"/>
      <c r="B422" s="17"/>
      <c r="C422" s="17"/>
      <c r="D422" s="17"/>
      <c r="E422" s="17"/>
      <c r="F422" s="17"/>
      <c r="G422" s="17"/>
      <c r="H422" s="17"/>
    </row>
    <row r="423" spans="1:8" x14ac:dyDescent="0.2">
      <c r="A423" s="17"/>
      <c r="B423" s="17"/>
      <c r="C423" s="17"/>
      <c r="D423" s="17"/>
      <c r="E423" s="17"/>
      <c r="F423" s="17"/>
      <c r="G423" s="17"/>
      <c r="H423" s="17"/>
    </row>
    <row r="424" spans="1:8" x14ac:dyDescent="0.2">
      <c r="A424" s="17"/>
      <c r="B424" s="17"/>
      <c r="C424" s="17"/>
      <c r="D424" s="17"/>
      <c r="E424" s="17"/>
      <c r="F424" s="17"/>
      <c r="G424" s="17"/>
      <c r="H424" s="17"/>
    </row>
    <row r="425" spans="1:8" x14ac:dyDescent="0.2">
      <c r="A425" s="17"/>
      <c r="B425" s="17"/>
      <c r="C425" s="17"/>
      <c r="D425" s="17"/>
      <c r="E425" s="17"/>
      <c r="F425" s="17"/>
      <c r="G425" s="17"/>
      <c r="H425" s="17"/>
    </row>
    <row r="426" spans="1:8" x14ac:dyDescent="0.2">
      <c r="A426" s="17"/>
      <c r="B426" s="17"/>
      <c r="C426" s="17"/>
      <c r="D426" s="17"/>
      <c r="E426" s="17"/>
      <c r="F426" s="17"/>
      <c r="G426" s="17"/>
      <c r="H426" s="17"/>
    </row>
    <row r="427" spans="1:8" x14ac:dyDescent="0.2">
      <c r="A427" s="17"/>
      <c r="B427" s="17"/>
      <c r="C427" s="17"/>
      <c r="D427" s="17"/>
      <c r="E427" s="17"/>
      <c r="F427" s="17"/>
      <c r="G427" s="17"/>
      <c r="H427" s="17"/>
    </row>
    <row r="428" spans="1:8" x14ac:dyDescent="0.2">
      <c r="A428" s="17"/>
      <c r="B428" s="17"/>
      <c r="C428" s="17"/>
      <c r="D428" s="17"/>
      <c r="E428" s="17"/>
      <c r="F428" s="17"/>
      <c r="G428" s="17"/>
      <c r="H428" s="17"/>
    </row>
    <row r="429" spans="1:8" x14ac:dyDescent="0.2">
      <c r="A429" s="17"/>
      <c r="B429" s="17"/>
      <c r="C429" s="17"/>
      <c r="D429" s="17"/>
      <c r="E429" s="17"/>
      <c r="F429" s="17"/>
      <c r="G429" s="17"/>
      <c r="H429" s="17"/>
    </row>
    <row r="430" spans="1:8" x14ac:dyDescent="0.2">
      <c r="A430" s="17"/>
      <c r="B430" s="17"/>
      <c r="C430" s="17"/>
      <c r="D430" s="17"/>
      <c r="E430" s="17"/>
      <c r="F430" s="17"/>
      <c r="G430" s="17"/>
      <c r="H430" s="17"/>
    </row>
    <row r="431" spans="1:8" x14ac:dyDescent="0.2">
      <c r="A431" s="17"/>
      <c r="B431" s="17"/>
      <c r="C431" s="17"/>
      <c r="D431" s="17"/>
      <c r="E431" s="17"/>
      <c r="F431" s="17"/>
      <c r="G431" s="17"/>
      <c r="H431" s="17"/>
    </row>
    <row r="432" spans="1:8" x14ac:dyDescent="0.2">
      <c r="A432" s="17"/>
      <c r="B432" s="17"/>
      <c r="C432" s="17"/>
      <c r="D432" s="17"/>
      <c r="E432" s="17"/>
      <c r="F432" s="17"/>
      <c r="G432" s="17"/>
      <c r="H432" s="17"/>
    </row>
    <row r="433" spans="1:8" x14ac:dyDescent="0.2">
      <c r="A433" s="17"/>
      <c r="B433" s="17"/>
      <c r="C433" s="17"/>
      <c r="D433" s="17"/>
      <c r="E433" s="17"/>
      <c r="F433" s="17"/>
      <c r="G433" s="17"/>
      <c r="H433" s="17"/>
    </row>
    <row r="434" spans="1:8" x14ac:dyDescent="0.2">
      <c r="A434" s="17"/>
      <c r="B434" s="17"/>
      <c r="C434" s="17"/>
      <c r="D434" s="17"/>
      <c r="E434" s="17"/>
      <c r="F434" s="17"/>
      <c r="G434" s="17"/>
      <c r="H434" s="17"/>
    </row>
    <row r="435" spans="1:8" x14ac:dyDescent="0.2">
      <c r="A435" s="17"/>
      <c r="B435" s="17"/>
      <c r="C435" s="17"/>
      <c r="D435" s="17"/>
      <c r="E435" s="17"/>
      <c r="F435" s="17"/>
      <c r="G435" s="17"/>
      <c r="H435" s="17"/>
    </row>
    <row r="436" spans="1:8" x14ac:dyDescent="0.2">
      <c r="A436" s="17"/>
      <c r="B436" s="17"/>
      <c r="C436" s="17"/>
      <c r="D436" s="17"/>
      <c r="E436" s="17"/>
      <c r="F436" s="17"/>
      <c r="G436" s="17"/>
      <c r="H436" s="17"/>
    </row>
    <row r="437" spans="1:8" x14ac:dyDescent="0.2">
      <c r="A437" s="17"/>
      <c r="B437" s="17"/>
      <c r="C437" s="17"/>
      <c r="D437" s="17"/>
      <c r="E437" s="17"/>
      <c r="F437" s="17"/>
      <c r="G437" s="17"/>
      <c r="H437" s="17"/>
    </row>
    <row r="438" spans="1:8" x14ac:dyDescent="0.2">
      <c r="A438" s="17"/>
      <c r="B438" s="17"/>
      <c r="C438" s="17"/>
      <c r="D438" s="17"/>
      <c r="E438" s="17"/>
      <c r="F438" s="17"/>
      <c r="G438" s="17"/>
      <c r="H438" s="17"/>
    </row>
    <row r="439" spans="1:8" x14ac:dyDescent="0.2">
      <c r="A439" s="17"/>
      <c r="B439" s="17"/>
      <c r="C439" s="17"/>
      <c r="D439" s="17"/>
      <c r="E439" s="17"/>
      <c r="F439" s="17"/>
      <c r="G439" s="17"/>
      <c r="H439" s="17"/>
    </row>
    <row r="440" spans="1:8" x14ac:dyDescent="0.2">
      <c r="A440" s="17"/>
      <c r="B440" s="17"/>
      <c r="C440" s="17"/>
      <c r="D440" s="17"/>
      <c r="E440" s="17"/>
      <c r="F440" s="17"/>
      <c r="G440" s="17"/>
      <c r="H440" s="17"/>
    </row>
    <row r="441" spans="1:8" x14ac:dyDescent="0.2">
      <c r="A441" s="17"/>
      <c r="B441" s="17"/>
      <c r="C441" s="17"/>
      <c r="D441" s="17"/>
      <c r="E441" s="17"/>
      <c r="F441" s="17"/>
      <c r="G441" s="17"/>
      <c r="H441" s="17"/>
    </row>
    <row r="442" spans="1:8" x14ac:dyDescent="0.2">
      <c r="A442" s="17"/>
      <c r="B442" s="17"/>
      <c r="C442" s="17"/>
      <c r="D442" s="17"/>
      <c r="E442" s="17"/>
      <c r="F442" s="17"/>
      <c r="G442" s="17"/>
      <c r="H442" s="17"/>
    </row>
    <row r="443" spans="1:8" x14ac:dyDescent="0.2">
      <c r="A443" s="17"/>
      <c r="B443" s="17"/>
      <c r="C443" s="17"/>
      <c r="D443" s="17"/>
      <c r="E443" s="17"/>
      <c r="F443" s="17"/>
      <c r="G443" s="17"/>
      <c r="H443" s="17"/>
    </row>
    <row r="444" spans="1:8" x14ac:dyDescent="0.2">
      <c r="A444" s="17"/>
      <c r="B444" s="17"/>
      <c r="C444" s="17"/>
      <c r="D444" s="17"/>
      <c r="E444" s="17"/>
      <c r="F444" s="17"/>
      <c r="G444" s="17"/>
      <c r="H444" s="17"/>
    </row>
    <row r="445" spans="1:8" x14ac:dyDescent="0.2">
      <c r="A445" s="17"/>
      <c r="B445" s="17"/>
      <c r="C445" s="17"/>
      <c r="D445" s="17"/>
      <c r="E445" s="17"/>
      <c r="F445" s="17"/>
      <c r="G445" s="17"/>
      <c r="H445" s="17"/>
    </row>
    <row r="446" spans="1:8" x14ac:dyDescent="0.2">
      <c r="A446" s="17"/>
      <c r="B446" s="17"/>
      <c r="C446" s="17"/>
      <c r="D446" s="17"/>
      <c r="E446" s="17"/>
      <c r="F446" s="17"/>
      <c r="G446" s="17"/>
      <c r="H446" s="17"/>
    </row>
    <row r="447" spans="1:8" x14ac:dyDescent="0.2">
      <c r="A447" s="17"/>
      <c r="B447" s="17"/>
      <c r="C447" s="17"/>
      <c r="D447" s="17"/>
      <c r="E447" s="17"/>
      <c r="F447" s="17"/>
      <c r="G447" s="17"/>
      <c r="H447" s="17"/>
    </row>
    <row r="448" spans="1:8" x14ac:dyDescent="0.2">
      <c r="A448" s="17"/>
      <c r="B448" s="17"/>
      <c r="C448" s="17"/>
      <c r="D448" s="17"/>
      <c r="E448" s="17"/>
      <c r="F448" s="17"/>
      <c r="G448" s="17"/>
      <c r="H448" s="17"/>
    </row>
    <row r="449" spans="1:8" x14ac:dyDescent="0.2">
      <c r="A449" s="17"/>
      <c r="B449" s="17"/>
      <c r="C449" s="17"/>
      <c r="D449" s="17"/>
      <c r="E449" s="17"/>
      <c r="F449" s="17"/>
      <c r="G449" s="17"/>
      <c r="H449" s="17"/>
    </row>
    <row r="450" spans="1:8" x14ac:dyDescent="0.2">
      <c r="A450" s="17"/>
      <c r="B450" s="17"/>
      <c r="C450" s="17"/>
      <c r="D450" s="17"/>
      <c r="E450" s="17"/>
      <c r="F450" s="17"/>
      <c r="G450" s="17"/>
      <c r="H450" s="17"/>
    </row>
    <row r="451" spans="1:8" x14ac:dyDescent="0.2">
      <c r="A451" s="17"/>
      <c r="B451" s="17"/>
      <c r="C451" s="17"/>
      <c r="D451" s="17"/>
      <c r="E451" s="17"/>
      <c r="F451" s="17"/>
      <c r="G451" s="17"/>
      <c r="H451" s="17"/>
    </row>
    <row r="452" spans="1:8" x14ac:dyDescent="0.2">
      <c r="A452" s="17"/>
      <c r="B452" s="17"/>
      <c r="C452" s="17"/>
      <c r="D452" s="17"/>
      <c r="E452" s="17"/>
      <c r="F452" s="17"/>
      <c r="G452" s="17"/>
      <c r="H452" s="17"/>
    </row>
    <row r="453" spans="1:8" x14ac:dyDescent="0.2">
      <c r="A453" s="17"/>
      <c r="B453" s="17"/>
      <c r="C453" s="17"/>
      <c r="D453" s="17"/>
      <c r="E453" s="17"/>
      <c r="F453" s="17"/>
      <c r="G453" s="17"/>
      <c r="H453" s="17"/>
    </row>
    <row r="454" spans="1:8" x14ac:dyDescent="0.2">
      <c r="A454" s="17"/>
      <c r="B454" s="17"/>
      <c r="C454" s="17"/>
      <c r="D454" s="17"/>
      <c r="E454" s="17"/>
      <c r="F454" s="17"/>
      <c r="G454" s="17"/>
      <c r="H454" s="17"/>
    </row>
    <row r="455" spans="1:8" x14ac:dyDescent="0.2">
      <c r="A455" s="17"/>
      <c r="B455" s="17"/>
      <c r="C455" s="17"/>
      <c r="D455" s="17"/>
      <c r="E455" s="17"/>
      <c r="F455" s="17"/>
      <c r="G455" s="17"/>
      <c r="H455" s="17"/>
    </row>
    <row r="456" spans="1:8" x14ac:dyDescent="0.2">
      <c r="A456" s="17"/>
      <c r="B456" s="17"/>
      <c r="C456" s="17"/>
      <c r="D456" s="17"/>
      <c r="E456" s="17"/>
      <c r="F456" s="17"/>
      <c r="G456" s="17"/>
      <c r="H456" s="17"/>
    </row>
    <row r="457" spans="1:8" x14ac:dyDescent="0.2">
      <c r="A457" s="17"/>
      <c r="B457" s="17"/>
      <c r="C457" s="17"/>
      <c r="D457" s="17"/>
      <c r="E457" s="17"/>
      <c r="F457" s="17"/>
      <c r="G457" s="17"/>
      <c r="H457" s="17"/>
    </row>
    <row r="458" spans="1:8" x14ac:dyDescent="0.2">
      <c r="A458" s="17"/>
      <c r="B458" s="17"/>
      <c r="C458" s="17"/>
      <c r="D458" s="17"/>
      <c r="E458" s="17"/>
      <c r="F458" s="17"/>
      <c r="G458" s="17"/>
      <c r="H458" s="17"/>
    </row>
    <row r="459" spans="1:8" x14ac:dyDescent="0.2">
      <c r="A459" s="17"/>
      <c r="B459" s="17"/>
      <c r="C459" s="17"/>
      <c r="D459" s="17"/>
      <c r="E459" s="17"/>
      <c r="F459" s="17"/>
      <c r="G459" s="17"/>
      <c r="H459" s="17"/>
    </row>
    <row r="460" spans="1:8" x14ac:dyDescent="0.2">
      <c r="A460" s="17"/>
      <c r="B460" s="17"/>
      <c r="C460" s="17"/>
      <c r="D460" s="17"/>
      <c r="E460" s="17"/>
      <c r="F460" s="17"/>
      <c r="G460" s="17"/>
      <c r="H460" s="17"/>
    </row>
    <row r="461" spans="1:8" x14ac:dyDescent="0.2">
      <c r="A461" s="17"/>
      <c r="B461" s="17"/>
      <c r="C461" s="17"/>
      <c r="D461" s="17"/>
      <c r="E461" s="17"/>
      <c r="F461" s="17"/>
      <c r="G461" s="17"/>
      <c r="H461" s="17"/>
    </row>
    <row r="462" spans="1:8" x14ac:dyDescent="0.2">
      <c r="A462" s="17"/>
      <c r="B462" s="17"/>
      <c r="C462" s="17"/>
      <c r="D462" s="17"/>
      <c r="E462" s="17"/>
      <c r="F462" s="17"/>
      <c r="G462" s="17"/>
      <c r="H462" s="17"/>
    </row>
    <row r="463" spans="1:8" x14ac:dyDescent="0.2">
      <c r="A463" s="17"/>
      <c r="B463" s="17"/>
      <c r="C463" s="17"/>
      <c r="D463" s="17"/>
      <c r="E463" s="17"/>
      <c r="F463" s="17"/>
      <c r="G463" s="17"/>
      <c r="H463" s="17"/>
    </row>
    <row r="464" spans="1:8" x14ac:dyDescent="0.2">
      <c r="A464" s="17"/>
      <c r="B464" s="17"/>
      <c r="C464" s="17"/>
      <c r="D464" s="17"/>
      <c r="E464" s="17"/>
      <c r="F464" s="17"/>
      <c r="G464" s="17"/>
      <c r="H464" s="17"/>
    </row>
    <row r="465" spans="1:8" x14ac:dyDescent="0.2">
      <c r="A465" s="17"/>
      <c r="B465" s="17"/>
      <c r="C465" s="17"/>
      <c r="D465" s="17"/>
      <c r="E465" s="17"/>
      <c r="F465" s="17"/>
      <c r="G465" s="17"/>
      <c r="H465" s="17"/>
    </row>
    <row r="466" spans="1:8" x14ac:dyDescent="0.2">
      <c r="A466" s="17"/>
      <c r="B466" s="17"/>
      <c r="C466" s="17"/>
      <c r="D466" s="17"/>
      <c r="E466" s="17"/>
      <c r="F466" s="17"/>
      <c r="G466" s="17"/>
      <c r="H466" s="17"/>
    </row>
    <row r="467" spans="1:8" x14ac:dyDescent="0.2">
      <c r="A467" s="17"/>
      <c r="B467" s="17"/>
      <c r="C467" s="17"/>
      <c r="D467" s="17"/>
      <c r="E467" s="17"/>
      <c r="F467" s="17"/>
      <c r="G467" s="17"/>
      <c r="H467" s="17"/>
    </row>
    <row r="468" spans="1:8" x14ac:dyDescent="0.2">
      <c r="A468" s="17"/>
      <c r="B468" s="17"/>
      <c r="C468" s="17"/>
      <c r="D468" s="17"/>
      <c r="E468" s="17"/>
      <c r="F468" s="17"/>
      <c r="G468" s="17"/>
      <c r="H468" s="17"/>
    </row>
    <row r="469" spans="1:8" x14ac:dyDescent="0.2">
      <c r="A469" s="17"/>
      <c r="B469" s="17"/>
      <c r="C469" s="17"/>
      <c r="D469" s="17"/>
      <c r="E469" s="17"/>
      <c r="F469" s="17"/>
      <c r="G469" s="17"/>
      <c r="H469" s="17"/>
    </row>
    <row r="470" spans="1:8" x14ac:dyDescent="0.2">
      <c r="A470" s="17"/>
      <c r="B470" s="17"/>
      <c r="C470" s="17"/>
      <c r="D470" s="17"/>
      <c r="E470" s="17"/>
      <c r="F470" s="17"/>
      <c r="G470" s="17"/>
      <c r="H470" s="17"/>
    </row>
    <row r="471" spans="1:8" x14ac:dyDescent="0.2">
      <c r="A471" s="17"/>
      <c r="B471" s="17"/>
      <c r="C471" s="17"/>
      <c r="D471" s="17"/>
      <c r="E471" s="17"/>
      <c r="F471" s="17"/>
      <c r="G471" s="17"/>
      <c r="H471" s="17"/>
    </row>
    <row r="472" spans="1:8" x14ac:dyDescent="0.2">
      <c r="A472" s="17"/>
      <c r="B472" s="17"/>
      <c r="C472" s="17"/>
      <c r="D472" s="17"/>
      <c r="E472" s="17"/>
      <c r="F472" s="17"/>
      <c r="G472" s="17"/>
      <c r="H472" s="17"/>
    </row>
    <row r="473" spans="1:8" x14ac:dyDescent="0.2">
      <c r="A473" s="17"/>
      <c r="B473" s="17"/>
      <c r="C473" s="17"/>
      <c r="D473" s="17"/>
      <c r="E473" s="17"/>
      <c r="F473" s="17"/>
      <c r="G473" s="17"/>
      <c r="H473" s="17"/>
    </row>
    <row r="474" spans="1:8" x14ac:dyDescent="0.2">
      <c r="A474" s="17"/>
      <c r="B474" s="17"/>
      <c r="C474" s="17"/>
      <c r="D474" s="17"/>
      <c r="E474" s="17"/>
      <c r="F474" s="17"/>
      <c r="G474" s="17"/>
      <c r="H474" s="17"/>
    </row>
    <row r="475" spans="1:8" x14ac:dyDescent="0.2">
      <c r="A475" s="17"/>
      <c r="B475" s="17"/>
      <c r="C475" s="17"/>
      <c r="D475" s="17"/>
      <c r="E475" s="17"/>
      <c r="F475" s="17"/>
      <c r="G475" s="17"/>
      <c r="H475" s="17"/>
    </row>
    <row r="476" spans="1:8" x14ac:dyDescent="0.2">
      <c r="A476" s="17"/>
      <c r="B476" s="17"/>
      <c r="C476" s="17"/>
      <c r="D476" s="17"/>
      <c r="E476" s="17"/>
      <c r="F476" s="17"/>
      <c r="G476" s="17"/>
      <c r="H476" s="17"/>
    </row>
    <row r="477" spans="1:8" x14ac:dyDescent="0.2">
      <c r="A477" s="17"/>
      <c r="B477" s="17"/>
      <c r="C477" s="17"/>
      <c r="D477" s="17"/>
      <c r="E477" s="17"/>
      <c r="F477" s="17"/>
      <c r="G477" s="17"/>
      <c r="H477" s="17"/>
    </row>
    <row r="478" spans="1:8" x14ac:dyDescent="0.2">
      <c r="A478" s="17"/>
      <c r="B478" s="17"/>
      <c r="C478" s="17"/>
      <c r="D478" s="17"/>
      <c r="E478" s="17"/>
      <c r="F478" s="17"/>
      <c r="G478" s="17"/>
      <c r="H478" s="17"/>
    </row>
    <row r="479" spans="1:8" x14ac:dyDescent="0.2">
      <c r="A479" s="17"/>
      <c r="B479" s="17"/>
      <c r="C479" s="17"/>
      <c r="D479" s="17"/>
      <c r="E479" s="17"/>
      <c r="F479" s="17"/>
      <c r="G479" s="17"/>
      <c r="H479" s="17"/>
    </row>
    <row r="480" spans="1:8" x14ac:dyDescent="0.2">
      <c r="A480" s="17"/>
      <c r="B480" s="17"/>
      <c r="C480" s="17"/>
      <c r="D480" s="17"/>
      <c r="E480" s="17"/>
      <c r="F480" s="17"/>
      <c r="G480" s="17"/>
      <c r="H480" s="17"/>
    </row>
    <row r="481" spans="1:8" x14ac:dyDescent="0.2">
      <c r="A481" s="17"/>
      <c r="B481" s="17"/>
      <c r="C481" s="17"/>
      <c r="D481" s="17"/>
      <c r="E481" s="17"/>
      <c r="F481" s="17"/>
      <c r="G481" s="17"/>
      <c r="H481" s="17"/>
    </row>
    <row r="482" spans="1:8" x14ac:dyDescent="0.2">
      <c r="A482" s="17"/>
      <c r="B482" s="17"/>
      <c r="C482" s="17"/>
      <c r="D482" s="17"/>
      <c r="E482" s="17"/>
      <c r="F482" s="17"/>
      <c r="G482" s="17"/>
      <c r="H482" s="17"/>
    </row>
    <row r="483" spans="1:8" x14ac:dyDescent="0.2">
      <c r="A483" s="17"/>
      <c r="B483" s="17"/>
      <c r="C483" s="17"/>
      <c r="D483" s="17"/>
      <c r="E483" s="17"/>
      <c r="F483" s="17"/>
      <c r="G483" s="17"/>
      <c r="H483" s="17"/>
    </row>
    <row r="484" spans="1:8" x14ac:dyDescent="0.2">
      <c r="A484" s="17"/>
      <c r="B484" s="17"/>
      <c r="C484" s="17"/>
      <c r="D484" s="17"/>
      <c r="E484" s="17"/>
      <c r="F484" s="17"/>
      <c r="G484" s="17"/>
      <c r="H484" s="17"/>
    </row>
    <row r="485" spans="1:8" x14ac:dyDescent="0.2">
      <c r="A485" s="17"/>
      <c r="B485" s="17"/>
      <c r="C485" s="17"/>
      <c r="D485" s="17"/>
      <c r="E485" s="17"/>
      <c r="F485" s="17"/>
      <c r="G485" s="17"/>
      <c r="H485" s="17"/>
    </row>
    <row r="486" spans="1:8" x14ac:dyDescent="0.2">
      <c r="A486" s="17"/>
      <c r="B486" s="17"/>
      <c r="C486" s="17"/>
      <c r="D486" s="17"/>
      <c r="E486" s="17"/>
      <c r="F486" s="17"/>
      <c r="G486" s="17"/>
      <c r="H486" s="17"/>
    </row>
    <row r="487" spans="1:8" x14ac:dyDescent="0.2">
      <c r="A487" s="17"/>
      <c r="B487" s="17"/>
      <c r="C487" s="17"/>
      <c r="D487" s="17"/>
      <c r="E487" s="17"/>
      <c r="F487" s="17"/>
      <c r="G487" s="17"/>
      <c r="H487" s="17"/>
    </row>
    <row r="488" spans="1:8" x14ac:dyDescent="0.2">
      <c r="A488" s="17"/>
      <c r="B488" s="17"/>
      <c r="C488" s="17"/>
      <c r="D488" s="17"/>
      <c r="E488" s="17"/>
      <c r="F488" s="17"/>
      <c r="G488" s="17"/>
      <c r="H488" s="17"/>
    </row>
    <row r="489" spans="1:8" x14ac:dyDescent="0.2">
      <c r="A489" s="17"/>
      <c r="B489" s="17"/>
      <c r="C489" s="17"/>
      <c r="D489" s="17"/>
      <c r="E489" s="17"/>
      <c r="F489" s="17"/>
      <c r="G489" s="17"/>
      <c r="H489" s="17"/>
    </row>
    <row r="490" spans="1:8" x14ac:dyDescent="0.2">
      <c r="A490" s="17"/>
      <c r="B490" s="17"/>
      <c r="C490" s="17"/>
      <c r="D490" s="17"/>
      <c r="E490" s="17"/>
      <c r="F490" s="17"/>
      <c r="G490" s="17"/>
      <c r="H490" s="17"/>
    </row>
    <row r="491" spans="1:8" x14ac:dyDescent="0.2">
      <c r="A491" s="17"/>
      <c r="B491" s="17"/>
      <c r="C491" s="17"/>
      <c r="D491" s="17"/>
      <c r="E491" s="17"/>
      <c r="F491" s="17"/>
      <c r="G491" s="17"/>
      <c r="H491" s="17"/>
    </row>
    <row r="492" spans="1:8" x14ac:dyDescent="0.2">
      <c r="A492" s="17"/>
      <c r="B492" s="17"/>
      <c r="C492" s="17"/>
      <c r="D492" s="17"/>
      <c r="E492" s="17"/>
      <c r="F492" s="17"/>
      <c r="G492" s="17"/>
      <c r="H492" s="17"/>
    </row>
    <row r="493" spans="1:8" x14ac:dyDescent="0.2">
      <c r="A493" s="17"/>
      <c r="B493" s="17"/>
      <c r="C493" s="17"/>
      <c r="D493" s="17"/>
      <c r="E493" s="17"/>
      <c r="F493" s="17"/>
      <c r="G493" s="17"/>
      <c r="H493" s="17"/>
    </row>
    <row r="494" spans="1:8" x14ac:dyDescent="0.2">
      <c r="A494" s="17"/>
      <c r="B494" s="17"/>
      <c r="C494" s="17"/>
      <c r="D494" s="17"/>
      <c r="E494" s="17"/>
      <c r="F494" s="17"/>
      <c r="G494" s="17"/>
      <c r="H494" s="17"/>
    </row>
    <row r="495" spans="1:8" x14ac:dyDescent="0.2">
      <c r="A495" s="17"/>
      <c r="B495" s="17"/>
      <c r="C495" s="17"/>
      <c r="D495" s="17"/>
      <c r="E495" s="17"/>
      <c r="F495" s="17"/>
      <c r="G495" s="17"/>
      <c r="H495" s="17"/>
    </row>
    <row r="496" spans="1:8" x14ac:dyDescent="0.2">
      <c r="A496" s="17"/>
      <c r="B496" s="17"/>
      <c r="C496" s="17"/>
      <c r="D496" s="17"/>
      <c r="E496" s="17"/>
      <c r="F496" s="17"/>
      <c r="G496" s="17"/>
      <c r="H496" s="17"/>
    </row>
    <row r="497" spans="1:8" x14ac:dyDescent="0.2">
      <c r="A497" s="17"/>
      <c r="B497" s="17"/>
      <c r="C497" s="17"/>
      <c r="D497" s="17"/>
      <c r="E497" s="17"/>
      <c r="F497" s="17"/>
      <c r="G497" s="17"/>
      <c r="H497" s="17"/>
    </row>
    <row r="498" spans="1:8" x14ac:dyDescent="0.2">
      <c r="A498" s="17"/>
      <c r="B498" s="17"/>
      <c r="C498" s="17"/>
      <c r="D498" s="17"/>
      <c r="E498" s="17"/>
      <c r="F498" s="17"/>
      <c r="G498" s="17"/>
      <c r="H498" s="17"/>
    </row>
    <row r="499" spans="1:8" x14ac:dyDescent="0.2">
      <c r="A499" s="17"/>
      <c r="B499" s="17"/>
      <c r="C499" s="17"/>
      <c r="D499" s="17"/>
      <c r="E499" s="17"/>
      <c r="F499" s="17"/>
      <c r="G499" s="17"/>
      <c r="H499" s="17"/>
    </row>
    <row r="500" spans="1:8" x14ac:dyDescent="0.2">
      <c r="A500" s="17"/>
      <c r="B500" s="17"/>
      <c r="C500" s="17"/>
      <c r="D500" s="17"/>
      <c r="E500" s="17"/>
      <c r="F500" s="17"/>
      <c r="G500" s="17"/>
      <c r="H500" s="17"/>
    </row>
    <row r="501" spans="1:8" x14ac:dyDescent="0.2">
      <c r="A501" s="17"/>
      <c r="B501" s="17"/>
      <c r="C501" s="17"/>
      <c r="D501" s="17"/>
      <c r="E501" s="17"/>
      <c r="F501" s="17"/>
      <c r="G501" s="17"/>
      <c r="H501" s="17"/>
    </row>
    <row r="502" spans="1:8" x14ac:dyDescent="0.2">
      <c r="A502" s="17"/>
      <c r="B502" s="17"/>
      <c r="C502" s="17"/>
      <c r="D502" s="17"/>
      <c r="E502" s="17"/>
      <c r="F502" s="17"/>
      <c r="G502" s="17"/>
      <c r="H502" s="17"/>
    </row>
    <row r="503" spans="1:8" x14ac:dyDescent="0.2">
      <c r="A503" s="17"/>
      <c r="B503" s="17"/>
      <c r="C503" s="17"/>
      <c r="D503" s="17"/>
      <c r="E503" s="17"/>
      <c r="F503" s="17"/>
      <c r="G503" s="17"/>
      <c r="H503" s="17"/>
    </row>
    <row r="504" spans="1:8" x14ac:dyDescent="0.2">
      <c r="A504" s="17"/>
      <c r="B504" s="17"/>
      <c r="C504" s="17"/>
      <c r="D504" s="17"/>
      <c r="E504" s="17"/>
      <c r="F504" s="17"/>
      <c r="G504" s="17"/>
      <c r="H504" s="17"/>
    </row>
    <row r="505" spans="1:8" x14ac:dyDescent="0.2">
      <c r="A505" s="17"/>
      <c r="B505" s="17"/>
      <c r="C505" s="17"/>
      <c r="D505" s="17"/>
      <c r="E505" s="17"/>
      <c r="F505" s="17"/>
      <c r="G505" s="17"/>
      <c r="H505" s="17"/>
    </row>
    <row r="506" spans="1:8" x14ac:dyDescent="0.2">
      <c r="A506" s="17"/>
      <c r="B506" s="17"/>
      <c r="C506" s="17"/>
      <c r="D506" s="17"/>
      <c r="E506" s="17"/>
      <c r="F506" s="17"/>
      <c r="G506" s="17"/>
      <c r="H506" s="17"/>
    </row>
    <row r="507" spans="1:8" x14ac:dyDescent="0.2">
      <c r="A507" s="17"/>
      <c r="B507" s="17"/>
      <c r="C507" s="17"/>
      <c r="D507" s="17"/>
      <c r="E507" s="17"/>
      <c r="F507" s="17"/>
      <c r="G507" s="17"/>
      <c r="H507" s="17"/>
    </row>
    <row r="508" spans="1:8" x14ac:dyDescent="0.2">
      <c r="A508" s="17"/>
      <c r="B508" s="17"/>
      <c r="C508" s="17"/>
      <c r="D508" s="17"/>
      <c r="E508" s="17"/>
      <c r="F508" s="17"/>
      <c r="G508" s="17"/>
      <c r="H508" s="17"/>
    </row>
    <row r="509" spans="1:8" x14ac:dyDescent="0.2">
      <c r="A509" s="17"/>
      <c r="B509" s="17"/>
      <c r="C509" s="17"/>
      <c r="D509" s="17"/>
      <c r="E509" s="17"/>
      <c r="F509" s="17"/>
      <c r="G509" s="17"/>
      <c r="H509" s="17"/>
    </row>
    <row r="510" spans="1:8" x14ac:dyDescent="0.2">
      <c r="A510" s="17"/>
      <c r="B510" s="17"/>
      <c r="C510" s="17"/>
      <c r="D510" s="17"/>
      <c r="E510" s="17"/>
      <c r="F510" s="17"/>
      <c r="G510" s="17"/>
      <c r="H510" s="17"/>
    </row>
    <row r="511" spans="1:8" x14ac:dyDescent="0.2">
      <c r="A511" s="17"/>
      <c r="B511" s="17"/>
      <c r="C511" s="17"/>
      <c r="D511" s="17"/>
      <c r="E511" s="17"/>
      <c r="F511" s="17"/>
      <c r="G511" s="17"/>
      <c r="H511" s="17"/>
    </row>
    <row r="512" spans="1:8" x14ac:dyDescent="0.2">
      <c r="A512" s="17"/>
      <c r="B512" s="17"/>
      <c r="C512" s="17"/>
      <c r="D512" s="17"/>
      <c r="E512" s="17"/>
      <c r="F512" s="17"/>
      <c r="G512" s="17"/>
      <c r="H512" s="17"/>
    </row>
    <row r="513" spans="1:8" x14ac:dyDescent="0.2">
      <c r="A513" s="17"/>
      <c r="B513" s="17"/>
      <c r="C513" s="17"/>
      <c r="D513" s="17"/>
      <c r="E513" s="17"/>
      <c r="F513" s="17"/>
      <c r="G513" s="17"/>
      <c r="H513" s="17"/>
    </row>
    <row r="514" spans="1:8" x14ac:dyDescent="0.2">
      <c r="A514" s="17"/>
      <c r="B514" s="17"/>
      <c r="C514" s="17"/>
      <c r="D514" s="17"/>
      <c r="E514" s="17"/>
      <c r="F514" s="17"/>
      <c r="G514" s="17"/>
      <c r="H514" s="17"/>
    </row>
    <row r="515" spans="1:8" x14ac:dyDescent="0.2">
      <c r="A515" s="17"/>
      <c r="B515" s="17"/>
      <c r="C515" s="17"/>
      <c r="D515" s="17"/>
      <c r="E515" s="17"/>
      <c r="F515" s="17"/>
      <c r="G515" s="17"/>
      <c r="H515" s="17"/>
    </row>
    <row r="516" spans="1:8" x14ac:dyDescent="0.2">
      <c r="A516" s="17"/>
      <c r="B516" s="17"/>
      <c r="C516" s="17"/>
      <c r="D516" s="17"/>
      <c r="E516" s="17"/>
      <c r="F516" s="17"/>
      <c r="G516" s="17"/>
      <c r="H516" s="17"/>
    </row>
    <row r="517" spans="1:8" x14ac:dyDescent="0.2">
      <c r="A517" s="17"/>
      <c r="B517" s="17"/>
      <c r="C517" s="17"/>
      <c r="D517" s="17"/>
      <c r="E517" s="17"/>
      <c r="F517" s="17"/>
      <c r="G517" s="17"/>
      <c r="H517" s="17"/>
    </row>
    <row r="518" spans="1:8" x14ac:dyDescent="0.2">
      <c r="A518" s="17"/>
      <c r="B518" s="17"/>
      <c r="C518" s="17"/>
      <c r="D518" s="17"/>
      <c r="E518" s="17"/>
      <c r="F518" s="17"/>
      <c r="G518" s="17"/>
      <c r="H518" s="17"/>
    </row>
    <row r="519" spans="1:8" x14ac:dyDescent="0.2">
      <c r="A519" s="17"/>
      <c r="B519" s="17"/>
      <c r="C519" s="17"/>
      <c r="D519" s="17"/>
      <c r="E519" s="17"/>
      <c r="F519" s="17"/>
      <c r="G519" s="17"/>
      <c r="H519" s="17"/>
    </row>
    <row r="520" spans="1:8" x14ac:dyDescent="0.2">
      <c r="A520" s="17"/>
      <c r="B520" s="17"/>
      <c r="C520" s="17"/>
      <c r="D520" s="17"/>
      <c r="E520" s="17"/>
      <c r="F520" s="17"/>
      <c r="G520" s="17"/>
      <c r="H520" s="17"/>
    </row>
    <row r="521" spans="1:8" x14ac:dyDescent="0.2">
      <c r="A521" s="17"/>
      <c r="B521" s="17"/>
      <c r="C521" s="17"/>
      <c r="D521" s="17"/>
      <c r="E521" s="17"/>
      <c r="F521" s="17"/>
      <c r="G521" s="17"/>
      <c r="H521" s="17"/>
    </row>
    <row r="522" spans="1:8" x14ac:dyDescent="0.2">
      <c r="A522" s="17"/>
      <c r="B522" s="17"/>
      <c r="C522" s="17"/>
      <c r="D522" s="17"/>
      <c r="E522" s="17"/>
      <c r="F522" s="17"/>
      <c r="G522" s="17"/>
      <c r="H522" s="17"/>
    </row>
    <row r="523" spans="1:8" x14ac:dyDescent="0.2">
      <c r="A523" s="17"/>
      <c r="B523" s="17"/>
      <c r="C523" s="17"/>
      <c r="D523" s="17"/>
      <c r="E523" s="17"/>
      <c r="F523" s="17"/>
      <c r="G523" s="17"/>
      <c r="H523" s="17"/>
    </row>
    <row r="524" spans="1:8" x14ac:dyDescent="0.2">
      <c r="A524" s="17"/>
      <c r="B524" s="17"/>
      <c r="C524" s="17"/>
      <c r="D524" s="17"/>
      <c r="E524" s="17"/>
      <c r="F524" s="17"/>
      <c r="G524" s="17"/>
      <c r="H524" s="17"/>
    </row>
    <row r="525" spans="1:8" x14ac:dyDescent="0.2">
      <c r="A525" s="17"/>
      <c r="B525" s="17"/>
      <c r="C525" s="17"/>
      <c r="D525" s="17"/>
      <c r="E525" s="17"/>
      <c r="F525" s="17"/>
      <c r="G525" s="17"/>
      <c r="H525" s="17"/>
    </row>
    <row r="526" spans="1:8" x14ac:dyDescent="0.2">
      <c r="A526" s="17"/>
      <c r="B526" s="17"/>
      <c r="C526" s="17"/>
      <c r="D526" s="17"/>
      <c r="E526" s="17"/>
      <c r="F526" s="17"/>
      <c r="G526" s="17"/>
      <c r="H526" s="17"/>
    </row>
    <row r="527" spans="1:8" x14ac:dyDescent="0.2">
      <c r="A527" s="17"/>
      <c r="B527" s="17"/>
      <c r="C527" s="17"/>
      <c r="D527" s="17"/>
      <c r="E527" s="17"/>
      <c r="F527" s="17"/>
      <c r="G527" s="17"/>
      <c r="H527" s="17"/>
    </row>
    <row r="528" spans="1:8" x14ac:dyDescent="0.2">
      <c r="A528" s="17"/>
      <c r="B528" s="17"/>
      <c r="C528" s="17"/>
      <c r="D528" s="17"/>
      <c r="E528" s="17"/>
      <c r="F528" s="17"/>
      <c r="G528" s="17"/>
      <c r="H528" s="17"/>
    </row>
    <row r="529" spans="1:8" x14ac:dyDescent="0.2">
      <c r="A529" s="17"/>
      <c r="B529" s="17"/>
      <c r="C529" s="17"/>
      <c r="D529" s="17"/>
      <c r="E529" s="17"/>
      <c r="F529" s="17"/>
      <c r="G529" s="17"/>
      <c r="H529" s="17"/>
    </row>
    <row r="530" spans="1:8" x14ac:dyDescent="0.2">
      <c r="A530" s="17"/>
      <c r="B530" s="17"/>
      <c r="C530" s="17"/>
      <c r="D530" s="17"/>
      <c r="E530" s="17"/>
      <c r="F530" s="17"/>
      <c r="G530" s="17"/>
      <c r="H530" s="17"/>
    </row>
    <row r="531" spans="1:8" x14ac:dyDescent="0.2">
      <c r="A531" s="17"/>
      <c r="B531" s="17"/>
      <c r="C531" s="17"/>
      <c r="D531" s="17"/>
      <c r="E531" s="17"/>
      <c r="F531" s="17"/>
      <c r="G531" s="17"/>
      <c r="H531" s="17"/>
    </row>
    <row r="532" spans="1:8" x14ac:dyDescent="0.2">
      <c r="A532" s="17"/>
      <c r="B532" s="17"/>
      <c r="C532" s="17"/>
      <c r="D532" s="17"/>
      <c r="E532" s="17"/>
      <c r="F532" s="17"/>
      <c r="G532" s="17"/>
      <c r="H532" s="17"/>
    </row>
    <row r="533" spans="1:8" x14ac:dyDescent="0.2">
      <c r="A533" s="17"/>
      <c r="B533" s="17"/>
      <c r="C533" s="17"/>
      <c r="D533" s="17"/>
      <c r="E533" s="17"/>
      <c r="F533" s="17"/>
      <c r="G533" s="17"/>
      <c r="H533" s="17"/>
    </row>
    <row r="534" spans="1:8" x14ac:dyDescent="0.2">
      <c r="A534" s="17"/>
      <c r="B534" s="17"/>
      <c r="C534" s="17"/>
      <c r="D534" s="17"/>
      <c r="E534" s="17"/>
      <c r="F534" s="17"/>
      <c r="G534" s="17"/>
      <c r="H534" s="17"/>
    </row>
    <row r="535" spans="1:8" x14ac:dyDescent="0.2">
      <c r="A535" s="17"/>
      <c r="B535" s="17"/>
      <c r="C535" s="17"/>
      <c r="D535" s="17"/>
      <c r="E535" s="17"/>
      <c r="F535" s="17"/>
      <c r="G535" s="17"/>
      <c r="H535" s="17"/>
    </row>
    <row r="536" spans="1:8" x14ac:dyDescent="0.2">
      <c r="A536" s="17"/>
      <c r="B536" s="17"/>
      <c r="C536" s="17"/>
      <c r="D536" s="17"/>
      <c r="E536" s="17"/>
      <c r="F536" s="17"/>
      <c r="G536" s="17"/>
      <c r="H536" s="17"/>
    </row>
    <row r="537" spans="1:8" x14ac:dyDescent="0.2">
      <c r="A537" s="17"/>
      <c r="B537" s="17"/>
      <c r="C537" s="17"/>
      <c r="D537" s="17"/>
      <c r="E537" s="17"/>
      <c r="F537" s="17"/>
      <c r="G537" s="17"/>
      <c r="H537" s="17"/>
    </row>
    <row r="538" spans="1:8" x14ac:dyDescent="0.2">
      <c r="A538" s="17"/>
      <c r="B538" s="17"/>
      <c r="C538" s="17"/>
      <c r="D538" s="17"/>
      <c r="E538" s="17"/>
      <c r="F538" s="17"/>
      <c r="G538" s="17"/>
      <c r="H538" s="17"/>
    </row>
    <row r="539" spans="1:8" x14ac:dyDescent="0.2">
      <c r="A539" s="17"/>
      <c r="B539" s="17"/>
      <c r="C539" s="17"/>
      <c r="D539" s="17"/>
      <c r="E539" s="17"/>
      <c r="F539" s="17"/>
      <c r="G539" s="17"/>
      <c r="H539" s="17"/>
    </row>
    <row r="540" spans="1:8" x14ac:dyDescent="0.2">
      <c r="A540" s="17"/>
      <c r="B540" s="17"/>
      <c r="C540" s="17"/>
      <c r="D540" s="17"/>
      <c r="E540" s="17"/>
      <c r="F540" s="17"/>
      <c r="G540" s="17"/>
      <c r="H540" s="17"/>
    </row>
    <row r="541" spans="1:8" x14ac:dyDescent="0.2">
      <c r="A541" s="17"/>
      <c r="B541" s="17"/>
      <c r="C541" s="17"/>
      <c r="D541" s="17"/>
      <c r="E541" s="17"/>
      <c r="F541" s="17"/>
      <c r="G541" s="17"/>
      <c r="H541" s="17"/>
    </row>
    <row r="542" spans="1:8" x14ac:dyDescent="0.2">
      <c r="A542" s="17"/>
      <c r="B542" s="17"/>
      <c r="C542" s="17"/>
      <c r="D542" s="17"/>
      <c r="E542" s="17"/>
      <c r="F542" s="17"/>
      <c r="G542" s="17"/>
      <c r="H542" s="17"/>
    </row>
    <row r="543" spans="1:8" x14ac:dyDescent="0.2">
      <c r="A543" s="17"/>
      <c r="B543" s="17"/>
      <c r="C543" s="17"/>
      <c r="D543" s="17"/>
      <c r="E543" s="17"/>
      <c r="F543" s="17"/>
      <c r="G543" s="17"/>
      <c r="H543" s="17"/>
    </row>
    <row r="544" spans="1:8" x14ac:dyDescent="0.2">
      <c r="A544" s="17"/>
      <c r="B544" s="17"/>
      <c r="C544" s="17"/>
      <c r="D544" s="17"/>
      <c r="E544" s="17"/>
      <c r="F544" s="17"/>
      <c r="G544" s="17"/>
      <c r="H544" s="17"/>
    </row>
    <row r="545" spans="1:8" x14ac:dyDescent="0.2">
      <c r="A545" s="17"/>
      <c r="B545" s="17"/>
      <c r="C545" s="17"/>
      <c r="D545" s="17"/>
      <c r="E545" s="17"/>
      <c r="F545" s="17"/>
      <c r="G545" s="17"/>
      <c r="H545" s="17"/>
    </row>
    <row r="546" spans="1:8" x14ac:dyDescent="0.2">
      <c r="A546" s="17"/>
      <c r="B546" s="17"/>
      <c r="C546" s="17"/>
      <c r="D546" s="17"/>
      <c r="E546" s="17"/>
      <c r="F546" s="17"/>
      <c r="G546" s="17"/>
      <c r="H546" s="17"/>
    </row>
    <row r="547" spans="1:8" x14ac:dyDescent="0.2">
      <c r="A547" s="17"/>
      <c r="B547" s="17"/>
      <c r="C547" s="17"/>
      <c r="D547" s="17"/>
      <c r="E547" s="17"/>
      <c r="F547" s="17"/>
      <c r="G547" s="17"/>
      <c r="H547" s="17"/>
    </row>
    <row r="548" spans="1:8" x14ac:dyDescent="0.2">
      <c r="A548" s="17"/>
      <c r="B548" s="17"/>
      <c r="C548" s="17"/>
      <c r="D548" s="17"/>
      <c r="E548" s="17"/>
      <c r="F548" s="17"/>
      <c r="G548" s="17"/>
      <c r="H548" s="17"/>
    </row>
    <row r="549" spans="1:8" x14ac:dyDescent="0.2">
      <c r="A549" s="17"/>
      <c r="B549" s="17"/>
      <c r="C549" s="17"/>
      <c r="D549" s="17"/>
      <c r="E549" s="17"/>
      <c r="F549" s="17"/>
      <c r="G549" s="17"/>
      <c r="H549" s="17"/>
    </row>
    <row r="550" spans="1:8" x14ac:dyDescent="0.2">
      <c r="A550" s="17"/>
      <c r="B550" s="17"/>
      <c r="C550" s="17"/>
      <c r="D550" s="17"/>
      <c r="E550" s="17"/>
      <c r="F550" s="17"/>
      <c r="G550" s="17"/>
      <c r="H550" s="17"/>
    </row>
    <row r="551" spans="1:8" x14ac:dyDescent="0.2">
      <c r="A551" s="17"/>
      <c r="B551" s="17"/>
      <c r="C551" s="17"/>
      <c r="D551" s="17"/>
      <c r="E551" s="17"/>
      <c r="F551" s="17"/>
      <c r="G551" s="17"/>
      <c r="H551" s="17"/>
    </row>
    <row r="552" spans="1:8" x14ac:dyDescent="0.2">
      <c r="A552" s="17"/>
      <c r="B552" s="17"/>
      <c r="C552" s="17"/>
      <c r="D552" s="17"/>
      <c r="E552" s="17"/>
      <c r="F552" s="17"/>
      <c r="G552" s="17"/>
      <c r="H552" s="17"/>
    </row>
    <row r="553" spans="1:8" x14ac:dyDescent="0.2">
      <c r="A553" s="17"/>
      <c r="B553" s="17"/>
      <c r="C553" s="17"/>
      <c r="D553" s="17"/>
      <c r="E553" s="17"/>
      <c r="F553" s="17"/>
      <c r="G553" s="17"/>
      <c r="H553" s="17"/>
    </row>
    <row r="554" spans="1:8" x14ac:dyDescent="0.2">
      <c r="A554" s="17"/>
      <c r="B554" s="17"/>
      <c r="C554" s="17"/>
      <c r="D554" s="17"/>
      <c r="E554" s="17"/>
      <c r="F554" s="17"/>
      <c r="G554" s="17"/>
      <c r="H554" s="17"/>
    </row>
    <row r="555" spans="1:8" x14ac:dyDescent="0.2">
      <c r="A555" s="17"/>
      <c r="B555" s="17"/>
      <c r="C555" s="17"/>
      <c r="D555" s="17"/>
      <c r="E555" s="17"/>
      <c r="F555" s="17"/>
      <c r="G555" s="17"/>
      <c r="H555" s="17"/>
    </row>
    <row r="556" spans="1:8" x14ac:dyDescent="0.2">
      <c r="A556" s="17"/>
      <c r="B556" s="17"/>
      <c r="C556" s="17"/>
      <c r="D556" s="17"/>
      <c r="E556" s="17"/>
      <c r="F556" s="17"/>
      <c r="G556" s="17"/>
      <c r="H556" s="17"/>
    </row>
    <row r="557" spans="1:8" x14ac:dyDescent="0.2">
      <c r="A557" s="17"/>
      <c r="B557" s="17"/>
      <c r="C557" s="17"/>
      <c r="D557" s="17"/>
      <c r="E557" s="17"/>
      <c r="F557" s="17"/>
      <c r="G557" s="17"/>
      <c r="H557" s="17"/>
    </row>
    <row r="558" spans="1:8" x14ac:dyDescent="0.2">
      <c r="A558" s="17"/>
      <c r="B558" s="17"/>
      <c r="C558" s="17"/>
      <c r="D558" s="17"/>
      <c r="E558" s="17"/>
      <c r="F558" s="17"/>
      <c r="G558" s="17"/>
      <c r="H558" s="17"/>
    </row>
    <row r="559" spans="1:8" x14ac:dyDescent="0.2">
      <c r="A559" s="17"/>
      <c r="B559" s="17"/>
      <c r="C559" s="17"/>
      <c r="D559" s="17"/>
      <c r="E559" s="17"/>
      <c r="F559" s="17"/>
      <c r="G559" s="17"/>
      <c r="H559" s="17"/>
    </row>
    <row r="560" spans="1:8" x14ac:dyDescent="0.2">
      <c r="A560" s="17"/>
      <c r="B560" s="17"/>
      <c r="C560" s="17"/>
      <c r="D560" s="17"/>
      <c r="E560" s="17"/>
      <c r="F560" s="17"/>
      <c r="G560" s="17"/>
      <c r="H560" s="17"/>
    </row>
    <row r="561" spans="1:8" x14ac:dyDescent="0.2">
      <c r="A561" s="17"/>
      <c r="B561" s="17"/>
      <c r="C561" s="17"/>
      <c r="D561" s="17"/>
      <c r="E561" s="17"/>
      <c r="F561" s="17"/>
      <c r="G561" s="17"/>
      <c r="H561" s="17"/>
    </row>
    <row r="562" spans="1:8" x14ac:dyDescent="0.2">
      <c r="A562" s="17"/>
      <c r="B562" s="17"/>
      <c r="C562" s="17"/>
      <c r="D562" s="17"/>
      <c r="E562" s="17"/>
      <c r="F562" s="17"/>
      <c r="G562" s="17"/>
      <c r="H562" s="17"/>
    </row>
    <row r="563" spans="1:8" x14ac:dyDescent="0.2">
      <c r="A563" s="17"/>
      <c r="B563" s="17"/>
      <c r="C563" s="17"/>
      <c r="D563" s="17"/>
      <c r="E563" s="17"/>
      <c r="F563" s="17"/>
      <c r="G563" s="17"/>
      <c r="H563" s="17"/>
    </row>
    <row r="564" spans="1:8" x14ac:dyDescent="0.2">
      <c r="A564" s="17"/>
      <c r="B564" s="17"/>
      <c r="C564" s="17"/>
      <c r="D564" s="17"/>
      <c r="E564" s="17"/>
      <c r="F564" s="17"/>
      <c r="G564" s="17"/>
      <c r="H564" s="17"/>
    </row>
    <row r="565" spans="1:8" x14ac:dyDescent="0.2">
      <c r="A565" s="17"/>
      <c r="B565" s="17"/>
      <c r="C565" s="17"/>
      <c r="D565" s="17"/>
      <c r="E565" s="17"/>
      <c r="F565" s="17"/>
      <c r="G565" s="17"/>
      <c r="H565" s="17"/>
    </row>
    <row r="566" spans="1:8" x14ac:dyDescent="0.2">
      <c r="A566" s="17"/>
      <c r="B566" s="17"/>
      <c r="C566" s="17"/>
      <c r="D566" s="17"/>
      <c r="E566" s="17"/>
      <c r="F566" s="17"/>
      <c r="G566" s="17"/>
      <c r="H566" s="17"/>
    </row>
    <row r="567" spans="1:8" x14ac:dyDescent="0.2">
      <c r="A567" s="17"/>
      <c r="B567" s="17"/>
      <c r="C567" s="17"/>
      <c r="D567" s="17"/>
      <c r="E567" s="17"/>
      <c r="F567" s="17"/>
      <c r="G567" s="17"/>
      <c r="H567" s="17"/>
    </row>
    <row r="568" spans="1:8" x14ac:dyDescent="0.2">
      <c r="A568" s="17"/>
      <c r="B568" s="17"/>
      <c r="C568" s="17"/>
      <c r="D568" s="17"/>
      <c r="E568" s="17"/>
      <c r="F568" s="17"/>
      <c r="G568" s="17"/>
      <c r="H568" s="17"/>
    </row>
    <row r="569" spans="1:8" x14ac:dyDescent="0.2">
      <c r="A569" s="17"/>
      <c r="B569" s="17"/>
      <c r="C569" s="17"/>
      <c r="D569" s="17"/>
      <c r="E569" s="17"/>
      <c r="F569" s="17"/>
      <c r="G569" s="17"/>
      <c r="H569" s="17"/>
    </row>
    <row r="570" spans="1:8" x14ac:dyDescent="0.2">
      <c r="A570" s="17"/>
      <c r="B570" s="17"/>
      <c r="C570" s="17"/>
      <c r="D570" s="17"/>
      <c r="E570" s="17"/>
      <c r="F570" s="17"/>
      <c r="G570" s="17"/>
      <c r="H570" s="17"/>
    </row>
    <row r="571" spans="1:8" x14ac:dyDescent="0.2">
      <c r="A571" s="17"/>
      <c r="B571" s="17"/>
      <c r="C571" s="17"/>
      <c r="D571" s="17"/>
      <c r="E571" s="17"/>
      <c r="F571" s="17"/>
      <c r="G571" s="17"/>
      <c r="H571" s="17"/>
    </row>
    <row r="572" spans="1:8" x14ac:dyDescent="0.2">
      <c r="A572" s="17"/>
      <c r="B572" s="17"/>
      <c r="C572" s="17"/>
      <c r="D572" s="17"/>
      <c r="E572" s="17"/>
      <c r="F572" s="17"/>
      <c r="G572" s="17"/>
      <c r="H572" s="17"/>
    </row>
    <row r="573" spans="1:8" x14ac:dyDescent="0.2">
      <c r="A573" s="17"/>
      <c r="B573" s="17"/>
      <c r="C573" s="17"/>
      <c r="D573" s="17"/>
      <c r="E573" s="17"/>
      <c r="F573" s="17"/>
      <c r="G573" s="17"/>
      <c r="H573" s="17"/>
    </row>
    <row r="574" spans="1:8" x14ac:dyDescent="0.2">
      <c r="A574" s="17"/>
      <c r="B574" s="17"/>
      <c r="C574" s="17"/>
      <c r="D574" s="17"/>
      <c r="E574" s="17"/>
      <c r="F574" s="17"/>
      <c r="G574" s="17"/>
      <c r="H574" s="17"/>
    </row>
    <row r="575" spans="1:8" x14ac:dyDescent="0.2">
      <c r="A575" s="17"/>
      <c r="B575" s="17"/>
      <c r="C575" s="17"/>
      <c r="D575" s="17"/>
      <c r="E575" s="17"/>
      <c r="F575" s="17"/>
      <c r="G575" s="17"/>
      <c r="H575" s="17"/>
    </row>
    <row r="576" spans="1:8" x14ac:dyDescent="0.2">
      <c r="A576" s="17"/>
      <c r="B576" s="17"/>
      <c r="C576" s="17"/>
      <c r="D576" s="17"/>
      <c r="E576" s="17"/>
      <c r="F576" s="17"/>
      <c r="G576" s="17"/>
      <c r="H576" s="17"/>
    </row>
    <row r="577" spans="1:8" x14ac:dyDescent="0.2">
      <c r="A577" s="17"/>
      <c r="B577" s="17"/>
      <c r="C577" s="17"/>
      <c r="D577" s="17"/>
      <c r="E577" s="17"/>
      <c r="F577" s="17"/>
      <c r="G577" s="17"/>
      <c r="H577" s="17"/>
    </row>
    <row r="578" spans="1:8" x14ac:dyDescent="0.2">
      <c r="A578" s="17"/>
      <c r="B578" s="17"/>
      <c r="C578" s="17"/>
      <c r="D578" s="17"/>
      <c r="E578" s="17"/>
      <c r="F578" s="17"/>
      <c r="G578" s="17"/>
      <c r="H578" s="17"/>
    </row>
    <row r="579" spans="1:8" x14ac:dyDescent="0.2">
      <c r="A579" s="17"/>
      <c r="B579" s="17"/>
      <c r="C579" s="17"/>
      <c r="D579" s="17"/>
      <c r="E579" s="17"/>
      <c r="F579" s="17"/>
      <c r="G579" s="17"/>
      <c r="H579" s="17"/>
    </row>
    <row r="580" spans="1:8" x14ac:dyDescent="0.2">
      <c r="A580" s="17"/>
      <c r="B580" s="17"/>
      <c r="C580" s="17"/>
      <c r="D580" s="17"/>
      <c r="E580" s="17"/>
      <c r="F580" s="17"/>
      <c r="G580" s="17"/>
      <c r="H580" s="17"/>
    </row>
    <row r="581" spans="1:8" x14ac:dyDescent="0.2">
      <c r="A581" s="17"/>
      <c r="B581" s="17"/>
      <c r="C581" s="17"/>
      <c r="D581" s="17"/>
      <c r="E581" s="17"/>
      <c r="F581" s="17"/>
      <c r="G581" s="17"/>
      <c r="H581" s="17"/>
    </row>
    <row r="582" spans="1:8" x14ac:dyDescent="0.2">
      <c r="A582" s="17"/>
      <c r="B582" s="17"/>
      <c r="C582" s="17"/>
      <c r="D582" s="17"/>
      <c r="E582" s="17"/>
      <c r="F582" s="17"/>
      <c r="G582" s="17"/>
      <c r="H582" s="17"/>
    </row>
    <row r="583" spans="1:8" x14ac:dyDescent="0.2">
      <c r="A583" s="17"/>
      <c r="B583" s="17"/>
      <c r="C583" s="17"/>
      <c r="D583" s="17"/>
      <c r="E583" s="17"/>
      <c r="F583" s="17"/>
      <c r="G583" s="17"/>
      <c r="H583" s="17"/>
    </row>
    <row r="584" spans="1:8" x14ac:dyDescent="0.2">
      <c r="A584" s="17"/>
      <c r="B584" s="17"/>
      <c r="C584" s="17"/>
      <c r="D584" s="17"/>
      <c r="E584" s="17"/>
      <c r="F584" s="17"/>
      <c r="G584" s="17"/>
      <c r="H584" s="17"/>
    </row>
    <row r="585" spans="1:8" x14ac:dyDescent="0.2">
      <c r="A585" s="17"/>
      <c r="B585" s="17"/>
      <c r="C585" s="17"/>
      <c r="D585" s="17"/>
      <c r="E585" s="17"/>
      <c r="F585" s="17"/>
      <c r="G585" s="17"/>
      <c r="H585" s="17"/>
    </row>
    <row r="586" spans="1:8" x14ac:dyDescent="0.2">
      <c r="A586" s="17"/>
      <c r="B586" s="17"/>
      <c r="C586" s="17"/>
      <c r="D586" s="17"/>
      <c r="E586" s="17"/>
      <c r="F586" s="17"/>
      <c r="G586" s="17"/>
      <c r="H586" s="17"/>
    </row>
    <row r="587" spans="1:8" x14ac:dyDescent="0.2">
      <c r="A587" s="17"/>
      <c r="B587" s="17"/>
      <c r="C587" s="17"/>
      <c r="D587" s="17"/>
      <c r="E587" s="17"/>
      <c r="F587" s="17"/>
      <c r="G587" s="17"/>
      <c r="H587" s="17"/>
    </row>
    <row r="588" spans="1:8" x14ac:dyDescent="0.2">
      <c r="A588" s="17"/>
      <c r="B588" s="17"/>
      <c r="C588" s="17"/>
      <c r="D588" s="17"/>
      <c r="E588" s="17"/>
      <c r="F588" s="17"/>
      <c r="G588" s="17"/>
      <c r="H588" s="17"/>
    </row>
    <row r="589" spans="1:8" x14ac:dyDescent="0.2">
      <c r="A589" s="17"/>
      <c r="B589" s="17"/>
      <c r="C589" s="17"/>
      <c r="D589" s="17"/>
      <c r="E589" s="17"/>
      <c r="F589" s="17"/>
      <c r="G589" s="17"/>
      <c r="H589" s="17"/>
    </row>
    <row r="590" spans="1:8" x14ac:dyDescent="0.2">
      <c r="A590" s="17"/>
      <c r="B590" s="17"/>
      <c r="C590" s="17"/>
      <c r="D590" s="17"/>
      <c r="E590" s="17"/>
      <c r="F590" s="17"/>
      <c r="G590" s="17"/>
      <c r="H590" s="17"/>
    </row>
    <row r="591" spans="1:8" x14ac:dyDescent="0.2">
      <c r="A591" s="17"/>
      <c r="B591" s="17"/>
      <c r="C591" s="17"/>
      <c r="D591" s="17"/>
      <c r="E591" s="17"/>
      <c r="F591" s="17"/>
      <c r="G591" s="17"/>
      <c r="H591" s="17"/>
    </row>
    <row r="592" spans="1:8" x14ac:dyDescent="0.2">
      <c r="A592" s="17"/>
      <c r="B592" s="17"/>
      <c r="C592" s="17"/>
      <c r="D592" s="17"/>
      <c r="E592" s="17"/>
      <c r="F592" s="17"/>
      <c r="G592" s="17"/>
      <c r="H592" s="17"/>
    </row>
    <row r="593" spans="1:8" x14ac:dyDescent="0.2">
      <c r="A593" s="17"/>
      <c r="B593" s="17"/>
      <c r="C593" s="17"/>
      <c r="D593" s="17"/>
      <c r="E593" s="17"/>
      <c r="F593" s="17"/>
      <c r="G593" s="17"/>
      <c r="H593" s="17"/>
    </row>
    <row r="594" spans="1:8" x14ac:dyDescent="0.2">
      <c r="A594" s="17"/>
      <c r="B594" s="17"/>
      <c r="C594" s="17"/>
      <c r="D594" s="17"/>
      <c r="E594" s="17"/>
      <c r="F594" s="17"/>
      <c r="G594" s="17"/>
      <c r="H594" s="17"/>
    </row>
    <row r="595" spans="1:8" x14ac:dyDescent="0.2">
      <c r="A595" s="17"/>
      <c r="B595" s="17"/>
      <c r="C595" s="17"/>
      <c r="D595" s="17"/>
      <c r="E595" s="17"/>
      <c r="F595" s="17"/>
      <c r="G595" s="17"/>
      <c r="H595" s="17"/>
    </row>
    <row r="596" spans="1:8" x14ac:dyDescent="0.2">
      <c r="A596" s="17"/>
      <c r="B596" s="17"/>
      <c r="C596" s="17"/>
      <c r="D596" s="17"/>
      <c r="E596" s="17"/>
      <c r="F596" s="17"/>
      <c r="G596" s="17"/>
      <c r="H596" s="17"/>
    </row>
    <row r="597" spans="1:8" x14ac:dyDescent="0.2">
      <c r="A597" s="17"/>
      <c r="B597" s="17"/>
      <c r="C597" s="17"/>
      <c r="D597" s="17"/>
      <c r="E597" s="17"/>
      <c r="F597" s="17"/>
      <c r="G597" s="17"/>
      <c r="H597" s="17"/>
    </row>
    <row r="598" spans="1:8" x14ac:dyDescent="0.2">
      <c r="A598" s="17"/>
      <c r="B598" s="17"/>
      <c r="C598" s="17"/>
      <c r="D598" s="17"/>
      <c r="E598" s="17"/>
      <c r="F598" s="17"/>
      <c r="G598" s="17"/>
      <c r="H598" s="17"/>
    </row>
    <row r="599" spans="1:8" x14ac:dyDescent="0.2">
      <c r="A599" s="17"/>
      <c r="B599" s="17"/>
      <c r="C599" s="17"/>
      <c r="D599" s="17"/>
      <c r="E599" s="17"/>
      <c r="F599" s="17"/>
      <c r="G599" s="17"/>
      <c r="H599" s="17"/>
    </row>
    <row r="600" spans="1:8" x14ac:dyDescent="0.2">
      <c r="A600" s="17"/>
      <c r="B600" s="17"/>
      <c r="C600" s="17"/>
      <c r="D600" s="17"/>
      <c r="E600" s="17"/>
      <c r="F600" s="17"/>
      <c r="G600" s="17"/>
      <c r="H600" s="17"/>
    </row>
    <row r="601" spans="1:8" x14ac:dyDescent="0.2">
      <c r="A601" s="17"/>
      <c r="B601" s="17"/>
      <c r="C601" s="17"/>
      <c r="D601" s="17"/>
      <c r="E601" s="17"/>
      <c r="F601" s="17"/>
      <c r="G601" s="17"/>
      <c r="H601" s="17"/>
    </row>
    <row r="602" spans="1:8" x14ac:dyDescent="0.2">
      <c r="A602" s="17"/>
      <c r="B602" s="17"/>
      <c r="C602" s="17"/>
      <c r="D602" s="17"/>
      <c r="E602" s="17"/>
      <c r="F602" s="17"/>
      <c r="G602" s="17"/>
      <c r="H602" s="17"/>
    </row>
    <row r="603" spans="1:8" x14ac:dyDescent="0.2">
      <c r="A603" s="17"/>
      <c r="B603" s="17"/>
      <c r="C603" s="17"/>
      <c r="D603" s="17"/>
      <c r="E603" s="17"/>
      <c r="F603" s="17"/>
      <c r="G603" s="17"/>
      <c r="H603" s="17"/>
    </row>
    <row r="604" spans="1:8" x14ac:dyDescent="0.2">
      <c r="A604" s="17"/>
      <c r="B604" s="17"/>
      <c r="C604" s="17"/>
      <c r="D604" s="17"/>
      <c r="E604" s="17"/>
      <c r="F604" s="17"/>
      <c r="G604" s="17"/>
      <c r="H604" s="17"/>
    </row>
    <row r="605" spans="1:8" x14ac:dyDescent="0.2">
      <c r="A605" s="17"/>
      <c r="B605" s="17"/>
      <c r="C605" s="17"/>
      <c r="D605" s="17"/>
      <c r="E605" s="17"/>
      <c r="F605" s="17"/>
      <c r="G605" s="17"/>
      <c r="H605" s="17"/>
    </row>
    <row r="606" spans="1:8" x14ac:dyDescent="0.2">
      <c r="A606" s="17"/>
      <c r="B606" s="17"/>
      <c r="C606" s="17"/>
      <c r="D606" s="17"/>
      <c r="E606" s="17"/>
      <c r="F606" s="17"/>
      <c r="G606" s="17"/>
      <c r="H606" s="17"/>
    </row>
    <row r="607" spans="1:8" x14ac:dyDescent="0.2">
      <c r="A607" s="17"/>
      <c r="B607" s="17"/>
      <c r="C607" s="17"/>
      <c r="D607" s="17"/>
      <c r="E607" s="17"/>
      <c r="F607" s="17"/>
      <c r="G607" s="17"/>
      <c r="H607" s="17"/>
    </row>
    <row r="608" spans="1:8" x14ac:dyDescent="0.2">
      <c r="A608" s="17"/>
      <c r="B608" s="17"/>
      <c r="C608" s="17"/>
      <c r="D608" s="17"/>
      <c r="E608" s="17"/>
      <c r="F608" s="17"/>
      <c r="G608" s="17"/>
      <c r="H608" s="17"/>
    </row>
    <row r="609" spans="1:8" x14ac:dyDescent="0.2">
      <c r="A609" s="17"/>
      <c r="B609" s="17"/>
      <c r="C609" s="17"/>
      <c r="D609" s="17"/>
      <c r="E609" s="17"/>
      <c r="F609" s="17"/>
      <c r="G609" s="17"/>
      <c r="H609" s="17"/>
    </row>
    <row r="610" spans="1:8" x14ac:dyDescent="0.2">
      <c r="A610" s="17"/>
      <c r="B610" s="17"/>
      <c r="C610" s="17"/>
      <c r="D610" s="17"/>
      <c r="E610" s="17"/>
      <c r="F610" s="17"/>
      <c r="G610" s="17"/>
      <c r="H610" s="17"/>
    </row>
    <row r="611" spans="1:8" x14ac:dyDescent="0.2">
      <c r="A611" s="17"/>
      <c r="B611" s="17"/>
      <c r="C611" s="17"/>
      <c r="D611" s="17"/>
      <c r="E611" s="17"/>
      <c r="F611" s="17"/>
      <c r="G611" s="17"/>
      <c r="H611" s="17"/>
    </row>
    <row r="612" spans="1:8" x14ac:dyDescent="0.2">
      <c r="A612" s="17"/>
      <c r="B612" s="17"/>
      <c r="C612" s="17"/>
      <c r="D612" s="17"/>
      <c r="E612" s="17"/>
      <c r="F612" s="17"/>
      <c r="G612" s="17"/>
      <c r="H612" s="17"/>
    </row>
    <row r="613" spans="1:8" x14ac:dyDescent="0.2">
      <c r="A613" s="17"/>
      <c r="B613" s="17"/>
      <c r="C613" s="17"/>
      <c r="D613" s="17"/>
      <c r="E613" s="17"/>
      <c r="F613" s="17"/>
      <c r="G613" s="17"/>
      <c r="H613" s="17"/>
    </row>
    <row r="614" spans="1:8" x14ac:dyDescent="0.2">
      <c r="A614" s="17"/>
      <c r="B614" s="17"/>
      <c r="C614" s="17"/>
      <c r="D614" s="17"/>
      <c r="E614" s="17"/>
      <c r="F614" s="17"/>
      <c r="G614" s="17"/>
      <c r="H614" s="17"/>
    </row>
    <row r="615" spans="1:8" x14ac:dyDescent="0.2">
      <c r="A615" s="17"/>
      <c r="B615" s="17"/>
      <c r="C615" s="17"/>
      <c r="D615" s="17"/>
      <c r="E615" s="17"/>
      <c r="F615" s="17"/>
      <c r="G615" s="17"/>
      <c r="H615" s="17"/>
    </row>
    <row r="616" spans="1:8" x14ac:dyDescent="0.2">
      <c r="A616" s="17"/>
      <c r="B616" s="17"/>
      <c r="C616" s="17"/>
      <c r="D616" s="17"/>
      <c r="E616" s="17"/>
      <c r="F616" s="17"/>
      <c r="G616" s="17"/>
      <c r="H616" s="17"/>
    </row>
    <row r="617" spans="1:8" x14ac:dyDescent="0.2">
      <c r="A617" s="17"/>
      <c r="B617" s="17"/>
      <c r="C617" s="17"/>
      <c r="D617" s="17"/>
      <c r="E617" s="17"/>
      <c r="F617" s="17"/>
      <c r="G617" s="17"/>
      <c r="H617" s="17"/>
    </row>
    <row r="618" spans="1:8" x14ac:dyDescent="0.2">
      <c r="A618" s="17"/>
      <c r="B618" s="17"/>
      <c r="C618" s="17"/>
      <c r="D618" s="17"/>
      <c r="E618" s="17"/>
      <c r="F618" s="17"/>
      <c r="G618" s="17"/>
      <c r="H618" s="17"/>
    </row>
    <row r="619" spans="1:8" x14ac:dyDescent="0.2">
      <c r="A619" s="17"/>
      <c r="B619" s="17"/>
      <c r="C619" s="17"/>
      <c r="D619" s="17"/>
      <c r="E619" s="17"/>
      <c r="F619" s="17"/>
      <c r="G619" s="17"/>
      <c r="H619" s="17"/>
    </row>
    <row r="620" spans="1:8" x14ac:dyDescent="0.2">
      <c r="A620" s="17"/>
      <c r="B620" s="17"/>
      <c r="C620" s="17"/>
      <c r="D620" s="17"/>
      <c r="E620" s="17"/>
      <c r="F620" s="17"/>
      <c r="G620" s="17"/>
      <c r="H620" s="17"/>
    </row>
    <row r="621" spans="1:8" x14ac:dyDescent="0.2">
      <c r="A621" s="17"/>
      <c r="B621" s="17"/>
      <c r="C621" s="17"/>
      <c r="D621" s="17"/>
      <c r="E621" s="17"/>
      <c r="F621" s="17"/>
      <c r="G621" s="17"/>
      <c r="H621" s="17"/>
    </row>
    <row r="622" spans="1:8" x14ac:dyDescent="0.2">
      <c r="A622" s="17"/>
      <c r="B622" s="17"/>
      <c r="C622" s="17"/>
      <c r="D622" s="17"/>
      <c r="E622" s="17"/>
      <c r="F622" s="17"/>
      <c r="G622" s="17"/>
      <c r="H622" s="17"/>
    </row>
    <row r="623" spans="1:8" x14ac:dyDescent="0.2">
      <c r="A623" s="17"/>
      <c r="B623" s="17"/>
      <c r="C623" s="17"/>
      <c r="D623" s="17"/>
      <c r="E623" s="17"/>
      <c r="F623" s="17"/>
      <c r="G623" s="17"/>
      <c r="H623" s="17"/>
    </row>
    <row r="624" spans="1:8" x14ac:dyDescent="0.2">
      <c r="A624" s="17"/>
      <c r="B624" s="17"/>
      <c r="C624" s="17"/>
      <c r="D624" s="17"/>
      <c r="E624" s="17"/>
      <c r="F624" s="17"/>
      <c r="G624" s="17"/>
      <c r="H624" s="17"/>
    </row>
    <row r="625" spans="1:8" x14ac:dyDescent="0.2">
      <c r="A625" s="17"/>
      <c r="B625" s="17"/>
      <c r="C625" s="17"/>
      <c r="D625" s="17"/>
      <c r="E625" s="17"/>
      <c r="F625" s="17"/>
      <c r="G625" s="17"/>
      <c r="H625" s="17"/>
    </row>
    <row r="626" spans="1:8" x14ac:dyDescent="0.2">
      <c r="A626" s="17"/>
      <c r="B626" s="17"/>
      <c r="C626" s="17"/>
      <c r="D626" s="17"/>
      <c r="E626" s="17"/>
      <c r="F626" s="17"/>
      <c r="G626" s="17"/>
      <c r="H626" s="17"/>
    </row>
    <row r="627" spans="1:8" x14ac:dyDescent="0.2">
      <c r="A627" s="17"/>
      <c r="B627" s="17"/>
      <c r="C627" s="17"/>
      <c r="D627" s="17"/>
      <c r="E627" s="17"/>
      <c r="F627" s="17"/>
      <c r="G627" s="17"/>
      <c r="H627" s="17"/>
    </row>
    <row r="628" spans="1:8" x14ac:dyDescent="0.2">
      <c r="A628" s="17"/>
      <c r="B628" s="17"/>
      <c r="C628" s="17"/>
      <c r="D628" s="17"/>
      <c r="E628" s="17"/>
      <c r="F628" s="17"/>
      <c r="G628" s="17"/>
      <c r="H628" s="17"/>
    </row>
    <row r="629" spans="1:8" x14ac:dyDescent="0.2">
      <c r="A629" s="17"/>
      <c r="B629" s="17"/>
      <c r="C629" s="17"/>
      <c r="D629" s="17"/>
      <c r="E629" s="17"/>
      <c r="F629" s="17"/>
      <c r="G629" s="17"/>
      <c r="H629" s="17"/>
    </row>
    <row r="630" spans="1:8" x14ac:dyDescent="0.2">
      <c r="A630" s="17"/>
      <c r="B630" s="17"/>
      <c r="C630" s="17"/>
      <c r="D630" s="17"/>
      <c r="E630" s="17"/>
      <c r="F630" s="17"/>
      <c r="G630" s="17"/>
      <c r="H630" s="17"/>
    </row>
    <row r="631" spans="1:8" x14ac:dyDescent="0.2">
      <c r="A631" s="17"/>
      <c r="B631" s="17"/>
      <c r="C631" s="17"/>
      <c r="D631" s="17"/>
      <c r="E631" s="17"/>
      <c r="F631" s="17"/>
      <c r="G631" s="17"/>
      <c r="H631" s="17"/>
    </row>
    <row r="632" spans="1:8" x14ac:dyDescent="0.2">
      <c r="A632" s="17"/>
      <c r="B632" s="17"/>
      <c r="C632" s="17"/>
      <c r="D632" s="17"/>
      <c r="E632" s="17"/>
      <c r="F632" s="17"/>
      <c r="G632" s="17"/>
      <c r="H632" s="17"/>
    </row>
    <row r="633" spans="1:8" x14ac:dyDescent="0.2">
      <c r="A633" s="17"/>
      <c r="B633" s="17"/>
      <c r="C633" s="17"/>
      <c r="D633" s="17"/>
      <c r="E633" s="17"/>
      <c r="F633" s="17"/>
      <c r="G633" s="17"/>
      <c r="H633" s="17"/>
    </row>
    <row r="634" spans="1:8" x14ac:dyDescent="0.2">
      <c r="A634" s="17"/>
      <c r="B634" s="17"/>
      <c r="C634" s="17"/>
      <c r="D634" s="17"/>
      <c r="E634" s="17"/>
      <c r="F634" s="17"/>
      <c r="G634" s="17"/>
      <c r="H634" s="17"/>
    </row>
    <row r="635" spans="1:8" x14ac:dyDescent="0.2">
      <c r="A635" s="17"/>
      <c r="B635" s="17"/>
      <c r="C635" s="17"/>
      <c r="D635" s="17"/>
      <c r="E635" s="17"/>
      <c r="F635" s="17"/>
      <c r="G635" s="17"/>
      <c r="H635" s="17"/>
    </row>
    <row r="636" spans="1:8" x14ac:dyDescent="0.2">
      <c r="A636" s="17"/>
      <c r="B636" s="17"/>
      <c r="C636" s="17"/>
      <c r="D636" s="17"/>
      <c r="E636" s="17"/>
      <c r="F636" s="17"/>
      <c r="G636" s="17"/>
      <c r="H636" s="17"/>
    </row>
    <row r="637" spans="1:8" x14ac:dyDescent="0.2">
      <c r="A637" s="17"/>
      <c r="B637" s="17"/>
      <c r="C637" s="17"/>
      <c r="D637" s="17"/>
      <c r="E637" s="17"/>
      <c r="F637" s="17"/>
      <c r="G637" s="17"/>
      <c r="H637" s="17"/>
    </row>
    <row r="638" spans="1:8" x14ac:dyDescent="0.2">
      <c r="A638" s="17"/>
      <c r="B638" s="17"/>
      <c r="C638" s="17"/>
      <c r="D638" s="17"/>
      <c r="E638" s="17"/>
      <c r="F638" s="17"/>
      <c r="G638" s="17"/>
      <c r="H638" s="17"/>
    </row>
    <row r="639" spans="1:8" x14ac:dyDescent="0.2">
      <c r="A639" s="17"/>
      <c r="B639" s="17"/>
      <c r="C639" s="17"/>
      <c r="D639" s="17"/>
      <c r="E639" s="17"/>
      <c r="F639" s="17"/>
      <c r="G639" s="17"/>
      <c r="H639" s="17"/>
    </row>
    <row r="640" spans="1:8" x14ac:dyDescent="0.2">
      <c r="A640" s="17"/>
      <c r="B640" s="17"/>
      <c r="C640" s="17"/>
      <c r="D640" s="17"/>
      <c r="E640" s="17"/>
      <c r="F640" s="17"/>
      <c r="G640" s="17"/>
      <c r="H640" s="17"/>
    </row>
    <row r="641" spans="1:8" x14ac:dyDescent="0.2">
      <c r="A641" s="17"/>
      <c r="B641" s="17"/>
      <c r="C641" s="17"/>
      <c r="D641" s="17"/>
      <c r="E641" s="17"/>
      <c r="F641" s="17"/>
      <c r="G641" s="17"/>
      <c r="H641" s="17"/>
    </row>
    <row r="642" spans="1:8" x14ac:dyDescent="0.2">
      <c r="A642" s="17"/>
      <c r="B642" s="17"/>
      <c r="C642" s="17"/>
      <c r="D642" s="17"/>
      <c r="E642" s="17"/>
      <c r="F642" s="17"/>
      <c r="G642" s="17"/>
      <c r="H642" s="17"/>
    </row>
    <row r="643" spans="1:8" x14ac:dyDescent="0.2">
      <c r="A643" s="17"/>
      <c r="B643" s="17"/>
      <c r="C643" s="17"/>
      <c r="D643" s="17"/>
      <c r="E643" s="17"/>
      <c r="F643" s="17"/>
      <c r="G643" s="17"/>
      <c r="H643" s="17"/>
    </row>
    <row r="644" spans="1:8" x14ac:dyDescent="0.2">
      <c r="A644" s="17"/>
      <c r="B644" s="17"/>
      <c r="C644" s="17"/>
      <c r="D644" s="17"/>
      <c r="E644" s="17"/>
      <c r="F644" s="17"/>
      <c r="G644" s="17"/>
      <c r="H644" s="17"/>
    </row>
    <row r="645" spans="1:8" x14ac:dyDescent="0.2">
      <c r="A645" s="17"/>
      <c r="B645" s="17"/>
      <c r="C645" s="17"/>
      <c r="D645" s="17"/>
      <c r="E645" s="17"/>
      <c r="F645" s="17"/>
      <c r="G645" s="17"/>
      <c r="H645" s="17"/>
    </row>
    <row r="646" spans="1:8" x14ac:dyDescent="0.2">
      <c r="A646" s="17"/>
      <c r="B646" s="17"/>
      <c r="C646" s="17"/>
      <c r="D646" s="17"/>
      <c r="E646" s="17"/>
      <c r="F646" s="17"/>
      <c r="G646" s="17"/>
      <c r="H646" s="17"/>
    </row>
    <row r="647" spans="1:8" x14ac:dyDescent="0.2">
      <c r="A647" s="17"/>
      <c r="B647" s="17"/>
      <c r="C647" s="17"/>
      <c r="D647" s="17"/>
      <c r="E647" s="17"/>
      <c r="F647" s="17"/>
      <c r="G647" s="17"/>
      <c r="H647" s="17"/>
    </row>
    <row r="648" spans="1:8" x14ac:dyDescent="0.2">
      <c r="A648" s="17"/>
      <c r="B648" s="17"/>
      <c r="C648" s="17"/>
      <c r="D648" s="17"/>
      <c r="E648" s="17"/>
      <c r="F648" s="17"/>
      <c r="G648" s="17"/>
      <c r="H648" s="17"/>
    </row>
    <row r="649" spans="1:8" x14ac:dyDescent="0.2">
      <c r="A649" s="17"/>
      <c r="B649" s="17"/>
      <c r="C649" s="17"/>
      <c r="D649" s="17"/>
      <c r="E649" s="17"/>
      <c r="F649" s="17"/>
      <c r="G649" s="17"/>
      <c r="H649" s="17"/>
    </row>
    <row r="650" spans="1:8" x14ac:dyDescent="0.2">
      <c r="A650" s="17"/>
      <c r="B650" s="17"/>
      <c r="C650" s="17"/>
      <c r="D650" s="17"/>
      <c r="E650" s="17"/>
      <c r="F650" s="17"/>
      <c r="G650" s="17"/>
      <c r="H650" s="17"/>
    </row>
    <row r="651" spans="1:8" x14ac:dyDescent="0.2">
      <c r="A651" s="17"/>
      <c r="B651" s="17"/>
      <c r="C651" s="17"/>
      <c r="D651" s="17"/>
      <c r="E651" s="17"/>
      <c r="F651" s="17"/>
      <c r="G651" s="17"/>
      <c r="H651" s="17"/>
    </row>
    <row r="652" spans="1:8" x14ac:dyDescent="0.2">
      <c r="A652" s="17"/>
      <c r="B652" s="17"/>
      <c r="C652" s="17"/>
      <c r="D652" s="17"/>
      <c r="E652" s="17"/>
      <c r="F652" s="17"/>
      <c r="G652" s="17"/>
      <c r="H652" s="17"/>
    </row>
    <row r="653" spans="1:8" x14ac:dyDescent="0.2">
      <c r="A653" s="17"/>
      <c r="B653" s="17"/>
      <c r="C653" s="17"/>
      <c r="D653" s="17"/>
      <c r="E653" s="17"/>
      <c r="F653" s="17"/>
      <c r="G653" s="17"/>
      <c r="H653" s="17"/>
    </row>
    <row r="654" spans="1:8" x14ac:dyDescent="0.2">
      <c r="A654" s="17"/>
      <c r="B654" s="17"/>
      <c r="C654" s="17"/>
      <c r="D654" s="17"/>
      <c r="E654" s="17"/>
      <c r="F654" s="17"/>
      <c r="G654" s="17"/>
      <c r="H654" s="17"/>
    </row>
    <row r="655" spans="1:8" x14ac:dyDescent="0.2">
      <c r="A655" s="17"/>
      <c r="B655" s="17"/>
      <c r="C655" s="17"/>
      <c r="D655" s="17"/>
      <c r="E655" s="17"/>
      <c r="F655" s="17"/>
      <c r="G655" s="17"/>
      <c r="H655" s="17"/>
    </row>
    <row r="656" spans="1:8" x14ac:dyDescent="0.2">
      <c r="A656" s="17"/>
      <c r="B656" s="17"/>
      <c r="C656" s="17"/>
      <c r="D656" s="17"/>
      <c r="E656" s="17"/>
      <c r="F656" s="17"/>
      <c r="G656" s="17"/>
      <c r="H656" s="17"/>
    </row>
    <row r="657" spans="1:8" x14ac:dyDescent="0.2">
      <c r="A657" s="17"/>
      <c r="B657" s="17"/>
      <c r="C657" s="17"/>
      <c r="D657" s="17"/>
      <c r="E657" s="17"/>
      <c r="F657" s="17"/>
      <c r="G657" s="17"/>
      <c r="H657" s="17"/>
    </row>
    <row r="658" spans="1:8" x14ac:dyDescent="0.2">
      <c r="A658" s="17"/>
      <c r="B658" s="17"/>
      <c r="C658" s="17"/>
      <c r="D658" s="17"/>
      <c r="E658" s="17"/>
      <c r="F658" s="17"/>
      <c r="G658" s="17"/>
      <c r="H658" s="17"/>
    </row>
    <row r="659" spans="1:8" x14ac:dyDescent="0.2">
      <c r="A659" s="17"/>
      <c r="B659" s="17"/>
      <c r="C659" s="17"/>
      <c r="D659" s="17"/>
      <c r="E659" s="17"/>
      <c r="F659" s="17"/>
      <c r="G659" s="17"/>
      <c r="H659" s="17"/>
    </row>
    <row r="660" spans="1:8" x14ac:dyDescent="0.2">
      <c r="A660" s="17"/>
      <c r="B660" s="17"/>
      <c r="C660" s="17"/>
      <c r="D660" s="17"/>
      <c r="E660" s="17"/>
      <c r="F660" s="17"/>
      <c r="G660" s="17"/>
      <c r="H660" s="17"/>
    </row>
    <row r="661" spans="1:8" x14ac:dyDescent="0.2">
      <c r="A661" s="17"/>
      <c r="B661" s="17"/>
      <c r="C661" s="17"/>
      <c r="D661" s="17"/>
      <c r="E661" s="17"/>
      <c r="F661" s="17"/>
      <c r="G661" s="17"/>
      <c r="H661" s="17"/>
    </row>
    <row r="662" spans="1:8" x14ac:dyDescent="0.2">
      <c r="A662" s="17"/>
      <c r="B662" s="17"/>
      <c r="C662" s="17"/>
      <c r="D662" s="17"/>
      <c r="E662" s="17"/>
      <c r="F662" s="17"/>
      <c r="G662" s="17"/>
      <c r="H662" s="17"/>
    </row>
    <row r="663" spans="1:8" x14ac:dyDescent="0.2">
      <c r="A663" s="17"/>
      <c r="B663" s="17"/>
      <c r="C663" s="17"/>
      <c r="D663" s="17"/>
      <c r="E663" s="17"/>
      <c r="F663" s="17"/>
      <c r="G663" s="17"/>
      <c r="H663" s="17"/>
    </row>
    <row r="664" spans="1:8" x14ac:dyDescent="0.2">
      <c r="A664" s="17"/>
      <c r="B664" s="17"/>
      <c r="C664" s="17"/>
      <c r="D664" s="17"/>
      <c r="E664" s="17"/>
      <c r="F664" s="17"/>
      <c r="G664" s="17"/>
      <c r="H664" s="17"/>
    </row>
    <row r="665" spans="1:8" x14ac:dyDescent="0.2">
      <c r="A665" s="17"/>
      <c r="B665" s="17"/>
      <c r="C665" s="17"/>
      <c r="D665" s="17"/>
      <c r="E665" s="17"/>
      <c r="F665" s="17"/>
      <c r="G665" s="17"/>
      <c r="H665" s="17"/>
    </row>
    <row r="666" spans="1:8" x14ac:dyDescent="0.2">
      <c r="A666" s="17"/>
      <c r="B666" s="17"/>
      <c r="C666" s="17"/>
      <c r="D666" s="17"/>
      <c r="E666" s="17"/>
      <c r="F666" s="17"/>
      <c r="G666" s="17"/>
      <c r="H666" s="17"/>
    </row>
    <row r="667" spans="1:8" x14ac:dyDescent="0.2">
      <c r="A667" s="17"/>
      <c r="B667" s="17"/>
      <c r="C667" s="17"/>
      <c r="D667" s="17"/>
      <c r="E667" s="17"/>
      <c r="F667" s="17"/>
      <c r="G667" s="17"/>
      <c r="H667" s="17"/>
    </row>
    <row r="668" spans="1:8" x14ac:dyDescent="0.2">
      <c r="A668" s="17"/>
      <c r="B668" s="17"/>
      <c r="C668" s="17"/>
      <c r="D668" s="17"/>
      <c r="E668" s="17"/>
      <c r="F668" s="17"/>
      <c r="G668" s="17"/>
      <c r="H668" s="17"/>
    </row>
    <row r="669" spans="1:8" x14ac:dyDescent="0.2">
      <c r="A669" s="17"/>
      <c r="B669" s="17"/>
      <c r="C669" s="17"/>
      <c r="D669" s="17"/>
      <c r="E669" s="17"/>
      <c r="F669" s="17"/>
      <c r="G669" s="17"/>
      <c r="H669" s="17"/>
    </row>
    <row r="670" spans="1:8" x14ac:dyDescent="0.2">
      <c r="A670" s="17"/>
      <c r="B670" s="17"/>
      <c r="C670" s="17"/>
      <c r="D670" s="17"/>
      <c r="E670" s="17"/>
      <c r="F670" s="17"/>
      <c r="G670" s="17"/>
      <c r="H670" s="17"/>
    </row>
    <row r="671" spans="1:8" x14ac:dyDescent="0.2">
      <c r="A671" s="17"/>
      <c r="B671" s="17"/>
      <c r="C671" s="17"/>
      <c r="D671" s="17"/>
      <c r="E671" s="17"/>
      <c r="F671" s="17"/>
      <c r="G671" s="17"/>
      <c r="H671" s="17"/>
    </row>
    <row r="672" spans="1:8" x14ac:dyDescent="0.2">
      <c r="A672" s="17"/>
      <c r="B672" s="17"/>
      <c r="C672" s="17"/>
      <c r="D672" s="17"/>
      <c r="E672" s="17"/>
      <c r="F672" s="17"/>
      <c r="G672" s="17"/>
      <c r="H672" s="17"/>
    </row>
    <row r="673" spans="1:8" x14ac:dyDescent="0.2">
      <c r="A673" s="17"/>
      <c r="B673" s="17"/>
      <c r="C673" s="17"/>
      <c r="D673" s="17"/>
      <c r="E673" s="17"/>
      <c r="F673" s="17"/>
      <c r="G673" s="17"/>
      <c r="H673" s="17"/>
    </row>
    <row r="674" spans="1:8" x14ac:dyDescent="0.2">
      <c r="A674" s="17"/>
      <c r="B674" s="17"/>
      <c r="C674" s="17"/>
      <c r="D674" s="17"/>
      <c r="E674" s="17"/>
      <c r="F674" s="17"/>
      <c r="G674" s="17"/>
      <c r="H674" s="17"/>
    </row>
    <row r="675" spans="1:8" x14ac:dyDescent="0.2">
      <c r="A675" s="17"/>
      <c r="B675" s="17"/>
      <c r="C675" s="17"/>
      <c r="D675" s="17"/>
      <c r="E675" s="17"/>
      <c r="F675" s="17"/>
      <c r="G675" s="17"/>
      <c r="H675" s="17"/>
    </row>
    <row r="676" spans="1:8" x14ac:dyDescent="0.2">
      <c r="A676" s="17"/>
      <c r="B676" s="17"/>
      <c r="C676" s="17"/>
      <c r="D676" s="17"/>
      <c r="E676" s="17"/>
      <c r="F676" s="17"/>
      <c r="G676" s="17"/>
      <c r="H676" s="17"/>
    </row>
    <row r="677" spans="1:8" x14ac:dyDescent="0.2">
      <c r="A677" s="17"/>
      <c r="B677" s="17"/>
      <c r="C677" s="17"/>
      <c r="D677" s="17"/>
      <c r="E677" s="17"/>
      <c r="F677" s="17"/>
      <c r="G677" s="17"/>
      <c r="H677" s="17"/>
    </row>
    <row r="678" spans="1:8" x14ac:dyDescent="0.2">
      <c r="A678" s="17"/>
      <c r="B678" s="17"/>
      <c r="C678" s="17"/>
      <c r="D678" s="17"/>
      <c r="E678" s="17"/>
      <c r="F678" s="17"/>
      <c r="G678" s="17"/>
      <c r="H678" s="17"/>
    </row>
    <row r="679" spans="1:8" x14ac:dyDescent="0.2">
      <c r="A679" s="17"/>
      <c r="B679" s="17"/>
      <c r="C679" s="17"/>
      <c r="D679" s="17"/>
      <c r="E679" s="17"/>
      <c r="F679" s="17"/>
      <c r="G679" s="17"/>
      <c r="H679" s="17"/>
    </row>
    <row r="680" spans="1:8" x14ac:dyDescent="0.2">
      <c r="A680" s="17"/>
      <c r="B680" s="17"/>
      <c r="C680" s="17"/>
      <c r="D680" s="17"/>
      <c r="E680" s="17"/>
      <c r="F680" s="17"/>
      <c r="G680" s="17"/>
      <c r="H680" s="17"/>
    </row>
    <row r="681" spans="1:8" x14ac:dyDescent="0.2">
      <c r="A681" s="17"/>
      <c r="B681" s="17"/>
      <c r="C681" s="17"/>
      <c r="D681" s="17"/>
      <c r="E681" s="17"/>
      <c r="F681" s="17"/>
      <c r="G681" s="17"/>
      <c r="H681" s="17"/>
    </row>
    <row r="682" spans="1:8" x14ac:dyDescent="0.2">
      <c r="A682" s="17"/>
      <c r="B682" s="17"/>
      <c r="C682" s="17"/>
      <c r="D682" s="17"/>
      <c r="E682" s="17"/>
      <c r="F682" s="17"/>
      <c r="G682" s="17"/>
      <c r="H682" s="17"/>
    </row>
    <row r="683" spans="1:8" x14ac:dyDescent="0.2">
      <c r="A683" s="17"/>
      <c r="B683" s="17"/>
      <c r="C683" s="17"/>
      <c r="D683" s="17"/>
      <c r="E683" s="17"/>
      <c r="F683" s="17"/>
      <c r="G683" s="17"/>
      <c r="H683" s="17"/>
    </row>
    <row r="684" spans="1:8" x14ac:dyDescent="0.2">
      <c r="A684" s="17"/>
      <c r="B684" s="17"/>
      <c r="C684" s="17"/>
      <c r="D684" s="17"/>
      <c r="E684" s="17"/>
      <c r="F684" s="17"/>
      <c r="G684" s="17"/>
      <c r="H684" s="17"/>
    </row>
    <row r="685" spans="1:8" x14ac:dyDescent="0.2">
      <c r="A685" s="17"/>
      <c r="B685" s="17"/>
      <c r="C685" s="17"/>
      <c r="D685" s="17"/>
      <c r="E685" s="17"/>
      <c r="F685" s="17"/>
      <c r="G685" s="17"/>
      <c r="H685" s="17"/>
    </row>
    <row r="686" spans="1:8" x14ac:dyDescent="0.2">
      <c r="A686" s="17"/>
      <c r="B686" s="17"/>
      <c r="C686" s="17"/>
      <c r="D686" s="17"/>
      <c r="E686" s="17"/>
      <c r="F686" s="17"/>
      <c r="G686" s="17"/>
      <c r="H686" s="17"/>
    </row>
    <row r="687" spans="1:8" x14ac:dyDescent="0.2">
      <c r="A687" s="17"/>
      <c r="B687" s="17"/>
      <c r="C687" s="17"/>
      <c r="D687" s="17"/>
      <c r="E687" s="17"/>
      <c r="F687" s="17"/>
      <c r="G687" s="17"/>
      <c r="H687" s="17"/>
    </row>
    <row r="688" spans="1:8" x14ac:dyDescent="0.2">
      <c r="A688" s="17"/>
      <c r="B688" s="17"/>
      <c r="C688" s="17"/>
      <c r="D688" s="17"/>
      <c r="E688" s="17"/>
      <c r="F688" s="17"/>
      <c r="G688" s="17"/>
      <c r="H688" s="17"/>
    </row>
    <row r="689" spans="1:8" x14ac:dyDescent="0.2">
      <c r="A689" s="17"/>
      <c r="B689" s="17"/>
      <c r="C689" s="17"/>
      <c r="D689" s="17"/>
      <c r="E689" s="17"/>
      <c r="F689" s="17"/>
      <c r="G689" s="17"/>
      <c r="H689" s="17"/>
    </row>
    <row r="690" spans="1:8" x14ac:dyDescent="0.2">
      <c r="A690" s="17"/>
      <c r="B690" s="17"/>
      <c r="C690" s="17"/>
      <c r="D690" s="17"/>
      <c r="E690" s="17"/>
      <c r="F690" s="17"/>
      <c r="G690" s="17"/>
      <c r="H690" s="17"/>
    </row>
    <row r="691" spans="1:8" x14ac:dyDescent="0.2">
      <c r="A691" s="17"/>
      <c r="B691" s="17"/>
      <c r="C691" s="17"/>
      <c r="D691" s="17"/>
      <c r="E691" s="17"/>
      <c r="F691" s="17"/>
      <c r="G691" s="17"/>
      <c r="H691" s="17"/>
    </row>
    <row r="692" spans="1:8" x14ac:dyDescent="0.2">
      <c r="A692" s="17"/>
      <c r="B692" s="17"/>
      <c r="C692" s="17"/>
      <c r="D692" s="17"/>
      <c r="E692" s="17"/>
      <c r="F692" s="17"/>
      <c r="G692" s="17"/>
      <c r="H692" s="17"/>
    </row>
    <row r="693" spans="1:8" x14ac:dyDescent="0.2">
      <c r="A693" s="17"/>
      <c r="B693" s="17"/>
      <c r="C693" s="17"/>
      <c r="D693" s="17"/>
      <c r="E693" s="17"/>
      <c r="F693" s="17"/>
      <c r="G693" s="17"/>
      <c r="H693" s="17"/>
    </row>
    <row r="694" spans="1:8" x14ac:dyDescent="0.2">
      <c r="A694" s="17"/>
      <c r="B694" s="17"/>
      <c r="C694" s="17"/>
      <c r="D694" s="17"/>
      <c r="E694" s="17"/>
      <c r="F694" s="17"/>
      <c r="G694" s="17"/>
      <c r="H694" s="17"/>
    </row>
    <row r="695" spans="1:8" x14ac:dyDescent="0.2">
      <c r="A695" s="17"/>
      <c r="B695" s="17"/>
      <c r="C695" s="17"/>
      <c r="D695" s="17"/>
      <c r="E695" s="17"/>
      <c r="F695" s="17"/>
      <c r="G695" s="17"/>
      <c r="H695" s="17"/>
    </row>
    <row r="696" spans="1:8" x14ac:dyDescent="0.2">
      <c r="A696" s="17"/>
      <c r="B696" s="17"/>
      <c r="C696" s="17"/>
      <c r="D696" s="17"/>
      <c r="E696" s="17"/>
      <c r="F696" s="17"/>
      <c r="G696" s="17"/>
      <c r="H696" s="17"/>
    </row>
    <row r="697" spans="1:8" x14ac:dyDescent="0.2">
      <c r="A697" s="17"/>
      <c r="B697" s="17"/>
      <c r="C697" s="17"/>
      <c r="D697" s="17"/>
      <c r="E697" s="17"/>
      <c r="F697" s="17"/>
      <c r="G697" s="17"/>
      <c r="H697" s="17"/>
    </row>
    <row r="698" spans="1:8" x14ac:dyDescent="0.2">
      <c r="A698" s="17"/>
      <c r="B698" s="17"/>
      <c r="C698" s="17"/>
      <c r="D698" s="17"/>
      <c r="E698" s="17"/>
      <c r="F698" s="17"/>
      <c r="G698" s="17"/>
      <c r="H698" s="17"/>
    </row>
    <row r="699" spans="1:8" x14ac:dyDescent="0.2">
      <c r="A699" s="17"/>
      <c r="B699" s="17"/>
      <c r="C699" s="17"/>
      <c r="D699" s="17"/>
      <c r="E699" s="17"/>
      <c r="F699" s="17"/>
      <c r="G699" s="17"/>
      <c r="H699" s="17"/>
    </row>
    <row r="700" spans="1:8" x14ac:dyDescent="0.2">
      <c r="A700" s="17"/>
      <c r="B700" s="17"/>
      <c r="C700" s="17"/>
      <c r="D700" s="17"/>
      <c r="E700" s="17"/>
      <c r="F700" s="17"/>
      <c r="G700" s="17"/>
      <c r="H700" s="17"/>
    </row>
    <row r="701" spans="1:8" x14ac:dyDescent="0.2">
      <c r="A701" s="17"/>
      <c r="B701" s="17"/>
      <c r="C701" s="17"/>
      <c r="D701" s="17"/>
      <c r="E701" s="17"/>
      <c r="F701" s="17"/>
      <c r="G701" s="17"/>
      <c r="H701" s="17"/>
    </row>
    <row r="702" spans="1:8" x14ac:dyDescent="0.2">
      <c r="A702" s="17"/>
      <c r="B702" s="17"/>
      <c r="C702" s="17"/>
      <c r="D702" s="17"/>
      <c r="E702" s="17"/>
      <c r="F702" s="17"/>
      <c r="G702" s="17"/>
      <c r="H702" s="17"/>
    </row>
    <row r="703" spans="1:8" x14ac:dyDescent="0.2">
      <c r="A703" s="17"/>
      <c r="B703" s="17"/>
      <c r="C703" s="17"/>
      <c r="D703" s="17"/>
      <c r="E703" s="17"/>
      <c r="F703" s="17"/>
      <c r="G703" s="17"/>
      <c r="H703" s="17"/>
    </row>
    <row r="704" spans="1:8" x14ac:dyDescent="0.2">
      <c r="A704" s="17"/>
      <c r="B704" s="17"/>
      <c r="C704" s="17"/>
      <c r="D704" s="17"/>
      <c r="E704" s="17"/>
      <c r="F704" s="17"/>
      <c r="G704" s="17"/>
      <c r="H704" s="17"/>
    </row>
    <row r="705" spans="1:8" x14ac:dyDescent="0.2">
      <c r="A705" s="17"/>
      <c r="B705" s="17"/>
      <c r="C705" s="17"/>
      <c r="D705" s="17"/>
      <c r="E705" s="17"/>
      <c r="F705" s="17"/>
      <c r="G705" s="17"/>
      <c r="H705" s="17"/>
    </row>
    <row r="706" spans="1:8" x14ac:dyDescent="0.2">
      <c r="A706" s="17"/>
      <c r="B706" s="17"/>
      <c r="C706" s="17"/>
      <c r="D706" s="17"/>
      <c r="E706" s="17"/>
      <c r="F706" s="17"/>
      <c r="G706" s="17"/>
      <c r="H706" s="17"/>
    </row>
    <row r="707" spans="1:8" x14ac:dyDescent="0.2">
      <c r="A707" s="17"/>
      <c r="B707" s="17"/>
      <c r="C707" s="17"/>
      <c r="D707" s="17"/>
      <c r="E707" s="17"/>
      <c r="F707" s="17"/>
      <c r="G707" s="17"/>
      <c r="H707" s="17"/>
    </row>
    <row r="708" spans="1:8" x14ac:dyDescent="0.2">
      <c r="A708" s="17"/>
      <c r="B708" s="17"/>
      <c r="C708" s="17"/>
      <c r="D708" s="17"/>
      <c r="E708" s="17"/>
      <c r="F708" s="17"/>
      <c r="G708" s="17"/>
      <c r="H708" s="17"/>
    </row>
    <row r="709" spans="1:8" x14ac:dyDescent="0.2">
      <c r="A709" s="17"/>
      <c r="B709" s="17"/>
      <c r="C709" s="17"/>
      <c r="D709" s="17"/>
      <c r="E709" s="17"/>
      <c r="F709" s="17"/>
      <c r="G709" s="17"/>
      <c r="H709" s="17"/>
    </row>
    <row r="710" spans="1:8" x14ac:dyDescent="0.2">
      <c r="A710" s="17"/>
      <c r="B710" s="17"/>
      <c r="C710" s="17"/>
      <c r="D710" s="17"/>
      <c r="E710" s="17"/>
      <c r="F710" s="17"/>
      <c r="G710" s="17"/>
      <c r="H710" s="17"/>
    </row>
    <row r="711" spans="1:8" x14ac:dyDescent="0.2">
      <c r="A711" s="17"/>
      <c r="B711" s="17"/>
      <c r="C711" s="17"/>
      <c r="D711" s="17"/>
      <c r="E711" s="17"/>
      <c r="F711" s="17"/>
      <c r="G711" s="17"/>
      <c r="H711" s="17"/>
    </row>
    <row r="712" spans="1:8" x14ac:dyDescent="0.2">
      <c r="A712" s="17"/>
      <c r="B712" s="17"/>
      <c r="C712" s="17"/>
      <c r="D712" s="17"/>
      <c r="E712" s="17"/>
      <c r="F712" s="17"/>
      <c r="G712" s="17"/>
      <c r="H712" s="17"/>
    </row>
    <row r="713" spans="1:8" x14ac:dyDescent="0.2">
      <c r="A713" s="17"/>
      <c r="B713" s="17"/>
      <c r="C713" s="17"/>
      <c r="D713" s="17"/>
      <c r="E713" s="17"/>
      <c r="F713" s="17"/>
      <c r="G713" s="17"/>
      <c r="H713" s="17"/>
    </row>
    <row r="714" spans="1:8" x14ac:dyDescent="0.2">
      <c r="A714" s="17"/>
      <c r="B714" s="17"/>
      <c r="C714" s="17"/>
      <c r="D714" s="17"/>
      <c r="E714" s="17"/>
      <c r="F714" s="17"/>
      <c r="G714" s="17"/>
      <c r="H714" s="17"/>
    </row>
    <row r="715" spans="1:8" x14ac:dyDescent="0.2">
      <c r="A715" s="17"/>
      <c r="B715" s="17"/>
      <c r="C715" s="17"/>
      <c r="D715" s="17"/>
      <c r="E715" s="17"/>
      <c r="F715" s="17"/>
      <c r="G715" s="17"/>
      <c r="H715" s="17"/>
    </row>
    <row r="716" spans="1:8" x14ac:dyDescent="0.2">
      <c r="A716" s="17"/>
      <c r="B716" s="17"/>
      <c r="C716" s="17"/>
      <c r="D716" s="17"/>
      <c r="E716" s="17"/>
      <c r="F716" s="17"/>
      <c r="G716" s="17"/>
      <c r="H716" s="17"/>
    </row>
    <row r="717" spans="1:8" x14ac:dyDescent="0.2">
      <c r="A717" s="17"/>
      <c r="B717" s="17"/>
      <c r="C717" s="17"/>
      <c r="D717" s="17"/>
      <c r="E717" s="17"/>
      <c r="F717" s="17"/>
      <c r="G717" s="17"/>
      <c r="H717" s="17"/>
    </row>
    <row r="718" spans="1:8" x14ac:dyDescent="0.2">
      <c r="A718" s="17"/>
      <c r="B718" s="17"/>
      <c r="C718" s="17"/>
      <c r="D718" s="17"/>
      <c r="E718" s="17"/>
      <c r="F718" s="17"/>
      <c r="G718" s="17"/>
      <c r="H718" s="17"/>
    </row>
    <row r="719" spans="1:8" x14ac:dyDescent="0.2">
      <c r="A719" s="17"/>
      <c r="B719" s="17"/>
      <c r="C719" s="17"/>
      <c r="D719" s="17"/>
      <c r="E719" s="17"/>
      <c r="F719" s="17"/>
      <c r="G719" s="17"/>
      <c r="H719" s="17"/>
    </row>
    <row r="720" spans="1:8" x14ac:dyDescent="0.2">
      <c r="A720" s="17"/>
      <c r="B720" s="17"/>
      <c r="C720" s="17"/>
      <c r="D720" s="17"/>
      <c r="E720" s="17"/>
      <c r="F720" s="17"/>
      <c r="G720" s="17"/>
      <c r="H720" s="17"/>
    </row>
    <row r="721" spans="1:8" x14ac:dyDescent="0.2">
      <c r="A721" s="17"/>
      <c r="B721" s="17"/>
      <c r="C721" s="17"/>
      <c r="D721" s="17"/>
      <c r="E721" s="17"/>
      <c r="F721" s="17"/>
      <c r="G721" s="17"/>
      <c r="H721" s="17"/>
    </row>
    <row r="722" spans="1:8" x14ac:dyDescent="0.2">
      <c r="A722" s="17"/>
      <c r="B722" s="17"/>
      <c r="C722" s="17"/>
      <c r="D722" s="17"/>
      <c r="E722" s="17"/>
      <c r="F722" s="17"/>
      <c r="G722" s="17"/>
      <c r="H722" s="17"/>
    </row>
    <row r="723" spans="1:8" x14ac:dyDescent="0.2">
      <c r="A723" s="17"/>
      <c r="B723" s="17"/>
      <c r="C723" s="17"/>
      <c r="D723" s="17"/>
      <c r="E723" s="17"/>
      <c r="F723" s="17"/>
      <c r="G723" s="17"/>
      <c r="H723" s="17"/>
    </row>
    <row r="724" spans="1:8" x14ac:dyDescent="0.2">
      <c r="A724" s="17"/>
      <c r="B724" s="17"/>
      <c r="C724" s="17"/>
      <c r="D724" s="17"/>
      <c r="E724" s="17"/>
      <c r="F724" s="17"/>
      <c r="G724" s="17"/>
      <c r="H724" s="17"/>
    </row>
    <row r="725" spans="1:8" x14ac:dyDescent="0.2">
      <c r="A725" s="17"/>
      <c r="B725" s="17"/>
      <c r="C725" s="17"/>
      <c r="D725" s="17"/>
      <c r="E725" s="17"/>
      <c r="F725" s="17"/>
      <c r="G725" s="17"/>
      <c r="H725" s="17"/>
    </row>
    <row r="726" spans="1:8" x14ac:dyDescent="0.2">
      <c r="A726" s="17"/>
      <c r="B726" s="17"/>
      <c r="C726" s="17"/>
      <c r="D726" s="17"/>
      <c r="E726" s="17"/>
      <c r="F726" s="17"/>
      <c r="G726" s="17"/>
      <c r="H726" s="17"/>
    </row>
    <row r="727" spans="1:8" x14ac:dyDescent="0.2">
      <c r="A727" s="17"/>
      <c r="B727" s="17"/>
      <c r="C727" s="17"/>
      <c r="D727" s="17"/>
      <c r="E727" s="17"/>
      <c r="F727" s="17"/>
      <c r="G727" s="17"/>
      <c r="H727" s="17"/>
    </row>
    <row r="728" spans="1:8" x14ac:dyDescent="0.2">
      <c r="A728" s="17"/>
      <c r="B728" s="17"/>
      <c r="C728" s="17"/>
      <c r="D728" s="17"/>
      <c r="E728" s="17"/>
      <c r="F728" s="17"/>
      <c r="G728" s="17"/>
      <c r="H728" s="17"/>
    </row>
    <row r="729" spans="1:8" x14ac:dyDescent="0.2">
      <c r="A729" s="17"/>
      <c r="B729" s="17"/>
      <c r="C729" s="17"/>
      <c r="D729" s="17"/>
      <c r="E729" s="17"/>
      <c r="F729" s="17"/>
      <c r="G729" s="17"/>
      <c r="H729" s="17"/>
    </row>
    <row r="730" spans="1:8" x14ac:dyDescent="0.2">
      <c r="A730" s="17"/>
      <c r="B730" s="17"/>
      <c r="C730" s="17"/>
      <c r="D730" s="17"/>
      <c r="E730" s="17"/>
      <c r="F730" s="17"/>
      <c r="G730" s="17"/>
      <c r="H730" s="17"/>
    </row>
    <row r="731" spans="1:8" x14ac:dyDescent="0.2">
      <c r="A731" s="17"/>
      <c r="B731" s="17"/>
      <c r="C731" s="17"/>
      <c r="D731" s="17"/>
      <c r="E731" s="17"/>
      <c r="F731" s="17"/>
      <c r="G731" s="17"/>
      <c r="H731" s="17"/>
    </row>
    <row r="732" spans="1:8" x14ac:dyDescent="0.2">
      <c r="A732" s="17"/>
      <c r="B732" s="17"/>
      <c r="C732" s="17"/>
      <c r="D732" s="17"/>
      <c r="E732" s="17"/>
      <c r="F732" s="17"/>
      <c r="G732" s="17"/>
      <c r="H732" s="17"/>
    </row>
    <row r="733" spans="1:8" x14ac:dyDescent="0.2">
      <c r="A733" s="17"/>
      <c r="B733" s="17"/>
      <c r="C733" s="17"/>
      <c r="D733" s="17"/>
      <c r="E733" s="17"/>
      <c r="F733" s="17"/>
      <c r="G733" s="17"/>
      <c r="H733" s="17"/>
    </row>
    <row r="734" spans="1:8" x14ac:dyDescent="0.2">
      <c r="A734" s="17"/>
      <c r="B734" s="17"/>
      <c r="C734" s="17"/>
      <c r="D734" s="17"/>
      <c r="E734" s="17"/>
      <c r="F734" s="17"/>
      <c r="G734" s="17"/>
      <c r="H734" s="17"/>
    </row>
    <row r="735" spans="1:8" x14ac:dyDescent="0.2">
      <c r="A735" s="17"/>
      <c r="B735" s="17"/>
      <c r="C735" s="17"/>
      <c r="D735" s="17"/>
      <c r="E735" s="17"/>
      <c r="F735" s="17"/>
      <c r="G735" s="17"/>
      <c r="H735" s="17"/>
    </row>
    <row r="736" spans="1:8" x14ac:dyDescent="0.2">
      <c r="A736" s="17"/>
      <c r="B736" s="17"/>
      <c r="C736" s="17"/>
      <c r="D736" s="17"/>
      <c r="E736" s="17"/>
      <c r="F736" s="17"/>
      <c r="G736" s="17"/>
      <c r="H736" s="17"/>
    </row>
    <row r="737" spans="1:8" x14ac:dyDescent="0.2">
      <c r="A737" s="17"/>
      <c r="B737" s="17"/>
      <c r="C737" s="17"/>
      <c r="D737" s="17"/>
      <c r="E737" s="17"/>
      <c r="F737" s="17"/>
      <c r="G737" s="17"/>
      <c r="H737" s="17"/>
    </row>
    <row r="738" spans="1:8" x14ac:dyDescent="0.2">
      <c r="A738" s="17"/>
      <c r="B738" s="17"/>
      <c r="C738" s="17"/>
      <c r="D738" s="17"/>
      <c r="E738" s="17"/>
      <c r="F738" s="17"/>
      <c r="G738" s="17"/>
      <c r="H738" s="17"/>
    </row>
    <row r="739" spans="1:8" x14ac:dyDescent="0.2">
      <c r="A739" s="17"/>
      <c r="B739" s="17"/>
      <c r="C739" s="17"/>
      <c r="D739" s="17"/>
      <c r="E739" s="17"/>
      <c r="F739" s="17"/>
      <c r="G739" s="17"/>
      <c r="H739" s="17"/>
    </row>
    <row r="740" spans="1:8" x14ac:dyDescent="0.2">
      <c r="A740" s="17"/>
      <c r="B740" s="17"/>
      <c r="C740" s="17"/>
      <c r="D740" s="17"/>
      <c r="E740" s="17"/>
      <c r="F740" s="17"/>
      <c r="G740" s="17"/>
      <c r="H740" s="17"/>
    </row>
    <row r="741" spans="1:8" x14ac:dyDescent="0.2">
      <c r="A741" s="17"/>
      <c r="B741" s="17"/>
      <c r="C741" s="17"/>
      <c r="D741" s="17"/>
      <c r="E741" s="17"/>
      <c r="F741" s="17"/>
      <c r="G741" s="17"/>
      <c r="H741" s="17"/>
    </row>
    <row r="742" spans="1:8" x14ac:dyDescent="0.2">
      <c r="A742" s="17"/>
      <c r="B742" s="17"/>
      <c r="C742" s="17"/>
      <c r="D742" s="17"/>
      <c r="E742" s="17"/>
      <c r="F742" s="17"/>
      <c r="G742" s="17"/>
      <c r="H742" s="17"/>
    </row>
    <row r="743" spans="1:8" x14ac:dyDescent="0.2">
      <c r="A743" s="17"/>
      <c r="B743" s="17"/>
      <c r="C743" s="17"/>
      <c r="D743" s="17"/>
      <c r="E743" s="17"/>
      <c r="F743" s="17"/>
      <c r="G743" s="17"/>
      <c r="H743" s="17"/>
    </row>
    <row r="744" spans="1:8" x14ac:dyDescent="0.2">
      <c r="A744" s="17"/>
      <c r="B744" s="17"/>
      <c r="C744" s="17"/>
      <c r="D744" s="17"/>
      <c r="E744" s="17"/>
      <c r="F744" s="17"/>
      <c r="G744" s="17"/>
      <c r="H744" s="17"/>
    </row>
    <row r="745" spans="1:8" x14ac:dyDescent="0.2">
      <c r="A745" s="17"/>
      <c r="B745" s="17"/>
      <c r="C745" s="17"/>
      <c r="D745" s="17"/>
      <c r="E745" s="17"/>
      <c r="F745" s="17"/>
      <c r="G745" s="17"/>
      <c r="H745" s="17"/>
    </row>
    <row r="746" spans="1:8" x14ac:dyDescent="0.2">
      <c r="A746" s="17"/>
      <c r="B746" s="17"/>
      <c r="C746" s="17"/>
      <c r="D746" s="17"/>
      <c r="E746" s="17"/>
      <c r="F746" s="17"/>
      <c r="G746" s="17"/>
      <c r="H746" s="17"/>
    </row>
    <row r="747" spans="1:8" x14ac:dyDescent="0.2">
      <c r="A747" s="17"/>
      <c r="B747" s="17"/>
      <c r="C747" s="17"/>
      <c r="D747" s="17"/>
      <c r="E747" s="17"/>
      <c r="F747" s="17"/>
      <c r="G747" s="17"/>
      <c r="H747" s="17"/>
    </row>
    <row r="748" spans="1:8" x14ac:dyDescent="0.2">
      <c r="A748" s="17"/>
      <c r="B748" s="17"/>
      <c r="C748" s="17"/>
      <c r="D748" s="17"/>
      <c r="E748" s="17"/>
      <c r="F748" s="17"/>
      <c r="G748" s="17"/>
      <c r="H748" s="17"/>
    </row>
    <row r="749" spans="1:8" x14ac:dyDescent="0.2">
      <c r="A749" s="17"/>
      <c r="B749" s="17"/>
      <c r="C749" s="17"/>
      <c r="D749" s="17"/>
      <c r="E749" s="17"/>
      <c r="F749" s="17"/>
      <c r="G749" s="17"/>
      <c r="H749" s="17"/>
    </row>
    <row r="750" spans="1:8" x14ac:dyDescent="0.2">
      <c r="A750" s="17"/>
      <c r="B750" s="17"/>
      <c r="C750" s="17"/>
      <c r="D750" s="17"/>
      <c r="E750" s="17"/>
      <c r="F750" s="17"/>
      <c r="G750" s="17"/>
      <c r="H750" s="17"/>
    </row>
    <row r="751" spans="1:8" x14ac:dyDescent="0.2">
      <c r="A751" s="17"/>
      <c r="B751" s="17"/>
      <c r="C751" s="17"/>
      <c r="D751" s="17"/>
      <c r="E751" s="17"/>
      <c r="F751" s="17"/>
      <c r="G751" s="17"/>
      <c r="H751" s="17"/>
    </row>
    <row r="752" spans="1:8" x14ac:dyDescent="0.2">
      <c r="A752" s="17"/>
      <c r="B752" s="17"/>
      <c r="C752" s="17"/>
      <c r="D752" s="17"/>
      <c r="E752" s="17"/>
      <c r="F752" s="17"/>
      <c r="G752" s="17"/>
      <c r="H752" s="17"/>
    </row>
    <row r="753" spans="1:8" x14ac:dyDescent="0.2">
      <c r="A753" s="17"/>
      <c r="B753" s="17"/>
      <c r="C753" s="17"/>
      <c r="D753" s="17"/>
      <c r="E753" s="17"/>
      <c r="F753" s="17"/>
      <c r="G753" s="17"/>
      <c r="H753" s="17"/>
    </row>
    <row r="754" spans="1:8" x14ac:dyDescent="0.2">
      <c r="A754" s="17"/>
      <c r="B754" s="17"/>
      <c r="C754" s="17"/>
      <c r="D754" s="17"/>
      <c r="E754" s="17"/>
      <c r="F754" s="17"/>
      <c r="G754" s="17"/>
      <c r="H754" s="17"/>
    </row>
    <row r="755" spans="1:8" x14ac:dyDescent="0.2">
      <c r="A755" s="17"/>
      <c r="B755" s="17"/>
      <c r="C755" s="17"/>
      <c r="D755" s="17"/>
      <c r="E755" s="17"/>
      <c r="F755" s="17"/>
      <c r="G755" s="17"/>
      <c r="H755" s="17"/>
    </row>
    <row r="756" spans="1:8" x14ac:dyDescent="0.2">
      <c r="A756" s="17"/>
      <c r="B756" s="17"/>
      <c r="C756" s="17"/>
      <c r="D756" s="17"/>
      <c r="E756" s="17"/>
      <c r="F756" s="17"/>
      <c r="G756" s="17"/>
      <c r="H756" s="17"/>
    </row>
    <row r="757" spans="1:8" x14ac:dyDescent="0.2">
      <c r="A757" s="17"/>
      <c r="B757" s="17"/>
      <c r="C757" s="17"/>
      <c r="D757" s="17"/>
      <c r="E757" s="17"/>
      <c r="F757" s="17"/>
      <c r="G757" s="17"/>
      <c r="H757" s="17"/>
    </row>
    <row r="758" spans="1:8" x14ac:dyDescent="0.2">
      <c r="A758" s="17"/>
      <c r="B758" s="17"/>
      <c r="C758" s="17"/>
      <c r="D758" s="17"/>
      <c r="E758" s="17"/>
      <c r="F758" s="17"/>
      <c r="G758" s="17"/>
      <c r="H758" s="17"/>
    </row>
    <row r="759" spans="1:8" x14ac:dyDescent="0.2">
      <c r="A759" s="17"/>
      <c r="B759" s="17"/>
      <c r="C759" s="17"/>
      <c r="D759" s="17"/>
      <c r="E759" s="17"/>
      <c r="F759" s="17"/>
      <c r="G759" s="17"/>
      <c r="H759" s="17"/>
    </row>
    <row r="760" spans="1:8" x14ac:dyDescent="0.2">
      <c r="A760" s="17"/>
      <c r="B760" s="17"/>
      <c r="C760" s="17"/>
      <c r="D760" s="17"/>
      <c r="E760" s="17"/>
      <c r="F760" s="17"/>
      <c r="G760" s="17"/>
      <c r="H760" s="17"/>
    </row>
    <row r="761" spans="1:8" x14ac:dyDescent="0.2">
      <c r="A761" s="17"/>
      <c r="B761" s="17"/>
      <c r="C761" s="17"/>
      <c r="D761" s="17"/>
      <c r="E761" s="17"/>
      <c r="F761" s="17"/>
      <c r="G761" s="17"/>
      <c r="H761" s="17"/>
    </row>
    <row r="762" spans="1:8" x14ac:dyDescent="0.2">
      <c r="A762" s="17"/>
      <c r="B762" s="17"/>
      <c r="C762" s="17"/>
      <c r="D762" s="17"/>
      <c r="E762" s="17"/>
      <c r="F762" s="17"/>
      <c r="G762" s="17"/>
      <c r="H762" s="17"/>
    </row>
    <row r="763" spans="1:8" x14ac:dyDescent="0.2">
      <c r="A763" s="17"/>
      <c r="B763" s="17"/>
      <c r="C763" s="17"/>
      <c r="D763" s="17"/>
      <c r="E763" s="17"/>
      <c r="F763" s="17"/>
      <c r="G763" s="17"/>
      <c r="H763" s="17"/>
    </row>
    <row r="764" spans="1:8" x14ac:dyDescent="0.2">
      <c r="A764" s="17"/>
      <c r="B764" s="17"/>
      <c r="C764" s="17"/>
      <c r="D764" s="17"/>
      <c r="E764" s="17"/>
      <c r="F764" s="17"/>
      <c r="G764" s="17"/>
      <c r="H764" s="17"/>
    </row>
    <row r="765" spans="1:8" x14ac:dyDescent="0.2">
      <c r="A765" s="17"/>
      <c r="B765" s="17"/>
      <c r="C765" s="17"/>
      <c r="D765" s="17"/>
      <c r="E765" s="17"/>
      <c r="F765" s="17"/>
      <c r="G765" s="17"/>
      <c r="H765" s="17"/>
    </row>
    <row r="766" spans="1:8" x14ac:dyDescent="0.2">
      <c r="A766" s="17"/>
      <c r="B766" s="17"/>
      <c r="C766" s="17"/>
      <c r="D766" s="17"/>
      <c r="E766" s="17"/>
      <c r="F766" s="17"/>
      <c r="G766" s="17"/>
      <c r="H766" s="17"/>
    </row>
    <row r="767" spans="1:8" x14ac:dyDescent="0.2">
      <c r="A767" s="17"/>
      <c r="B767" s="17"/>
      <c r="C767" s="17"/>
      <c r="D767" s="17"/>
      <c r="E767" s="17"/>
      <c r="F767" s="17"/>
      <c r="G767" s="17"/>
      <c r="H767" s="17"/>
    </row>
    <row r="768" spans="1:8" x14ac:dyDescent="0.2">
      <c r="A768" s="17"/>
      <c r="B768" s="17"/>
      <c r="C768" s="17"/>
      <c r="D768" s="17"/>
      <c r="E768" s="17"/>
      <c r="F768" s="17"/>
      <c r="G768" s="17"/>
      <c r="H768" s="17"/>
    </row>
    <row r="769" spans="1:8" x14ac:dyDescent="0.2">
      <c r="A769" s="17"/>
      <c r="B769" s="17"/>
      <c r="C769" s="17"/>
      <c r="D769" s="17"/>
      <c r="E769" s="17"/>
      <c r="F769" s="17"/>
      <c r="G769" s="17"/>
      <c r="H769" s="17"/>
    </row>
    <row r="770" spans="1:8" x14ac:dyDescent="0.2">
      <c r="A770" s="17"/>
      <c r="B770" s="17"/>
      <c r="C770" s="17"/>
      <c r="D770" s="17"/>
      <c r="E770" s="17"/>
      <c r="F770" s="17"/>
      <c r="G770" s="17"/>
      <c r="H770" s="17"/>
    </row>
    <row r="771" spans="1:8" x14ac:dyDescent="0.2">
      <c r="A771" s="17"/>
      <c r="B771" s="17"/>
      <c r="C771" s="17"/>
      <c r="D771" s="17"/>
      <c r="E771" s="17"/>
      <c r="F771" s="17"/>
      <c r="G771" s="17"/>
      <c r="H771" s="17"/>
    </row>
    <row r="772" spans="1:8" x14ac:dyDescent="0.2">
      <c r="A772" s="17"/>
      <c r="B772" s="17"/>
      <c r="C772" s="17"/>
      <c r="D772" s="17"/>
      <c r="E772" s="17"/>
      <c r="F772" s="17"/>
      <c r="G772" s="17"/>
      <c r="H772" s="17"/>
    </row>
    <row r="773" spans="1:8" x14ac:dyDescent="0.2">
      <c r="A773" s="17"/>
      <c r="B773" s="17"/>
      <c r="C773" s="17"/>
      <c r="D773" s="17"/>
      <c r="E773" s="17"/>
      <c r="F773" s="17"/>
      <c r="G773" s="17"/>
      <c r="H773" s="17"/>
    </row>
    <row r="774" spans="1:8" x14ac:dyDescent="0.2">
      <c r="A774" s="17"/>
      <c r="B774" s="17"/>
      <c r="C774" s="17"/>
      <c r="D774" s="17"/>
      <c r="E774" s="17"/>
      <c r="F774" s="17"/>
      <c r="G774" s="17"/>
      <c r="H774" s="17"/>
    </row>
    <row r="775" spans="1:8" x14ac:dyDescent="0.2">
      <c r="A775" s="17"/>
      <c r="B775" s="17"/>
      <c r="C775" s="17"/>
      <c r="D775" s="17"/>
      <c r="E775" s="17"/>
      <c r="F775" s="17"/>
      <c r="G775" s="17"/>
      <c r="H775" s="17"/>
    </row>
    <row r="776" spans="1:8" x14ac:dyDescent="0.2">
      <c r="A776" s="17"/>
      <c r="B776" s="17"/>
      <c r="C776" s="17"/>
      <c r="D776" s="17"/>
      <c r="E776" s="17"/>
      <c r="F776" s="17"/>
      <c r="G776" s="17"/>
      <c r="H776" s="17"/>
    </row>
    <row r="777" spans="1:8" x14ac:dyDescent="0.2">
      <c r="A777" s="17"/>
      <c r="B777" s="17"/>
      <c r="C777" s="17"/>
      <c r="D777" s="17"/>
      <c r="E777" s="17"/>
      <c r="F777" s="17"/>
      <c r="G777" s="17"/>
      <c r="H777" s="17"/>
    </row>
    <row r="778" spans="1:8" x14ac:dyDescent="0.2">
      <c r="A778" s="17"/>
      <c r="B778" s="17"/>
      <c r="C778" s="17"/>
      <c r="D778" s="17"/>
      <c r="E778" s="17"/>
      <c r="F778" s="17"/>
      <c r="G778" s="17"/>
      <c r="H778" s="17"/>
    </row>
    <row r="779" spans="1:8" x14ac:dyDescent="0.2">
      <c r="A779" s="17"/>
      <c r="B779" s="17"/>
      <c r="C779" s="17"/>
      <c r="D779" s="17"/>
      <c r="E779" s="17"/>
      <c r="F779" s="17"/>
      <c r="G779" s="17"/>
      <c r="H779" s="17"/>
    </row>
    <row r="780" spans="1:8" x14ac:dyDescent="0.2">
      <c r="A780" s="17"/>
      <c r="B780" s="17"/>
      <c r="C780" s="17"/>
      <c r="D780" s="17"/>
      <c r="E780" s="17"/>
      <c r="F780" s="17"/>
      <c r="G780" s="17"/>
      <c r="H780" s="17"/>
    </row>
    <row r="781" spans="1:8" x14ac:dyDescent="0.2">
      <c r="A781" s="17"/>
      <c r="B781" s="17"/>
      <c r="C781" s="17"/>
      <c r="D781" s="17"/>
      <c r="E781" s="17"/>
      <c r="F781" s="17"/>
      <c r="G781" s="17"/>
      <c r="H781" s="17"/>
    </row>
    <row r="782" spans="1:8" x14ac:dyDescent="0.2">
      <c r="A782" s="17"/>
      <c r="B782" s="17"/>
      <c r="C782" s="17"/>
      <c r="D782" s="17"/>
      <c r="E782" s="17"/>
      <c r="F782" s="17"/>
      <c r="G782" s="17"/>
      <c r="H782" s="17"/>
    </row>
    <row r="783" spans="1:8" x14ac:dyDescent="0.2">
      <c r="A783" s="17"/>
      <c r="B783" s="17"/>
      <c r="C783" s="17"/>
      <c r="D783" s="17"/>
      <c r="E783" s="17"/>
      <c r="F783" s="17"/>
      <c r="G783" s="17"/>
      <c r="H783" s="17"/>
    </row>
    <row r="784" spans="1:8" x14ac:dyDescent="0.2">
      <c r="A784" s="17"/>
      <c r="B784" s="17"/>
      <c r="C784" s="17"/>
      <c r="D784" s="17"/>
      <c r="E784" s="17"/>
      <c r="F784" s="17"/>
      <c r="G784" s="17"/>
      <c r="H784" s="17"/>
    </row>
    <row r="785" spans="1:8" x14ac:dyDescent="0.2">
      <c r="A785" s="17"/>
      <c r="B785" s="17"/>
      <c r="C785" s="17"/>
      <c r="D785" s="17"/>
      <c r="E785" s="17"/>
      <c r="F785" s="17"/>
      <c r="G785" s="17"/>
      <c r="H785" s="17"/>
    </row>
    <row r="786" spans="1:8" x14ac:dyDescent="0.2">
      <c r="A786" s="17"/>
      <c r="B786" s="17"/>
      <c r="C786" s="17"/>
      <c r="D786" s="17"/>
      <c r="E786" s="17"/>
      <c r="F786" s="17"/>
      <c r="G786" s="17"/>
      <c r="H786" s="17"/>
    </row>
    <row r="787" spans="1:8" x14ac:dyDescent="0.2">
      <c r="A787" s="17"/>
      <c r="B787" s="17"/>
      <c r="C787" s="17"/>
      <c r="D787" s="17"/>
      <c r="E787" s="17"/>
      <c r="F787" s="17"/>
      <c r="G787" s="17"/>
      <c r="H787" s="17"/>
    </row>
    <row r="788" spans="1:8" x14ac:dyDescent="0.2">
      <c r="A788" s="17"/>
      <c r="B788" s="17"/>
      <c r="C788" s="17"/>
      <c r="D788" s="17"/>
      <c r="E788" s="17"/>
      <c r="F788" s="17"/>
      <c r="G788" s="17"/>
      <c r="H788" s="17"/>
    </row>
    <row r="789" spans="1:8" x14ac:dyDescent="0.2">
      <c r="A789" s="17"/>
      <c r="B789" s="17"/>
      <c r="C789" s="17"/>
      <c r="D789" s="17"/>
      <c r="E789" s="17"/>
      <c r="F789" s="17"/>
      <c r="G789" s="17"/>
      <c r="H789" s="17"/>
    </row>
    <row r="790" spans="1:8" x14ac:dyDescent="0.2">
      <c r="A790" s="17"/>
      <c r="B790" s="17"/>
      <c r="C790" s="17"/>
      <c r="D790" s="17"/>
      <c r="E790" s="17"/>
      <c r="F790" s="17"/>
      <c r="G790" s="17"/>
      <c r="H790" s="17"/>
    </row>
    <row r="791" spans="1:8" x14ac:dyDescent="0.2">
      <c r="A791" s="17"/>
      <c r="B791" s="17"/>
      <c r="C791" s="17"/>
      <c r="D791" s="17"/>
      <c r="E791" s="17"/>
      <c r="F791" s="17"/>
      <c r="G791" s="17"/>
      <c r="H791" s="17"/>
    </row>
    <row r="792" spans="1:8" x14ac:dyDescent="0.2">
      <c r="A792" s="17"/>
      <c r="B792" s="17"/>
      <c r="C792" s="17"/>
      <c r="D792" s="17"/>
      <c r="E792" s="17"/>
      <c r="F792" s="17"/>
      <c r="G792" s="17"/>
      <c r="H792" s="17"/>
    </row>
    <row r="793" spans="1:8" x14ac:dyDescent="0.2">
      <c r="A793" s="17"/>
      <c r="B793" s="17"/>
      <c r="C793" s="17"/>
      <c r="D793" s="17"/>
      <c r="E793" s="17"/>
      <c r="F793" s="17"/>
      <c r="G793" s="17"/>
      <c r="H793" s="17"/>
    </row>
    <row r="794" spans="1:8" x14ac:dyDescent="0.2">
      <c r="A794" s="17"/>
      <c r="B794" s="17"/>
      <c r="C794" s="17"/>
      <c r="D794" s="17"/>
      <c r="E794" s="17"/>
      <c r="F794" s="17"/>
      <c r="G794" s="17"/>
      <c r="H794" s="17"/>
    </row>
    <row r="795" spans="1:8" x14ac:dyDescent="0.2">
      <c r="A795" s="17"/>
      <c r="B795" s="17"/>
      <c r="C795" s="17"/>
      <c r="D795" s="17"/>
      <c r="E795" s="17"/>
      <c r="F795" s="17"/>
      <c r="G795" s="17"/>
      <c r="H795" s="17"/>
    </row>
    <row r="796" spans="1:8" x14ac:dyDescent="0.2">
      <c r="A796" s="17"/>
      <c r="B796" s="17"/>
      <c r="C796" s="17"/>
      <c r="D796" s="17"/>
      <c r="E796" s="17"/>
      <c r="F796" s="17"/>
      <c r="G796" s="17"/>
      <c r="H796" s="17"/>
    </row>
    <row r="797" spans="1:8" x14ac:dyDescent="0.2">
      <c r="A797" s="17"/>
      <c r="B797" s="17"/>
      <c r="C797" s="17"/>
      <c r="D797" s="17"/>
      <c r="E797" s="17"/>
      <c r="F797" s="17"/>
      <c r="G797" s="17"/>
      <c r="H797" s="17"/>
    </row>
    <row r="798" spans="1:8" x14ac:dyDescent="0.2">
      <c r="A798" s="17"/>
      <c r="B798" s="17"/>
      <c r="C798" s="17"/>
      <c r="D798" s="17"/>
      <c r="E798" s="17"/>
      <c r="F798" s="17"/>
      <c r="G798" s="17"/>
      <c r="H798" s="17"/>
    </row>
    <row r="799" spans="1:8" x14ac:dyDescent="0.2">
      <c r="A799" s="17"/>
      <c r="B799" s="17"/>
      <c r="C799" s="17"/>
      <c r="D799" s="17"/>
      <c r="E799" s="17"/>
      <c r="F799" s="17"/>
      <c r="G799" s="17"/>
      <c r="H799" s="17"/>
    </row>
    <row r="800" spans="1:8" x14ac:dyDescent="0.2">
      <c r="A800" s="17"/>
      <c r="B800" s="17"/>
      <c r="C800" s="17"/>
      <c r="D800" s="17"/>
      <c r="E800" s="17"/>
      <c r="F800" s="17"/>
      <c r="G800" s="17"/>
      <c r="H800" s="17"/>
    </row>
    <row r="801" spans="1:8" x14ac:dyDescent="0.2">
      <c r="A801" s="17"/>
      <c r="B801" s="17"/>
      <c r="C801" s="17"/>
      <c r="D801" s="17"/>
      <c r="E801" s="17"/>
      <c r="F801" s="17"/>
      <c r="G801" s="17"/>
      <c r="H801" s="17"/>
    </row>
    <row r="802" spans="1:8" x14ac:dyDescent="0.2">
      <c r="A802" s="17"/>
      <c r="B802" s="17"/>
      <c r="C802" s="17"/>
      <c r="D802" s="17"/>
      <c r="E802" s="17"/>
      <c r="F802" s="17"/>
      <c r="G802" s="17"/>
      <c r="H802" s="17"/>
    </row>
    <row r="803" spans="1:8" x14ac:dyDescent="0.2">
      <c r="A803" s="17"/>
      <c r="B803" s="17"/>
      <c r="C803" s="17"/>
      <c r="D803" s="17"/>
      <c r="E803" s="17"/>
      <c r="F803" s="17"/>
      <c r="G803" s="17"/>
      <c r="H803" s="17"/>
    </row>
    <row r="804" spans="1:8" x14ac:dyDescent="0.2">
      <c r="A804" s="17"/>
      <c r="B804" s="17"/>
      <c r="C804" s="17"/>
      <c r="D804" s="17"/>
      <c r="E804" s="17"/>
      <c r="F804" s="17"/>
      <c r="G804" s="17"/>
      <c r="H804" s="17"/>
    </row>
    <row r="805" spans="1:8" x14ac:dyDescent="0.2">
      <c r="A805" s="17"/>
      <c r="B805" s="17"/>
      <c r="C805" s="17"/>
      <c r="D805" s="17"/>
      <c r="E805" s="17"/>
      <c r="F805" s="17"/>
      <c r="G805" s="17"/>
      <c r="H805" s="17"/>
    </row>
    <row r="806" spans="1:8" x14ac:dyDescent="0.2">
      <c r="A806" s="17"/>
      <c r="B806" s="17"/>
      <c r="C806" s="17"/>
      <c r="D806" s="17"/>
      <c r="E806" s="17"/>
      <c r="F806" s="17"/>
      <c r="G806" s="17"/>
      <c r="H806" s="17"/>
    </row>
    <row r="807" spans="1:8" x14ac:dyDescent="0.2">
      <c r="A807" s="17"/>
      <c r="B807" s="17"/>
      <c r="C807" s="17"/>
      <c r="D807" s="17"/>
      <c r="E807" s="17"/>
      <c r="F807" s="17"/>
      <c r="G807" s="17"/>
      <c r="H807" s="17"/>
    </row>
    <row r="808" spans="1:8" x14ac:dyDescent="0.2">
      <c r="A808" s="17"/>
      <c r="B808" s="17"/>
      <c r="C808" s="17"/>
      <c r="D808" s="17"/>
      <c r="E808" s="17"/>
      <c r="F808" s="17"/>
      <c r="G808" s="17"/>
      <c r="H808" s="17"/>
    </row>
    <row r="809" spans="1:8" x14ac:dyDescent="0.2">
      <c r="A809" s="17"/>
      <c r="B809" s="17"/>
      <c r="C809" s="17"/>
      <c r="D809" s="17"/>
      <c r="E809" s="17"/>
      <c r="F809" s="17"/>
      <c r="G809" s="17"/>
      <c r="H809" s="17"/>
    </row>
    <row r="810" spans="1:8" x14ac:dyDescent="0.2">
      <c r="A810" s="17"/>
      <c r="B810" s="17"/>
      <c r="C810" s="17"/>
      <c r="D810" s="17"/>
      <c r="E810" s="17"/>
      <c r="F810" s="17"/>
      <c r="G810" s="17"/>
      <c r="H810" s="17"/>
    </row>
    <row r="811" spans="1:8" x14ac:dyDescent="0.2">
      <c r="A811" s="17"/>
      <c r="B811" s="17"/>
      <c r="C811" s="17"/>
      <c r="D811" s="17"/>
      <c r="E811" s="17"/>
      <c r="F811" s="17"/>
      <c r="G811" s="17"/>
      <c r="H811" s="17"/>
    </row>
    <row r="812" spans="1:8" x14ac:dyDescent="0.2">
      <c r="A812" s="17"/>
      <c r="B812" s="17"/>
      <c r="C812" s="17"/>
      <c r="D812" s="17"/>
      <c r="E812" s="17"/>
      <c r="F812" s="17"/>
      <c r="G812" s="17"/>
      <c r="H812" s="17"/>
    </row>
    <row r="813" spans="1:8" x14ac:dyDescent="0.2">
      <c r="A813" s="17"/>
      <c r="B813" s="17"/>
      <c r="C813" s="17"/>
      <c r="D813" s="17"/>
      <c r="E813" s="17"/>
      <c r="F813" s="17"/>
      <c r="G813" s="17"/>
      <c r="H813" s="17"/>
    </row>
    <row r="814" spans="1:8" x14ac:dyDescent="0.2">
      <c r="A814" s="17"/>
      <c r="B814" s="17"/>
      <c r="C814" s="17"/>
      <c r="D814" s="17"/>
      <c r="E814" s="17"/>
      <c r="F814" s="17"/>
      <c r="G814" s="17"/>
      <c r="H814" s="17"/>
    </row>
    <row r="815" spans="1:8" x14ac:dyDescent="0.2">
      <c r="A815" s="17"/>
      <c r="B815" s="17"/>
      <c r="C815" s="17"/>
      <c r="D815" s="17"/>
      <c r="E815" s="17"/>
      <c r="F815" s="17"/>
      <c r="G815" s="17"/>
      <c r="H815" s="17"/>
    </row>
    <row r="816" spans="1:8" x14ac:dyDescent="0.2">
      <c r="A816" s="17"/>
      <c r="B816" s="17"/>
      <c r="C816" s="17"/>
      <c r="D816" s="17"/>
      <c r="E816" s="17"/>
      <c r="F816" s="17"/>
      <c r="G816" s="17"/>
      <c r="H816" s="17"/>
    </row>
    <row r="817" spans="1:8" x14ac:dyDescent="0.2">
      <c r="A817" s="17"/>
      <c r="B817" s="17"/>
      <c r="C817" s="17"/>
      <c r="D817" s="17"/>
      <c r="E817" s="17"/>
      <c r="F817" s="17"/>
      <c r="G817" s="17"/>
      <c r="H817" s="17"/>
    </row>
    <row r="818" spans="1:8" x14ac:dyDescent="0.2">
      <c r="A818" s="17"/>
      <c r="B818" s="17"/>
      <c r="C818" s="17"/>
      <c r="D818" s="17"/>
      <c r="E818" s="17"/>
      <c r="F818" s="17"/>
      <c r="G818" s="17"/>
      <c r="H818" s="17"/>
    </row>
    <row r="819" spans="1:8" x14ac:dyDescent="0.2">
      <c r="A819" s="17"/>
      <c r="B819" s="17"/>
      <c r="C819" s="17"/>
      <c r="D819" s="17"/>
      <c r="E819" s="17"/>
      <c r="F819" s="17"/>
      <c r="G819" s="17"/>
      <c r="H819" s="17"/>
    </row>
    <row r="820" spans="1:8" x14ac:dyDescent="0.2">
      <c r="A820" s="17"/>
      <c r="B820" s="17"/>
      <c r="C820" s="17"/>
      <c r="D820" s="17"/>
      <c r="E820" s="17"/>
      <c r="F820" s="17"/>
      <c r="G820" s="17"/>
      <c r="H820" s="17"/>
    </row>
    <row r="821" spans="1:8" x14ac:dyDescent="0.2">
      <c r="A821" s="17"/>
      <c r="B821" s="17"/>
      <c r="C821" s="17"/>
      <c r="D821" s="17"/>
      <c r="E821" s="17"/>
      <c r="F821" s="17"/>
      <c r="G821" s="17"/>
      <c r="H821" s="17"/>
    </row>
    <row r="822" spans="1:8" x14ac:dyDescent="0.2">
      <c r="A822" s="17"/>
      <c r="B822" s="17"/>
      <c r="C822" s="17"/>
      <c r="D822" s="17"/>
      <c r="E822" s="17"/>
      <c r="F822" s="17"/>
      <c r="G822" s="17"/>
      <c r="H822" s="17"/>
    </row>
    <row r="823" spans="1:8" x14ac:dyDescent="0.2">
      <c r="A823" s="17"/>
      <c r="B823" s="17"/>
      <c r="C823" s="17"/>
      <c r="D823" s="17"/>
      <c r="E823" s="17"/>
      <c r="F823" s="17"/>
      <c r="G823" s="17"/>
      <c r="H823" s="17"/>
    </row>
    <row r="824" spans="1:8" x14ac:dyDescent="0.2">
      <c r="A824" s="17"/>
      <c r="B824" s="17"/>
      <c r="C824" s="17"/>
      <c r="D824" s="17"/>
      <c r="E824" s="17"/>
      <c r="F824" s="17"/>
      <c r="G824" s="17"/>
      <c r="H824" s="17"/>
    </row>
    <row r="825" spans="1:8" x14ac:dyDescent="0.2">
      <c r="A825" s="17"/>
      <c r="B825" s="17"/>
      <c r="C825" s="17"/>
      <c r="D825" s="17"/>
      <c r="E825" s="17"/>
      <c r="F825" s="17"/>
      <c r="G825" s="17"/>
      <c r="H825" s="17"/>
    </row>
    <row r="826" spans="1:8" x14ac:dyDescent="0.2">
      <c r="A826" s="17"/>
      <c r="B826" s="17"/>
      <c r="C826" s="17"/>
      <c r="D826" s="17"/>
      <c r="E826" s="17"/>
      <c r="F826" s="17"/>
      <c r="G826" s="17"/>
      <c r="H826" s="17"/>
    </row>
    <row r="827" spans="1:8" x14ac:dyDescent="0.2">
      <c r="A827" s="17"/>
      <c r="B827" s="17"/>
      <c r="C827" s="17"/>
      <c r="D827" s="17"/>
      <c r="E827" s="17"/>
      <c r="F827" s="17"/>
      <c r="G827" s="17"/>
      <c r="H827" s="17"/>
    </row>
    <row r="828" spans="1:8" x14ac:dyDescent="0.2">
      <c r="A828" s="17"/>
      <c r="B828" s="17"/>
      <c r="C828" s="17"/>
      <c r="D828" s="17"/>
      <c r="E828" s="17"/>
      <c r="F828" s="17"/>
      <c r="G828" s="17"/>
      <c r="H828" s="17"/>
    </row>
    <row r="829" spans="1:8" x14ac:dyDescent="0.2">
      <c r="A829" s="17"/>
      <c r="B829" s="17"/>
      <c r="C829" s="17"/>
      <c r="D829" s="17"/>
      <c r="E829" s="17"/>
      <c r="F829" s="17"/>
      <c r="G829" s="17"/>
      <c r="H829" s="17"/>
    </row>
    <row r="830" spans="1:8" x14ac:dyDescent="0.2">
      <c r="A830" s="17"/>
      <c r="B830" s="17"/>
      <c r="C830" s="17"/>
      <c r="D830" s="17"/>
      <c r="E830" s="17"/>
      <c r="F830" s="17"/>
      <c r="G830" s="17"/>
      <c r="H830" s="17"/>
    </row>
    <row r="831" spans="1:8" x14ac:dyDescent="0.2">
      <c r="A831" s="17"/>
      <c r="B831" s="17"/>
      <c r="C831" s="17"/>
      <c r="D831" s="17"/>
      <c r="E831" s="17"/>
      <c r="F831" s="17"/>
      <c r="G831" s="17"/>
      <c r="H831" s="17"/>
    </row>
    <row r="832" spans="1:8" x14ac:dyDescent="0.2">
      <c r="A832" s="17"/>
      <c r="B832" s="17"/>
      <c r="C832" s="17"/>
      <c r="D832" s="17"/>
      <c r="E832" s="17"/>
      <c r="F832" s="17"/>
      <c r="G832" s="17"/>
      <c r="H832" s="17"/>
    </row>
    <row r="833" spans="1:8" x14ac:dyDescent="0.2">
      <c r="A833" s="17"/>
      <c r="B833" s="17"/>
      <c r="C833" s="17"/>
      <c r="D833" s="17"/>
      <c r="E833" s="17"/>
      <c r="F833" s="17"/>
      <c r="G833" s="17"/>
      <c r="H833" s="17"/>
    </row>
    <row r="834" spans="1:8" x14ac:dyDescent="0.2">
      <c r="A834" s="17"/>
      <c r="B834" s="17"/>
      <c r="C834" s="17"/>
      <c r="D834" s="17"/>
      <c r="E834" s="17"/>
      <c r="F834" s="17"/>
      <c r="G834" s="17"/>
      <c r="H834" s="17"/>
    </row>
    <row r="835" spans="1:8" x14ac:dyDescent="0.2">
      <c r="A835" s="17"/>
      <c r="B835" s="17"/>
      <c r="C835" s="17"/>
      <c r="D835" s="17"/>
      <c r="E835" s="17"/>
      <c r="F835" s="17"/>
      <c r="G835" s="17"/>
      <c r="H835" s="17"/>
    </row>
    <row r="836" spans="1:8" x14ac:dyDescent="0.2">
      <c r="A836" s="17"/>
      <c r="B836" s="17"/>
      <c r="C836" s="17"/>
      <c r="D836" s="17"/>
      <c r="E836" s="17"/>
      <c r="F836" s="17"/>
      <c r="G836" s="17"/>
      <c r="H836" s="17"/>
    </row>
    <row r="837" spans="1:8" x14ac:dyDescent="0.2">
      <c r="A837" s="17"/>
      <c r="B837" s="17"/>
      <c r="C837" s="17"/>
      <c r="D837" s="17"/>
      <c r="E837" s="17"/>
      <c r="F837" s="17"/>
      <c r="G837" s="17"/>
      <c r="H837" s="17"/>
    </row>
    <row r="838" spans="1:8" x14ac:dyDescent="0.2">
      <c r="A838" s="17"/>
      <c r="B838" s="17"/>
      <c r="C838" s="17"/>
      <c r="D838" s="17"/>
      <c r="E838" s="17"/>
      <c r="F838" s="17"/>
      <c r="G838" s="17"/>
      <c r="H838" s="17"/>
    </row>
    <row r="839" spans="1:8" x14ac:dyDescent="0.2">
      <c r="A839" s="17"/>
      <c r="B839" s="17"/>
      <c r="C839" s="17"/>
      <c r="D839" s="17"/>
      <c r="E839" s="17"/>
      <c r="F839" s="17"/>
      <c r="G839" s="17"/>
      <c r="H839" s="17"/>
    </row>
    <row r="840" spans="1:8" x14ac:dyDescent="0.2">
      <c r="A840" s="17"/>
      <c r="B840" s="17"/>
      <c r="C840" s="17"/>
      <c r="D840" s="17"/>
      <c r="E840" s="17"/>
      <c r="F840" s="17"/>
      <c r="G840" s="17"/>
      <c r="H840" s="17"/>
    </row>
    <row r="841" spans="1:8" x14ac:dyDescent="0.2">
      <c r="A841" s="17"/>
      <c r="B841" s="17"/>
      <c r="C841" s="17"/>
      <c r="D841" s="17"/>
      <c r="E841" s="17"/>
      <c r="F841" s="17"/>
      <c r="G841" s="17"/>
      <c r="H841" s="17"/>
    </row>
    <row r="842" spans="1:8" x14ac:dyDescent="0.2">
      <c r="A842" s="17"/>
      <c r="B842" s="17"/>
      <c r="C842" s="17"/>
      <c r="D842" s="17"/>
      <c r="E842" s="17"/>
      <c r="F842" s="17"/>
      <c r="G842" s="17"/>
      <c r="H842" s="17"/>
    </row>
    <row r="843" spans="1:8" x14ac:dyDescent="0.2">
      <c r="A843" s="17"/>
      <c r="B843" s="17"/>
      <c r="C843" s="17"/>
      <c r="D843" s="17"/>
      <c r="E843" s="17"/>
      <c r="F843" s="17"/>
      <c r="G843" s="17"/>
      <c r="H843" s="17"/>
    </row>
    <row r="844" spans="1:8" x14ac:dyDescent="0.2">
      <c r="A844" s="17"/>
      <c r="B844" s="17"/>
      <c r="C844" s="17"/>
      <c r="D844" s="17"/>
      <c r="E844" s="17"/>
      <c r="F844" s="17"/>
      <c r="G844" s="17"/>
      <c r="H844" s="17"/>
    </row>
    <row r="845" spans="1:8" x14ac:dyDescent="0.2">
      <c r="A845" s="17"/>
      <c r="B845" s="17"/>
      <c r="C845" s="17"/>
      <c r="D845" s="17"/>
      <c r="E845" s="17"/>
      <c r="F845" s="17"/>
      <c r="G845" s="17"/>
      <c r="H845" s="17"/>
    </row>
    <row r="846" spans="1:8" x14ac:dyDescent="0.2">
      <c r="A846" s="17"/>
      <c r="B846" s="17"/>
      <c r="C846" s="17"/>
      <c r="D846" s="17"/>
      <c r="E846" s="17"/>
      <c r="F846" s="17"/>
      <c r="G846" s="17"/>
      <c r="H846" s="17"/>
    </row>
    <row r="847" spans="1:8" x14ac:dyDescent="0.2">
      <c r="A847" s="17"/>
      <c r="B847" s="17"/>
      <c r="C847" s="17"/>
      <c r="D847" s="17"/>
      <c r="E847" s="17"/>
      <c r="F847" s="17"/>
      <c r="G847" s="17"/>
      <c r="H847" s="17"/>
    </row>
    <row r="848" spans="1:8" x14ac:dyDescent="0.2">
      <c r="A848" s="17"/>
      <c r="B848" s="17"/>
      <c r="C848" s="17"/>
      <c r="D848" s="17"/>
      <c r="E848" s="17"/>
      <c r="F848" s="17"/>
      <c r="G848" s="17"/>
      <c r="H848" s="17"/>
    </row>
    <row r="849" spans="1:8" x14ac:dyDescent="0.2">
      <c r="A849" s="17"/>
      <c r="B849" s="17"/>
      <c r="C849" s="17"/>
      <c r="D849" s="17"/>
      <c r="E849" s="17"/>
      <c r="F849" s="17"/>
      <c r="G849" s="17"/>
      <c r="H849" s="17"/>
    </row>
    <row r="850" spans="1:8" x14ac:dyDescent="0.2">
      <c r="A850" s="17"/>
      <c r="B850" s="17"/>
      <c r="C850" s="17"/>
      <c r="D850" s="17"/>
      <c r="E850" s="17"/>
      <c r="F850" s="17"/>
      <c r="G850" s="17"/>
      <c r="H850" s="17"/>
    </row>
    <row r="851" spans="1:8" x14ac:dyDescent="0.2">
      <c r="A851" s="17"/>
      <c r="B851" s="17"/>
      <c r="C851" s="17"/>
      <c r="D851" s="17"/>
      <c r="E851" s="17"/>
      <c r="F851" s="17"/>
      <c r="G851" s="17"/>
      <c r="H851" s="17"/>
    </row>
    <row r="852" spans="1:8" x14ac:dyDescent="0.2">
      <c r="A852" s="17"/>
      <c r="B852" s="17"/>
      <c r="C852" s="17"/>
      <c r="D852" s="17"/>
      <c r="E852" s="17"/>
      <c r="F852" s="17"/>
      <c r="G852" s="17"/>
      <c r="H852" s="17"/>
    </row>
    <row r="853" spans="1:8" x14ac:dyDescent="0.2">
      <c r="A853" s="17"/>
      <c r="B853" s="17"/>
      <c r="C853" s="17"/>
      <c r="D853" s="17"/>
      <c r="E853" s="17"/>
      <c r="F853" s="17"/>
      <c r="G853" s="17"/>
      <c r="H853" s="17"/>
    </row>
    <row r="854" spans="1:8" x14ac:dyDescent="0.2">
      <c r="A854" s="17"/>
      <c r="B854" s="17"/>
      <c r="C854" s="17"/>
      <c r="D854" s="17"/>
      <c r="E854" s="17"/>
      <c r="F854" s="17"/>
      <c r="G854" s="17"/>
      <c r="H854" s="17"/>
    </row>
    <row r="855" spans="1:8" x14ac:dyDescent="0.2">
      <c r="A855" s="17"/>
      <c r="B855" s="17"/>
      <c r="C855" s="17"/>
      <c r="D855" s="17"/>
      <c r="E855" s="17"/>
      <c r="F855" s="17"/>
      <c r="G855" s="17"/>
      <c r="H855" s="17"/>
    </row>
    <row r="856" spans="1:8" x14ac:dyDescent="0.2">
      <c r="A856" s="17"/>
      <c r="B856" s="17"/>
      <c r="C856" s="17"/>
      <c r="D856" s="17"/>
      <c r="E856" s="17"/>
      <c r="F856" s="17"/>
      <c r="G856" s="17"/>
      <c r="H856" s="17"/>
    </row>
    <row r="857" spans="1:8" x14ac:dyDescent="0.2">
      <c r="A857" s="17"/>
      <c r="B857" s="17"/>
      <c r="C857" s="17"/>
      <c r="D857" s="17"/>
      <c r="E857" s="17"/>
      <c r="F857" s="17"/>
      <c r="G857" s="17"/>
      <c r="H857" s="17"/>
    </row>
    <row r="858" spans="1:8" x14ac:dyDescent="0.2">
      <c r="A858" s="17"/>
      <c r="B858" s="17"/>
      <c r="C858" s="17"/>
      <c r="D858" s="17"/>
      <c r="E858" s="17"/>
      <c r="F858" s="17"/>
      <c r="G858" s="17"/>
      <c r="H858" s="17"/>
    </row>
    <row r="859" spans="1:8" x14ac:dyDescent="0.2">
      <c r="A859" s="17"/>
      <c r="B859" s="17"/>
      <c r="C859" s="17"/>
      <c r="D859" s="17"/>
      <c r="E859" s="17"/>
      <c r="F859" s="17"/>
      <c r="G859" s="17"/>
      <c r="H859" s="17"/>
    </row>
    <row r="860" spans="1:8" x14ac:dyDescent="0.2">
      <c r="A860" s="17"/>
      <c r="B860" s="17"/>
      <c r="C860" s="17"/>
      <c r="D860" s="17"/>
      <c r="E860" s="17"/>
      <c r="F860" s="17"/>
      <c r="G860" s="17"/>
      <c r="H860" s="17"/>
    </row>
    <row r="861" spans="1:8" x14ac:dyDescent="0.2">
      <c r="A861" s="17"/>
      <c r="B861" s="17"/>
      <c r="C861" s="17"/>
      <c r="D861" s="17"/>
      <c r="E861" s="17"/>
      <c r="F861" s="17"/>
      <c r="G861" s="17"/>
      <c r="H861" s="17"/>
    </row>
    <row r="862" spans="1:8" x14ac:dyDescent="0.2">
      <c r="A862" s="17"/>
      <c r="B862" s="17"/>
      <c r="C862" s="17"/>
      <c r="D862" s="17"/>
      <c r="E862" s="17"/>
      <c r="F862" s="17"/>
      <c r="G862" s="17"/>
      <c r="H862" s="17"/>
    </row>
    <row r="863" spans="1:8" x14ac:dyDescent="0.2">
      <c r="A863" s="17"/>
      <c r="B863" s="17"/>
      <c r="C863" s="17"/>
      <c r="D863" s="17"/>
      <c r="E863" s="17"/>
      <c r="F863" s="17"/>
      <c r="G863" s="17"/>
      <c r="H863" s="17"/>
    </row>
    <row r="864" spans="1:8" x14ac:dyDescent="0.2">
      <c r="A864" s="17"/>
      <c r="B864" s="17"/>
      <c r="C864" s="17"/>
      <c r="D864" s="17"/>
      <c r="E864" s="17"/>
      <c r="F864" s="17"/>
      <c r="G864" s="17"/>
      <c r="H864" s="17"/>
    </row>
    <row r="865" spans="1:8" x14ac:dyDescent="0.2">
      <c r="A865" s="17"/>
      <c r="B865" s="17"/>
      <c r="C865" s="17"/>
      <c r="D865" s="17"/>
      <c r="E865" s="17"/>
      <c r="F865" s="17"/>
      <c r="G865" s="17"/>
      <c r="H865" s="17"/>
    </row>
    <row r="866" spans="1:8" x14ac:dyDescent="0.2">
      <c r="A866" s="17"/>
      <c r="B866" s="17"/>
      <c r="C866" s="17"/>
      <c r="D866" s="17"/>
      <c r="E866" s="17"/>
      <c r="F866" s="17"/>
      <c r="G866" s="17"/>
      <c r="H866" s="17"/>
    </row>
    <row r="867" spans="1:8" x14ac:dyDescent="0.2">
      <c r="A867" s="17"/>
      <c r="B867" s="17"/>
      <c r="C867" s="17"/>
      <c r="D867" s="17"/>
      <c r="E867" s="17"/>
      <c r="F867" s="17"/>
      <c r="G867" s="17"/>
      <c r="H867" s="17"/>
    </row>
    <row r="868" spans="1:8" x14ac:dyDescent="0.2">
      <c r="A868" s="17"/>
      <c r="B868" s="17"/>
      <c r="C868" s="17"/>
      <c r="D868" s="17"/>
      <c r="E868" s="17"/>
      <c r="F868" s="17"/>
      <c r="G868" s="17"/>
      <c r="H868" s="17"/>
    </row>
    <row r="869" spans="1:8" x14ac:dyDescent="0.2">
      <c r="A869" s="17"/>
      <c r="B869" s="17"/>
      <c r="C869" s="17"/>
      <c r="D869" s="17"/>
      <c r="E869" s="17"/>
      <c r="F869" s="17"/>
      <c r="G869" s="17"/>
      <c r="H869" s="17"/>
    </row>
    <row r="870" spans="1:8" x14ac:dyDescent="0.2">
      <c r="A870" s="17"/>
      <c r="B870" s="17"/>
      <c r="C870" s="17"/>
      <c r="D870" s="17"/>
      <c r="E870" s="17"/>
      <c r="F870" s="17"/>
      <c r="G870" s="17"/>
      <c r="H870" s="17"/>
    </row>
    <row r="871" spans="1:8" x14ac:dyDescent="0.2">
      <c r="A871" s="17"/>
      <c r="B871" s="17"/>
      <c r="C871" s="17"/>
      <c r="D871" s="17"/>
      <c r="E871" s="17"/>
      <c r="F871" s="17"/>
      <c r="G871" s="17"/>
      <c r="H871" s="17"/>
    </row>
    <row r="872" spans="1:8" x14ac:dyDescent="0.2">
      <c r="A872" s="17"/>
      <c r="B872" s="17"/>
      <c r="C872" s="17"/>
      <c r="D872" s="17"/>
      <c r="E872" s="17"/>
      <c r="F872" s="17"/>
      <c r="G872" s="17"/>
      <c r="H872" s="17"/>
    </row>
    <row r="873" spans="1:8" x14ac:dyDescent="0.2">
      <c r="A873" s="17"/>
      <c r="B873" s="17"/>
      <c r="C873" s="17"/>
      <c r="D873" s="17"/>
      <c r="E873" s="17"/>
      <c r="F873" s="17"/>
      <c r="G873" s="17"/>
      <c r="H873" s="17"/>
    </row>
    <row r="874" spans="1:8" x14ac:dyDescent="0.2">
      <c r="A874" s="17"/>
      <c r="B874" s="17"/>
      <c r="C874" s="17"/>
      <c r="D874" s="17"/>
      <c r="E874" s="17"/>
      <c r="F874" s="17"/>
      <c r="G874" s="17"/>
      <c r="H874" s="17"/>
    </row>
    <row r="875" spans="1:8" x14ac:dyDescent="0.2">
      <c r="A875" s="17"/>
      <c r="B875" s="17"/>
      <c r="C875" s="17"/>
      <c r="D875" s="17"/>
      <c r="E875" s="17"/>
      <c r="F875" s="17"/>
      <c r="G875" s="17"/>
      <c r="H875" s="17"/>
    </row>
    <row r="876" spans="1:8" x14ac:dyDescent="0.2">
      <c r="A876" s="17"/>
      <c r="B876" s="17"/>
      <c r="C876" s="17"/>
      <c r="D876" s="17"/>
      <c r="E876" s="17"/>
      <c r="F876" s="17"/>
      <c r="G876" s="17"/>
      <c r="H876" s="17"/>
    </row>
    <row r="877" spans="1:8" x14ac:dyDescent="0.2">
      <c r="A877" s="17"/>
      <c r="B877" s="17"/>
      <c r="C877" s="17"/>
      <c r="D877" s="17"/>
      <c r="E877" s="17"/>
      <c r="F877" s="17"/>
      <c r="G877" s="17"/>
      <c r="H877" s="17"/>
    </row>
    <row r="878" spans="1:8" x14ac:dyDescent="0.2">
      <c r="A878" s="17"/>
      <c r="B878" s="17"/>
      <c r="C878" s="17"/>
      <c r="D878" s="17"/>
      <c r="E878" s="17"/>
      <c r="F878" s="17"/>
      <c r="G878" s="17"/>
      <c r="H878" s="17"/>
    </row>
    <row r="879" spans="1:8" x14ac:dyDescent="0.2">
      <c r="A879" s="17"/>
      <c r="B879" s="17"/>
      <c r="C879" s="17"/>
      <c r="D879" s="17"/>
      <c r="E879" s="17"/>
      <c r="F879" s="17"/>
      <c r="G879" s="17"/>
      <c r="H879" s="17"/>
    </row>
    <row r="880" spans="1:8" x14ac:dyDescent="0.2">
      <c r="A880" s="17"/>
      <c r="B880" s="17"/>
      <c r="C880" s="17"/>
      <c r="D880" s="17"/>
      <c r="E880" s="17"/>
      <c r="F880" s="17"/>
      <c r="G880" s="17"/>
      <c r="H880" s="17"/>
    </row>
    <row r="881" spans="1:8" x14ac:dyDescent="0.2">
      <c r="A881" s="17"/>
      <c r="B881" s="17"/>
      <c r="C881" s="17"/>
      <c r="D881" s="17"/>
      <c r="E881" s="17"/>
      <c r="F881" s="17"/>
      <c r="G881" s="17"/>
      <c r="H881" s="17"/>
    </row>
    <row r="882" spans="1:8" x14ac:dyDescent="0.2">
      <c r="A882" s="17"/>
      <c r="B882" s="17"/>
      <c r="C882" s="17"/>
      <c r="D882" s="17"/>
      <c r="E882" s="17"/>
      <c r="F882" s="17"/>
      <c r="G882" s="17"/>
      <c r="H882" s="17"/>
    </row>
    <row r="883" spans="1:8" x14ac:dyDescent="0.2">
      <c r="A883" s="17"/>
      <c r="B883" s="17"/>
      <c r="C883" s="17"/>
      <c r="D883" s="17"/>
      <c r="E883" s="17"/>
      <c r="F883" s="17"/>
      <c r="G883" s="17"/>
      <c r="H883" s="17"/>
    </row>
    <row r="884" spans="1:8" x14ac:dyDescent="0.2">
      <c r="A884" s="17"/>
      <c r="B884" s="17"/>
      <c r="C884" s="17"/>
      <c r="D884" s="17"/>
      <c r="E884" s="17"/>
      <c r="F884" s="17"/>
      <c r="G884" s="17"/>
      <c r="H884" s="17"/>
    </row>
    <row r="885" spans="1:8" x14ac:dyDescent="0.2">
      <c r="A885" s="17"/>
      <c r="B885" s="17"/>
      <c r="C885" s="17"/>
      <c r="D885" s="17"/>
      <c r="E885" s="17"/>
      <c r="F885" s="17"/>
      <c r="G885" s="17"/>
      <c r="H885" s="17"/>
    </row>
    <row r="886" spans="1:8" x14ac:dyDescent="0.2">
      <c r="A886" s="17"/>
      <c r="B886" s="17"/>
      <c r="C886" s="17"/>
      <c r="D886" s="17"/>
      <c r="E886" s="17"/>
      <c r="F886" s="17"/>
      <c r="G886" s="17"/>
      <c r="H886" s="17"/>
    </row>
    <row r="887" spans="1:8" x14ac:dyDescent="0.2">
      <c r="A887" s="17"/>
      <c r="B887" s="17"/>
      <c r="C887" s="17"/>
      <c r="D887" s="17"/>
      <c r="E887" s="17"/>
      <c r="F887" s="17"/>
      <c r="G887" s="17"/>
      <c r="H887" s="17"/>
    </row>
    <row r="888" spans="1:8" x14ac:dyDescent="0.2">
      <c r="A888" s="17"/>
      <c r="B888" s="17"/>
      <c r="C888" s="17"/>
      <c r="D888" s="17"/>
      <c r="E888" s="17"/>
      <c r="F888" s="17"/>
      <c r="G888" s="17"/>
      <c r="H888" s="17"/>
    </row>
    <row r="889" spans="1:8" x14ac:dyDescent="0.2">
      <c r="A889" s="17"/>
      <c r="B889" s="17"/>
      <c r="C889" s="17"/>
      <c r="D889" s="17"/>
      <c r="E889" s="17"/>
      <c r="F889" s="17"/>
      <c r="G889" s="17"/>
      <c r="H889" s="17"/>
    </row>
    <row r="890" spans="1:8" x14ac:dyDescent="0.2">
      <c r="A890" s="17"/>
      <c r="B890" s="17"/>
      <c r="C890" s="17"/>
      <c r="D890" s="17"/>
      <c r="E890" s="17"/>
      <c r="F890" s="17"/>
      <c r="G890" s="17"/>
      <c r="H890" s="17"/>
    </row>
    <row r="891" spans="1:8" x14ac:dyDescent="0.2">
      <c r="A891" s="17"/>
      <c r="B891" s="17"/>
      <c r="C891" s="17"/>
      <c r="D891" s="17"/>
      <c r="E891" s="17"/>
      <c r="F891" s="17"/>
      <c r="G891" s="17"/>
      <c r="H891" s="17"/>
    </row>
    <row r="892" spans="1:8" x14ac:dyDescent="0.2">
      <c r="A892" s="17"/>
      <c r="B892" s="17"/>
      <c r="C892" s="17"/>
      <c r="D892" s="17"/>
      <c r="E892" s="17"/>
      <c r="F892" s="17"/>
      <c r="G892" s="17"/>
      <c r="H892" s="17"/>
    </row>
    <row r="893" spans="1:8" x14ac:dyDescent="0.2">
      <c r="A893" s="17"/>
      <c r="B893" s="17"/>
      <c r="C893" s="17"/>
      <c r="D893" s="17"/>
      <c r="E893" s="17"/>
      <c r="F893" s="17"/>
      <c r="G893" s="17"/>
      <c r="H893" s="17"/>
    </row>
    <row r="894" spans="1:8" x14ac:dyDescent="0.2">
      <c r="A894" s="17"/>
      <c r="B894" s="17"/>
      <c r="C894" s="17"/>
      <c r="D894" s="17"/>
      <c r="E894" s="17"/>
      <c r="F894" s="17"/>
      <c r="G894" s="17"/>
      <c r="H894" s="17"/>
    </row>
    <row r="895" spans="1:8" x14ac:dyDescent="0.2">
      <c r="A895" s="17"/>
      <c r="B895" s="17"/>
      <c r="C895" s="17"/>
      <c r="D895" s="17"/>
      <c r="E895" s="17"/>
      <c r="F895" s="17"/>
      <c r="G895" s="17"/>
      <c r="H895" s="17"/>
    </row>
    <row r="896" spans="1:8" x14ac:dyDescent="0.2">
      <c r="A896" s="17"/>
      <c r="B896" s="17"/>
      <c r="C896" s="17"/>
      <c r="D896" s="17"/>
      <c r="E896" s="17"/>
      <c r="F896" s="17"/>
      <c r="G896" s="17"/>
      <c r="H896" s="17"/>
    </row>
    <row r="897" spans="1:8" x14ac:dyDescent="0.2">
      <c r="A897" s="17"/>
      <c r="B897" s="17"/>
      <c r="C897" s="17"/>
      <c r="D897" s="17"/>
      <c r="E897" s="17"/>
      <c r="F897" s="17"/>
      <c r="G897" s="17"/>
      <c r="H897" s="17"/>
    </row>
    <row r="898" spans="1:8" x14ac:dyDescent="0.2">
      <c r="A898" s="17"/>
      <c r="B898" s="17"/>
      <c r="C898" s="17"/>
      <c r="D898" s="17"/>
      <c r="E898" s="17"/>
      <c r="F898" s="17"/>
      <c r="G898" s="17"/>
      <c r="H898" s="17"/>
    </row>
    <row r="899" spans="1:8" x14ac:dyDescent="0.2">
      <c r="A899" s="17"/>
      <c r="B899" s="17"/>
      <c r="C899" s="17"/>
      <c r="D899" s="17"/>
      <c r="E899" s="17"/>
      <c r="F899" s="17"/>
      <c r="G899" s="17"/>
      <c r="H899" s="17"/>
    </row>
    <row r="900" spans="1:8" x14ac:dyDescent="0.2">
      <c r="A900" s="17"/>
      <c r="B900" s="17"/>
      <c r="C900" s="17"/>
      <c r="D900" s="17"/>
      <c r="E900" s="17"/>
      <c r="F900" s="17"/>
      <c r="G900" s="17"/>
      <c r="H900" s="17"/>
    </row>
    <row r="901" spans="1:8" x14ac:dyDescent="0.2">
      <c r="A901" s="17"/>
      <c r="B901" s="17"/>
      <c r="C901" s="17"/>
      <c r="D901" s="17"/>
      <c r="E901" s="17"/>
      <c r="F901" s="17"/>
      <c r="G901" s="17"/>
      <c r="H901" s="17"/>
    </row>
    <row r="902" spans="1:8" x14ac:dyDescent="0.2">
      <c r="A902" s="17"/>
      <c r="B902" s="17"/>
      <c r="C902" s="17"/>
      <c r="D902" s="17"/>
      <c r="E902" s="17"/>
      <c r="F902" s="17"/>
      <c r="G902" s="17"/>
      <c r="H902" s="17"/>
    </row>
    <row r="903" spans="1:8" x14ac:dyDescent="0.2">
      <c r="A903" s="17"/>
      <c r="B903" s="17"/>
      <c r="C903" s="17"/>
      <c r="D903" s="17"/>
      <c r="E903" s="17"/>
      <c r="F903" s="17"/>
      <c r="G903" s="17"/>
      <c r="H903" s="17"/>
    </row>
    <row r="904" spans="1:8" x14ac:dyDescent="0.2">
      <c r="A904" s="17"/>
      <c r="B904" s="17"/>
      <c r="C904" s="17"/>
      <c r="D904" s="17"/>
      <c r="E904" s="17"/>
      <c r="F904" s="17"/>
      <c r="G904" s="17"/>
      <c r="H904" s="17"/>
    </row>
    <row r="905" spans="1:8" x14ac:dyDescent="0.2">
      <c r="A905" s="17"/>
      <c r="B905" s="17"/>
      <c r="C905" s="17"/>
      <c r="D905" s="17"/>
      <c r="E905" s="17"/>
      <c r="F905" s="17"/>
      <c r="G905" s="17"/>
      <c r="H905" s="17"/>
    </row>
    <row r="906" spans="1:8" x14ac:dyDescent="0.2">
      <c r="A906" s="17"/>
      <c r="B906" s="17"/>
      <c r="C906" s="17"/>
      <c r="D906" s="17"/>
      <c r="E906" s="17"/>
      <c r="F906" s="17"/>
      <c r="G906" s="17"/>
      <c r="H906" s="17"/>
    </row>
    <row r="907" spans="1:8" x14ac:dyDescent="0.2">
      <c r="A907" s="17"/>
      <c r="B907" s="17"/>
      <c r="C907" s="17"/>
      <c r="D907" s="17"/>
      <c r="E907" s="17"/>
      <c r="F907" s="17"/>
      <c r="G907" s="17"/>
      <c r="H907" s="17"/>
    </row>
    <row r="908" spans="1:8" x14ac:dyDescent="0.2">
      <c r="A908" s="17"/>
      <c r="B908" s="17"/>
      <c r="C908" s="17"/>
      <c r="D908" s="17"/>
      <c r="E908" s="17"/>
      <c r="F908" s="17"/>
      <c r="G908" s="17"/>
      <c r="H908" s="17"/>
    </row>
    <row r="909" spans="1:8" x14ac:dyDescent="0.2">
      <c r="A909" s="17"/>
      <c r="B909" s="17"/>
      <c r="C909" s="17"/>
      <c r="D909" s="17"/>
      <c r="E909" s="17"/>
      <c r="F909" s="17"/>
      <c r="G909" s="17"/>
      <c r="H909" s="17"/>
    </row>
    <row r="910" spans="1:8" x14ac:dyDescent="0.2">
      <c r="A910" s="17"/>
      <c r="B910" s="17"/>
      <c r="C910" s="17"/>
      <c r="D910" s="17"/>
      <c r="E910" s="17"/>
      <c r="F910" s="17"/>
      <c r="G910" s="17"/>
      <c r="H910" s="17"/>
    </row>
    <row r="911" spans="1:8" x14ac:dyDescent="0.2">
      <c r="A911" s="17"/>
      <c r="B911" s="17"/>
      <c r="C911" s="17"/>
      <c r="D911" s="17"/>
      <c r="E911" s="17"/>
      <c r="F911" s="17"/>
      <c r="G911" s="17"/>
      <c r="H911" s="17"/>
    </row>
    <row r="912" spans="1:8" x14ac:dyDescent="0.2">
      <c r="A912" s="17"/>
      <c r="B912" s="17"/>
      <c r="C912" s="17"/>
      <c r="D912" s="17"/>
      <c r="E912" s="17"/>
      <c r="F912" s="17"/>
      <c r="G912" s="17"/>
      <c r="H912" s="17"/>
    </row>
    <row r="913" spans="1:8" x14ac:dyDescent="0.2">
      <c r="A913" s="17"/>
      <c r="B913" s="17"/>
      <c r="C913" s="17"/>
      <c r="D913" s="17"/>
      <c r="E913" s="17"/>
      <c r="F913" s="17"/>
      <c r="G913" s="17"/>
      <c r="H913" s="17"/>
    </row>
    <row r="914" spans="1:8" x14ac:dyDescent="0.2">
      <c r="A914" s="17"/>
      <c r="B914" s="17"/>
      <c r="C914" s="17"/>
      <c r="D914" s="17"/>
      <c r="E914" s="17"/>
      <c r="F914" s="17"/>
      <c r="G914" s="17"/>
      <c r="H914" s="17"/>
    </row>
    <row r="915" spans="1:8" x14ac:dyDescent="0.2">
      <c r="A915" s="17"/>
      <c r="B915" s="17"/>
      <c r="C915" s="17"/>
      <c r="D915" s="17"/>
      <c r="E915" s="17"/>
      <c r="F915" s="17"/>
      <c r="G915" s="17"/>
      <c r="H915" s="17"/>
    </row>
    <row r="916" spans="1:8" x14ac:dyDescent="0.2">
      <c r="A916" s="17"/>
      <c r="B916" s="17"/>
      <c r="C916" s="17"/>
      <c r="D916" s="17"/>
      <c r="E916" s="17"/>
      <c r="F916" s="17"/>
      <c r="G916" s="17"/>
      <c r="H916" s="17"/>
    </row>
    <row r="917" spans="1:8" x14ac:dyDescent="0.2">
      <c r="A917" s="17"/>
      <c r="B917" s="17"/>
      <c r="C917" s="17"/>
      <c r="D917" s="17"/>
      <c r="E917" s="17"/>
      <c r="F917" s="17"/>
      <c r="G917" s="18"/>
      <c r="H917" s="18"/>
    </row>
    <row r="918" spans="1:8" x14ac:dyDescent="0.2">
      <c r="A918" s="17"/>
      <c r="B918" s="17"/>
      <c r="C918" s="17"/>
      <c r="D918" s="17"/>
      <c r="E918" s="17"/>
      <c r="F918" s="17"/>
      <c r="G918" s="18"/>
      <c r="H918" s="18"/>
    </row>
    <row r="919" spans="1:8" x14ac:dyDescent="0.2">
      <c r="A919" s="17"/>
      <c r="B919" s="17"/>
      <c r="C919" s="17"/>
      <c r="D919" s="17"/>
      <c r="E919" s="17"/>
      <c r="F919" s="17"/>
      <c r="G919" s="18"/>
      <c r="H919" s="18"/>
    </row>
    <row r="920" spans="1:8" x14ac:dyDescent="0.2">
      <c r="A920" s="17"/>
      <c r="B920" s="17"/>
      <c r="C920" s="17"/>
      <c r="D920" s="17"/>
      <c r="E920" s="17"/>
      <c r="F920" s="17"/>
      <c r="G920" s="18"/>
      <c r="H920" s="18"/>
    </row>
    <row r="921" spans="1:8" x14ac:dyDescent="0.2">
      <c r="A921" s="17"/>
      <c r="B921" s="17"/>
      <c r="C921" s="17"/>
      <c r="D921" s="17"/>
      <c r="E921" s="17"/>
      <c r="F921" s="17"/>
      <c r="G921" s="18"/>
      <c r="H921" s="18"/>
    </row>
    <row r="922" spans="1:8" x14ac:dyDescent="0.2">
      <c r="A922" s="17"/>
      <c r="B922" s="17"/>
      <c r="C922" s="17"/>
      <c r="D922" s="17"/>
      <c r="E922" s="17"/>
      <c r="F922" s="17"/>
      <c r="G922" s="18"/>
      <c r="H922" s="18"/>
    </row>
    <row r="923" spans="1:8" x14ac:dyDescent="0.2">
      <c r="A923" s="17"/>
      <c r="B923" s="17"/>
      <c r="C923" s="17"/>
      <c r="D923" s="17"/>
      <c r="E923" s="17"/>
      <c r="F923" s="17"/>
      <c r="G923" s="18"/>
      <c r="H923" s="18"/>
    </row>
    <row r="924" spans="1:8" x14ac:dyDescent="0.2">
      <c r="A924" s="17"/>
      <c r="B924" s="17"/>
      <c r="C924" s="17"/>
      <c r="D924" s="17"/>
      <c r="E924" s="17"/>
      <c r="F924" s="17"/>
      <c r="G924" s="18"/>
      <c r="H924" s="18"/>
    </row>
    <row r="925" spans="1:8" x14ac:dyDescent="0.2">
      <c r="A925" s="17"/>
      <c r="B925" s="17"/>
      <c r="C925" s="18"/>
      <c r="D925" s="18"/>
      <c r="E925" s="18"/>
      <c r="F925" s="18"/>
      <c r="G925" s="18"/>
      <c r="H925" s="18"/>
    </row>
    <row r="926" spans="1:8" x14ac:dyDescent="0.2">
      <c r="A926" s="17"/>
      <c r="B926" s="17"/>
      <c r="C926" s="18"/>
      <c r="D926" s="18"/>
      <c r="E926" s="18"/>
      <c r="F926" s="18"/>
      <c r="G926" s="18"/>
      <c r="H926" s="18"/>
    </row>
    <row r="927" spans="1:8" x14ac:dyDescent="0.2">
      <c r="A927" s="17"/>
      <c r="B927" s="17"/>
      <c r="C927" s="18"/>
      <c r="D927" s="18"/>
      <c r="E927" s="18"/>
      <c r="F927" s="18"/>
      <c r="G927" s="18"/>
      <c r="H927" s="18"/>
    </row>
    <row r="928" spans="1:8" x14ac:dyDescent="0.2">
      <c r="A928" s="17"/>
      <c r="B928" s="17"/>
      <c r="C928" s="18"/>
      <c r="D928" s="18"/>
      <c r="E928" s="18"/>
      <c r="F928" s="18"/>
      <c r="G928" s="18"/>
      <c r="H928" s="18"/>
    </row>
    <row r="929" spans="1:8" x14ac:dyDescent="0.2">
      <c r="A929" s="17"/>
      <c r="B929" s="17"/>
      <c r="C929" s="18"/>
      <c r="D929" s="18"/>
      <c r="E929" s="18"/>
      <c r="F929" s="18"/>
      <c r="G929" s="18"/>
      <c r="H929" s="18"/>
    </row>
    <row r="930" spans="1:8" x14ac:dyDescent="0.2">
      <c r="A930" s="17"/>
      <c r="B930" s="17"/>
      <c r="C930" s="18"/>
      <c r="D930" s="18"/>
      <c r="E930" s="18"/>
      <c r="F930" s="18"/>
      <c r="G930" s="18"/>
      <c r="H930" s="18"/>
    </row>
    <row r="931" spans="1:8" x14ac:dyDescent="0.2">
      <c r="A931" s="17"/>
      <c r="B931" s="17"/>
      <c r="C931" s="18"/>
      <c r="D931" s="18"/>
      <c r="E931" s="18"/>
      <c r="F931" s="18"/>
      <c r="G931" s="18"/>
      <c r="H931" s="18"/>
    </row>
    <row r="932" spans="1:8" x14ac:dyDescent="0.2">
      <c r="A932" s="17"/>
      <c r="B932" s="17"/>
      <c r="C932" s="18"/>
      <c r="D932" s="18"/>
      <c r="E932" s="18"/>
      <c r="F932" s="18"/>
      <c r="G932" s="18"/>
      <c r="H932" s="18"/>
    </row>
    <row r="933" spans="1:8" x14ac:dyDescent="0.2">
      <c r="A933" s="17"/>
      <c r="B933" s="17"/>
      <c r="C933" s="18"/>
      <c r="D933" s="18"/>
      <c r="E933" s="18"/>
      <c r="F933" s="18"/>
      <c r="G933" s="18"/>
      <c r="H933" s="18"/>
    </row>
    <row r="934" spans="1:8" x14ac:dyDescent="0.2">
      <c r="A934" s="17"/>
      <c r="B934" s="17"/>
      <c r="C934" s="18"/>
      <c r="D934" s="18"/>
      <c r="E934" s="18"/>
      <c r="F934" s="18"/>
      <c r="G934" s="18"/>
      <c r="H934" s="18"/>
    </row>
    <row r="935" spans="1:8" x14ac:dyDescent="0.2">
      <c r="A935" s="17"/>
      <c r="B935" s="17"/>
      <c r="C935" s="18"/>
      <c r="D935" s="18"/>
      <c r="E935" s="18"/>
      <c r="F935" s="18"/>
      <c r="G935" s="18"/>
      <c r="H935" s="18"/>
    </row>
    <row r="936" spans="1:8" x14ac:dyDescent="0.2">
      <c r="A936" s="17"/>
      <c r="B936" s="17"/>
      <c r="C936" s="18"/>
      <c r="D936" s="18"/>
      <c r="E936" s="18"/>
      <c r="F936" s="18"/>
      <c r="G936" s="18"/>
      <c r="H936" s="18"/>
    </row>
    <row r="937" spans="1:8" x14ac:dyDescent="0.2">
      <c r="A937" s="17"/>
      <c r="B937" s="17"/>
      <c r="C937" s="18"/>
      <c r="D937" s="18"/>
      <c r="E937" s="18"/>
      <c r="F937" s="18"/>
      <c r="G937" s="18"/>
      <c r="H937" s="18"/>
    </row>
    <row r="938" spans="1:8" x14ac:dyDescent="0.2">
      <c r="A938" s="17"/>
      <c r="B938" s="17"/>
      <c r="C938" s="18"/>
      <c r="D938" s="18"/>
      <c r="E938" s="18"/>
      <c r="F938" s="18"/>
      <c r="G938" s="18"/>
      <c r="H938" s="18"/>
    </row>
    <row r="939" spans="1:8" x14ac:dyDescent="0.2">
      <c r="A939" s="17"/>
      <c r="B939" s="17"/>
      <c r="C939" s="18"/>
      <c r="D939" s="18"/>
      <c r="E939" s="18"/>
      <c r="F939" s="18"/>
      <c r="G939" s="18"/>
      <c r="H939" s="18"/>
    </row>
    <row r="940" spans="1:8" x14ac:dyDescent="0.2">
      <c r="A940" s="17"/>
      <c r="B940" s="17"/>
      <c r="C940" s="18"/>
      <c r="D940" s="18"/>
      <c r="E940" s="18"/>
      <c r="F940" s="18"/>
      <c r="G940" s="18"/>
      <c r="H940" s="18"/>
    </row>
    <row r="941" spans="1:8" x14ac:dyDescent="0.2">
      <c r="A941" s="17"/>
      <c r="B941" s="17"/>
      <c r="C941" s="18"/>
      <c r="D941" s="18"/>
      <c r="E941" s="18"/>
      <c r="F941" s="18"/>
      <c r="G941" s="18"/>
      <c r="H941" s="18"/>
    </row>
    <row r="942" spans="1:8" x14ac:dyDescent="0.2">
      <c r="A942" s="17"/>
      <c r="B942" s="17"/>
      <c r="C942" s="18"/>
      <c r="D942" s="18"/>
      <c r="E942" s="18"/>
      <c r="F942" s="18"/>
      <c r="G942" s="18"/>
      <c r="H942" s="18"/>
    </row>
    <row r="943" spans="1:8" x14ac:dyDescent="0.2">
      <c r="A943" s="17"/>
      <c r="B943" s="17"/>
      <c r="C943" s="18"/>
      <c r="D943" s="18"/>
      <c r="E943" s="18"/>
      <c r="F943" s="18"/>
      <c r="G943" s="18"/>
      <c r="H943" s="18"/>
    </row>
    <row r="944" spans="1:8" x14ac:dyDescent="0.2">
      <c r="A944" s="17"/>
      <c r="B944" s="17"/>
      <c r="C944" s="18"/>
      <c r="D944" s="18"/>
      <c r="E944" s="18"/>
      <c r="F944" s="18"/>
      <c r="G944" s="18"/>
      <c r="H944" s="18"/>
    </row>
    <row r="945" spans="1:8" x14ac:dyDescent="0.2">
      <c r="A945" s="17"/>
      <c r="B945" s="17"/>
      <c r="C945" s="18"/>
      <c r="D945" s="18"/>
      <c r="E945" s="18"/>
      <c r="F945" s="18"/>
      <c r="G945" s="18"/>
      <c r="H945" s="18"/>
    </row>
    <row r="946" spans="1:8" x14ac:dyDescent="0.2">
      <c r="A946" s="17"/>
      <c r="B946" s="17"/>
      <c r="C946" s="18"/>
      <c r="D946" s="18"/>
      <c r="E946" s="18"/>
      <c r="F946" s="18"/>
      <c r="G946" s="18"/>
      <c r="H946" s="18"/>
    </row>
    <row r="947" spans="1:8" x14ac:dyDescent="0.2">
      <c r="A947" s="17"/>
      <c r="B947" s="17"/>
      <c r="C947" s="18"/>
      <c r="D947" s="18"/>
      <c r="E947" s="18"/>
      <c r="F947" s="18"/>
      <c r="G947" s="18"/>
      <c r="H947" s="18"/>
    </row>
    <row r="948" spans="1:8" x14ac:dyDescent="0.2">
      <c r="A948" s="17"/>
      <c r="B948" s="17"/>
      <c r="C948" s="18"/>
      <c r="D948" s="18"/>
      <c r="E948" s="18"/>
      <c r="F948" s="18"/>
      <c r="G948" s="18"/>
      <c r="H948" s="18"/>
    </row>
    <row r="949" spans="1:8" x14ac:dyDescent="0.2">
      <c r="A949" s="17"/>
      <c r="B949" s="17"/>
      <c r="C949" s="18"/>
      <c r="D949" s="18"/>
      <c r="E949" s="18"/>
      <c r="F949" s="18"/>
      <c r="G949" s="18"/>
      <c r="H949" s="18"/>
    </row>
    <row r="950" spans="1:8" x14ac:dyDescent="0.2">
      <c r="A950" s="17"/>
      <c r="B950" s="17"/>
      <c r="C950" s="18"/>
      <c r="D950" s="18"/>
      <c r="E950" s="18"/>
      <c r="F950" s="18"/>
      <c r="G950" s="18"/>
      <c r="H950" s="18"/>
    </row>
    <row r="951" spans="1:8" x14ac:dyDescent="0.2">
      <c r="A951" s="17"/>
      <c r="B951" s="17"/>
      <c r="C951" s="18"/>
      <c r="D951" s="18"/>
      <c r="E951" s="18"/>
      <c r="F951" s="18"/>
      <c r="G951" s="18"/>
      <c r="H951" s="18"/>
    </row>
    <row r="952" spans="1:8" x14ac:dyDescent="0.2">
      <c r="A952" s="17"/>
      <c r="B952" s="17"/>
      <c r="C952" s="18"/>
      <c r="D952" s="18"/>
      <c r="E952" s="18"/>
      <c r="F952" s="18"/>
      <c r="G952" s="18"/>
      <c r="H952" s="18"/>
    </row>
    <row r="953" spans="1:8" x14ac:dyDescent="0.2">
      <c r="A953" s="17"/>
      <c r="B953" s="17"/>
      <c r="C953" s="18"/>
      <c r="D953" s="18"/>
      <c r="E953" s="18"/>
      <c r="F953" s="18"/>
      <c r="G953" s="18"/>
      <c r="H953" s="18"/>
    </row>
    <row r="954" spans="1:8" x14ac:dyDescent="0.2">
      <c r="A954" s="17"/>
      <c r="B954" s="17"/>
      <c r="C954" s="18"/>
      <c r="D954" s="18"/>
      <c r="E954" s="18"/>
      <c r="F954" s="18"/>
      <c r="G954" s="18"/>
      <c r="H954" s="18"/>
    </row>
    <row r="955" spans="1:8" x14ac:dyDescent="0.2">
      <c r="A955" s="17"/>
      <c r="B955" s="17"/>
      <c r="C955" s="18"/>
      <c r="D955" s="18"/>
      <c r="E955" s="18"/>
      <c r="F955" s="18"/>
      <c r="G955" s="18"/>
      <c r="H955" s="18"/>
    </row>
    <row r="956" spans="1:8" x14ac:dyDescent="0.2">
      <c r="A956" s="17"/>
      <c r="B956" s="17"/>
      <c r="C956" s="18"/>
      <c r="D956" s="18"/>
      <c r="E956" s="18"/>
      <c r="F956" s="18"/>
      <c r="G956" s="18"/>
      <c r="H956" s="18"/>
    </row>
    <row r="957" spans="1:8" x14ac:dyDescent="0.2">
      <c r="A957" s="17"/>
      <c r="B957" s="17"/>
      <c r="C957" s="18"/>
      <c r="D957" s="18"/>
      <c r="E957" s="18"/>
      <c r="F957" s="18"/>
      <c r="G957" s="18"/>
      <c r="H957" s="18"/>
    </row>
    <row r="958" spans="1:8" x14ac:dyDescent="0.2">
      <c r="A958" s="17"/>
      <c r="B958" s="17"/>
      <c r="C958" s="18"/>
      <c r="D958" s="18"/>
      <c r="E958" s="18"/>
      <c r="F958" s="18"/>
      <c r="G958" s="18"/>
      <c r="H958" s="18"/>
    </row>
    <row r="959" spans="1:8" x14ac:dyDescent="0.2">
      <c r="A959" s="17"/>
      <c r="B959" s="17"/>
      <c r="C959" s="18"/>
      <c r="D959" s="18"/>
      <c r="E959" s="18"/>
      <c r="F959" s="18"/>
      <c r="G959" s="18"/>
      <c r="H959" s="18"/>
    </row>
    <row r="960" spans="1:8" x14ac:dyDescent="0.2">
      <c r="A960" s="17"/>
      <c r="B960" s="17"/>
      <c r="C960" s="18"/>
      <c r="D960" s="18"/>
      <c r="E960" s="18"/>
      <c r="F960" s="18"/>
      <c r="G960" s="18"/>
      <c r="H960" s="18"/>
    </row>
    <row r="961" spans="1:8" x14ac:dyDescent="0.2">
      <c r="A961" s="17"/>
      <c r="B961" s="17"/>
      <c r="C961" s="18"/>
      <c r="D961" s="18"/>
      <c r="E961" s="18"/>
      <c r="F961" s="18"/>
      <c r="G961" s="18"/>
      <c r="H961" s="18"/>
    </row>
    <row r="962" spans="1:8" x14ac:dyDescent="0.2">
      <c r="A962" s="17"/>
      <c r="B962" s="17"/>
      <c r="C962" s="18"/>
      <c r="D962" s="18"/>
      <c r="E962" s="18"/>
      <c r="F962" s="18"/>
      <c r="G962" s="18"/>
      <c r="H962" s="18"/>
    </row>
    <row r="963" spans="1:8" x14ac:dyDescent="0.2">
      <c r="A963" s="17"/>
      <c r="B963" s="17"/>
      <c r="C963" s="18"/>
      <c r="D963" s="18"/>
      <c r="E963" s="18"/>
      <c r="F963" s="18"/>
      <c r="G963" s="18"/>
      <c r="H963" s="18"/>
    </row>
    <row r="964" spans="1:8" x14ac:dyDescent="0.2">
      <c r="A964" s="17"/>
      <c r="B964" s="17"/>
      <c r="C964" s="18"/>
      <c r="D964" s="18"/>
      <c r="E964" s="18"/>
      <c r="F964" s="18"/>
      <c r="G964" s="18"/>
      <c r="H964" s="18"/>
    </row>
    <row r="965" spans="1:8" x14ac:dyDescent="0.2">
      <c r="A965" s="17"/>
      <c r="B965" s="17"/>
      <c r="C965" s="18"/>
      <c r="D965" s="18"/>
      <c r="E965" s="18"/>
      <c r="F965" s="18"/>
      <c r="G965" s="18"/>
      <c r="H965" s="18"/>
    </row>
    <row r="966" spans="1:8" x14ac:dyDescent="0.2">
      <c r="A966" s="17"/>
      <c r="B966" s="17"/>
      <c r="C966" s="18"/>
      <c r="D966" s="18"/>
      <c r="E966" s="18"/>
      <c r="F966" s="18"/>
      <c r="G966" s="18"/>
      <c r="H966" s="18"/>
    </row>
    <row r="967" spans="1:8" x14ac:dyDescent="0.2">
      <c r="A967" s="17"/>
      <c r="B967" s="17"/>
      <c r="C967" s="18"/>
      <c r="D967" s="18"/>
      <c r="E967" s="18"/>
      <c r="F967" s="18"/>
      <c r="G967" s="18"/>
      <c r="H967" s="18"/>
    </row>
    <row r="968" spans="1:8" x14ac:dyDescent="0.2">
      <c r="A968" s="17"/>
      <c r="B968" s="17"/>
      <c r="C968" s="18"/>
      <c r="D968" s="18"/>
      <c r="E968" s="18"/>
      <c r="F968" s="18"/>
      <c r="G968" s="18"/>
      <c r="H968" s="18"/>
    </row>
    <row r="969" spans="1:8" x14ac:dyDescent="0.2">
      <c r="A969" s="17"/>
      <c r="B969" s="17"/>
      <c r="C969" s="18"/>
      <c r="D969" s="18"/>
      <c r="E969" s="18"/>
      <c r="F969" s="18"/>
      <c r="G969" s="18"/>
      <c r="H969" s="18"/>
    </row>
    <row r="970" spans="1:8" x14ac:dyDescent="0.2">
      <c r="A970" s="17"/>
      <c r="B970" s="17"/>
      <c r="C970" s="18"/>
      <c r="D970" s="18"/>
      <c r="E970" s="18"/>
      <c r="F970" s="18"/>
      <c r="G970" s="18"/>
      <c r="H970" s="18"/>
    </row>
    <row r="971" spans="1:8" x14ac:dyDescent="0.2">
      <c r="A971" s="17"/>
      <c r="B971" s="17"/>
      <c r="C971" s="18"/>
      <c r="D971" s="18"/>
      <c r="E971" s="18"/>
      <c r="F971" s="18"/>
      <c r="G971" s="18"/>
      <c r="H971" s="18"/>
    </row>
    <row r="972" spans="1:8" x14ac:dyDescent="0.2">
      <c r="A972" s="17"/>
      <c r="B972" s="17"/>
      <c r="C972" s="18"/>
      <c r="D972" s="18"/>
      <c r="E972" s="18"/>
      <c r="F972" s="18"/>
      <c r="G972" s="18"/>
      <c r="H972" s="18"/>
    </row>
    <row r="973" spans="1:8" x14ac:dyDescent="0.2">
      <c r="A973" s="17"/>
      <c r="B973" s="17"/>
      <c r="C973" s="18"/>
      <c r="D973" s="18"/>
      <c r="E973" s="18"/>
      <c r="F973" s="18"/>
      <c r="G973" s="18"/>
      <c r="H973" s="18"/>
    </row>
    <row r="974" spans="1:8" x14ac:dyDescent="0.2">
      <c r="A974" s="17"/>
      <c r="B974" s="17"/>
      <c r="C974" s="18"/>
      <c r="D974" s="18"/>
      <c r="E974" s="18"/>
      <c r="F974" s="18"/>
      <c r="G974" s="18"/>
      <c r="H974" s="18"/>
    </row>
    <row r="975" spans="1:8" x14ac:dyDescent="0.2">
      <c r="A975" s="17"/>
      <c r="B975" s="17"/>
      <c r="C975" s="18"/>
      <c r="D975" s="18"/>
      <c r="E975" s="18"/>
      <c r="F975" s="18"/>
      <c r="G975" s="18"/>
      <c r="H975" s="18"/>
    </row>
    <row r="976" spans="1:8" x14ac:dyDescent="0.2">
      <c r="A976" s="17"/>
      <c r="B976" s="17"/>
      <c r="C976" s="18"/>
      <c r="D976" s="18"/>
      <c r="E976" s="18"/>
      <c r="F976" s="18"/>
      <c r="G976" s="18"/>
      <c r="H976" s="18"/>
    </row>
    <row r="977" spans="1:8" x14ac:dyDescent="0.2">
      <c r="A977" s="17"/>
      <c r="B977" s="17"/>
      <c r="C977" s="18"/>
      <c r="D977" s="18"/>
      <c r="E977" s="18"/>
      <c r="F977" s="18"/>
      <c r="G977" s="18"/>
      <c r="H977" s="18"/>
    </row>
    <row r="978" spans="1:8" x14ac:dyDescent="0.2">
      <c r="A978" s="17"/>
      <c r="B978" s="17"/>
      <c r="C978" s="18"/>
      <c r="D978" s="18"/>
      <c r="E978" s="18"/>
      <c r="F978" s="18"/>
      <c r="G978" s="18"/>
      <c r="H978" s="18"/>
    </row>
    <row r="979" spans="1:8" x14ac:dyDescent="0.2">
      <c r="A979" s="17"/>
      <c r="B979" s="17"/>
      <c r="C979" s="18"/>
      <c r="D979" s="18"/>
      <c r="E979" s="18"/>
      <c r="F979" s="18"/>
      <c r="G979" s="18"/>
      <c r="H979" s="18"/>
    </row>
    <row r="980" spans="1:8" x14ac:dyDescent="0.2">
      <c r="A980" s="17"/>
      <c r="B980" s="17"/>
      <c r="C980" s="18"/>
      <c r="D980" s="18"/>
      <c r="E980" s="18"/>
      <c r="F980" s="18"/>
      <c r="G980" s="18"/>
      <c r="H980" s="18"/>
    </row>
    <row r="981" spans="1:8" x14ac:dyDescent="0.2">
      <c r="A981" s="17"/>
      <c r="B981" s="17"/>
      <c r="C981" s="18"/>
      <c r="D981" s="18"/>
      <c r="E981" s="18"/>
      <c r="F981" s="18"/>
      <c r="G981" s="18"/>
      <c r="H981" s="18"/>
    </row>
    <row r="982" spans="1:8" x14ac:dyDescent="0.2">
      <c r="A982" s="17"/>
      <c r="B982" s="17"/>
      <c r="C982" s="18"/>
      <c r="D982" s="18"/>
      <c r="E982" s="18"/>
      <c r="F982" s="18"/>
      <c r="G982" s="18"/>
      <c r="H982" s="18"/>
    </row>
    <row r="983" spans="1:8" x14ac:dyDescent="0.2">
      <c r="A983" s="17"/>
      <c r="B983" s="17"/>
      <c r="C983" s="18"/>
      <c r="D983" s="18"/>
      <c r="E983" s="18"/>
      <c r="F983" s="18"/>
      <c r="G983" s="18"/>
      <c r="H983" s="18"/>
    </row>
    <row r="984" spans="1:8" x14ac:dyDescent="0.2">
      <c r="A984" s="17"/>
      <c r="B984" s="17"/>
      <c r="C984" s="18"/>
      <c r="D984" s="18"/>
      <c r="E984" s="18"/>
      <c r="F984" s="18"/>
      <c r="G984" s="18"/>
      <c r="H984" s="18"/>
    </row>
    <row r="985" spans="1:8" x14ac:dyDescent="0.2">
      <c r="A985" s="17"/>
      <c r="B985" s="17"/>
      <c r="C985" s="18"/>
      <c r="D985" s="18"/>
      <c r="E985" s="18"/>
      <c r="F985" s="18"/>
      <c r="G985" s="18"/>
      <c r="H985" s="18"/>
    </row>
    <row r="986" spans="1:8" x14ac:dyDescent="0.2">
      <c r="A986" s="17"/>
      <c r="B986" s="17"/>
      <c r="C986" s="18"/>
      <c r="D986" s="18"/>
      <c r="E986" s="18"/>
      <c r="F986" s="18"/>
      <c r="G986" s="18"/>
      <c r="H986" s="18"/>
    </row>
    <row r="987" spans="1:8" x14ac:dyDescent="0.2">
      <c r="A987" s="17"/>
      <c r="B987" s="17"/>
      <c r="C987" s="18"/>
      <c r="D987" s="18"/>
      <c r="E987" s="18"/>
      <c r="F987" s="18"/>
      <c r="G987" s="18"/>
      <c r="H987" s="18"/>
    </row>
    <row r="988" spans="1:8" x14ac:dyDescent="0.2">
      <c r="A988" s="17"/>
      <c r="B988" s="17"/>
      <c r="C988" s="18"/>
      <c r="D988" s="18"/>
      <c r="E988" s="18"/>
      <c r="F988" s="18"/>
      <c r="G988" s="18"/>
      <c r="H988" s="18"/>
    </row>
    <row r="989" spans="1:8" x14ac:dyDescent="0.2">
      <c r="A989" s="17"/>
      <c r="B989" s="17"/>
      <c r="C989" s="18"/>
      <c r="D989" s="18"/>
      <c r="E989" s="18"/>
      <c r="F989" s="18"/>
      <c r="G989" s="18"/>
      <c r="H989" s="18"/>
    </row>
    <row r="990" spans="1:8" x14ac:dyDescent="0.2">
      <c r="A990" s="17"/>
      <c r="B990" s="17"/>
      <c r="C990" s="18"/>
      <c r="D990" s="18"/>
      <c r="E990" s="18"/>
      <c r="F990" s="18"/>
      <c r="G990" s="18"/>
      <c r="H990" s="18"/>
    </row>
    <row r="991" spans="1:8" x14ac:dyDescent="0.2">
      <c r="A991" s="17"/>
      <c r="B991" s="17"/>
      <c r="C991" s="18"/>
      <c r="D991" s="18"/>
      <c r="E991" s="18"/>
      <c r="F991" s="18"/>
      <c r="G991" s="18"/>
      <c r="H991" s="18"/>
    </row>
    <row r="992" spans="1:8" x14ac:dyDescent="0.2">
      <c r="A992" s="17"/>
      <c r="B992" s="17"/>
      <c r="C992" s="18"/>
      <c r="D992" s="18"/>
      <c r="E992" s="18"/>
      <c r="F992" s="18"/>
      <c r="G992" s="18"/>
      <c r="H992" s="18"/>
    </row>
    <row r="993" spans="1:8" x14ac:dyDescent="0.2">
      <c r="A993" s="17"/>
      <c r="B993" s="17"/>
      <c r="C993" s="18"/>
      <c r="D993" s="18"/>
      <c r="E993" s="18"/>
      <c r="F993" s="18"/>
      <c r="G993" s="18"/>
      <c r="H993" s="18"/>
    </row>
    <row r="994" spans="1:8" x14ac:dyDescent="0.2">
      <c r="A994" s="17"/>
      <c r="B994" s="17"/>
      <c r="C994" s="18"/>
      <c r="D994" s="18"/>
      <c r="E994" s="18"/>
      <c r="F994" s="18"/>
      <c r="G994" s="18"/>
      <c r="H994" s="18"/>
    </row>
    <row r="995" spans="1:8" x14ac:dyDescent="0.2">
      <c r="A995" s="17"/>
      <c r="B995" s="17"/>
      <c r="C995" s="18"/>
      <c r="D995" s="18"/>
      <c r="E995" s="18"/>
      <c r="F995" s="18"/>
      <c r="G995" s="18"/>
      <c r="H995" s="18"/>
    </row>
    <row r="996" spans="1:8" x14ac:dyDescent="0.2">
      <c r="A996" s="17"/>
      <c r="B996" s="17"/>
      <c r="C996" s="18"/>
      <c r="D996" s="18"/>
      <c r="E996" s="18"/>
      <c r="F996" s="18"/>
      <c r="G996" s="18"/>
      <c r="H996" s="18"/>
    </row>
    <row r="997" spans="1:8" x14ac:dyDescent="0.2">
      <c r="A997" s="17"/>
      <c r="B997" s="17"/>
      <c r="C997" s="18"/>
      <c r="D997" s="18"/>
      <c r="E997" s="18"/>
      <c r="F997" s="18"/>
      <c r="G997" s="18"/>
      <c r="H997" s="18"/>
    </row>
    <row r="998" spans="1:8" x14ac:dyDescent="0.2">
      <c r="A998" s="17"/>
      <c r="B998" s="17"/>
      <c r="C998" s="18"/>
      <c r="D998" s="18"/>
      <c r="E998" s="18"/>
      <c r="F998" s="18"/>
      <c r="G998" s="18"/>
      <c r="H998" s="18"/>
    </row>
    <row r="999" spans="1:8" x14ac:dyDescent="0.2">
      <c r="A999" s="17"/>
      <c r="B999" s="17"/>
      <c r="C999" s="18"/>
      <c r="D999" s="18"/>
      <c r="E999" s="18"/>
      <c r="F999" s="18"/>
      <c r="G999" s="18"/>
      <c r="H999" s="18"/>
    </row>
    <row r="1000" spans="1:8" x14ac:dyDescent="0.2">
      <c r="A1000" s="17"/>
      <c r="B1000" s="17"/>
      <c r="C1000" s="18"/>
      <c r="D1000" s="18"/>
      <c r="E1000" s="18"/>
      <c r="F1000" s="18"/>
      <c r="G1000" s="18"/>
      <c r="H1000" s="18"/>
    </row>
    <row r="1001" spans="1:8" x14ac:dyDescent="0.2">
      <c r="A1001" s="17"/>
      <c r="B1001" s="17"/>
      <c r="C1001" s="18"/>
      <c r="D1001" s="18"/>
      <c r="E1001" s="18"/>
      <c r="F1001" s="18"/>
      <c r="G1001" s="18"/>
      <c r="H1001" s="18"/>
    </row>
    <row r="1002" spans="1:8" x14ac:dyDescent="0.2">
      <c r="A1002" s="17"/>
      <c r="B1002" s="17"/>
      <c r="C1002" s="18"/>
      <c r="D1002" s="18"/>
      <c r="E1002" s="18"/>
      <c r="F1002" s="18"/>
      <c r="G1002" s="18"/>
      <c r="H1002" s="18"/>
    </row>
    <row r="1003" spans="1:8" x14ac:dyDescent="0.2">
      <c r="A1003" s="17"/>
      <c r="B1003" s="17"/>
      <c r="C1003" s="18"/>
      <c r="D1003" s="18"/>
      <c r="E1003" s="18"/>
      <c r="F1003" s="18"/>
      <c r="G1003" s="18"/>
      <c r="H1003" s="18"/>
    </row>
    <row r="1004" spans="1:8" x14ac:dyDescent="0.2">
      <c r="A1004" s="17"/>
      <c r="B1004" s="17"/>
      <c r="C1004" s="18"/>
      <c r="D1004" s="18"/>
      <c r="E1004" s="18"/>
      <c r="F1004" s="18"/>
      <c r="G1004" s="18"/>
      <c r="H1004" s="18"/>
    </row>
    <row r="1005" spans="1:8" x14ac:dyDescent="0.2">
      <c r="A1005" s="17"/>
      <c r="B1005" s="17"/>
      <c r="C1005" s="18"/>
      <c r="D1005" s="18"/>
      <c r="E1005" s="18"/>
      <c r="F1005" s="18"/>
      <c r="G1005" s="18"/>
      <c r="H1005" s="18"/>
    </row>
    <row r="1006" spans="1:8" x14ac:dyDescent="0.2">
      <c r="A1006" s="17"/>
      <c r="B1006" s="17"/>
      <c r="C1006" s="18"/>
      <c r="D1006" s="18"/>
      <c r="E1006" s="18"/>
      <c r="F1006" s="18"/>
      <c r="G1006" s="18"/>
      <c r="H1006" s="18"/>
    </row>
    <row r="1007" spans="1:8" x14ac:dyDescent="0.2">
      <c r="A1007" s="17"/>
      <c r="B1007" s="17"/>
      <c r="C1007" s="18"/>
      <c r="D1007" s="18"/>
      <c r="E1007" s="18"/>
      <c r="F1007" s="18"/>
      <c r="G1007" s="18"/>
      <c r="H1007" s="18"/>
    </row>
    <row r="1008" spans="1:8" x14ac:dyDescent="0.2">
      <c r="A1008" s="17"/>
      <c r="B1008" s="17"/>
      <c r="C1008" s="18"/>
      <c r="D1008" s="18"/>
      <c r="E1008" s="18"/>
      <c r="F1008" s="18"/>
      <c r="G1008" s="18"/>
      <c r="H1008" s="18"/>
    </row>
    <row r="1009" spans="1:8" x14ac:dyDescent="0.2">
      <c r="A1009" s="17"/>
      <c r="B1009" s="17"/>
      <c r="C1009" s="18"/>
      <c r="D1009" s="18"/>
      <c r="E1009" s="18"/>
      <c r="F1009" s="18"/>
      <c r="G1009" s="18"/>
      <c r="H1009" s="18"/>
    </row>
    <row r="1010" spans="1:8" x14ac:dyDescent="0.2">
      <c r="A1010" s="17"/>
      <c r="B1010" s="17"/>
      <c r="C1010" s="18"/>
      <c r="D1010" s="18"/>
      <c r="E1010" s="18"/>
      <c r="F1010" s="18"/>
      <c r="G1010" s="18"/>
      <c r="H1010" s="18"/>
    </row>
    <row r="1011" spans="1:8" x14ac:dyDescent="0.2">
      <c r="A1011" s="17"/>
      <c r="B1011" s="17"/>
      <c r="C1011" s="18"/>
      <c r="D1011" s="18"/>
      <c r="E1011" s="18"/>
      <c r="F1011" s="18"/>
      <c r="G1011" s="18"/>
      <c r="H1011" s="18"/>
    </row>
    <row r="1012" spans="1:8" x14ac:dyDescent="0.2">
      <c r="A1012" s="17"/>
      <c r="B1012" s="17"/>
      <c r="C1012" s="18"/>
      <c r="D1012" s="18"/>
      <c r="E1012" s="18"/>
      <c r="F1012" s="18"/>
      <c r="G1012" s="18"/>
      <c r="H1012" s="18"/>
    </row>
    <row r="1013" spans="1:8" x14ac:dyDescent="0.2">
      <c r="A1013" s="17"/>
      <c r="B1013" s="17"/>
      <c r="C1013" s="18"/>
      <c r="D1013" s="18"/>
      <c r="E1013" s="18"/>
      <c r="F1013" s="18"/>
      <c r="G1013" s="18"/>
      <c r="H1013" s="18"/>
    </row>
    <row r="1014" spans="1:8" x14ac:dyDescent="0.2">
      <c r="A1014" s="17"/>
      <c r="B1014" s="17"/>
      <c r="C1014" s="18"/>
      <c r="D1014" s="18"/>
      <c r="E1014" s="18"/>
      <c r="F1014" s="18"/>
      <c r="G1014" s="18"/>
      <c r="H1014" s="18"/>
    </row>
    <row r="1015" spans="1:8" x14ac:dyDescent="0.2">
      <c r="A1015" s="17"/>
      <c r="B1015" s="17"/>
      <c r="C1015" s="18"/>
      <c r="D1015" s="18"/>
      <c r="E1015" s="18"/>
      <c r="F1015" s="18"/>
      <c r="G1015" s="18"/>
      <c r="H1015" s="18"/>
    </row>
    <row r="1016" spans="1:8" x14ac:dyDescent="0.2">
      <c r="A1016" s="17"/>
      <c r="B1016" s="17"/>
      <c r="C1016" s="18"/>
      <c r="D1016" s="18"/>
      <c r="E1016" s="18"/>
      <c r="F1016" s="18"/>
      <c r="G1016" s="18"/>
      <c r="H1016" s="18"/>
    </row>
    <row r="1017" spans="1:8" x14ac:dyDescent="0.2">
      <c r="A1017" s="17"/>
      <c r="B1017" s="17"/>
      <c r="C1017" s="18"/>
      <c r="D1017" s="18"/>
      <c r="E1017" s="18"/>
      <c r="F1017" s="18"/>
      <c r="G1017" s="18"/>
      <c r="H1017" s="18"/>
    </row>
    <row r="1018" spans="1:8" x14ac:dyDescent="0.2">
      <c r="A1018" s="17"/>
      <c r="B1018" s="17"/>
      <c r="C1018" s="18"/>
      <c r="D1018" s="18"/>
      <c r="E1018" s="18"/>
      <c r="F1018" s="18"/>
      <c r="G1018" s="18"/>
      <c r="H1018" s="18"/>
    </row>
    <row r="1019" spans="1:8" x14ac:dyDescent="0.2">
      <c r="A1019" s="17"/>
      <c r="B1019" s="17"/>
      <c r="C1019" s="18"/>
      <c r="D1019" s="18"/>
      <c r="E1019" s="18"/>
      <c r="F1019" s="18"/>
      <c r="G1019" s="18"/>
      <c r="H1019" s="18"/>
    </row>
    <row r="1020" spans="1:8" x14ac:dyDescent="0.2">
      <c r="A1020" s="17"/>
      <c r="B1020" s="17"/>
      <c r="C1020" s="18"/>
      <c r="D1020" s="18"/>
      <c r="E1020" s="18"/>
      <c r="F1020" s="18"/>
      <c r="G1020" s="18"/>
      <c r="H1020" s="18"/>
    </row>
    <row r="1021" spans="1:8" x14ac:dyDescent="0.2">
      <c r="A1021" s="17"/>
      <c r="B1021" s="17"/>
      <c r="C1021" s="18"/>
      <c r="D1021" s="18"/>
      <c r="E1021" s="18"/>
      <c r="F1021" s="18"/>
      <c r="G1021" s="18"/>
      <c r="H1021" s="18"/>
    </row>
    <row r="1022" spans="1:8" x14ac:dyDescent="0.2">
      <c r="A1022" s="17"/>
      <c r="B1022" s="17"/>
      <c r="C1022" s="18"/>
      <c r="D1022" s="18"/>
      <c r="E1022" s="18"/>
      <c r="F1022" s="18"/>
      <c r="G1022" s="18"/>
      <c r="H1022" s="18"/>
    </row>
    <row r="1023" spans="1:8" x14ac:dyDescent="0.2">
      <c r="A1023" s="17"/>
      <c r="B1023" s="17"/>
      <c r="C1023" s="18"/>
      <c r="D1023" s="18"/>
      <c r="E1023" s="18"/>
      <c r="F1023" s="18"/>
      <c r="G1023" s="18"/>
      <c r="H1023" s="18"/>
    </row>
    <row r="1024" spans="1:8" x14ac:dyDescent="0.2">
      <c r="A1024" s="17"/>
      <c r="B1024" s="17"/>
      <c r="C1024" s="18"/>
      <c r="D1024" s="18"/>
      <c r="E1024" s="18"/>
      <c r="F1024" s="18"/>
      <c r="G1024" s="18"/>
      <c r="H1024" s="18"/>
    </row>
    <row r="1025" spans="1:8" x14ac:dyDescent="0.2">
      <c r="A1025" s="17"/>
      <c r="B1025" s="17"/>
      <c r="C1025" s="18"/>
      <c r="D1025" s="18"/>
      <c r="E1025" s="18"/>
      <c r="F1025" s="18"/>
      <c r="G1025" s="18"/>
      <c r="H1025" s="18"/>
    </row>
    <row r="1026" spans="1:8" x14ac:dyDescent="0.2">
      <c r="A1026" s="17"/>
      <c r="B1026" s="17"/>
      <c r="C1026" s="18"/>
      <c r="D1026" s="18"/>
      <c r="E1026" s="18"/>
      <c r="F1026" s="18"/>
      <c r="G1026" s="18"/>
      <c r="H1026" s="18"/>
    </row>
    <row r="1027" spans="1:8" x14ac:dyDescent="0.2">
      <c r="A1027" s="17"/>
      <c r="B1027" s="17"/>
      <c r="C1027" s="18"/>
      <c r="D1027" s="18"/>
      <c r="E1027" s="18"/>
      <c r="F1027" s="18"/>
      <c r="G1027" s="18"/>
      <c r="H1027" s="18"/>
    </row>
    <row r="1028" spans="1:8" x14ac:dyDescent="0.2">
      <c r="A1028" s="17"/>
      <c r="B1028" s="17"/>
      <c r="C1028" s="18"/>
      <c r="D1028" s="18"/>
      <c r="E1028" s="18"/>
      <c r="F1028" s="18"/>
      <c r="G1028" s="18"/>
      <c r="H1028" s="18"/>
    </row>
    <row r="1029" spans="1:8" x14ac:dyDescent="0.2">
      <c r="A1029" s="17"/>
      <c r="B1029" s="17"/>
      <c r="C1029" s="18"/>
      <c r="D1029" s="18"/>
      <c r="E1029" s="18"/>
      <c r="F1029" s="18"/>
      <c r="G1029" s="18"/>
      <c r="H1029" s="18"/>
    </row>
    <row r="1030" spans="1:8" x14ac:dyDescent="0.2">
      <c r="A1030" s="17"/>
      <c r="B1030" s="17"/>
      <c r="C1030" s="18"/>
      <c r="D1030" s="18"/>
      <c r="E1030" s="18"/>
      <c r="F1030" s="18"/>
      <c r="G1030" s="18"/>
      <c r="H1030" s="18"/>
    </row>
    <row r="1031" spans="1:8" x14ac:dyDescent="0.2">
      <c r="A1031" s="17"/>
      <c r="B1031" s="17"/>
      <c r="C1031" s="18"/>
      <c r="D1031" s="18"/>
      <c r="E1031" s="18"/>
      <c r="F1031" s="18"/>
      <c r="G1031" s="18"/>
      <c r="H1031" s="18"/>
    </row>
    <row r="1032" spans="1:8" x14ac:dyDescent="0.2">
      <c r="A1032" s="17"/>
      <c r="B1032" s="17"/>
      <c r="C1032" s="18"/>
      <c r="D1032" s="18"/>
      <c r="E1032" s="18"/>
      <c r="F1032" s="18"/>
      <c r="G1032" s="18"/>
      <c r="H1032" s="18"/>
    </row>
    <row r="1033" spans="1:8" x14ac:dyDescent="0.2">
      <c r="A1033" s="17"/>
      <c r="B1033" s="17"/>
      <c r="C1033" s="18"/>
      <c r="D1033" s="18"/>
      <c r="E1033" s="18"/>
      <c r="F1033" s="18"/>
      <c r="G1033" s="18"/>
      <c r="H1033" s="18"/>
    </row>
    <row r="1034" spans="1:8" x14ac:dyDescent="0.2">
      <c r="A1034" s="17"/>
      <c r="B1034" s="17"/>
      <c r="C1034" s="18"/>
      <c r="D1034" s="18"/>
      <c r="E1034" s="18"/>
      <c r="F1034" s="18"/>
      <c r="G1034" s="18"/>
      <c r="H1034" s="18"/>
    </row>
    <row r="1035" spans="1:8" x14ac:dyDescent="0.2">
      <c r="A1035" s="17"/>
      <c r="B1035" s="17"/>
      <c r="C1035" s="18"/>
      <c r="D1035" s="18"/>
      <c r="E1035" s="18"/>
      <c r="F1035" s="18"/>
      <c r="G1035" s="18"/>
      <c r="H1035" s="18"/>
    </row>
    <row r="1036" spans="1:8" x14ac:dyDescent="0.2">
      <c r="A1036" s="17"/>
      <c r="B1036" s="17"/>
      <c r="C1036" s="18"/>
      <c r="D1036" s="18"/>
      <c r="E1036" s="18"/>
      <c r="F1036" s="18"/>
      <c r="G1036" s="18"/>
      <c r="H1036" s="18"/>
    </row>
    <row r="1037" spans="1:8" x14ac:dyDescent="0.2">
      <c r="A1037" s="17"/>
      <c r="B1037" s="17"/>
      <c r="C1037" s="18"/>
      <c r="D1037" s="18"/>
      <c r="E1037" s="18"/>
      <c r="F1037" s="18"/>
      <c r="G1037" s="18"/>
      <c r="H1037" s="18"/>
    </row>
    <row r="1038" spans="1:8" x14ac:dyDescent="0.2">
      <c r="A1038" s="17"/>
      <c r="B1038" s="17"/>
      <c r="C1038" s="18"/>
      <c r="D1038" s="18"/>
      <c r="E1038" s="18"/>
      <c r="F1038" s="18"/>
      <c r="G1038" s="18"/>
      <c r="H1038" s="18"/>
    </row>
    <row r="1039" spans="1:8" x14ac:dyDescent="0.2">
      <c r="A1039" s="17"/>
      <c r="B1039" s="17"/>
      <c r="C1039" s="18"/>
      <c r="D1039" s="18"/>
      <c r="E1039" s="18"/>
      <c r="F1039" s="18"/>
      <c r="G1039" s="18"/>
      <c r="H1039" s="18"/>
    </row>
    <row r="1040" spans="1:8" x14ac:dyDescent="0.2">
      <c r="A1040" s="17"/>
      <c r="B1040" s="17"/>
      <c r="C1040" s="18"/>
      <c r="D1040" s="18"/>
      <c r="E1040" s="18"/>
      <c r="F1040" s="18"/>
      <c r="G1040" s="18"/>
      <c r="H1040" s="18"/>
    </row>
    <row r="1041" spans="1:8" x14ac:dyDescent="0.2">
      <c r="A1041" s="17"/>
      <c r="B1041" s="17"/>
      <c r="C1041" s="18"/>
      <c r="D1041" s="18"/>
      <c r="E1041" s="18"/>
      <c r="F1041" s="18"/>
      <c r="G1041" s="18"/>
      <c r="H1041" s="18"/>
    </row>
    <row r="1042" spans="1:8" x14ac:dyDescent="0.2">
      <c r="A1042" s="17"/>
      <c r="B1042" s="17"/>
      <c r="C1042" s="18"/>
      <c r="D1042" s="18"/>
      <c r="E1042" s="18"/>
      <c r="F1042" s="18"/>
      <c r="G1042" s="18"/>
      <c r="H1042" s="18"/>
    </row>
    <row r="1043" spans="1:8" x14ac:dyDescent="0.2">
      <c r="A1043" s="17"/>
      <c r="B1043" s="17"/>
      <c r="C1043" s="18"/>
      <c r="D1043" s="18"/>
      <c r="E1043" s="18"/>
      <c r="F1043" s="18"/>
      <c r="G1043" s="18"/>
      <c r="H1043" s="18"/>
    </row>
    <row r="1044" spans="1:8" x14ac:dyDescent="0.2">
      <c r="A1044" s="17"/>
      <c r="B1044" s="17"/>
      <c r="C1044" s="18"/>
      <c r="D1044" s="18"/>
      <c r="E1044" s="18"/>
      <c r="F1044" s="18"/>
      <c r="G1044" s="18"/>
      <c r="H1044" s="18"/>
    </row>
    <row r="1045" spans="1:8" x14ac:dyDescent="0.2">
      <c r="A1045" s="17"/>
      <c r="B1045" s="17"/>
      <c r="C1045" s="18"/>
      <c r="D1045" s="18"/>
      <c r="E1045" s="18"/>
      <c r="F1045" s="18"/>
      <c r="G1045" s="18"/>
      <c r="H1045" s="18"/>
    </row>
    <row r="1046" spans="1:8" x14ac:dyDescent="0.2">
      <c r="A1046" s="17"/>
      <c r="B1046" s="17"/>
      <c r="C1046" s="18"/>
      <c r="D1046" s="18"/>
      <c r="E1046" s="18"/>
      <c r="F1046" s="18"/>
      <c r="G1046" s="18"/>
      <c r="H1046" s="18"/>
    </row>
    <row r="1047" spans="1:8" x14ac:dyDescent="0.2">
      <c r="A1047" s="17"/>
      <c r="B1047" s="17"/>
      <c r="C1047" s="18"/>
      <c r="D1047" s="18"/>
      <c r="E1047" s="18"/>
      <c r="F1047" s="18"/>
      <c r="G1047" s="18"/>
      <c r="H1047" s="18"/>
    </row>
    <row r="1048" spans="1:8" x14ac:dyDescent="0.2">
      <c r="A1048" s="17"/>
      <c r="B1048" s="17"/>
      <c r="C1048" s="18"/>
      <c r="D1048" s="18"/>
      <c r="E1048" s="18"/>
      <c r="F1048" s="18"/>
      <c r="G1048" s="18"/>
      <c r="H1048" s="18"/>
    </row>
    <row r="1049" spans="1:8" x14ac:dyDescent="0.2">
      <c r="A1049" s="17"/>
      <c r="B1049" s="17"/>
      <c r="C1049" s="18"/>
      <c r="D1049" s="18"/>
      <c r="E1049" s="18"/>
      <c r="F1049" s="18"/>
      <c r="G1049" s="18"/>
      <c r="H1049" s="18"/>
    </row>
    <row r="1050" spans="1:8" x14ac:dyDescent="0.2">
      <c r="A1050" s="17"/>
      <c r="B1050" s="17"/>
      <c r="C1050" s="18"/>
      <c r="D1050" s="18"/>
      <c r="E1050" s="18"/>
      <c r="F1050" s="18"/>
      <c r="G1050" s="18"/>
      <c r="H1050" s="18"/>
    </row>
    <row r="1051" spans="1:8" x14ac:dyDescent="0.2">
      <c r="A1051" s="17"/>
      <c r="B1051" s="17"/>
      <c r="C1051" s="18"/>
      <c r="D1051" s="18"/>
      <c r="E1051" s="18"/>
      <c r="F1051" s="18"/>
      <c r="G1051" s="18"/>
      <c r="H1051" s="18"/>
    </row>
    <row r="1052" spans="1:8" x14ac:dyDescent="0.2">
      <c r="A1052" s="17"/>
      <c r="B1052" s="17"/>
      <c r="C1052" s="18"/>
      <c r="D1052" s="18"/>
      <c r="E1052" s="18"/>
      <c r="F1052" s="18"/>
      <c r="G1052" s="18"/>
      <c r="H1052" s="18"/>
    </row>
    <row r="1053" spans="1:8" x14ac:dyDescent="0.2">
      <c r="A1053" s="17"/>
      <c r="B1053" s="17"/>
      <c r="C1053" s="18"/>
      <c r="D1053" s="18"/>
      <c r="E1053" s="18"/>
      <c r="F1053" s="18"/>
      <c r="G1053" s="18"/>
      <c r="H1053" s="18"/>
    </row>
    <row r="1054" spans="1:8" x14ac:dyDescent="0.2">
      <c r="A1054" s="17"/>
      <c r="B1054" s="17"/>
      <c r="C1054" s="18"/>
      <c r="D1054" s="18"/>
      <c r="E1054" s="18"/>
      <c r="F1054" s="18"/>
      <c r="G1054" s="18"/>
      <c r="H1054" s="18"/>
    </row>
    <row r="1055" spans="1:8" x14ac:dyDescent="0.2">
      <c r="A1055" s="17"/>
      <c r="B1055" s="17"/>
      <c r="C1055" s="18"/>
      <c r="D1055" s="18"/>
      <c r="E1055" s="18"/>
      <c r="F1055" s="18"/>
      <c r="G1055" s="18"/>
      <c r="H1055" s="18"/>
    </row>
    <row r="1056" spans="1:8" x14ac:dyDescent="0.2">
      <c r="A1056" s="17"/>
      <c r="B1056" s="17"/>
      <c r="C1056" s="18"/>
      <c r="D1056" s="18"/>
      <c r="E1056" s="18"/>
      <c r="F1056" s="18"/>
      <c r="G1056" s="18"/>
      <c r="H1056" s="18"/>
    </row>
    <row r="1057" spans="1:8" x14ac:dyDescent="0.2">
      <c r="A1057" s="17"/>
      <c r="B1057" s="17"/>
      <c r="C1057" s="18"/>
      <c r="D1057" s="18"/>
      <c r="E1057" s="18"/>
      <c r="F1057" s="18"/>
      <c r="G1057" s="18"/>
      <c r="H1057" s="18"/>
    </row>
    <row r="1058" spans="1:8" x14ac:dyDescent="0.2">
      <c r="A1058" s="17"/>
      <c r="B1058" s="17"/>
      <c r="C1058" s="18"/>
      <c r="D1058" s="18"/>
      <c r="E1058" s="18"/>
      <c r="F1058" s="18"/>
      <c r="G1058" s="18"/>
      <c r="H1058" s="18"/>
    </row>
    <row r="1059" spans="1:8" x14ac:dyDescent="0.2">
      <c r="A1059" s="17"/>
      <c r="B1059" s="17"/>
      <c r="C1059" s="18"/>
      <c r="D1059" s="18"/>
      <c r="E1059" s="18"/>
      <c r="F1059" s="18"/>
      <c r="G1059" s="18"/>
      <c r="H1059" s="18"/>
    </row>
    <row r="1060" spans="1:8" x14ac:dyDescent="0.2">
      <c r="A1060" s="17"/>
      <c r="B1060" s="17"/>
      <c r="C1060" s="18"/>
      <c r="D1060" s="18"/>
      <c r="E1060" s="18"/>
      <c r="F1060" s="18"/>
      <c r="G1060" s="18"/>
      <c r="H1060" s="18"/>
    </row>
    <row r="1061" spans="1:8" x14ac:dyDescent="0.2">
      <c r="A1061" s="17"/>
      <c r="B1061" s="17"/>
      <c r="C1061" s="18"/>
      <c r="D1061" s="18"/>
      <c r="E1061" s="18"/>
      <c r="F1061" s="18"/>
      <c r="G1061" s="18"/>
      <c r="H1061" s="18"/>
    </row>
    <row r="1062" spans="1:8" x14ac:dyDescent="0.2">
      <c r="A1062" s="17"/>
      <c r="B1062" s="17"/>
      <c r="C1062" s="18"/>
      <c r="D1062" s="18"/>
      <c r="E1062" s="18"/>
      <c r="F1062" s="18"/>
      <c r="G1062" s="18"/>
      <c r="H1062" s="18"/>
    </row>
    <row r="1063" spans="1:8" x14ac:dyDescent="0.2">
      <c r="A1063" s="17"/>
      <c r="B1063" s="17"/>
      <c r="C1063" s="18"/>
      <c r="D1063" s="18"/>
      <c r="E1063" s="18"/>
      <c r="F1063" s="18"/>
      <c r="G1063" s="18"/>
      <c r="H1063" s="18"/>
    </row>
    <row r="1064" spans="1:8" x14ac:dyDescent="0.2">
      <c r="A1064" s="17"/>
      <c r="B1064" s="17"/>
      <c r="C1064" s="18"/>
      <c r="D1064" s="18"/>
      <c r="E1064" s="18"/>
      <c r="F1064" s="18"/>
      <c r="G1064" s="18"/>
      <c r="H1064" s="18"/>
    </row>
    <row r="1065" spans="1:8" x14ac:dyDescent="0.2">
      <c r="A1065" s="17"/>
      <c r="B1065" s="17"/>
      <c r="C1065" s="18"/>
      <c r="D1065" s="18"/>
      <c r="E1065" s="18"/>
      <c r="F1065" s="18"/>
      <c r="G1065" s="18"/>
      <c r="H1065" s="18"/>
    </row>
    <row r="1066" spans="1:8" x14ac:dyDescent="0.2">
      <c r="A1066" s="17"/>
      <c r="B1066" s="17"/>
      <c r="C1066" s="18"/>
      <c r="D1066" s="18"/>
      <c r="E1066" s="18"/>
      <c r="F1066" s="18"/>
      <c r="G1066" s="18"/>
      <c r="H1066" s="18"/>
    </row>
    <row r="1067" spans="1:8" x14ac:dyDescent="0.2">
      <c r="A1067" s="17"/>
      <c r="B1067" s="17"/>
      <c r="C1067" s="18"/>
      <c r="D1067" s="18"/>
      <c r="E1067" s="18"/>
      <c r="F1067" s="18"/>
      <c r="G1067" s="18"/>
      <c r="H1067" s="18"/>
    </row>
    <row r="1068" spans="1:8" x14ac:dyDescent="0.2">
      <c r="A1068" s="17"/>
      <c r="B1068" s="17"/>
      <c r="C1068" s="18"/>
      <c r="D1068" s="18"/>
      <c r="E1068" s="18"/>
      <c r="F1068" s="18"/>
      <c r="G1068" s="18"/>
      <c r="H1068" s="18"/>
    </row>
    <row r="1069" spans="1:8" x14ac:dyDescent="0.2">
      <c r="A1069" s="17"/>
      <c r="B1069" s="17"/>
      <c r="C1069" s="18"/>
      <c r="D1069" s="18"/>
      <c r="E1069" s="18"/>
      <c r="F1069" s="18"/>
      <c r="G1069" s="18"/>
      <c r="H1069" s="18"/>
    </row>
    <row r="1070" spans="1:8" x14ac:dyDescent="0.2">
      <c r="A1070" s="17"/>
      <c r="B1070" s="17"/>
      <c r="C1070" s="18"/>
      <c r="D1070" s="18"/>
      <c r="E1070" s="18"/>
      <c r="F1070" s="18"/>
      <c r="G1070" s="18"/>
      <c r="H1070" s="18"/>
    </row>
    <row r="1071" spans="1:8" x14ac:dyDescent="0.2">
      <c r="A1071" s="17"/>
      <c r="B1071" s="17"/>
      <c r="C1071" s="18"/>
      <c r="D1071" s="18"/>
      <c r="E1071" s="18"/>
      <c r="F1071" s="18"/>
      <c r="G1071" s="18"/>
      <c r="H1071" s="18"/>
    </row>
    <row r="1072" spans="1:8" x14ac:dyDescent="0.2">
      <c r="A1072" s="17"/>
      <c r="B1072" s="17"/>
      <c r="C1072" s="18"/>
      <c r="D1072" s="18"/>
      <c r="E1072" s="18"/>
      <c r="F1072" s="18"/>
      <c r="G1072" s="18"/>
      <c r="H1072" s="18"/>
    </row>
    <row r="1073" spans="1:8" x14ac:dyDescent="0.2">
      <c r="A1073" s="17"/>
      <c r="B1073" s="17"/>
      <c r="C1073" s="18"/>
      <c r="D1073" s="18"/>
      <c r="E1073" s="18"/>
      <c r="F1073" s="18"/>
      <c r="G1073" s="18"/>
      <c r="H1073" s="18"/>
    </row>
    <row r="1074" spans="1:8" x14ac:dyDescent="0.2">
      <c r="A1074" s="17"/>
      <c r="B1074" s="17"/>
      <c r="C1074" s="18"/>
      <c r="D1074" s="18"/>
      <c r="E1074" s="18"/>
      <c r="F1074" s="18"/>
      <c r="G1074" s="18"/>
      <c r="H1074" s="18"/>
    </row>
    <row r="1075" spans="1:8" x14ac:dyDescent="0.2">
      <c r="A1075" s="17"/>
      <c r="B1075" s="17"/>
      <c r="C1075" s="18"/>
      <c r="D1075" s="18"/>
      <c r="E1075" s="18"/>
      <c r="F1075" s="18"/>
      <c r="G1075" s="18"/>
      <c r="H1075" s="18"/>
    </row>
    <row r="1076" spans="1:8" x14ac:dyDescent="0.2">
      <c r="A1076" s="17"/>
      <c r="B1076" s="17"/>
      <c r="C1076" s="18"/>
      <c r="D1076" s="18"/>
      <c r="E1076" s="18"/>
      <c r="F1076" s="18"/>
      <c r="G1076" s="18"/>
      <c r="H1076" s="18"/>
    </row>
    <row r="1077" spans="1:8" x14ac:dyDescent="0.2">
      <c r="A1077" s="17"/>
      <c r="B1077" s="17"/>
      <c r="C1077" s="18"/>
      <c r="D1077" s="18"/>
      <c r="E1077" s="18"/>
      <c r="F1077" s="18"/>
      <c r="G1077" s="18"/>
      <c r="H1077" s="18"/>
    </row>
    <row r="1078" spans="1:8" x14ac:dyDescent="0.2">
      <c r="A1078" s="17"/>
      <c r="B1078" s="17"/>
      <c r="C1078" s="18"/>
      <c r="D1078" s="18"/>
      <c r="E1078" s="18"/>
      <c r="F1078" s="18"/>
      <c r="G1078" s="18"/>
      <c r="H1078" s="18"/>
    </row>
    <row r="1079" spans="1:8" x14ac:dyDescent="0.2">
      <c r="A1079" s="17"/>
      <c r="B1079" s="17"/>
      <c r="C1079" s="18"/>
      <c r="D1079" s="18"/>
      <c r="E1079" s="18"/>
      <c r="F1079" s="18"/>
      <c r="G1079" s="18"/>
      <c r="H1079" s="18"/>
    </row>
    <row r="1080" spans="1:8" x14ac:dyDescent="0.2">
      <c r="A1080" s="17"/>
      <c r="B1080" s="17"/>
      <c r="C1080" s="18"/>
      <c r="D1080" s="18"/>
      <c r="E1080" s="18"/>
      <c r="F1080" s="18"/>
      <c r="G1080" s="18"/>
      <c r="H1080" s="18"/>
    </row>
    <row r="1081" spans="1:8" x14ac:dyDescent="0.2">
      <c r="A1081" s="17"/>
      <c r="B1081" s="17"/>
      <c r="C1081" s="18"/>
      <c r="D1081" s="18"/>
      <c r="E1081" s="18"/>
      <c r="F1081" s="18"/>
      <c r="G1081" s="18"/>
      <c r="H1081" s="18"/>
    </row>
    <row r="1082" spans="1:8" x14ac:dyDescent="0.2">
      <c r="A1082" s="17"/>
      <c r="B1082" s="17"/>
      <c r="C1082" s="18"/>
      <c r="D1082" s="18"/>
      <c r="E1082" s="18"/>
      <c r="F1082" s="18"/>
      <c r="G1082" s="18"/>
      <c r="H1082" s="18"/>
    </row>
    <row r="1083" spans="1:8" x14ac:dyDescent="0.2">
      <c r="A1083" s="17"/>
      <c r="B1083" s="17"/>
      <c r="C1083" s="18"/>
      <c r="D1083" s="18"/>
      <c r="E1083" s="18"/>
      <c r="F1083" s="18"/>
      <c r="G1083" s="18"/>
      <c r="H1083" s="18"/>
    </row>
    <row r="1084" spans="1:8" x14ac:dyDescent="0.2">
      <c r="A1084" s="17"/>
      <c r="B1084" s="17"/>
      <c r="C1084" s="18"/>
      <c r="D1084" s="18"/>
      <c r="E1084" s="18"/>
      <c r="F1084" s="18"/>
      <c r="G1084" s="18"/>
      <c r="H1084" s="18"/>
    </row>
    <row r="1085" spans="1:8" x14ac:dyDescent="0.2">
      <c r="A1085" s="17"/>
      <c r="B1085" s="17"/>
      <c r="C1085" s="18"/>
      <c r="D1085" s="18"/>
      <c r="E1085" s="18"/>
      <c r="F1085" s="18"/>
      <c r="G1085" s="18"/>
      <c r="H1085" s="18"/>
    </row>
    <row r="1086" spans="1:8" x14ac:dyDescent="0.2">
      <c r="A1086" s="17"/>
      <c r="B1086" s="17"/>
      <c r="C1086" s="18"/>
      <c r="D1086" s="18"/>
      <c r="E1086" s="18"/>
      <c r="F1086" s="18"/>
      <c r="G1086" s="18"/>
      <c r="H1086" s="18"/>
    </row>
    <row r="1087" spans="1:8" x14ac:dyDescent="0.2">
      <c r="A1087" s="17"/>
      <c r="B1087" s="17"/>
      <c r="C1087" s="18"/>
      <c r="D1087" s="18"/>
      <c r="E1087" s="18"/>
      <c r="F1087" s="18"/>
      <c r="G1087" s="18"/>
      <c r="H1087" s="18"/>
    </row>
    <row r="1088" spans="1:8" x14ac:dyDescent="0.2">
      <c r="A1088" s="17"/>
      <c r="B1088" s="17"/>
      <c r="C1088" s="18"/>
      <c r="D1088" s="18"/>
      <c r="E1088" s="18"/>
      <c r="F1088" s="18"/>
      <c r="G1088" s="18"/>
      <c r="H1088" s="18"/>
    </row>
    <row r="1089" spans="1:8" x14ac:dyDescent="0.2">
      <c r="A1089" s="17"/>
      <c r="B1089" s="17"/>
      <c r="C1089" s="18"/>
      <c r="D1089" s="18"/>
      <c r="E1089" s="18"/>
      <c r="F1089" s="18"/>
      <c r="G1089" s="18"/>
      <c r="H1089" s="18"/>
    </row>
    <row r="1090" spans="1:8" x14ac:dyDescent="0.2">
      <c r="A1090" s="17"/>
      <c r="B1090" s="17"/>
      <c r="C1090" s="18"/>
      <c r="D1090" s="18"/>
      <c r="E1090" s="18"/>
      <c r="F1090" s="18"/>
      <c r="G1090" s="18"/>
      <c r="H1090" s="18"/>
    </row>
    <row r="1091" spans="1:8" x14ac:dyDescent="0.2">
      <c r="A1091" s="17"/>
      <c r="B1091" s="17"/>
      <c r="C1091" s="18"/>
      <c r="D1091" s="18"/>
      <c r="E1091" s="18"/>
      <c r="F1091" s="18"/>
      <c r="G1091" s="18"/>
      <c r="H1091" s="18"/>
    </row>
    <row r="1092" spans="1:8" x14ac:dyDescent="0.2">
      <c r="A1092" s="17"/>
      <c r="B1092" s="17"/>
      <c r="C1092" s="18"/>
      <c r="D1092" s="18"/>
      <c r="E1092" s="18"/>
      <c r="F1092" s="18"/>
      <c r="G1092" s="18"/>
      <c r="H1092" s="18"/>
    </row>
    <row r="1093" spans="1:8" x14ac:dyDescent="0.2">
      <c r="A1093" s="17"/>
      <c r="B1093" s="17"/>
      <c r="C1093" s="18"/>
      <c r="D1093" s="18"/>
      <c r="E1093" s="18"/>
      <c r="F1093" s="18"/>
      <c r="G1093" s="18"/>
      <c r="H1093" s="18"/>
    </row>
    <row r="1094" spans="1:8" x14ac:dyDescent="0.2">
      <c r="A1094" s="17"/>
      <c r="B1094" s="17"/>
      <c r="C1094" s="18"/>
      <c r="D1094" s="18"/>
      <c r="E1094" s="18"/>
      <c r="F1094" s="18"/>
      <c r="G1094" s="18"/>
      <c r="H1094" s="18"/>
    </row>
    <row r="1095" spans="1:8" x14ac:dyDescent="0.2">
      <c r="A1095" s="17"/>
      <c r="B1095" s="17"/>
      <c r="C1095" s="18"/>
      <c r="D1095" s="18"/>
      <c r="E1095" s="18"/>
      <c r="F1095" s="18"/>
      <c r="G1095" s="18"/>
      <c r="H1095" s="18"/>
    </row>
    <row r="1096" spans="1:8" x14ac:dyDescent="0.2">
      <c r="A1096" s="17"/>
      <c r="B1096" s="17"/>
      <c r="C1096" s="18"/>
      <c r="D1096" s="18"/>
      <c r="E1096" s="18"/>
      <c r="F1096" s="18"/>
      <c r="G1096" s="18"/>
      <c r="H1096" s="18"/>
    </row>
    <row r="1097" spans="1:8" x14ac:dyDescent="0.2">
      <c r="A1097" s="17"/>
      <c r="B1097" s="17"/>
      <c r="C1097" s="18"/>
      <c r="D1097" s="18"/>
      <c r="E1097" s="18"/>
      <c r="F1097" s="18"/>
      <c r="G1097" s="18"/>
      <c r="H1097" s="18"/>
    </row>
    <row r="1098" spans="1:8" x14ac:dyDescent="0.2">
      <c r="A1098" s="17"/>
      <c r="B1098" s="17"/>
      <c r="C1098" s="18"/>
      <c r="D1098" s="18"/>
      <c r="E1098" s="18"/>
      <c r="F1098" s="18"/>
      <c r="G1098" s="18"/>
      <c r="H1098" s="18"/>
    </row>
    <row r="1099" spans="1:8" x14ac:dyDescent="0.2">
      <c r="A1099" s="17"/>
      <c r="B1099" s="17"/>
      <c r="C1099" s="18"/>
      <c r="D1099" s="18"/>
      <c r="E1099" s="18"/>
      <c r="F1099" s="18"/>
      <c r="G1099" s="18"/>
      <c r="H1099" s="18"/>
    </row>
    <row r="1100" spans="1:8" x14ac:dyDescent="0.2">
      <c r="A1100" s="17"/>
      <c r="B1100" s="17"/>
      <c r="C1100" s="18"/>
      <c r="D1100" s="18"/>
      <c r="E1100" s="18"/>
      <c r="F1100" s="18"/>
      <c r="G1100" s="18"/>
      <c r="H1100" s="18"/>
    </row>
    <row r="1101" spans="1:8" x14ac:dyDescent="0.2">
      <c r="A1101" s="17"/>
      <c r="B1101" s="17"/>
      <c r="C1101" s="18"/>
      <c r="D1101" s="18"/>
      <c r="E1101" s="18"/>
      <c r="F1101" s="18"/>
      <c r="G1101" s="18"/>
      <c r="H1101" s="18"/>
    </row>
    <row r="1102" spans="1:8" x14ac:dyDescent="0.2">
      <c r="A1102" s="17"/>
      <c r="B1102" s="17"/>
      <c r="C1102" s="18"/>
      <c r="D1102" s="18"/>
      <c r="E1102" s="18"/>
      <c r="F1102" s="18"/>
      <c r="G1102" s="18"/>
      <c r="H1102" s="18"/>
    </row>
    <row r="1103" spans="1:8" x14ac:dyDescent="0.2">
      <c r="A1103" s="17"/>
      <c r="B1103" s="17"/>
      <c r="C1103" s="18"/>
      <c r="D1103" s="18"/>
      <c r="E1103" s="18"/>
      <c r="F1103" s="18"/>
      <c r="G1103" s="18"/>
      <c r="H1103" s="18"/>
    </row>
    <row r="1104" spans="1:8" x14ac:dyDescent="0.2">
      <c r="A1104" s="17"/>
      <c r="B1104" s="17"/>
      <c r="C1104" s="18"/>
      <c r="D1104" s="18"/>
      <c r="E1104" s="18"/>
      <c r="F1104" s="18"/>
      <c r="G1104" s="18"/>
      <c r="H1104" s="18"/>
    </row>
    <row r="1105" spans="1:8" x14ac:dyDescent="0.2">
      <c r="A1105" s="17"/>
      <c r="B1105" s="17"/>
      <c r="C1105" s="18"/>
      <c r="D1105" s="18"/>
      <c r="E1105" s="18"/>
      <c r="F1105" s="18"/>
      <c r="G1105" s="18"/>
      <c r="H1105" s="18"/>
    </row>
    <row r="1106" spans="1:8" x14ac:dyDescent="0.2">
      <c r="A1106" s="17"/>
      <c r="B1106" s="17"/>
      <c r="C1106" s="18"/>
      <c r="D1106" s="18"/>
      <c r="E1106" s="18"/>
      <c r="F1106" s="18"/>
      <c r="G1106" s="18"/>
      <c r="H1106" s="18"/>
    </row>
    <row r="1107" spans="1:8" x14ac:dyDescent="0.2">
      <c r="A1107" s="17"/>
      <c r="B1107" s="17"/>
      <c r="C1107" s="18"/>
      <c r="D1107" s="18"/>
      <c r="E1107" s="18"/>
      <c r="F1107" s="18"/>
      <c r="G1107" s="18"/>
      <c r="H1107" s="18"/>
    </row>
    <row r="1108" spans="1:8" x14ac:dyDescent="0.2">
      <c r="A1108" s="17"/>
      <c r="B1108" s="17"/>
      <c r="C1108" s="18"/>
      <c r="D1108" s="18"/>
      <c r="E1108" s="18"/>
      <c r="F1108" s="18"/>
      <c r="G1108" s="18"/>
      <c r="H1108" s="18"/>
    </row>
    <row r="1109" spans="1:8" x14ac:dyDescent="0.2">
      <c r="A1109" s="17"/>
      <c r="B1109" s="17"/>
      <c r="C1109" s="18"/>
      <c r="D1109" s="18"/>
      <c r="E1109" s="18"/>
      <c r="F1109" s="18"/>
      <c r="G1109" s="18"/>
      <c r="H1109" s="18"/>
    </row>
    <row r="1110" spans="1:8" x14ac:dyDescent="0.2">
      <c r="A1110" s="17"/>
      <c r="B1110" s="17"/>
      <c r="C1110" s="18"/>
      <c r="D1110" s="18"/>
      <c r="E1110" s="18"/>
      <c r="F1110" s="18"/>
      <c r="G1110" s="18"/>
      <c r="H1110" s="18"/>
    </row>
    <row r="1111" spans="1:8" x14ac:dyDescent="0.2">
      <c r="A1111" s="17"/>
      <c r="B1111" s="17"/>
      <c r="C1111" s="18"/>
      <c r="D1111" s="18"/>
      <c r="E1111" s="18"/>
      <c r="F1111" s="18"/>
      <c r="G1111" s="18"/>
      <c r="H1111" s="18"/>
    </row>
    <row r="1112" spans="1:8" x14ac:dyDescent="0.2">
      <c r="A1112" s="17"/>
      <c r="B1112" s="17"/>
      <c r="C1112" s="18"/>
      <c r="D1112" s="18"/>
      <c r="E1112" s="18"/>
      <c r="F1112" s="18"/>
      <c r="G1112" s="18"/>
      <c r="H1112" s="18"/>
    </row>
    <row r="1113" spans="1:8" x14ac:dyDescent="0.2">
      <c r="A1113" s="17"/>
      <c r="B1113" s="17"/>
      <c r="C1113" s="18"/>
      <c r="D1113" s="18"/>
      <c r="E1113" s="18"/>
      <c r="F1113" s="18"/>
      <c r="G1113" s="18"/>
      <c r="H1113" s="18"/>
    </row>
    <row r="1114" spans="1:8" x14ac:dyDescent="0.2">
      <c r="A1114" s="17"/>
      <c r="B1114" s="17"/>
      <c r="C1114" s="18"/>
      <c r="D1114" s="18"/>
      <c r="E1114" s="18"/>
      <c r="F1114" s="18"/>
      <c r="G1114" s="18"/>
      <c r="H1114" s="18"/>
    </row>
    <row r="1115" spans="1:8" x14ac:dyDescent="0.2">
      <c r="A1115" s="17"/>
      <c r="B1115" s="17"/>
      <c r="C1115" s="18"/>
      <c r="D1115" s="18"/>
      <c r="E1115" s="18"/>
      <c r="F1115" s="18"/>
      <c r="G1115" s="18"/>
      <c r="H1115" s="18"/>
    </row>
    <row r="1116" spans="1:8" x14ac:dyDescent="0.2">
      <c r="A1116" s="17"/>
      <c r="B1116" s="17"/>
      <c r="C1116" s="18"/>
      <c r="D1116" s="18"/>
      <c r="E1116" s="18"/>
      <c r="F1116" s="18"/>
      <c r="G1116" s="18"/>
      <c r="H1116" s="18"/>
    </row>
    <row r="1117" spans="1:8" x14ac:dyDescent="0.2">
      <c r="A1117" s="17"/>
      <c r="B1117" s="17"/>
      <c r="C1117" s="18"/>
      <c r="D1117" s="18"/>
      <c r="E1117" s="18"/>
      <c r="F1117" s="18"/>
      <c r="G1117" s="18"/>
      <c r="H1117" s="18"/>
    </row>
    <row r="1118" spans="1:8" x14ac:dyDescent="0.2">
      <c r="A1118" s="17"/>
      <c r="B1118" s="17"/>
      <c r="C1118" s="18"/>
      <c r="D1118" s="18"/>
      <c r="E1118" s="18"/>
      <c r="F1118" s="18"/>
      <c r="G1118" s="18"/>
      <c r="H1118" s="18"/>
    </row>
    <row r="1119" spans="1:8" x14ac:dyDescent="0.2">
      <c r="A1119" s="17"/>
      <c r="B1119" s="17"/>
      <c r="C1119" s="18"/>
      <c r="D1119" s="18"/>
      <c r="E1119" s="18"/>
      <c r="F1119" s="18"/>
      <c r="G1119" s="18"/>
      <c r="H1119" s="18"/>
    </row>
    <row r="1120" spans="1:8" x14ac:dyDescent="0.2">
      <c r="A1120" s="17"/>
      <c r="B1120" s="17"/>
      <c r="C1120" s="18"/>
      <c r="D1120" s="18"/>
      <c r="E1120" s="18"/>
      <c r="F1120" s="18"/>
      <c r="G1120" s="18"/>
      <c r="H1120" s="18"/>
    </row>
    <row r="1121" spans="1:8" x14ac:dyDescent="0.2">
      <c r="A1121" s="17"/>
      <c r="B1121" s="17"/>
      <c r="C1121" s="18"/>
      <c r="D1121" s="18"/>
      <c r="E1121" s="18"/>
      <c r="F1121" s="18"/>
      <c r="G1121" s="18"/>
      <c r="H1121" s="18"/>
    </row>
    <row r="1122" spans="1:8" x14ac:dyDescent="0.2">
      <c r="A1122" s="17"/>
      <c r="B1122" s="17"/>
      <c r="C1122" s="18"/>
      <c r="D1122" s="18"/>
      <c r="E1122" s="18"/>
      <c r="F1122" s="18"/>
      <c r="G1122" s="18"/>
      <c r="H1122" s="18"/>
    </row>
    <row r="1123" spans="1:8" x14ac:dyDescent="0.2">
      <c r="A1123" s="17"/>
      <c r="B1123" s="17"/>
      <c r="C1123" s="18"/>
      <c r="D1123" s="18"/>
      <c r="E1123" s="18"/>
      <c r="F1123" s="18"/>
      <c r="G1123" s="18"/>
      <c r="H1123" s="18"/>
    </row>
    <row r="1124" spans="1:8" x14ac:dyDescent="0.2">
      <c r="A1124" s="17"/>
      <c r="B1124" s="17"/>
      <c r="C1124" s="18"/>
      <c r="D1124" s="18"/>
      <c r="E1124" s="18"/>
      <c r="F1124" s="18"/>
      <c r="G1124" s="18"/>
      <c r="H1124" s="18"/>
    </row>
    <row r="1125" spans="1:8" x14ac:dyDescent="0.2">
      <c r="A1125" s="17"/>
      <c r="B1125" s="17"/>
      <c r="C1125" s="18"/>
      <c r="D1125" s="18"/>
      <c r="E1125" s="18"/>
      <c r="F1125" s="18"/>
      <c r="G1125" s="18"/>
      <c r="H1125" s="18"/>
    </row>
    <row r="1126" spans="1:8" x14ac:dyDescent="0.2">
      <c r="A1126" s="17"/>
      <c r="B1126" s="17"/>
      <c r="C1126" s="18"/>
      <c r="D1126" s="18"/>
      <c r="E1126" s="18"/>
      <c r="F1126" s="18"/>
      <c r="G1126" s="18"/>
      <c r="H1126" s="18"/>
    </row>
    <row r="1127" spans="1:8" x14ac:dyDescent="0.2">
      <c r="A1127" s="17"/>
      <c r="B1127" s="17"/>
      <c r="C1127" s="18"/>
      <c r="D1127" s="18"/>
      <c r="E1127" s="18"/>
      <c r="F1127" s="18"/>
      <c r="G1127" s="18"/>
      <c r="H1127" s="18"/>
    </row>
    <row r="1128" spans="1:8" x14ac:dyDescent="0.2">
      <c r="A1128" s="17"/>
      <c r="B1128" s="17"/>
      <c r="C1128" s="18"/>
      <c r="D1128" s="18"/>
      <c r="E1128" s="18"/>
      <c r="F1128" s="18"/>
      <c r="G1128" s="18"/>
      <c r="H1128" s="18"/>
    </row>
    <row r="1129" spans="1:8" x14ac:dyDescent="0.2">
      <c r="A1129" s="17"/>
      <c r="B1129" s="17"/>
      <c r="C1129" s="18"/>
      <c r="D1129" s="18"/>
      <c r="E1129" s="18"/>
      <c r="F1129" s="18"/>
      <c r="G1129" s="18"/>
      <c r="H1129" s="18"/>
    </row>
    <row r="1130" spans="1:8" x14ac:dyDescent="0.2">
      <c r="A1130" s="17"/>
      <c r="B1130" s="17"/>
      <c r="C1130" s="18"/>
      <c r="D1130" s="18"/>
      <c r="E1130" s="18"/>
      <c r="F1130" s="18"/>
      <c r="G1130" s="18"/>
      <c r="H1130" s="18"/>
    </row>
    <row r="1131" spans="1:8" x14ac:dyDescent="0.2">
      <c r="A1131" s="17"/>
      <c r="B1131" s="17"/>
      <c r="C1131" s="18"/>
      <c r="D1131" s="18"/>
      <c r="E1131" s="18"/>
      <c r="F1131" s="18"/>
      <c r="G1131" s="18"/>
      <c r="H1131" s="18"/>
    </row>
    <row r="1132" spans="1:8" x14ac:dyDescent="0.2">
      <c r="A1132" s="17"/>
      <c r="B1132" s="17"/>
      <c r="C1132" s="18"/>
      <c r="D1132" s="18"/>
      <c r="E1132" s="18"/>
      <c r="F1132" s="18"/>
      <c r="G1132" s="18"/>
      <c r="H1132" s="18"/>
    </row>
    <row r="1133" spans="1:8" x14ac:dyDescent="0.2">
      <c r="A1133" s="17"/>
      <c r="B1133" s="17"/>
      <c r="C1133" s="18"/>
      <c r="D1133" s="18"/>
      <c r="E1133" s="18"/>
      <c r="F1133" s="18"/>
      <c r="G1133" s="18"/>
      <c r="H1133" s="18"/>
    </row>
    <row r="1134" spans="1:8" x14ac:dyDescent="0.2">
      <c r="A1134" s="17"/>
      <c r="B1134" s="17"/>
      <c r="C1134" s="18"/>
      <c r="D1134" s="18"/>
      <c r="E1134" s="18"/>
      <c r="F1134" s="18"/>
      <c r="G1134" s="18"/>
      <c r="H1134" s="18"/>
    </row>
    <row r="1135" spans="1:8" x14ac:dyDescent="0.2">
      <c r="A1135" s="17"/>
      <c r="B1135" s="17"/>
      <c r="C1135" s="18"/>
      <c r="D1135" s="18"/>
      <c r="E1135" s="18"/>
      <c r="F1135" s="18"/>
      <c r="G1135" s="18"/>
      <c r="H1135" s="18"/>
    </row>
    <row r="1136" spans="1:8" x14ac:dyDescent="0.2">
      <c r="A1136" s="17"/>
      <c r="B1136" s="17"/>
      <c r="C1136" s="18"/>
      <c r="D1136" s="18"/>
      <c r="E1136" s="18"/>
      <c r="F1136" s="18"/>
      <c r="G1136" s="18"/>
      <c r="H1136" s="18"/>
    </row>
    <row r="1137" spans="1:8" x14ac:dyDescent="0.2">
      <c r="A1137" s="17"/>
      <c r="B1137" s="17"/>
      <c r="C1137" s="18"/>
      <c r="D1137" s="18"/>
      <c r="E1137" s="18"/>
      <c r="F1137" s="18"/>
      <c r="G1137" s="18"/>
      <c r="H1137" s="18"/>
    </row>
    <row r="1138" spans="1:8" x14ac:dyDescent="0.2">
      <c r="A1138" s="17"/>
      <c r="B1138" s="17"/>
      <c r="C1138" s="18"/>
      <c r="D1138" s="18"/>
      <c r="E1138" s="18"/>
      <c r="F1138" s="18"/>
      <c r="G1138" s="18"/>
      <c r="H1138" s="18"/>
    </row>
    <row r="1139" spans="1:8" x14ac:dyDescent="0.2">
      <c r="A1139" s="17"/>
      <c r="B1139" s="17"/>
      <c r="C1139" s="18"/>
      <c r="D1139" s="18"/>
      <c r="E1139" s="18"/>
      <c r="F1139" s="18"/>
      <c r="G1139" s="18"/>
      <c r="H1139" s="18"/>
    </row>
    <row r="1140" spans="1:8" x14ac:dyDescent="0.2">
      <c r="A1140" s="17"/>
      <c r="B1140" s="17"/>
      <c r="C1140" s="18"/>
      <c r="D1140" s="18"/>
      <c r="E1140" s="18"/>
      <c r="F1140" s="18"/>
      <c r="G1140" s="18"/>
      <c r="H1140" s="18"/>
    </row>
    <row r="1141" spans="1:8" x14ac:dyDescent="0.2">
      <c r="A1141" s="17"/>
      <c r="B1141" s="17"/>
      <c r="C1141" s="18"/>
      <c r="D1141" s="18"/>
      <c r="E1141" s="18"/>
      <c r="F1141" s="18"/>
      <c r="G1141" s="18"/>
      <c r="H1141" s="18"/>
    </row>
    <row r="1142" spans="1:8" x14ac:dyDescent="0.2">
      <c r="A1142" s="17"/>
      <c r="B1142" s="17"/>
      <c r="C1142" s="18"/>
      <c r="D1142" s="18"/>
      <c r="E1142" s="18"/>
      <c r="F1142" s="18"/>
      <c r="G1142" s="18"/>
      <c r="H1142" s="18"/>
    </row>
    <row r="1143" spans="1:8" x14ac:dyDescent="0.2">
      <c r="A1143" s="17"/>
      <c r="B1143" s="17"/>
      <c r="C1143" s="18"/>
      <c r="D1143" s="18"/>
      <c r="E1143" s="18"/>
      <c r="F1143" s="18"/>
      <c r="G1143" s="18"/>
      <c r="H1143" s="18"/>
    </row>
    <row r="1144" spans="1:8" x14ac:dyDescent="0.2">
      <c r="A1144" s="17"/>
      <c r="B1144" s="17"/>
      <c r="C1144" s="18"/>
      <c r="D1144" s="18"/>
      <c r="E1144" s="18"/>
      <c r="F1144" s="18"/>
      <c r="G1144" s="18"/>
      <c r="H1144" s="18"/>
    </row>
    <row r="1145" spans="1:8" x14ac:dyDescent="0.2">
      <c r="A1145" s="17"/>
      <c r="B1145" s="17"/>
      <c r="C1145" s="18"/>
      <c r="D1145" s="18"/>
      <c r="E1145" s="18"/>
      <c r="F1145" s="18"/>
      <c r="G1145" s="18"/>
      <c r="H1145" s="18"/>
    </row>
    <row r="1146" spans="1:8" x14ac:dyDescent="0.2">
      <c r="A1146" s="17"/>
      <c r="B1146" s="17"/>
      <c r="C1146" s="18"/>
      <c r="D1146" s="18"/>
      <c r="E1146" s="18"/>
      <c r="F1146" s="18"/>
      <c r="G1146" s="18"/>
      <c r="H1146" s="18"/>
    </row>
    <row r="1147" spans="1:8" x14ac:dyDescent="0.2">
      <c r="A1147" s="17"/>
      <c r="B1147" s="17"/>
      <c r="C1147" s="18"/>
      <c r="D1147" s="18"/>
      <c r="E1147" s="18"/>
      <c r="F1147" s="18"/>
      <c r="G1147" s="18"/>
      <c r="H1147" s="18"/>
    </row>
    <row r="1148" spans="1:8" x14ac:dyDescent="0.2">
      <c r="A1148" s="17"/>
      <c r="B1148" s="17"/>
      <c r="C1148" s="18"/>
      <c r="D1148" s="18"/>
      <c r="E1148" s="18"/>
      <c r="F1148" s="18"/>
      <c r="G1148" s="18"/>
      <c r="H1148" s="18"/>
    </row>
    <row r="1149" spans="1:8" x14ac:dyDescent="0.2">
      <c r="A1149" s="17"/>
      <c r="B1149" s="17"/>
      <c r="C1149" s="18"/>
      <c r="D1149" s="18"/>
      <c r="E1149" s="18"/>
      <c r="F1149" s="18"/>
      <c r="G1149" s="18"/>
      <c r="H1149" s="18"/>
    </row>
    <row r="1150" spans="1:8" x14ac:dyDescent="0.2">
      <c r="A1150" s="17"/>
      <c r="B1150" s="17"/>
      <c r="C1150" s="18"/>
      <c r="D1150" s="18"/>
      <c r="E1150" s="18"/>
      <c r="F1150" s="18"/>
      <c r="G1150" s="18"/>
      <c r="H1150" s="18"/>
    </row>
    <row r="1151" spans="1:8" x14ac:dyDescent="0.2">
      <c r="A1151" s="17"/>
      <c r="B1151" s="17"/>
      <c r="C1151" s="18"/>
      <c r="D1151" s="18"/>
      <c r="E1151" s="18"/>
      <c r="F1151" s="18"/>
      <c r="G1151" s="18"/>
      <c r="H1151" s="18"/>
    </row>
    <row r="1152" spans="1:8" x14ac:dyDescent="0.2">
      <c r="A1152" s="17"/>
      <c r="B1152" s="17"/>
      <c r="C1152" s="18"/>
      <c r="D1152" s="18"/>
      <c r="E1152" s="18"/>
      <c r="F1152" s="18"/>
      <c r="G1152" s="18"/>
      <c r="H1152" s="18"/>
    </row>
    <row r="1153" spans="1:8" x14ac:dyDescent="0.2">
      <c r="A1153" s="17"/>
      <c r="B1153" s="17"/>
      <c r="C1153" s="18"/>
      <c r="D1153" s="18"/>
      <c r="E1153" s="18"/>
      <c r="F1153" s="18"/>
      <c r="G1153" s="18"/>
      <c r="H1153" s="18"/>
    </row>
    <row r="1154" spans="1:8" x14ac:dyDescent="0.2">
      <c r="A1154" s="17"/>
      <c r="B1154" s="17"/>
      <c r="C1154" s="18"/>
      <c r="D1154" s="18"/>
      <c r="E1154" s="18"/>
      <c r="F1154" s="18"/>
      <c r="G1154" s="18"/>
      <c r="H1154" s="18"/>
    </row>
    <row r="1155" spans="1:8" x14ac:dyDescent="0.2">
      <c r="A1155" s="17"/>
      <c r="B1155" s="17"/>
      <c r="C1155" s="18"/>
      <c r="D1155" s="18"/>
      <c r="E1155" s="18"/>
      <c r="F1155" s="18"/>
      <c r="G1155" s="18"/>
      <c r="H1155" s="18"/>
    </row>
    <row r="1156" spans="1:8" x14ac:dyDescent="0.2">
      <c r="A1156" s="17"/>
      <c r="B1156" s="17"/>
      <c r="C1156" s="18"/>
      <c r="D1156" s="18"/>
      <c r="E1156" s="18"/>
      <c r="F1156" s="18"/>
      <c r="G1156" s="18"/>
      <c r="H1156" s="18"/>
    </row>
    <row r="1157" spans="1:8" x14ac:dyDescent="0.2">
      <c r="A1157" s="17"/>
      <c r="B1157" s="17"/>
      <c r="C1157" s="18"/>
      <c r="D1157" s="18"/>
      <c r="E1157" s="18"/>
      <c r="F1157" s="18"/>
      <c r="G1157" s="18"/>
      <c r="H1157" s="18"/>
    </row>
    <row r="1158" spans="1:8" x14ac:dyDescent="0.2">
      <c r="A1158" s="17"/>
      <c r="B1158" s="17"/>
      <c r="C1158" s="18"/>
      <c r="D1158" s="18"/>
      <c r="E1158" s="18"/>
      <c r="F1158" s="18"/>
      <c r="G1158" s="18"/>
      <c r="H1158" s="18"/>
    </row>
    <row r="1159" spans="1:8" x14ac:dyDescent="0.2">
      <c r="A1159" s="17"/>
      <c r="B1159" s="17"/>
      <c r="C1159" s="18"/>
      <c r="D1159" s="18"/>
      <c r="E1159" s="18"/>
      <c r="F1159" s="18"/>
      <c r="G1159" s="18"/>
      <c r="H1159" s="18"/>
    </row>
    <row r="1160" spans="1:8" x14ac:dyDescent="0.2">
      <c r="A1160" s="17"/>
      <c r="B1160" s="17"/>
      <c r="C1160" s="18"/>
      <c r="D1160" s="18"/>
      <c r="E1160" s="18"/>
      <c r="F1160" s="18"/>
      <c r="G1160" s="18"/>
      <c r="H1160" s="18"/>
    </row>
    <row r="1161" spans="1:8" x14ac:dyDescent="0.2">
      <c r="A1161" s="17"/>
      <c r="B1161" s="17"/>
      <c r="C1161" s="18"/>
      <c r="D1161" s="18"/>
      <c r="E1161" s="18"/>
      <c r="F1161" s="18"/>
      <c r="G1161" s="18"/>
      <c r="H1161" s="18"/>
    </row>
    <row r="1162" spans="1:8" x14ac:dyDescent="0.2">
      <c r="A1162" s="17"/>
      <c r="B1162" s="17"/>
      <c r="C1162" s="18"/>
      <c r="D1162" s="18"/>
      <c r="E1162" s="18"/>
      <c r="F1162" s="18"/>
      <c r="G1162" s="18"/>
      <c r="H1162" s="18"/>
    </row>
    <row r="1163" spans="1:8" x14ac:dyDescent="0.2">
      <c r="A1163" s="17"/>
      <c r="B1163" s="17"/>
      <c r="C1163" s="18"/>
      <c r="D1163" s="18"/>
      <c r="E1163" s="18"/>
      <c r="F1163" s="18"/>
      <c r="G1163" s="18"/>
      <c r="H1163" s="18"/>
    </row>
    <row r="1164" spans="1:8" x14ac:dyDescent="0.2">
      <c r="A1164" s="17"/>
      <c r="B1164" s="17"/>
      <c r="C1164" s="18"/>
      <c r="D1164" s="18"/>
      <c r="E1164" s="18"/>
      <c r="F1164" s="18"/>
      <c r="G1164" s="18"/>
      <c r="H1164" s="18"/>
    </row>
    <row r="1165" spans="1:8" x14ac:dyDescent="0.2">
      <c r="A1165" s="17"/>
      <c r="B1165" s="17"/>
      <c r="C1165" s="18"/>
      <c r="D1165" s="18"/>
      <c r="E1165" s="18"/>
      <c r="F1165" s="18"/>
      <c r="G1165" s="18"/>
      <c r="H1165" s="18"/>
    </row>
    <row r="1166" spans="1:8" x14ac:dyDescent="0.2">
      <c r="A1166" s="17"/>
      <c r="B1166" s="17"/>
      <c r="C1166" s="18"/>
      <c r="D1166" s="18"/>
      <c r="E1166" s="18"/>
      <c r="F1166" s="18"/>
      <c r="G1166" s="18"/>
      <c r="H1166" s="18"/>
    </row>
    <row r="1167" spans="1:8" x14ac:dyDescent="0.2">
      <c r="A1167" s="17"/>
      <c r="B1167" s="17"/>
      <c r="C1167" s="18"/>
      <c r="D1167" s="18"/>
      <c r="E1167" s="18"/>
      <c r="F1167" s="18"/>
      <c r="G1167" s="18"/>
      <c r="H1167" s="18"/>
    </row>
    <row r="1168" spans="1:8" x14ac:dyDescent="0.2">
      <c r="A1168" s="17"/>
      <c r="B1168" s="17"/>
      <c r="C1168" s="18"/>
      <c r="D1168" s="18"/>
      <c r="E1168" s="18"/>
      <c r="F1168" s="18"/>
      <c r="G1168" s="18"/>
      <c r="H1168" s="18"/>
    </row>
    <row r="1169" spans="1:8" x14ac:dyDescent="0.2">
      <c r="A1169" s="17"/>
      <c r="B1169" s="17"/>
      <c r="C1169" s="18"/>
      <c r="D1169" s="18"/>
      <c r="E1169" s="18"/>
      <c r="F1169" s="18"/>
      <c r="G1169" s="18"/>
      <c r="H1169" s="18"/>
    </row>
    <row r="1170" spans="1:8" x14ac:dyDescent="0.2">
      <c r="A1170" s="17"/>
      <c r="B1170" s="17"/>
      <c r="C1170" s="18"/>
      <c r="D1170" s="18"/>
      <c r="E1170" s="18"/>
      <c r="F1170" s="18"/>
      <c r="G1170" s="18"/>
      <c r="H1170" s="18"/>
    </row>
    <row r="1171" spans="1:8" x14ac:dyDescent="0.2">
      <c r="A1171" s="17"/>
      <c r="B1171" s="17"/>
      <c r="C1171" s="18"/>
      <c r="D1171" s="18"/>
      <c r="E1171" s="18"/>
      <c r="F1171" s="18"/>
      <c r="G1171" s="18"/>
      <c r="H1171" s="18"/>
    </row>
    <row r="1172" spans="1:8" x14ac:dyDescent="0.2">
      <c r="A1172" s="17"/>
      <c r="B1172" s="17"/>
      <c r="C1172" s="18"/>
      <c r="D1172" s="18"/>
      <c r="E1172" s="18"/>
      <c r="F1172" s="18"/>
      <c r="G1172" s="18"/>
      <c r="H1172" s="18"/>
    </row>
    <row r="1173" spans="1:8" x14ac:dyDescent="0.2">
      <c r="A1173" s="17"/>
      <c r="B1173" s="17"/>
      <c r="C1173" s="18"/>
      <c r="D1173" s="18"/>
      <c r="E1173" s="18"/>
      <c r="F1173" s="18"/>
      <c r="G1173" s="18"/>
      <c r="H1173" s="18"/>
    </row>
    <row r="1174" spans="1:8" x14ac:dyDescent="0.2">
      <c r="A1174" s="17"/>
      <c r="B1174" s="17"/>
      <c r="C1174" s="18"/>
      <c r="D1174" s="18"/>
      <c r="E1174" s="18"/>
      <c r="F1174" s="18"/>
      <c r="G1174" s="18"/>
      <c r="H1174" s="18"/>
    </row>
    <row r="1175" spans="1:8" x14ac:dyDescent="0.2">
      <c r="A1175" s="17"/>
      <c r="B1175" s="17"/>
      <c r="C1175" s="18"/>
      <c r="D1175" s="18"/>
      <c r="E1175" s="18"/>
      <c r="F1175" s="18"/>
      <c r="G1175" s="18"/>
      <c r="H1175" s="18"/>
    </row>
    <row r="1176" spans="1:8" x14ac:dyDescent="0.2">
      <c r="A1176" s="17"/>
      <c r="B1176" s="17"/>
      <c r="C1176" s="18"/>
      <c r="D1176" s="18"/>
      <c r="E1176" s="18"/>
      <c r="F1176" s="18"/>
      <c r="G1176" s="18"/>
      <c r="H1176" s="18"/>
    </row>
    <row r="1177" spans="1:8" x14ac:dyDescent="0.2">
      <c r="A1177" s="17"/>
      <c r="B1177" s="17"/>
      <c r="C1177" s="18"/>
      <c r="D1177" s="18"/>
      <c r="E1177" s="18"/>
      <c r="F1177" s="18"/>
      <c r="G1177" s="18"/>
      <c r="H1177" s="18"/>
    </row>
    <row r="1178" spans="1:8" x14ac:dyDescent="0.2">
      <c r="A1178" s="17"/>
      <c r="B1178" s="17"/>
      <c r="C1178" s="18"/>
      <c r="D1178" s="18"/>
      <c r="E1178" s="18"/>
      <c r="F1178" s="18"/>
      <c r="G1178" s="18"/>
      <c r="H1178" s="18"/>
    </row>
    <row r="1179" spans="1:8" x14ac:dyDescent="0.2">
      <c r="A1179" s="17"/>
      <c r="B1179" s="17"/>
      <c r="C1179" s="18"/>
      <c r="D1179" s="18"/>
      <c r="E1179" s="18"/>
      <c r="F1179" s="18"/>
      <c r="G1179" s="18"/>
      <c r="H1179" s="18"/>
    </row>
    <row r="1180" spans="1:8" x14ac:dyDescent="0.2">
      <c r="A1180" s="17"/>
      <c r="B1180" s="17"/>
      <c r="C1180" s="18"/>
      <c r="D1180" s="18"/>
      <c r="E1180" s="18"/>
      <c r="F1180" s="18"/>
      <c r="G1180" s="18"/>
      <c r="H1180" s="18"/>
    </row>
    <row r="1181" spans="1:8" x14ac:dyDescent="0.2">
      <c r="A1181" s="17"/>
      <c r="B1181" s="17"/>
      <c r="C1181" s="18"/>
      <c r="D1181" s="18"/>
      <c r="E1181" s="18"/>
      <c r="F1181" s="18"/>
      <c r="G1181" s="18"/>
      <c r="H1181" s="18"/>
    </row>
    <row r="1182" spans="1:8" x14ac:dyDescent="0.2">
      <c r="A1182" s="17"/>
      <c r="B1182" s="17"/>
      <c r="C1182" s="18"/>
      <c r="D1182" s="18"/>
      <c r="E1182" s="18"/>
      <c r="F1182" s="18"/>
      <c r="G1182" s="18"/>
      <c r="H1182" s="18"/>
    </row>
    <row r="1183" spans="1:8" x14ac:dyDescent="0.2">
      <c r="A1183" s="17"/>
      <c r="B1183" s="17"/>
      <c r="C1183" s="18"/>
      <c r="D1183" s="18"/>
      <c r="E1183" s="18"/>
      <c r="F1183" s="18"/>
      <c r="G1183" s="18"/>
      <c r="H1183" s="18"/>
    </row>
    <row r="1184" spans="1:8" x14ac:dyDescent="0.2">
      <c r="A1184" s="17"/>
      <c r="B1184" s="17"/>
      <c r="C1184" s="18"/>
      <c r="D1184" s="18"/>
      <c r="E1184" s="18"/>
      <c r="F1184" s="18"/>
      <c r="G1184" s="18"/>
      <c r="H1184" s="18"/>
    </row>
    <row r="1185" spans="1:8" x14ac:dyDescent="0.2">
      <c r="A1185" s="17"/>
      <c r="B1185" s="17"/>
      <c r="C1185" s="18"/>
      <c r="D1185" s="18"/>
      <c r="E1185" s="18"/>
      <c r="F1185" s="18"/>
      <c r="G1185" s="18"/>
      <c r="H1185" s="18"/>
    </row>
    <row r="1186" spans="1:8" x14ac:dyDescent="0.2">
      <c r="A1186" s="17"/>
      <c r="B1186" s="17"/>
      <c r="C1186" s="18"/>
      <c r="D1186" s="18"/>
      <c r="E1186" s="18"/>
      <c r="F1186" s="18"/>
      <c r="G1186" s="18"/>
      <c r="H1186" s="18"/>
    </row>
    <row r="1187" spans="1:8" x14ac:dyDescent="0.2">
      <c r="A1187" s="17"/>
      <c r="B1187" s="17"/>
      <c r="C1187" s="18"/>
      <c r="D1187" s="18"/>
      <c r="E1187" s="18"/>
      <c r="F1187" s="18"/>
      <c r="G1187" s="18"/>
      <c r="H1187" s="18"/>
    </row>
    <row r="1188" spans="1:8" x14ac:dyDescent="0.2">
      <c r="A1188" s="17"/>
      <c r="B1188" s="17"/>
      <c r="C1188" s="18"/>
      <c r="D1188" s="18"/>
      <c r="E1188" s="18"/>
      <c r="F1188" s="18"/>
      <c r="G1188" s="18"/>
      <c r="H1188" s="18"/>
    </row>
    <row r="1189" spans="1:8" x14ac:dyDescent="0.2">
      <c r="A1189" s="17"/>
      <c r="B1189" s="17"/>
      <c r="C1189" s="18"/>
      <c r="D1189" s="18"/>
      <c r="E1189" s="18"/>
      <c r="F1189" s="18"/>
      <c r="G1189" s="18"/>
      <c r="H1189" s="18"/>
    </row>
    <row r="1190" spans="1:8" x14ac:dyDescent="0.2">
      <c r="A1190" s="17"/>
      <c r="B1190" s="17"/>
      <c r="C1190" s="18"/>
      <c r="D1190" s="18"/>
      <c r="E1190" s="18"/>
      <c r="F1190" s="18"/>
      <c r="G1190" s="18"/>
      <c r="H1190" s="18"/>
    </row>
    <row r="1191" spans="1:8" x14ac:dyDescent="0.2">
      <c r="A1191" s="17"/>
      <c r="B1191" s="17"/>
      <c r="C1191" s="18"/>
      <c r="D1191" s="18"/>
      <c r="E1191" s="18"/>
      <c r="F1191" s="18"/>
      <c r="G1191" s="18"/>
      <c r="H1191" s="18"/>
    </row>
    <row r="1192" spans="1:8" x14ac:dyDescent="0.2">
      <c r="A1192" s="17"/>
      <c r="B1192" s="17"/>
      <c r="C1192" s="18"/>
      <c r="D1192" s="18"/>
      <c r="E1192" s="18"/>
      <c r="F1192" s="18"/>
      <c r="G1192" s="18"/>
      <c r="H1192" s="18"/>
    </row>
    <row r="1193" spans="1:8" x14ac:dyDescent="0.2">
      <c r="A1193" s="17"/>
      <c r="B1193" s="17"/>
      <c r="C1193" s="18"/>
      <c r="D1193" s="18"/>
      <c r="E1193" s="18"/>
      <c r="F1193" s="18"/>
      <c r="G1193" s="18"/>
      <c r="H1193" s="18"/>
    </row>
    <row r="1194" spans="1:8" x14ac:dyDescent="0.2">
      <c r="A1194" s="17"/>
      <c r="B1194" s="17"/>
      <c r="C1194" s="18"/>
      <c r="D1194" s="18"/>
      <c r="E1194" s="18"/>
      <c r="F1194" s="18"/>
      <c r="G1194" s="18"/>
      <c r="H1194" s="18"/>
    </row>
    <row r="1195" spans="1:8" x14ac:dyDescent="0.2">
      <c r="A1195" s="17"/>
      <c r="B1195" s="17"/>
      <c r="C1195" s="18"/>
      <c r="D1195" s="18"/>
      <c r="E1195" s="18"/>
      <c r="F1195" s="18"/>
      <c r="G1195" s="18"/>
      <c r="H1195" s="18"/>
    </row>
    <row r="1196" spans="1:8" x14ac:dyDescent="0.2">
      <c r="A1196" s="17"/>
      <c r="B1196" s="17"/>
      <c r="C1196" s="18"/>
      <c r="D1196" s="18"/>
      <c r="E1196" s="18"/>
      <c r="F1196" s="18"/>
      <c r="G1196" s="18"/>
      <c r="H1196" s="18"/>
    </row>
    <row r="1197" spans="1:8" x14ac:dyDescent="0.2">
      <c r="A1197" s="17"/>
      <c r="B1197" s="17"/>
      <c r="C1197" s="18"/>
      <c r="D1197" s="18"/>
      <c r="E1197" s="18"/>
      <c r="F1197" s="18"/>
      <c r="G1197" s="18"/>
      <c r="H1197" s="18"/>
    </row>
    <row r="1198" spans="1:8" x14ac:dyDescent="0.2">
      <c r="A1198" s="17"/>
      <c r="B1198" s="17"/>
      <c r="C1198" s="18"/>
      <c r="D1198" s="18"/>
      <c r="E1198" s="18"/>
      <c r="F1198" s="18"/>
      <c r="G1198" s="18"/>
      <c r="H1198" s="18"/>
    </row>
    <row r="1199" spans="1:8" x14ac:dyDescent="0.2">
      <c r="A1199" s="17"/>
      <c r="B1199" s="17"/>
      <c r="C1199" s="18"/>
      <c r="D1199" s="18"/>
      <c r="E1199" s="18"/>
      <c r="F1199" s="18"/>
      <c r="G1199" s="18"/>
      <c r="H1199" s="18"/>
    </row>
    <row r="1200" spans="1:8" x14ac:dyDescent="0.2">
      <c r="A1200" s="17"/>
      <c r="B1200" s="17"/>
      <c r="C1200" s="18"/>
      <c r="D1200" s="18"/>
      <c r="E1200" s="18"/>
      <c r="F1200" s="18"/>
      <c r="G1200" s="18"/>
      <c r="H1200" s="18"/>
    </row>
    <row r="1201" spans="1:8" x14ac:dyDescent="0.2">
      <c r="A1201" s="17"/>
      <c r="B1201" s="17"/>
      <c r="C1201" s="18"/>
      <c r="D1201" s="18"/>
      <c r="E1201" s="18"/>
      <c r="F1201" s="18"/>
      <c r="G1201" s="18"/>
      <c r="H1201" s="18"/>
    </row>
    <row r="1202" spans="1:8" x14ac:dyDescent="0.2">
      <c r="A1202" s="17"/>
      <c r="B1202" s="17"/>
      <c r="C1202" s="18"/>
      <c r="D1202" s="18"/>
      <c r="E1202" s="18"/>
      <c r="F1202" s="18"/>
      <c r="G1202" s="18"/>
      <c r="H1202" s="18"/>
    </row>
    <row r="1203" spans="1:8" x14ac:dyDescent="0.2">
      <c r="A1203" s="17"/>
      <c r="B1203" s="17"/>
      <c r="C1203" s="18"/>
      <c r="D1203" s="18"/>
      <c r="E1203" s="18"/>
      <c r="F1203" s="18"/>
      <c r="G1203" s="18"/>
      <c r="H1203" s="18"/>
    </row>
    <row r="1204" spans="1:8" x14ac:dyDescent="0.2">
      <c r="A1204" s="17"/>
      <c r="B1204" s="17"/>
      <c r="C1204" s="18"/>
      <c r="D1204" s="18"/>
      <c r="E1204" s="18"/>
      <c r="F1204" s="18"/>
      <c r="G1204" s="18"/>
      <c r="H1204" s="18"/>
    </row>
    <row r="1205" spans="1:8" x14ac:dyDescent="0.2">
      <c r="A1205" s="17"/>
      <c r="B1205" s="17"/>
      <c r="C1205" s="18"/>
      <c r="D1205" s="18"/>
      <c r="E1205" s="18"/>
      <c r="F1205" s="18"/>
      <c r="G1205" s="18"/>
      <c r="H1205" s="18"/>
    </row>
    <row r="1206" spans="1:8" x14ac:dyDescent="0.2">
      <c r="A1206" s="17"/>
      <c r="B1206" s="17"/>
      <c r="C1206" s="18"/>
      <c r="D1206" s="18"/>
      <c r="E1206" s="18"/>
      <c r="F1206" s="18"/>
      <c r="G1206" s="18"/>
      <c r="H1206" s="18"/>
    </row>
    <row r="1207" spans="1:8" x14ac:dyDescent="0.2">
      <c r="A1207" s="17"/>
      <c r="B1207" s="17"/>
      <c r="C1207" s="18"/>
      <c r="D1207" s="18"/>
      <c r="E1207" s="18"/>
      <c r="F1207" s="18"/>
      <c r="G1207" s="18"/>
      <c r="H1207" s="18"/>
    </row>
    <row r="1208" spans="1:8" x14ac:dyDescent="0.2">
      <c r="A1208" s="17"/>
      <c r="B1208" s="17"/>
      <c r="C1208" s="18"/>
      <c r="D1208" s="18"/>
      <c r="E1208" s="18"/>
      <c r="F1208" s="18"/>
      <c r="G1208" s="18"/>
      <c r="H1208" s="18"/>
    </row>
    <row r="1209" spans="1:8" x14ac:dyDescent="0.2">
      <c r="A1209" s="17"/>
      <c r="B1209" s="17"/>
      <c r="C1209" s="18"/>
      <c r="D1209" s="18"/>
      <c r="E1209" s="18"/>
      <c r="F1209" s="18"/>
      <c r="G1209" s="18"/>
      <c r="H1209" s="18"/>
    </row>
    <row r="1210" spans="1:8" x14ac:dyDescent="0.2">
      <c r="A1210" s="17"/>
      <c r="B1210" s="17"/>
      <c r="C1210" s="18"/>
      <c r="D1210" s="18"/>
      <c r="E1210" s="18"/>
      <c r="F1210" s="18"/>
      <c r="G1210" s="18"/>
      <c r="H1210" s="18"/>
    </row>
    <row r="1211" spans="1:8" x14ac:dyDescent="0.2">
      <c r="A1211" s="17"/>
      <c r="B1211" s="17"/>
      <c r="C1211" s="18"/>
      <c r="D1211" s="18"/>
      <c r="E1211" s="18"/>
      <c r="F1211" s="18"/>
      <c r="G1211" s="18"/>
      <c r="H1211" s="18"/>
    </row>
    <row r="1212" spans="1:8" x14ac:dyDescent="0.2">
      <c r="A1212" s="17"/>
      <c r="B1212" s="17"/>
      <c r="C1212" s="18"/>
      <c r="D1212" s="18"/>
      <c r="E1212" s="18"/>
      <c r="F1212" s="18"/>
      <c r="G1212" s="18"/>
      <c r="H1212" s="18"/>
    </row>
    <row r="1213" spans="1:8" x14ac:dyDescent="0.2">
      <c r="A1213" s="17"/>
      <c r="B1213" s="17"/>
      <c r="C1213" s="18"/>
      <c r="D1213" s="18"/>
      <c r="E1213" s="18"/>
      <c r="F1213" s="18"/>
      <c r="G1213" s="18"/>
      <c r="H1213" s="18"/>
    </row>
    <row r="1214" spans="1:8" x14ac:dyDescent="0.2">
      <c r="A1214" s="17"/>
      <c r="B1214" s="17"/>
      <c r="C1214" s="18"/>
      <c r="D1214" s="18"/>
      <c r="E1214" s="18"/>
      <c r="F1214" s="18"/>
      <c r="G1214" s="18"/>
      <c r="H1214" s="18"/>
    </row>
    <row r="1215" spans="1:8" x14ac:dyDescent="0.2">
      <c r="A1215" s="17"/>
      <c r="B1215" s="17"/>
      <c r="C1215" s="18"/>
      <c r="D1215" s="18"/>
      <c r="E1215" s="18"/>
      <c r="F1215" s="18"/>
      <c r="G1215" s="18"/>
      <c r="H1215" s="18"/>
    </row>
    <row r="1216" spans="1:8" x14ac:dyDescent="0.2">
      <c r="A1216" s="17"/>
      <c r="B1216" s="17"/>
      <c r="C1216" s="18"/>
      <c r="D1216" s="18"/>
      <c r="E1216" s="18"/>
      <c r="F1216" s="18"/>
      <c r="G1216" s="18"/>
      <c r="H1216" s="18"/>
    </row>
    <row r="1217" spans="1:8" x14ac:dyDescent="0.2">
      <c r="A1217" s="17"/>
      <c r="B1217" s="17"/>
      <c r="C1217" s="18"/>
      <c r="D1217" s="18"/>
      <c r="E1217" s="18"/>
      <c r="F1217" s="18"/>
      <c r="G1217" s="18"/>
      <c r="H1217" s="18"/>
    </row>
    <row r="1218" spans="1:8" x14ac:dyDescent="0.2">
      <c r="A1218" s="17"/>
      <c r="B1218" s="17"/>
      <c r="C1218" s="18"/>
      <c r="D1218" s="18"/>
      <c r="E1218" s="18"/>
      <c r="F1218" s="18"/>
      <c r="G1218" s="18"/>
      <c r="H1218" s="18"/>
    </row>
    <row r="1219" spans="1:8" x14ac:dyDescent="0.2">
      <c r="A1219" s="17"/>
      <c r="B1219" s="17"/>
      <c r="C1219" s="18"/>
      <c r="D1219" s="18"/>
      <c r="E1219" s="18"/>
      <c r="F1219" s="18"/>
      <c r="G1219" s="18"/>
      <c r="H1219" s="18"/>
    </row>
    <row r="1220" spans="1:8" x14ac:dyDescent="0.2">
      <c r="A1220" s="17"/>
      <c r="B1220" s="17"/>
      <c r="C1220" s="18"/>
      <c r="D1220" s="18"/>
      <c r="E1220" s="18"/>
      <c r="F1220" s="18"/>
      <c r="G1220" s="18"/>
      <c r="H1220" s="18"/>
    </row>
    <row r="1221" spans="1:8" x14ac:dyDescent="0.2">
      <c r="A1221" s="17"/>
      <c r="B1221" s="17"/>
      <c r="C1221" s="18"/>
      <c r="D1221" s="18"/>
      <c r="E1221" s="18"/>
      <c r="F1221" s="18"/>
      <c r="G1221" s="18"/>
      <c r="H1221" s="18"/>
    </row>
    <row r="1222" spans="1:8" x14ac:dyDescent="0.2">
      <c r="A1222" s="17"/>
      <c r="B1222" s="17"/>
      <c r="C1222" s="18"/>
      <c r="D1222" s="18"/>
      <c r="E1222" s="18"/>
      <c r="F1222" s="18"/>
      <c r="G1222" s="18"/>
      <c r="H1222" s="18"/>
    </row>
    <row r="1223" spans="1:8" x14ac:dyDescent="0.2">
      <c r="A1223" s="17"/>
      <c r="B1223" s="17"/>
      <c r="C1223" s="18"/>
      <c r="D1223" s="18"/>
      <c r="E1223" s="18"/>
      <c r="F1223" s="18"/>
      <c r="G1223" s="18"/>
      <c r="H1223" s="18"/>
    </row>
    <row r="1224" spans="1:8" x14ac:dyDescent="0.2">
      <c r="A1224" s="17"/>
      <c r="B1224" s="17"/>
      <c r="C1224" s="18"/>
      <c r="D1224" s="18"/>
      <c r="E1224" s="18"/>
      <c r="F1224" s="18"/>
      <c r="G1224" s="18"/>
      <c r="H1224" s="18"/>
    </row>
    <row r="1225" spans="1:8" x14ac:dyDescent="0.2">
      <c r="A1225" s="17"/>
      <c r="B1225" s="17"/>
      <c r="C1225" s="18"/>
      <c r="D1225" s="18"/>
      <c r="E1225" s="18"/>
      <c r="F1225" s="18"/>
      <c r="G1225" s="18"/>
      <c r="H1225" s="18"/>
    </row>
    <row r="1226" spans="1:8" x14ac:dyDescent="0.2">
      <c r="A1226" s="17"/>
      <c r="B1226" s="17"/>
      <c r="C1226" s="18"/>
      <c r="D1226" s="18"/>
      <c r="E1226" s="18"/>
      <c r="F1226" s="18"/>
      <c r="G1226" s="18"/>
      <c r="H1226" s="18"/>
    </row>
    <row r="1227" spans="1:8" x14ac:dyDescent="0.2">
      <c r="A1227" s="17"/>
      <c r="B1227" s="17"/>
      <c r="C1227" s="18"/>
      <c r="D1227" s="18"/>
      <c r="E1227" s="18"/>
      <c r="F1227" s="18"/>
      <c r="G1227" s="18"/>
      <c r="H1227" s="18"/>
    </row>
    <row r="1228" spans="1:8" x14ac:dyDescent="0.2">
      <c r="A1228" s="17"/>
      <c r="B1228" s="17"/>
      <c r="C1228" s="18"/>
      <c r="D1228" s="18"/>
      <c r="E1228" s="18"/>
      <c r="F1228" s="18"/>
      <c r="G1228" s="18"/>
      <c r="H1228" s="18"/>
    </row>
    <row r="1229" spans="1:8" x14ac:dyDescent="0.2">
      <c r="A1229" s="17"/>
      <c r="B1229" s="17"/>
      <c r="C1229" s="18"/>
      <c r="D1229" s="18"/>
      <c r="E1229" s="18"/>
      <c r="F1229" s="18"/>
      <c r="G1229" s="18"/>
      <c r="H1229" s="18"/>
    </row>
    <row r="1230" spans="1:8" x14ac:dyDescent="0.2">
      <c r="A1230" s="17"/>
      <c r="B1230" s="17"/>
      <c r="C1230" s="18"/>
      <c r="D1230" s="18"/>
      <c r="E1230" s="18"/>
      <c r="F1230" s="18"/>
      <c r="G1230" s="18"/>
      <c r="H1230" s="18"/>
    </row>
    <row r="1231" spans="1:8" x14ac:dyDescent="0.2">
      <c r="A1231" s="17"/>
      <c r="B1231" s="17"/>
      <c r="C1231" s="18"/>
      <c r="D1231" s="18"/>
      <c r="E1231" s="18"/>
      <c r="F1231" s="18"/>
      <c r="G1231" s="18"/>
      <c r="H1231" s="18"/>
    </row>
    <row r="1232" spans="1:8" x14ac:dyDescent="0.2">
      <c r="A1232" s="17"/>
      <c r="B1232" s="17"/>
      <c r="C1232" s="18"/>
      <c r="D1232" s="18"/>
      <c r="E1232" s="18"/>
      <c r="F1232" s="18"/>
      <c r="G1232" s="18"/>
      <c r="H1232" s="18"/>
    </row>
    <row r="1233" spans="1:8" x14ac:dyDescent="0.2">
      <c r="A1233" s="17"/>
      <c r="B1233" s="17"/>
      <c r="C1233" s="18"/>
      <c r="D1233" s="18"/>
      <c r="E1233" s="18"/>
      <c r="F1233" s="18"/>
      <c r="G1233" s="18"/>
      <c r="H1233" s="18"/>
    </row>
    <row r="1234" spans="1:8" x14ac:dyDescent="0.2">
      <c r="A1234" s="17"/>
      <c r="B1234" s="17"/>
      <c r="C1234" s="18"/>
      <c r="D1234" s="18"/>
      <c r="E1234" s="18"/>
      <c r="F1234" s="18"/>
      <c r="G1234" s="18"/>
      <c r="H1234" s="18"/>
    </row>
    <row r="1235" spans="1:8" x14ac:dyDescent="0.2">
      <c r="A1235" s="17"/>
      <c r="B1235" s="17"/>
      <c r="C1235" s="18"/>
      <c r="D1235" s="18"/>
      <c r="E1235" s="18"/>
      <c r="F1235" s="18"/>
      <c r="G1235" s="18"/>
      <c r="H1235" s="18"/>
    </row>
    <row r="1236" spans="1:8" x14ac:dyDescent="0.2">
      <c r="A1236" s="17"/>
      <c r="B1236" s="17"/>
      <c r="C1236" s="18"/>
      <c r="D1236" s="18"/>
      <c r="E1236" s="18"/>
      <c r="F1236" s="18"/>
      <c r="G1236" s="18"/>
      <c r="H1236" s="18"/>
    </row>
    <row r="1237" spans="1:8" x14ac:dyDescent="0.2">
      <c r="A1237" s="17"/>
      <c r="B1237" s="17"/>
      <c r="C1237" s="18"/>
      <c r="D1237" s="18"/>
      <c r="E1237" s="18"/>
      <c r="F1237" s="18"/>
      <c r="G1237" s="18"/>
      <c r="H1237" s="18"/>
    </row>
    <row r="1238" spans="1:8" x14ac:dyDescent="0.2">
      <c r="A1238" s="17"/>
      <c r="B1238" s="17"/>
      <c r="C1238" s="18"/>
      <c r="D1238" s="18"/>
      <c r="E1238" s="18"/>
      <c r="F1238" s="18"/>
      <c r="G1238" s="18"/>
      <c r="H1238" s="18"/>
    </row>
    <row r="1239" spans="1:8" x14ac:dyDescent="0.2">
      <c r="A1239" s="17"/>
      <c r="B1239" s="17"/>
      <c r="C1239" s="18"/>
      <c r="D1239" s="18"/>
      <c r="E1239" s="18"/>
      <c r="F1239" s="18"/>
      <c r="G1239" s="18"/>
      <c r="H1239" s="18"/>
    </row>
    <row r="1240" spans="1:8" x14ac:dyDescent="0.2">
      <c r="A1240" s="17"/>
      <c r="B1240" s="17"/>
      <c r="C1240" s="18"/>
      <c r="D1240" s="18"/>
      <c r="E1240" s="18"/>
      <c r="F1240" s="18"/>
      <c r="G1240" s="18"/>
      <c r="H1240" s="18"/>
    </row>
    <row r="1241" spans="1:8" x14ac:dyDescent="0.2">
      <c r="A1241" s="17"/>
      <c r="B1241" s="17"/>
      <c r="C1241" s="18"/>
      <c r="D1241" s="18"/>
      <c r="E1241" s="18"/>
      <c r="F1241" s="18"/>
      <c r="G1241" s="18"/>
      <c r="H1241" s="18"/>
    </row>
    <row r="1242" spans="1:8" x14ac:dyDescent="0.2">
      <c r="A1242" s="17"/>
      <c r="B1242" s="17"/>
      <c r="C1242" s="18"/>
      <c r="D1242" s="18"/>
      <c r="E1242" s="18"/>
      <c r="F1242" s="18"/>
      <c r="G1242" s="18"/>
      <c r="H1242" s="18"/>
    </row>
    <row r="1243" spans="1:8" x14ac:dyDescent="0.2">
      <c r="A1243" s="17"/>
      <c r="B1243" s="17"/>
      <c r="C1243" s="18"/>
      <c r="D1243" s="18"/>
      <c r="E1243" s="18"/>
      <c r="F1243" s="18"/>
      <c r="G1243" s="18"/>
      <c r="H1243" s="18"/>
    </row>
    <row r="1244" spans="1:8" x14ac:dyDescent="0.2">
      <c r="A1244" s="17"/>
      <c r="B1244" s="17"/>
      <c r="C1244" s="18"/>
      <c r="D1244" s="18"/>
      <c r="E1244" s="18"/>
      <c r="F1244" s="18"/>
      <c r="G1244" s="18"/>
      <c r="H1244" s="18"/>
    </row>
    <row r="1245" spans="1:8" x14ac:dyDescent="0.2">
      <c r="A1245" s="17"/>
      <c r="B1245" s="17"/>
      <c r="C1245" s="18"/>
      <c r="D1245" s="18"/>
      <c r="E1245" s="18"/>
      <c r="F1245" s="18"/>
      <c r="G1245" s="18"/>
      <c r="H1245" s="18"/>
    </row>
    <row r="1246" spans="1:8" x14ac:dyDescent="0.2">
      <c r="A1246" s="17"/>
      <c r="B1246" s="17"/>
      <c r="C1246" s="18"/>
      <c r="D1246" s="18"/>
      <c r="E1246" s="18"/>
      <c r="F1246" s="18"/>
      <c r="G1246" s="18"/>
      <c r="H1246" s="18"/>
    </row>
    <row r="1247" spans="1:8" x14ac:dyDescent="0.2">
      <c r="A1247" s="17"/>
      <c r="B1247" s="17"/>
      <c r="C1247" s="18"/>
      <c r="D1247" s="18"/>
      <c r="E1247" s="18"/>
      <c r="F1247" s="18"/>
      <c r="G1247" s="18"/>
      <c r="H1247" s="18"/>
    </row>
    <row r="1248" spans="1:8" x14ac:dyDescent="0.2">
      <c r="A1248" s="17"/>
      <c r="B1248" s="17"/>
      <c r="C1248" s="18"/>
      <c r="D1248" s="18"/>
      <c r="E1248" s="18"/>
      <c r="F1248" s="18"/>
      <c r="G1248" s="18"/>
      <c r="H1248" s="18"/>
    </row>
    <row r="1249" spans="1:8" x14ac:dyDescent="0.2">
      <c r="A1249" s="17"/>
      <c r="B1249" s="17"/>
      <c r="C1249" s="18"/>
      <c r="D1249" s="18"/>
      <c r="E1249" s="18"/>
      <c r="F1249" s="18"/>
      <c r="G1249" s="18"/>
      <c r="H1249" s="18"/>
    </row>
    <row r="1250" spans="1:8" x14ac:dyDescent="0.2">
      <c r="A1250" s="17"/>
      <c r="B1250" s="17"/>
      <c r="C1250" s="18"/>
      <c r="D1250" s="18"/>
      <c r="E1250" s="18"/>
      <c r="F1250" s="18"/>
      <c r="G1250" s="18"/>
      <c r="H1250" s="18"/>
    </row>
    <row r="1251" spans="1:8" x14ac:dyDescent="0.2">
      <c r="A1251" s="17"/>
      <c r="B1251" s="17"/>
      <c r="C1251" s="18"/>
      <c r="D1251" s="18"/>
      <c r="E1251" s="18"/>
      <c r="F1251" s="18"/>
      <c r="G1251" s="18"/>
      <c r="H1251" s="18"/>
    </row>
    <row r="1252" spans="1:8" x14ac:dyDescent="0.2">
      <c r="A1252" s="17"/>
      <c r="B1252" s="17"/>
      <c r="C1252" s="18"/>
      <c r="D1252" s="18"/>
      <c r="E1252" s="18"/>
      <c r="F1252" s="18"/>
      <c r="G1252" s="18"/>
      <c r="H1252" s="18"/>
    </row>
    <row r="1253" spans="1:8" x14ac:dyDescent="0.2">
      <c r="A1253" s="17"/>
      <c r="B1253" s="17"/>
      <c r="C1253" s="18"/>
      <c r="D1253" s="18"/>
      <c r="E1253" s="18"/>
      <c r="F1253" s="18"/>
      <c r="G1253" s="18"/>
      <c r="H1253" s="18"/>
    </row>
    <row r="1254" spans="1:8" x14ac:dyDescent="0.2">
      <c r="A1254" s="17"/>
      <c r="B1254" s="17"/>
      <c r="C1254" s="18"/>
      <c r="D1254" s="18"/>
      <c r="E1254" s="18"/>
      <c r="F1254" s="18"/>
      <c r="G1254" s="18"/>
      <c r="H1254" s="18"/>
    </row>
    <row r="1255" spans="1:8" x14ac:dyDescent="0.2">
      <c r="A1255" s="17"/>
      <c r="B1255" s="17"/>
      <c r="C1255" s="18"/>
      <c r="D1255" s="18"/>
      <c r="E1255" s="18"/>
      <c r="F1255" s="18"/>
      <c r="G1255" s="18"/>
      <c r="H1255" s="18"/>
    </row>
    <row r="1256" spans="1:8" x14ac:dyDescent="0.2">
      <c r="A1256" s="17"/>
      <c r="B1256" s="17"/>
      <c r="C1256" s="18"/>
      <c r="D1256" s="18"/>
      <c r="E1256" s="18"/>
      <c r="F1256" s="18"/>
      <c r="G1256" s="18"/>
      <c r="H1256" s="18"/>
    </row>
    <row r="1257" spans="1:8" x14ac:dyDescent="0.2">
      <c r="A1257" s="17"/>
      <c r="B1257" s="17"/>
      <c r="C1257" s="18"/>
      <c r="D1257" s="18"/>
      <c r="E1257" s="18"/>
      <c r="F1257" s="18"/>
      <c r="G1257" s="18"/>
      <c r="H1257" s="18"/>
    </row>
    <row r="1258" spans="1:8" x14ac:dyDescent="0.2">
      <c r="A1258" s="17"/>
      <c r="B1258" s="17"/>
      <c r="C1258" s="18"/>
      <c r="D1258" s="18"/>
      <c r="E1258" s="18"/>
      <c r="F1258" s="18"/>
      <c r="G1258" s="18"/>
      <c r="H1258" s="18"/>
    </row>
    <row r="1259" spans="1:8" x14ac:dyDescent="0.2">
      <c r="A1259" s="17"/>
      <c r="B1259" s="17"/>
      <c r="C1259" s="18"/>
      <c r="D1259" s="18"/>
      <c r="E1259" s="18"/>
      <c r="F1259" s="18"/>
      <c r="G1259" s="18"/>
      <c r="H1259" s="18"/>
    </row>
    <row r="1260" spans="1:8" x14ac:dyDescent="0.2">
      <c r="A1260" s="17"/>
      <c r="B1260" s="17"/>
      <c r="C1260" s="18"/>
      <c r="D1260" s="18"/>
      <c r="E1260" s="18"/>
      <c r="F1260" s="18"/>
      <c r="G1260" s="18"/>
      <c r="H1260" s="18"/>
    </row>
    <row r="1261" spans="1:8" x14ac:dyDescent="0.2">
      <c r="A1261" s="17"/>
      <c r="B1261" s="17"/>
      <c r="C1261" s="18"/>
      <c r="D1261" s="18"/>
      <c r="E1261" s="18"/>
      <c r="F1261" s="18"/>
      <c r="G1261" s="18"/>
      <c r="H1261" s="18"/>
    </row>
    <row r="1262" spans="1:8" x14ac:dyDescent="0.2">
      <c r="A1262" s="17"/>
      <c r="B1262" s="17"/>
      <c r="C1262" s="18"/>
      <c r="D1262" s="18"/>
      <c r="E1262" s="18"/>
      <c r="F1262" s="18"/>
      <c r="G1262" s="18"/>
      <c r="H1262" s="18"/>
    </row>
    <row r="1263" spans="1:8" x14ac:dyDescent="0.2">
      <c r="A1263" s="17"/>
      <c r="B1263" s="17"/>
      <c r="C1263" s="18"/>
      <c r="D1263" s="18"/>
      <c r="E1263" s="18"/>
      <c r="F1263" s="18"/>
      <c r="G1263" s="18"/>
      <c r="H1263" s="18"/>
    </row>
    <row r="1264" spans="1:8" x14ac:dyDescent="0.2">
      <c r="A1264" s="17"/>
      <c r="B1264" s="17"/>
      <c r="C1264" s="18"/>
      <c r="D1264" s="18"/>
      <c r="E1264" s="18"/>
      <c r="F1264" s="18"/>
      <c r="G1264" s="18"/>
      <c r="H1264" s="18"/>
    </row>
    <row r="1265" spans="1:8" x14ac:dyDescent="0.2">
      <c r="A1265" s="17"/>
      <c r="B1265" s="17"/>
      <c r="C1265" s="18"/>
      <c r="D1265" s="18"/>
      <c r="E1265" s="18"/>
      <c r="F1265" s="18"/>
      <c r="G1265" s="18"/>
      <c r="H1265" s="18"/>
    </row>
    <row r="1266" spans="1:8" x14ac:dyDescent="0.2">
      <c r="A1266" s="17"/>
      <c r="B1266" s="17"/>
      <c r="C1266" s="18"/>
      <c r="D1266" s="18"/>
      <c r="E1266" s="18"/>
      <c r="F1266" s="18"/>
      <c r="G1266" s="18"/>
      <c r="H1266" s="18"/>
    </row>
    <row r="1267" spans="1:8" x14ac:dyDescent="0.2">
      <c r="A1267" s="17"/>
      <c r="B1267" s="17"/>
      <c r="C1267" s="18"/>
      <c r="D1267" s="18"/>
      <c r="E1267" s="18"/>
      <c r="F1267" s="18"/>
      <c r="G1267" s="18"/>
      <c r="H1267" s="18"/>
    </row>
    <row r="1268" spans="1:8" x14ac:dyDescent="0.2">
      <c r="A1268" s="17"/>
      <c r="B1268" s="17"/>
      <c r="C1268" s="18"/>
      <c r="D1268" s="18"/>
      <c r="E1268" s="18"/>
      <c r="F1268" s="18"/>
      <c r="G1268" s="18"/>
      <c r="H1268" s="18"/>
    </row>
    <row r="1269" spans="1:8" x14ac:dyDescent="0.2">
      <c r="A1269" s="17"/>
      <c r="B1269" s="17"/>
      <c r="C1269" s="18"/>
      <c r="D1269" s="18"/>
      <c r="E1269" s="18"/>
      <c r="F1269" s="18"/>
      <c r="G1269" s="18"/>
      <c r="H1269" s="18"/>
    </row>
    <row r="1270" spans="1:8" x14ac:dyDescent="0.2">
      <c r="A1270" s="17"/>
      <c r="B1270" s="17"/>
      <c r="C1270" s="18"/>
      <c r="D1270" s="18"/>
      <c r="E1270" s="18"/>
      <c r="F1270" s="18"/>
      <c r="G1270" s="18"/>
      <c r="H1270" s="18"/>
    </row>
    <row r="1271" spans="1:8" x14ac:dyDescent="0.2">
      <c r="A1271" s="17"/>
      <c r="B1271" s="17"/>
      <c r="C1271" s="18"/>
      <c r="D1271" s="18"/>
      <c r="E1271" s="18"/>
      <c r="F1271" s="18"/>
      <c r="G1271" s="18"/>
      <c r="H1271" s="18"/>
    </row>
    <row r="1272" spans="1:8" x14ac:dyDescent="0.2">
      <c r="A1272" s="17"/>
      <c r="B1272" s="17"/>
      <c r="C1272" s="18"/>
      <c r="D1272" s="18"/>
      <c r="E1272" s="18"/>
      <c r="F1272" s="18"/>
      <c r="G1272" s="18"/>
      <c r="H1272" s="18"/>
    </row>
    <row r="1273" spans="1:8" x14ac:dyDescent="0.2">
      <c r="A1273" s="17"/>
      <c r="B1273" s="17"/>
      <c r="C1273" s="18"/>
      <c r="D1273" s="18"/>
      <c r="E1273" s="18"/>
      <c r="F1273" s="18"/>
      <c r="G1273" s="18"/>
      <c r="H1273" s="18"/>
    </row>
    <row r="1274" spans="1:8" x14ac:dyDescent="0.2">
      <c r="A1274" s="17"/>
      <c r="B1274" s="17"/>
      <c r="C1274" s="18"/>
      <c r="D1274" s="18"/>
      <c r="E1274" s="18"/>
      <c r="F1274" s="18"/>
      <c r="G1274" s="18"/>
      <c r="H1274" s="18"/>
    </row>
    <row r="1275" spans="1:8" x14ac:dyDescent="0.2">
      <c r="A1275" s="17"/>
      <c r="B1275" s="17"/>
      <c r="C1275" s="18"/>
      <c r="D1275" s="18"/>
      <c r="E1275" s="18"/>
      <c r="F1275" s="18"/>
      <c r="G1275" s="18"/>
      <c r="H1275" s="18"/>
    </row>
    <row r="1276" spans="1:8" x14ac:dyDescent="0.2">
      <c r="A1276" s="17"/>
      <c r="B1276" s="17"/>
      <c r="C1276" s="18"/>
      <c r="D1276" s="18"/>
      <c r="E1276" s="18"/>
      <c r="F1276" s="18"/>
      <c r="G1276" s="18"/>
      <c r="H1276" s="18"/>
    </row>
    <row r="1277" spans="1:8" x14ac:dyDescent="0.2">
      <c r="A1277" s="17"/>
      <c r="B1277" s="17"/>
      <c r="C1277" s="18"/>
      <c r="D1277" s="18"/>
      <c r="E1277" s="18"/>
      <c r="F1277" s="18"/>
      <c r="G1277" s="18"/>
      <c r="H1277" s="18"/>
    </row>
    <row r="1278" spans="1:8" x14ac:dyDescent="0.2">
      <c r="A1278" s="17"/>
      <c r="B1278" s="17"/>
      <c r="C1278" s="18"/>
      <c r="D1278" s="18"/>
      <c r="E1278" s="18"/>
      <c r="F1278" s="18"/>
      <c r="G1278" s="18"/>
      <c r="H1278" s="18"/>
    </row>
    <row r="1279" spans="1:8" x14ac:dyDescent="0.2">
      <c r="A1279" s="17"/>
      <c r="B1279" s="17"/>
      <c r="C1279" s="18"/>
      <c r="D1279" s="18"/>
      <c r="E1279" s="18"/>
      <c r="F1279" s="18"/>
      <c r="G1279" s="18"/>
      <c r="H1279" s="18"/>
    </row>
    <row r="1280" spans="1:8" x14ac:dyDescent="0.2">
      <c r="A1280" s="17"/>
      <c r="B1280" s="17"/>
      <c r="C1280" s="18"/>
      <c r="D1280" s="18"/>
      <c r="E1280" s="18"/>
      <c r="F1280" s="18"/>
      <c r="G1280" s="18"/>
      <c r="H1280" s="18"/>
    </row>
    <row r="1281" spans="1:8" x14ac:dyDescent="0.2">
      <c r="A1281" s="17"/>
      <c r="B1281" s="17"/>
      <c r="C1281" s="18"/>
      <c r="D1281" s="18"/>
      <c r="E1281" s="18"/>
      <c r="F1281" s="18"/>
      <c r="G1281" s="18"/>
      <c r="H1281" s="18"/>
    </row>
    <row r="1282" spans="1:8" x14ac:dyDescent="0.2">
      <c r="A1282" s="17"/>
      <c r="B1282" s="17"/>
      <c r="C1282" s="18"/>
      <c r="D1282" s="18"/>
      <c r="E1282" s="18"/>
      <c r="F1282" s="18"/>
      <c r="G1282" s="18"/>
      <c r="H1282" s="18"/>
    </row>
    <row r="1283" spans="1:8" x14ac:dyDescent="0.2">
      <c r="A1283" s="17"/>
      <c r="B1283" s="17"/>
      <c r="C1283" s="18"/>
      <c r="D1283" s="18"/>
      <c r="E1283" s="18"/>
      <c r="F1283" s="18"/>
      <c r="G1283" s="18"/>
      <c r="H1283" s="18"/>
    </row>
    <row r="1284" spans="1:8" x14ac:dyDescent="0.2">
      <c r="A1284" s="17"/>
      <c r="B1284" s="17"/>
      <c r="C1284" s="18"/>
      <c r="D1284" s="18"/>
      <c r="E1284" s="18"/>
      <c r="F1284" s="18"/>
      <c r="G1284" s="18"/>
      <c r="H1284" s="18"/>
    </row>
    <row r="1285" spans="1:8" x14ac:dyDescent="0.2">
      <c r="A1285" s="17"/>
      <c r="B1285" s="17"/>
      <c r="C1285" s="18"/>
      <c r="D1285" s="18"/>
      <c r="E1285" s="18"/>
      <c r="F1285" s="18"/>
      <c r="G1285" s="18"/>
      <c r="H1285" s="18"/>
    </row>
    <row r="1286" spans="1:8" x14ac:dyDescent="0.2">
      <c r="A1286" s="17"/>
      <c r="B1286" s="17"/>
      <c r="C1286" s="18"/>
      <c r="D1286" s="18"/>
      <c r="E1286" s="18"/>
      <c r="F1286" s="18"/>
      <c r="G1286" s="18"/>
      <c r="H1286" s="18"/>
    </row>
    <row r="1287" spans="1:8" x14ac:dyDescent="0.2">
      <c r="A1287" s="17"/>
      <c r="B1287" s="17"/>
      <c r="C1287" s="18"/>
      <c r="D1287" s="18"/>
      <c r="E1287" s="18"/>
      <c r="F1287" s="18"/>
      <c r="G1287" s="18"/>
      <c r="H1287" s="18"/>
    </row>
    <row r="1288" spans="1:8" x14ac:dyDescent="0.2">
      <c r="A1288" s="17"/>
      <c r="B1288" s="17"/>
      <c r="C1288" s="18"/>
      <c r="D1288" s="18"/>
      <c r="E1288" s="18"/>
      <c r="F1288" s="18"/>
      <c r="G1288" s="18"/>
      <c r="H1288" s="18"/>
    </row>
    <row r="1289" spans="1:8" x14ac:dyDescent="0.2">
      <c r="A1289" s="17"/>
      <c r="B1289" s="17"/>
      <c r="C1289" s="18"/>
      <c r="D1289" s="18"/>
      <c r="E1289" s="18"/>
      <c r="F1289" s="18"/>
      <c r="G1289" s="18"/>
      <c r="H1289" s="18"/>
    </row>
    <row r="1290" spans="1:8" x14ac:dyDescent="0.2">
      <c r="A1290" s="17"/>
      <c r="B1290" s="17"/>
      <c r="C1290" s="18"/>
      <c r="D1290" s="18"/>
      <c r="E1290" s="18"/>
      <c r="F1290" s="18"/>
      <c r="G1290" s="18"/>
      <c r="H1290" s="18"/>
    </row>
    <row r="1291" spans="1:8" x14ac:dyDescent="0.2">
      <c r="A1291" s="17"/>
      <c r="B1291" s="17"/>
      <c r="C1291" s="18"/>
      <c r="D1291" s="18"/>
      <c r="E1291" s="18"/>
      <c r="F1291" s="18"/>
      <c r="G1291" s="18"/>
      <c r="H1291" s="18"/>
    </row>
    <row r="1292" spans="1:8" x14ac:dyDescent="0.2">
      <c r="A1292" s="17"/>
      <c r="B1292" s="17"/>
      <c r="C1292" s="18"/>
      <c r="D1292" s="18"/>
      <c r="E1292" s="18"/>
      <c r="F1292" s="18"/>
      <c r="G1292" s="18"/>
      <c r="H1292" s="18"/>
    </row>
    <row r="1293" spans="1:8" x14ac:dyDescent="0.2">
      <c r="A1293" s="17"/>
      <c r="B1293" s="17"/>
      <c r="C1293" s="18"/>
      <c r="D1293" s="18"/>
      <c r="E1293" s="18"/>
      <c r="F1293" s="18"/>
      <c r="G1293" s="18"/>
      <c r="H1293" s="18"/>
    </row>
    <row r="1294" spans="1:8" x14ac:dyDescent="0.2">
      <c r="A1294" s="17"/>
      <c r="B1294" s="17"/>
      <c r="C1294" s="18"/>
      <c r="D1294" s="18"/>
      <c r="E1294" s="18"/>
      <c r="F1294" s="18"/>
      <c r="G1294" s="18"/>
      <c r="H1294" s="18"/>
    </row>
    <row r="1295" spans="1:8" x14ac:dyDescent="0.2">
      <c r="A1295" s="17"/>
      <c r="B1295" s="17"/>
      <c r="C1295" s="18"/>
      <c r="D1295" s="18"/>
      <c r="E1295" s="18"/>
      <c r="F1295" s="18"/>
      <c r="G1295" s="18"/>
      <c r="H1295" s="18"/>
    </row>
    <row r="1296" spans="1:8" x14ac:dyDescent="0.2">
      <c r="A1296" s="17"/>
      <c r="B1296" s="17"/>
      <c r="C1296" s="18"/>
      <c r="D1296" s="18"/>
      <c r="E1296" s="18"/>
      <c r="F1296" s="18"/>
      <c r="G1296" s="18"/>
      <c r="H1296" s="18"/>
    </row>
    <row r="1297" spans="1:8" x14ac:dyDescent="0.2">
      <c r="A1297" s="17"/>
      <c r="B1297" s="17"/>
      <c r="C1297" s="18"/>
      <c r="D1297" s="18"/>
      <c r="E1297" s="18"/>
      <c r="F1297" s="18"/>
      <c r="G1297" s="18"/>
      <c r="H1297" s="18"/>
    </row>
    <row r="1298" spans="1:8" x14ac:dyDescent="0.2">
      <c r="A1298" s="17"/>
      <c r="B1298" s="17"/>
      <c r="C1298" s="18"/>
      <c r="D1298" s="18"/>
      <c r="E1298" s="18"/>
      <c r="F1298" s="18"/>
      <c r="G1298" s="18"/>
      <c r="H1298" s="18"/>
    </row>
    <row r="1299" spans="1:8" x14ac:dyDescent="0.2">
      <c r="A1299" s="17"/>
      <c r="B1299" s="17"/>
      <c r="C1299" s="18"/>
      <c r="D1299" s="18"/>
      <c r="E1299" s="18"/>
      <c r="F1299" s="18"/>
      <c r="G1299" s="18"/>
      <c r="H1299" s="18"/>
    </row>
    <row r="1300" spans="1:8" x14ac:dyDescent="0.2">
      <c r="A1300" s="17"/>
      <c r="B1300" s="17"/>
      <c r="C1300" s="18"/>
      <c r="D1300" s="18"/>
      <c r="E1300" s="18"/>
      <c r="F1300" s="18"/>
      <c r="G1300" s="18"/>
      <c r="H1300" s="18"/>
    </row>
    <row r="1301" spans="1:8" x14ac:dyDescent="0.2">
      <c r="A1301" s="17"/>
      <c r="B1301" s="17"/>
      <c r="C1301" s="18"/>
      <c r="D1301" s="18"/>
      <c r="E1301" s="18"/>
      <c r="F1301" s="18"/>
      <c r="G1301" s="18"/>
      <c r="H1301" s="18"/>
    </row>
    <row r="1302" spans="1:8" x14ac:dyDescent="0.2">
      <c r="A1302" s="17"/>
      <c r="B1302" s="17"/>
      <c r="C1302" s="18"/>
      <c r="D1302" s="18"/>
      <c r="E1302" s="18"/>
      <c r="F1302" s="18"/>
      <c r="G1302" s="18"/>
      <c r="H1302" s="18"/>
    </row>
    <row r="1303" spans="1:8" x14ac:dyDescent="0.2">
      <c r="A1303" s="17"/>
      <c r="B1303" s="17"/>
      <c r="C1303" s="18"/>
      <c r="D1303" s="18"/>
      <c r="E1303" s="18"/>
      <c r="F1303" s="18"/>
      <c r="G1303" s="18"/>
      <c r="H1303" s="18"/>
    </row>
    <row r="1304" spans="1:8" x14ac:dyDescent="0.2">
      <c r="A1304" s="17"/>
      <c r="B1304" s="17"/>
      <c r="C1304" s="18"/>
      <c r="D1304" s="18"/>
      <c r="E1304" s="18"/>
      <c r="F1304" s="18"/>
      <c r="G1304" s="18"/>
      <c r="H1304" s="18"/>
    </row>
    <row r="1305" spans="1:8" x14ac:dyDescent="0.2">
      <c r="A1305" s="17"/>
      <c r="B1305" s="17"/>
      <c r="C1305" s="18"/>
      <c r="D1305" s="18"/>
      <c r="E1305" s="18"/>
      <c r="F1305" s="18"/>
      <c r="G1305" s="18"/>
      <c r="H1305" s="18"/>
    </row>
    <row r="1306" spans="1:8" x14ac:dyDescent="0.2">
      <c r="A1306" s="17"/>
      <c r="B1306" s="17"/>
      <c r="C1306" s="18"/>
      <c r="D1306" s="18"/>
      <c r="E1306" s="18"/>
      <c r="F1306" s="18"/>
      <c r="G1306" s="18"/>
      <c r="H1306" s="18"/>
    </row>
    <row r="1307" spans="1:8" x14ac:dyDescent="0.2">
      <c r="A1307" s="17"/>
      <c r="B1307" s="17"/>
      <c r="C1307" s="18"/>
      <c r="D1307" s="18"/>
      <c r="E1307" s="18"/>
      <c r="F1307" s="18"/>
      <c r="G1307" s="18"/>
      <c r="H1307" s="18"/>
    </row>
    <row r="1308" spans="1:8" x14ac:dyDescent="0.2">
      <c r="A1308" s="17"/>
      <c r="B1308" s="17"/>
      <c r="C1308" s="18"/>
      <c r="D1308" s="18"/>
      <c r="E1308" s="18"/>
      <c r="F1308" s="18"/>
      <c r="G1308" s="18"/>
      <c r="H1308" s="18"/>
    </row>
    <row r="1309" spans="1:8" x14ac:dyDescent="0.2">
      <c r="A1309" s="17"/>
      <c r="B1309" s="17"/>
      <c r="C1309" s="18"/>
      <c r="D1309" s="18"/>
      <c r="E1309" s="18"/>
      <c r="F1309" s="18"/>
      <c r="G1309" s="18"/>
      <c r="H1309" s="18"/>
    </row>
    <row r="1310" spans="1:8" x14ac:dyDescent="0.2">
      <c r="A1310" s="17"/>
      <c r="B1310" s="17"/>
      <c r="C1310" s="18"/>
      <c r="D1310" s="18"/>
      <c r="E1310" s="18"/>
      <c r="F1310" s="18"/>
      <c r="G1310" s="18"/>
      <c r="H1310" s="18"/>
    </row>
    <row r="1311" spans="1:8" x14ac:dyDescent="0.2">
      <c r="A1311" s="17"/>
      <c r="B1311" s="17"/>
      <c r="C1311" s="18"/>
      <c r="D1311" s="18"/>
      <c r="E1311" s="18"/>
      <c r="F1311" s="18"/>
      <c r="G1311" s="18"/>
      <c r="H1311" s="18"/>
    </row>
    <row r="1312" spans="1:8" x14ac:dyDescent="0.2">
      <c r="A1312" s="17"/>
      <c r="B1312" s="17"/>
      <c r="C1312" s="18"/>
      <c r="D1312" s="18"/>
      <c r="E1312" s="18"/>
      <c r="F1312" s="18"/>
      <c r="G1312" s="18"/>
      <c r="H1312" s="18"/>
    </row>
    <row r="1313" spans="1:8" x14ac:dyDescent="0.2">
      <c r="A1313" s="17"/>
      <c r="B1313" s="17"/>
      <c r="C1313" s="18"/>
      <c r="D1313" s="18"/>
      <c r="E1313" s="18"/>
      <c r="F1313" s="18"/>
      <c r="G1313" s="18"/>
      <c r="H1313" s="18"/>
    </row>
    <row r="1314" spans="1:8" x14ac:dyDescent="0.2">
      <c r="A1314" s="17"/>
      <c r="B1314" s="17"/>
      <c r="C1314" s="18"/>
      <c r="D1314" s="18"/>
      <c r="E1314" s="18"/>
      <c r="F1314" s="18"/>
      <c r="G1314" s="18"/>
      <c r="H1314" s="18"/>
    </row>
    <row r="1315" spans="1:8" x14ac:dyDescent="0.2">
      <c r="A1315" s="17"/>
      <c r="B1315" s="17"/>
      <c r="C1315" s="18"/>
      <c r="D1315" s="18"/>
      <c r="E1315" s="18"/>
      <c r="F1315" s="18"/>
      <c r="G1315" s="18"/>
      <c r="H1315" s="18"/>
    </row>
    <row r="1316" spans="1:8" x14ac:dyDescent="0.2">
      <c r="A1316" s="17"/>
      <c r="B1316" s="17"/>
      <c r="C1316" s="18"/>
      <c r="D1316" s="18"/>
      <c r="E1316" s="18"/>
      <c r="F1316" s="18"/>
      <c r="G1316" s="18"/>
      <c r="H1316" s="18"/>
    </row>
    <row r="1317" spans="1:8" x14ac:dyDescent="0.2">
      <c r="A1317" s="17"/>
      <c r="B1317" s="17"/>
      <c r="C1317" s="18"/>
      <c r="D1317" s="18"/>
      <c r="E1317" s="18"/>
      <c r="F1317" s="18"/>
      <c r="G1317" s="18"/>
      <c r="H1317" s="18"/>
    </row>
    <row r="1318" spans="1:8" x14ac:dyDescent="0.2">
      <c r="A1318" s="17"/>
      <c r="B1318" s="17"/>
      <c r="C1318" s="18"/>
      <c r="D1318" s="18"/>
      <c r="E1318" s="18"/>
      <c r="F1318" s="18"/>
      <c r="G1318" s="18"/>
      <c r="H1318" s="18"/>
    </row>
    <row r="1319" spans="1:8" x14ac:dyDescent="0.2">
      <c r="A1319" s="17"/>
      <c r="B1319" s="17"/>
      <c r="C1319" s="18"/>
      <c r="D1319" s="18"/>
      <c r="E1319" s="18"/>
      <c r="F1319" s="18"/>
      <c r="G1319" s="18"/>
      <c r="H1319" s="18"/>
    </row>
    <row r="1320" spans="1:8" x14ac:dyDescent="0.2">
      <c r="A1320" s="17"/>
      <c r="B1320" s="17"/>
      <c r="C1320" s="18"/>
      <c r="D1320" s="18"/>
      <c r="E1320" s="18"/>
      <c r="F1320" s="18"/>
      <c r="G1320" s="18"/>
      <c r="H1320" s="18"/>
    </row>
    <row r="1321" spans="1:8" x14ac:dyDescent="0.2">
      <c r="A1321" s="17"/>
      <c r="B1321" s="17"/>
      <c r="C1321" s="18"/>
      <c r="D1321" s="18"/>
      <c r="E1321" s="18"/>
      <c r="F1321" s="18"/>
      <c r="G1321" s="18"/>
      <c r="H1321" s="18"/>
    </row>
    <row r="1322" spans="1:8" x14ac:dyDescent="0.2">
      <c r="A1322" s="17"/>
      <c r="B1322" s="17"/>
      <c r="C1322" s="18"/>
      <c r="D1322" s="18"/>
      <c r="E1322" s="18"/>
      <c r="F1322" s="18"/>
      <c r="G1322" s="18"/>
      <c r="H1322" s="18"/>
    </row>
    <row r="1323" spans="1:8" x14ac:dyDescent="0.2">
      <c r="A1323" s="17"/>
      <c r="B1323" s="17"/>
      <c r="C1323" s="18"/>
      <c r="D1323" s="18"/>
      <c r="E1323" s="18"/>
      <c r="F1323" s="18"/>
      <c r="G1323" s="18"/>
      <c r="H1323" s="18"/>
    </row>
    <row r="1324" spans="1:8" x14ac:dyDescent="0.2">
      <c r="A1324" s="17"/>
      <c r="B1324" s="17"/>
      <c r="C1324" s="18"/>
      <c r="D1324" s="18"/>
      <c r="E1324" s="18"/>
      <c r="F1324" s="18"/>
      <c r="G1324" s="18"/>
      <c r="H1324" s="18"/>
    </row>
    <row r="1325" spans="1:8" x14ac:dyDescent="0.2">
      <c r="A1325" s="17"/>
      <c r="B1325" s="17"/>
      <c r="C1325" s="18"/>
      <c r="D1325" s="18"/>
      <c r="E1325" s="18"/>
      <c r="F1325" s="18"/>
      <c r="G1325" s="18"/>
      <c r="H1325" s="18"/>
    </row>
    <row r="1326" spans="1:8" x14ac:dyDescent="0.2">
      <c r="A1326" s="17"/>
      <c r="B1326" s="17"/>
      <c r="C1326" s="18"/>
      <c r="D1326" s="18"/>
      <c r="E1326" s="18"/>
      <c r="F1326" s="18"/>
      <c r="G1326" s="18"/>
      <c r="H1326" s="18"/>
    </row>
    <row r="1327" spans="1:8" x14ac:dyDescent="0.2">
      <c r="A1327" s="17"/>
      <c r="B1327" s="17"/>
      <c r="C1327" s="18"/>
      <c r="D1327" s="18"/>
      <c r="E1327" s="18"/>
      <c r="F1327" s="18"/>
      <c r="G1327" s="18"/>
      <c r="H1327" s="18"/>
    </row>
    <row r="1328" spans="1:8" x14ac:dyDescent="0.2">
      <c r="A1328" s="17"/>
      <c r="B1328" s="17"/>
      <c r="C1328" s="18"/>
      <c r="D1328" s="18"/>
      <c r="E1328" s="18"/>
      <c r="F1328" s="18"/>
      <c r="G1328" s="18"/>
      <c r="H1328" s="18"/>
    </row>
    <row r="1329" spans="1:8" x14ac:dyDescent="0.2">
      <c r="A1329" s="17"/>
      <c r="B1329" s="17"/>
      <c r="C1329" s="18"/>
      <c r="D1329" s="18"/>
      <c r="E1329" s="18"/>
      <c r="F1329" s="18"/>
      <c r="G1329" s="18"/>
      <c r="H1329" s="18"/>
    </row>
    <row r="1330" spans="1:8" x14ac:dyDescent="0.2">
      <c r="A1330" s="17"/>
      <c r="B1330" s="17"/>
      <c r="C1330" s="18"/>
      <c r="D1330" s="18"/>
      <c r="E1330" s="18"/>
      <c r="F1330" s="18"/>
      <c r="G1330" s="18"/>
      <c r="H1330" s="18"/>
    </row>
    <row r="1331" spans="1:8" x14ac:dyDescent="0.2">
      <c r="A1331" s="17"/>
      <c r="B1331" s="17"/>
      <c r="C1331" s="18"/>
      <c r="D1331" s="18"/>
      <c r="E1331" s="18"/>
      <c r="F1331" s="18"/>
      <c r="G1331" s="18"/>
      <c r="H1331" s="18"/>
    </row>
    <row r="1332" spans="1:8" x14ac:dyDescent="0.2">
      <c r="A1332" s="17"/>
      <c r="B1332" s="17"/>
      <c r="C1332" s="18"/>
      <c r="D1332" s="18"/>
      <c r="E1332" s="18"/>
      <c r="F1332" s="18"/>
      <c r="G1332" s="18"/>
      <c r="H1332" s="18"/>
    </row>
    <row r="1333" spans="1:8" x14ac:dyDescent="0.2">
      <c r="A1333" s="17"/>
      <c r="B1333" s="17"/>
      <c r="C1333" s="18"/>
      <c r="D1333" s="18"/>
      <c r="E1333" s="18"/>
      <c r="F1333" s="18"/>
      <c r="G1333" s="18"/>
      <c r="H1333" s="18"/>
    </row>
    <row r="1334" spans="1:8" x14ac:dyDescent="0.2">
      <c r="A1334" s="17"/>
      <c r="B1334" s="17"/>
      <c r="C1334" s="18"/>
      <c r="D1334" s="18"/>
      <c r="E1334" s="18"/>
      <c r="F1334" s="18"/>
      <c r="G1334" s="18"/>
      <c r="H1334" s="18"/>
    </row>
    <row r="1335" spans="1:8" x14ac:dyDescent="0.2">
      <c r="A1335" s="17"/>
      <c r="B1335" s="17"/>
      <c r="C1335" s="18"/>
      <c r="D1335" s="18"/>
      <c r="E1335" s="18"/>
      <c r="F1335" s="18"/>
      <c r="G1335" s="18"/>
      <c r="H1335" s="18"/>
    </row>
    <row r="1336" spans="1:8" x14ac:dyDescent="0.2">
      <c r="A1336" s="17"/>
      <c r="B1336" s="17"/>
      <c r="C1336" s="18"/>
      <c r="D1336" s="18"/>
      <c r="E1336" s="18"/>
      <c r="F1336" s="18"/>
      <c r="G1336" s="18"/>
      <c r="H1336" s="18"/>
    </row>
    <row r="1337" spans="1:8" x14ac:dyDescent="0.2">
      <c r="A1337" s="17"/>
      <c r="B1337" s="17"/>
      <c r="C1337" s="18"/>
      <c r="D1337" s="18"/>
      <c r="E1337" s="18"/>
      <c r="F1337" s="18"/>
      <c r="G1337" s="18"/>
      <c r="H1337" s="18"/>
    </row>
    <row r="1338" spans="1:8" x14ac:dyDescent="0.2">
      <c r="A1338" s="17"/>
      <c r="B1338" s="17"/>
      <c r="C1338" s="18"/>
      <c r="D1338" s="18"/>
      <c r="E1338" s="18"/>
      <c r="F1338" s="18"/>
      <c r="G1338" s="18"/>
      <c r="H1338" s="18"/>
    </row>
    <row r="1339" spans="1:8" x14ac:dyDescent="0.2">
      <c r="A1339" s="17"/>
      <c r="B1339" s="17"/>
      <c r="C1339" s="18"/>
      <c r="D1339" s="18"/>
      <c r="E1339" s="18"/>
      <c r="F1339" s="18"/>
      <c r="G1339" s="18"/>
      <c r="H1339" s="18"/>
    </row>
    <row r="1340" spans="1:8" x14ac:dyDescent="0.2">
      <c r="A1340" s="17"/>
      <c r="B1340" s="17"/>
      <c r="C1340" s="18"/>
      <c r="D1340" s="18"/>
      <c r="E1340" s="18"/>
      <c r="F1340" s="18"/>
      <c r="G1340" s="18"/>
      <c r="H1340" s="18"/>
    </row>
    <row r="1341" spans="1:8" x14ac:dyDescent="0.2">
      <c r="A1341" s="17"/>
      <c r="B1341" s="17"/>
      <c r="C1341" s="18"/>
      <c r="D1341" s="18"/>
      <c r="E1341" s="18"/>
      <c r="F1341" s="18"/>
      <c r="G1341" s="18"/>
      <c r="H1341" s="18"/>
    </row>
    <row r="1342" spans="1:8" x14ac:dyDescent="0.2">
      <c r="A1342" s="17"/>
      <c r="B1342" s="17"/>
      <c r="C1342" s="18"/>
      <c r="D1342" s="18"/>
      <c r="E1342" s="18"/>
      <c r="F1342" s="18"/>
      <c r="G1342" s="18"/>
      <c r="H1342" s="18"/>
    </row>
    <row r="1343" spans="1:8" x14ac:dyDescent="0.2">
      <c r="A1343" s="17"/>
      <c r="B1343" s="17"/>
      <c r="C1343" s="18"/>
      <c r="D1343" s="18"/>
      <c r="E1343" s="18"/>
      <c r="F1343" s="18"/>
      <c r="G1343" s="18"/>
      <c r="H1343" s="18"/>
    </row>
    <row r="1344" spans="1:8" x14ac:dyDescent="0.2">
      <c r="A1344" s="17"/>
      <c r="B1344" s="17"/>
      <c r="C1344" s="18"/>
      <c r="D1344" s="18"/>
      <c r="E1344" s="18"/>
      <c r="F1344" s="18"/>
      <c r="G1344" s="18"/>
      <c r="H1344" s="18"/>
    </row>
    <row r="1345" spans="1:8" x14ac:dyDescent="0.2">
      <c r="A1345" s="17"/>
      <c r="B1345" s="17"/>
      <c r="C1345" s="18"/>
      <c r="D1345" s="18"/>
      <c r="E1345" s="18"/>
      <c r="F1345" s="18"/>
      <c r="G1345" s="18"/>
      <c r="H1345" s="18"/>
    </row>
    <row r="1346" spans="1:8" x14ac:dyDescent="0.2">
      <c r="A1346" s="17"/>
      <c r="B1346" s="17"/>
      <c r="C1346" s="18"/>
      <c r="D1346" s="18"/>
      <c r="E1346" s="18"/>
      <c r="F1346" s="18"/>
      <c r="G1346" s="18"/>
      <c r="H1346" s="18"/>
    </row>
    <row r="1347" spans="1:8" x14ac:dyDescent="0.2">
      <c r="A1347" s="17"/>
      <c r="B1347" s="17"/>
      <c r="C1347" s="18"/>
      <c r="D1347" s="18"/>
      <c r="E1347" s="18"/>
      <c r="F1347" s="18"/>
      <c r="G1347" s="18"/>
      <c r="H1347" s="18"/>
    </row>
    <row r="1348" spans="1:8" x14ac:dyDescent="0.2">
      <c r="A1348" s="17"/>
      <c r="B1348" s="17"/>
      <c r="C1348" s="18"/>
      <c r="D1348" s="18"/>
      <c r="E1348" s="18"/>
      <c r="F1348" s="18"/>
      <c r="G1348" s="18"/>
      <c r="H1348" s="18"/>
    </row>
    <row r="1349" spans="1:8" x14ac:dyDescent="0.2">
      <c r="A1349" s="17"/>
      <c r="B1349" s="17"/>
      <c r="C1349" s="18"/>
      <c r="D1349" s="18"/>
      <c r="E1349" s="18"/>
      <c r="F1349" s="18"/>
      <c r="G1349" s="18"/>
      <c r="H1349" s="18"/>
    </row>
    <row r="1350" spans="1:8" x14ac:dyDescent="0.2">
      <c r="A1350" s="17"/>
      <c r="B1350" s="17"/>
      <c r="C1350" s="18"/>
      <c r="D1350" s="18"/>
      <c r="E1350" s="18"/>
      <c r="F1350" s="18"/>
      <c r="G1350" s="18"/>
      <c r="H1350" s="18"/>
    </row>
    <row r="1351" spans="1:8" x14ac:dyDescent="0.2">
      <c r="A1351" s="17"/>
      <c r="B1351" s="17"/>
      <c r="C1351" s="18"/>
      <c r="D1351" s="18"/>
      <c r="E1351" s="18"/>
      <c r="F1351" s="18"/>
      <c r="G1351" s="18"/>
      <c r="H1351" s="18"/>
    </row>
    <row r="1352" spans="1:8" x14ac:dyDescent="0.2">
      <c r="A1352" s="17"/>
      <c r="B1352" s="17"/>
      <c r="C1352" s="18"/>
      <c r="D1352" s="18"/>
      <c r="E1352" s="18"/>
      <c r="F1352" s="18"/>
      <c r="G1352" s="18"/>
      <c r="H1352" s="18"/>
    </row>
    <row r="1353" spans="1:8" x14ac:dyDescent="0.2">
      <c r="A1353" s="17"/>
      <c r="B1353" s="17"/>
      <c r="C1353" s="18"/>
      <c r="D1353" s="18"/>
      <c r="E1353" s="18"/>
      <c r="F1353" s="18"/>
      <c r="G1353" s="18"/>
      <c r="H1353" s="18"/>
    </row>
    <row r="1354" spans="1:8" x14ac:dyDescent="0.2">
      <c r="A1354" s="17"/>
      <c r="B1354" s="17"/>
      <c r="C1354" s="18"/>
      <c r="D1354" s="18"/>
      <c r="E1354" s="18"/>
      <c r="F1354" s="18"/>
      <c r="G1354" s="18"/>
      <c r="H1354" s="18"/>
    </row>
    <row r="1355" spans="1:8" x14ac:dyDescent="0.2">
      <c r="A1355" s="17"/>
      <c r="B1355" s="17"/>
      <c r="C1355" s="18"/>
      <c r="D1355" s="18"/>
      <c r="E1355" s="18"/>
      <c r="F1355" s="18"/>
      <c r="G1355" s="18"/>
      <c r="H1355" s="18"/>
    </row>
    <row r="1356" spans="1:8" x14ac:dyDescent="0.2">
      <c r="A1356" s="17"/>
      <c r="B1356" s="17"/>
      <c r="C1356" s="18"/>
      <c r="D1356" s="18"/>
      <c r="E1356" s="18"/>
      <c r="F1356" s="18"/>
      <c r="G1356" s="18"/>
      <c r="H1356" s="18"/>
    </row>
    <row r="1357" spans="1:8" x14ac:dyDescent="0.2">
      <c r="A1357" s="17"/>
      <c r="B1357" s="17"/>
      <c r="C1357" s="18"/>
      <c r="D1357" s="18"/>
      <c r="E1357" s="18"/>
      <c r="F1357" s="18"/>
      <c r="G1357" s="18"/>
      <c r="H1357" s="18"/>
    </row>
    <row r="1358" spans="1:8" x14ac:dyDescent="0.2">
      <c r="A1358" s="17"/>
      <c r="B1358" s="17"/>
      <c r="C1358" s="18"/>
      <c r="D1358" s="18"/>
      <c r="E1358" s="18"/>
      <c r="F1358" s="18"/>
      <c r="G1358" s="18"/>
      <c r="H1358" s="18"/>
    </row>
    <row r="1359" spans="1:8" x14ac:dyDescent="0.2">
      <c r="A1359" s="17"/>
      <c r="B1359" s="17"/>
      <c r="C1359" s="18"/>
      <c r="D1359" s="18"/>
      <c r="E1359" s="18"/>
      <c r="F1359" s="18"/>
      <c r="G1359" s="18"/>
      <c r="H1359" s="18"/>
    </row>
    <row r="1360" spans="1:8" x14ac:dyDescent="0.2">
      <c r="A1360" s="17"/>
      <c r="B1360" s="17"/>
      <c r="C1360" s="18"/>
      <c r="D1360" s="18"/>
      <c r="E1360" s="18"/>
      <c r="F1360" s="18"/>
      <c r="G1360" s="18"/>
      <c r="H1360" s="18"/>
    </row>
    <row r="1361" spans="1:8" x14ac:dyDescent="0.2">
      <c r="A1361" s="17"/>
      <c r="B1361" s="17"/>
      <c r="C1361" s="18"/>
      <c r="D1361" s="18"/>
      <c r="E1361" s="18"/>
      <c r="F1361" s="18"/>
      <c r="G1361" s="18"/>
      <c r="H1361" s="18"/>
    </row>
    <row r="1362" spans="1:8" x14ac:dyDescent="0.2">
      <c r="A1362" s="17"/>
      <c r="B1362" s="17"/>
      <c r="C1362" s="18"/>
      <c r="D1362" s="18"/>
      <c r="E1362" s="18"/>
      <c r="F1362" s="18"/>
      <c r="G1362" s="18"/>
      <c r="H1362" s="18"/>
    </row>
    <row r="1363" spans="1:8" x14ac:dyDescent="0.2">
      <c r="A1363" s="17"/>
      <c r="B1363" s="17"/>
      <c r="C1363" s="18"/>
      <c r="D1363" s="18"/>
      <c r="E1363" s="18"/>
      <c r="F1363" s="18"/>
      <c r="G1363" s="18"/>
      <c r="H1363" s="18"/>
    </row>
    <row r="1364" spans="1:8" x14ac:dyDescent="0.2">
      <c r="A1364" s="17"/>
      <c r="B1364" s="17"/>
      <c r="C1364" s="18"/>
      <c r="D1364" s="18"/>
      <c r="E1364" s="18"/>
      <c r="F1364" s="18"/>
      <c r="G1364" s="18"/>
      <c r="H1364" s="18"/>
    </row>
    <row r="1365" spans="1:8" x14ac:dyDescent="0.2">
      <c r="A1365" s="17"/>
      <c r="B1365" s="17"/>
      <c r="C1365" s="18"/>
      <c r="D1365" s="18"/>
      <c r="E1365" s="18"/>
      <c r="F1365" s="18"/>
      <c r="G1365" s="18"/>
      <c r="H1365" s="18"/>
    </row>
    <row r="1366" spans="1:8" x14ac:dyDescent="0.2">
      <c r="A1366" s="17"/>
      <c r="B1366" s="17"/>
      <c r="C1366" s="18"/>
      <c r="D1366" s="18"/>
      <c r="E1366" s="18"/>
      <c r="F1366" s="18"/>
      <c r="G1366" s="18"/>
      <c r="H1366" s="18"/>
    </row>
    <row r="1367" spans="1:8" x14ac:dyDescent="0.2">
      <c r="A1367" s="17"/>
      <c r="B1367" s="17"/>
      <c r="C1367" s="18"/>
      <c r="D1367" s="18"/>
      <c r="E1367" s="18"/>
      <c r="F1367" s="18"/>
      <c r="G1367" s="18"/>
      <c r="H1367" s="18"/>
    </row>
    <row r="1368" spans="1:8" x14ac:dyDescent="0.2">
      <c r="A1368" s="17"/>
      <c r="B1368" s="17"/>
      <c r="C1368" s="18"/>
      <c r="D1368" s="18"/>
      <c r="E1368" s="18"/>
      <c r="F1368" s="18"/>
      <c r="G1368" s="18"/>
      <c r="H1368" s="18"/>
    </row>
    <row r="1369" spans="1:8" x14ac:dyDescent="0.2">
      <c r="A1369" s="17"/>
      <c r="B1369" s="17"/>
      <c r="C1369" s="18"/>
      <c r="D1369" s="18"/>
      <c r="E1369" s="18"/>
      <c r="F1369" s="18"/>
      <c r="G1369" s="18"/>
      <c r="H1369" s="18"/>
    </row>
    <row r="1370" spans="1:8" x14ac:dyDescent="0.2">
      <c r="A1370" s="17"/>
      <c r="B1370" s="17"/>
      <c r="C1370" s="18"/>
      <c r="D1370" s="18"/>
      <c r="E1370" s="18"/>
      <c r="F1370" s="18"/>
      <c r="G1370" s="18"/>
      <c r="H1370" s="18"/>
    </row>
    <row r="1371" spans="1:8" x14ac:dyDescent="0.2">
      <c r="A1371" s="17"/>
      <c r="B1371" s="17"/>
      <c r="C1371" s="18"/>
      <c r="D1371" s="18"/>
      <c r="E1371" s="18"/>
      <c r="F1371" s="18"/>
      <c r="G1371" s="18"/>
      <c r="H1371" s="18"/>
    </row>
    <row r="1372" spans="1:8" x14ac:dyDescent="0.2">
      <c r="A1372" s="17"/>
      <c r="B1372" s="17"/>
      <c r="C1372" s="18"/>
      <c r="D1372" s="18"/>
      <c r="E1372" s="18"/>
      <c r="F1372" s="18"/>
      <c r="G1372" s="18"/>
      <c r="H1372" s="18"/>
    </row>
    <row r="1373" spans="1:8" x14ac:dyDescent="0.2">
      <c r="A1373" s="17"/>
      <c r="B1373" s="17"/>
      <c r="C1373" s="18"/>
      <c r="D1373" s="18"/>
      <c r="E1373" s="18"/>
      <c r="F1373" s="18"/>
      <c r="G1373" s="18"/>
      <c r="H1373" s="18"/>
    </row>
    <row r="1374" spans="1:8" x14ac:dyDescent="0.2">
      <c r="A1374" s="17"/>
      <c r="B1374" s="17"/>
      <c r="C1374" s="18"/>
      <c r="D1374" s="18"/>
      <c r="E1374" s="18"/>
      <c r="F1374" s="18"/>
      <c r="G1374" s="18"/>
      <c r="H1374" s="18"/>
    </row>
    <row r="1375" spans="1:8" x14ac:dyDescent="0.2">
      <c r="A1375" s="17"/>
      <c r="B1375" s="17"/>
      <c r="C1375" s="18"/>
      <c r="D1375" s="18"/>
      <c r="E1375" s="18"/>
      <c r="F1375" s="18"/>
      <c r="G1375" s="18"/>
      <c r="H1375" s="18"/>
    </row>
    <row r="1376" spans="1:8" x14ac:dyDescent="0.2">
      <c r="A1376" s="17"/>
      <c r="B1376" s="17"/>
      <c r="C1376" s="18"/>
      <c r="D1376" s="18"/>
      <c r="E1376" s="18"/>
      <c r="F1376" s="18"/>
      <c r="G1376" s="18"/>
      <c r="H1376" s="18"/>
    </row>
    <row r="1377" spans="1:8" x14ac:dyDescent="0.2">
      <c r="A1377" s="17"/>
      <c r="B1377" s="17"/>
      <c r="C1377" s="18"/>
      <c r="D1377" s="18"/>
      <c r="E1377" s="18"/>
      <c r="F1377" s="18"/>
      <c r="G1377" s="18"/>
      <c r="H1377" s="18"/>
    </row>
    <row r="1378" spans="1:8" x14ac:dyDescent="0.2">
      <c r="A1378" s="17"/>
      <c r="B1378" s="17"/>
      <c r="C1378" s="18"/>
      <c r="D1378" s="18"/>
      <c r="E1378" s="18"/>
      <c r="F1378" s="18"/>
      <c r="G1378" s="18"/>
      <c r="H1378" s="18"/>
    </row>
    <row r="1379" spans="1:8" x14ac:dyDescent="0.2">
      <c r="A1379" s="17"/>
      <c r="B1379" s="17"/>
      <c r="C1379" s="18"/>
      <c r="D1379" s="18"/>
      <c r="E1379" s="18"/>
      <c r="F1379" s="18"/>
      <c r="G1379" s="18"/>
      <c r="H1379" s="18"/>
    </row>
    <row r="1380" spans="1:8" x14ac:dyDescent="0.2">
      <c r="A1380" s="17"/>
      <c r="B1380" s="17"/>
      <c r="C1380" s="18"/>
      <c r="D1380" s="18"/>
      <c r="E1380" s="18"/>
      <c r="F1380" s="18"/>
      <c r="G1380" s="18"/>
      <c r="H1380" s="18"/>
    </row>
    <row r="1381" spans="1:8" x14ac:dyDescent="0.2">
      <c r="A1381" s="17"/>
      <c r="B1381" s="17"/>
      <c r="C1381" s="18"/>
      <c r="D1381" s="18"/>
      <c r="E1381" s="18"/>
      <c r="F1381" s="18"/>
      <c r="G1381" s="18"/>
      <c r="H1381" s="18"/>
    </row>
    <row r="1382" spans="1:8" x14ac:dyDescent="0.2">
      <c r="A1382" s="17"/>
      <c r="B1382" s="17"/>
      <c r="C1382" s="18"/>
      <c r="D1382" s="18"/>
      <c r="E1382" s="18"/>
      <c r="F1382" s="18"/>
      <c r="G1382" s="18"/>
      <c r="H1382" s="18"/>
    </row>
    <row r="1383" spans="1:8" x14ac:dyDescent="0.2">
      <c r="A1383" s="17"/>
      <c r="B1383" s="17"/>
      <c r="C1383" s="18"/>
      <c r="D1383" s="18"/>
      <c r="E1383" s="18"/>
      <c r="F1383" s="18"/>
      <c r="G1383" s="18"/>
      <c r="H1383" s="18"/>
    </row>
    <row r="1384" spans="1:8" x14ac:dyDescent="0.2">
      <c r="A1384" s="17"/>
      <c r="B1384" s="17"/>
      <c r="C1384" s="18"/>
      <c r="D1384" s="18"/>
      <c r="E1384" s="18"/>
      <c r="F1384" s="18"/>
      <c r="G1384" s="18"/>
      <c r="H1384" s="18"/>
    </row>
    <row r="1385" spans="1:8" x14ac:dyDescent="0.2">
      <c r="A1385" s="17"/>
      <c r="B1385" s="17"/>
      <c r="C1385" s="18"/>
      <c r="D1385" s="18"/>
      <c r="E1385" s="18"/>
      <c r="F1385" s="18"/>
      <c r="G1385" s="18"/>
      <c r="H1385" s="18"/>
    </row>
    <row r="1386" spans="1:8" x14ac:dyDescent="0.2">
      <c r="A1386" s="17"/>
      <c r="B1386" s="17"/>
      <c r="C1386" s="18"/>
      <c r="D1386" s="18"/>
      <c r="E1386" s="18"/>
      <c r="F1386" s="18"/>
      <c r="G1386" s="18"/>
      <c r="H1386" s="18"/>
    </row>
    <row r="1387" spans="1:8" x14ac:dyDescent="0.2">
      <c r="A1387" s="17"/>
      <c r="B1387" s="17"/>
      <c r="C1387" s="18"/>
      <c r="D1387" s="18"/>
      <c r="E1387" s="18"/>
      <c r="F1387" s="18"/>
      <c r="G1387" s="18"/>
      <c r="H1387" s="18"/>
    </row>
    <row r="1388" spans="1:8" x14ac:dyDescent="0.2">
      <c r="A1388" s="17"/>
      <c r="B1388" s="17"/>
      <c r="C1388" s="18"/>
      <c r="D1388" s="18"/>
      <c r="E1388" s="18"/>
      <c r="F1388" s="18"/>
      <c r="G1388" s="18"/>
      <c r="H1388" s="18"/>
    </row>
    <row r="1389" spans="1:8" x14ac:dyDescent="0.2">
      <c r="A1389" s="17"/>
      <c r="B1389" s="17"/>
      <c r="C1389" s="18"/>
      <c r="D1389" s="18"/>
      <c r="E1389" s="18"/>
      <c r="F1389" s="18"/>
      <c r="G1389" s="18"/>
      <c r="H1389" s="18"/>
    </row>
    <row r="1390" spans="1:8" x14ac:dyDescent="0.2">
      <c r="A1390" s="17"/>
      <c r="B1390" s="17"/>
      <c r="C1390" s="18"/>
      <c r="D1390" s="18"/>
      <c r="E1390" s="18"/>
      <c r="F1390" s="18"/>
      <c r="G1390" s="18"/>
      <c r="H1390" s="18"/>
    </row>
    <row r="1391" spans="1:8" x14ac:dyDescent="0.2">
      <c r="A1391" s="17"/>
      <c r="B1391" s="17"/>
      <c r="C1391" s="18"/>
      <c r="D1391" s="18"/>
      <c r="E1391" s="18"/>
      <c r="F1391" s="18"/>
      <c r="G1391" s="18"/>
      <c r="H1391" s="18"/>
    </row>
    <row r="1392" spans="1:8" x14ac:dyDescent="0.2">
      <c r="A1392" s="17"/>
      <c r="B1392" s="17"/>
      <c r="C1392" s="18"/>
      <c r="D1392" s="18"/>
      <c r="E1392" s="18"/>
      <c r="F1392" s="18"/>
      <c r="G1392" s="18"/>
      <c r="H1392" s="18"/>
    </row>
    <row r="1393" spans="1:8" x14ac:dyDescent="0.2">
      <c r="A1393" s="17"/>
      <c r="B1393" s="17"/>
      <c r="C1393" s="18"/>
      <c r="D1393" s="18"/>
      <c r="E1393" s="18"/>
      <c r="F1393" s="18"/>
      <c r="G1393" s="18"/>
      <c r="H1393" s="18"/>
    </row>
    <row r="1394" spans="1:8" x14ac:dyDescent="0.2">
      <c r="A1394" s="17"/>
      <c r="B1394" s="17"/>
      <c r="C1394" s="18"/>
      <c r="D1394" s="18"/>
      <c r="E1394" s="18"/>
      <c r="F1394" s="18"/>
      <c r="G1394" s="18"/>
      <c r="H1394" s="18"/>
    </row>
    <row r="1395" spans="1:8" x14ac:dyDescent="0.2">
      <c r="A1395" s="17"/>
      <c r="B1395" s="17"/>
      <c r="C1395" s="18"/>
      <c r="D1395" s="18"/>
      <c r="E1395" s="18"/>
      <c r="F1395" s="18"/>
      <c r="G1395" s="18"/>
      <c r="H1395" s="18"/>
    </row>
    <row r="1396" spans="1:8" x14ac:dyDescent="0.2">
      <c r="A1396" s="17"/>
      <c r="B1396" s="17"/>
      <c r="C1396" s="18"/>
      <c r="D1396" s="18"/>
      <c r="E1396" s="18"/>
      <c r="F1396" s="18"/>
      <c r="G1396" s="18"/>
      <c r="H1396" s="18"/>
    </row>
    <row r="1397" spans="1:8" x14ac:dyDescent="0.2">
      <c r="A1397" s="17"/>
      <c r="B1397" s="17"/>
      <c r="C1397" s="18"/>
      <c r="D1397" s="18"/>
      <c r="E1397" s="18"/>
      <c r="F1397" s="18"/>
      <c r="G1397" s="18"/>
      <c r="H1397" s="18"/>
    </row>
    <row r="1398" spans="1:8" x14ac:dyDescent="0.2">
      <c r="A1398" s="17"/>
      <c r="B1398" s="17"/>
      <c r="C1398" s="18"/>
      <c r="D1398" s="18"/>
      <c r="E1398" s="18"/>
      <c r="F1398" s="18"/>
      <c r="G1398" s="18"/>
      <c r="H1398" s="18"/>
    </row>
    <row r="1399" spans="1:8" x14ac:dyDescent="0.2">
      <c r="A1399" s="17"/>
      <c r="B1399" s="17"/>
      <c r="C1399" s="18"/>
      <c r="D1399" s="18"/>
      <c r="E1399" s="18"/>
      <c r="F1399" s="18"/>
      <c r="G1399" s="18"/>
      <c r="H1399" s="18"/>
    </row>
    <row r="1400" spans="1:8" x14ac:dyDescent="0.2">
      <c r="A1400" s="17"/>
      <c r="B1400" s="17"/>
      <c r="C1400" s="18"/>
      <c r="D1400" s="18"/>
      <c r="E1400" s="18"/>
      <c r="F1400" s="18"/>
      <c r="G1400" s="18"/>
      <c r="H1400" s="18"/>
    </row>
    <row r="1401" spans="1:8" x14ac:dyDescent="0.2">
      <c r="A1401" s="17"/>
      <c r="B1401" s="17"/>
      <c r="C1401" s="18"/>
      <c r="D1401" s="18"/>
      <c r="E1401" s="18"/>
      <c r="F1401" s="18"/>
      <c r="G1401" s="18"/>
      <c r="H1401" s="18"/>
    </row>
    <row r="1402" spans="1:8" x14ac:dyDescent="0.2">
      <c r="A1402" s="17"/>
      <c r="B1402" s="17"/>
      <c r="C1402" s="18"/>
      <c r="D1402" s="18"/>
      <c r="E1402" s="18"/>
      <c r="F1402" s="18"/>
      <c r="G1402" s="18"/>
      <c r="H1402" s="18"/>
    </row>
    <row r="1403" spans="1:8" x14ac:dyDescent="0.2">
      <c r="A1403" s="17"/>
      <c r="B1403" s="17"/>
      <c r="C1403" s="18"/>
      <c r="D1403" s="18"/>
      <c r="E1403" s="18"/>
      <c r="F1403" s="18"/>
      <c r="G1403" s="18"/>
      <c r="H1403" s="18"/>
    </row>
    <row r="1404" spans="1:8" x14ac:dyDescent="0.2">
      <c r="A1404" s="17"/>
      <c r="B1404" s="17"/>
      <c r="C1404" s="18"/>
      <c r="D1404" s="18"/>
      <c r="E1404" s="18"/>
      <c r="F1404" s="18"/>
      <c r="G1404" s="18"/>
      <c r="H1404" s="18"/>
    </row>
    <row r="1405" spans="1:8" x14ac:dyDescent="0.2">
      <c r="A1405" s="17"/>
      <c r="B1405" s="17"/>
      <c r="C1405" s="18"/>
      <c r="D1405" s="18"/>
      <c r="E1405" s="18"/>
      <c r="F1405" s="18"/>
      <c r="G1405" s="18"/>
      <c r="H1405" s="18"/>
    </row>
    <row r="1406" spans="1:8" x14ac:dyDescent="0.2">
      <c r="A1406" s="17"/>
      <c r="B1406" s="17"/>
      <c r="C1406" s="18"/>
      <c r="D1406" s="18"/>
      <c r="E1406" s="18"/>
      <c r="F1406" s="18"/>
      <c r="G1406" s="18"/>
      <c r="H1406" s="18"/>
    </row>
    <row r="1407" spans="1:8" x14ac:dyDescent="0.2">
      <c r="A1407" s="17"/>
      <c r="B1407" s="17"/>
      <c r="C1407" s="18"/>
      <c r="D1407" s="18"/>
      <c r="E1407" s="18"/>
      <c r="F1407" s="18"/>
      <c r="G1407" s="18"/>
      <c r="H1407" s="18"/>
    </row>
    <row r="1408" spans="1:8" x14ac:dyDescent="0.2">
      <c r="A1408" s="17"/>
      <c r="B1408" s="17"/>
      <c r="C1408" s="18"/>
      <c r="D1408" s="18"/>
      <c r="E1408" s="18"/>
      <c r="F1408" s="18"/>
      <c r="G1408" s="18"/>
      <c r="H1408" s="18"/>
    </row>
    <row r="1409" spans="1:8" x14ac:dyDescent="0.2">
      <c r="A1409" s="17"/>
      <c r="B1409" s="17"/>
      <c r="C1409" s="18"/>
      <c r="D1409" s="18"/>
      <c r="E1409" s="18"/>
      <c r="F1409" s="18"/>
      <c r="G1409" s="18"/>
      <c r="H1409" s="18"/>
    </row>
    <row r="1410" spans="1:8" x14ac:dyDescent="0.2">
      <c r="A1410" s="17"/>
      <c r="B1410" s="17"/>
      <c r="C1410" s="18"/>
      <c r="D1410" s="18"/>
      <c r="E1410" s="18"/>
      <c r="F1410" s="18"/>
      <c r="G1410" s="18"/>
      <c r="H1410" s="18"/>
    </row>
    <row r="1411" spans="1:8" x14ac:dyDescent="0.2">
      <c r="A1411" s="17"/>
      <c r="B1411" s="17"/>
      <c r="C1411" s="18"/>
      <c r="D1411" s="18"/>
      <c r="E1411" s="18"/>
      <c r="F1411" s="18"/>
      <c r="G1411" s="18"/>
      <c r="H1411" s="18"/>
    </row>
    <row r="1412" spans="1:8" x14ac:dyDescent="0.2">
      <c r="A1412" s="17"/>
      <c r="B1412" s="17"/>
      <c r="C1412" s="18"/>
      <c r="D1412" s="18"/>
      <c r="E1412" s="18"/>
      <c r="F1412" s="18"/>
      <c r="G1412" s="18"/>
      <c r="H1412" s="18"/>
    </row>
    <row r="1413" spans="1:8" x14ac:dyDescent="0.2">
      <c r="A1413" s="17"/>
      <c r="B1413" s="17"/>
      <c r="C1413" s="18"/>
      <c r="D1413" s="18"/>
      <c r="E1413" s="18"/>
      <c r="F1413" s="18"/>
      <c r="G1413" s="18"/>
      <c r="H1413" s="18"/>
    </row>
    <row r="1414" spans="1:8" x14ac:dyDescent="0.2">
      <c r="A1414" s="17"/>
      <c r="B1414" s="17"/>
      <c r="C1414" s="18"/>
      <c r="D1414" s="18"/>
      <c r="E1414" s="18"/>
      <c r="F1414" s="18"/>
      <c r="G1414" s="18"/>
      <c r="H1414" s="18"/>
    </row>
    <row r="1415" spans="1:8" x14ac:dyDescent="0.2">
      <c r="A1415" s="17"/>
      <c r="B1415" s="17"/>
      <c r="C1415" s="18"/>
      <c r="D1415" s="18"/>
      <c r="E1415" s="18"/>
      <c r="F1415" s="18"/>
      <c r="G1415" s="18"/>
      <c r="H1415" s="18"/>
    </row>
    <row r="1416" spans="1:8" x14ac:dyDescent="0.2">
      <c r="A1416" s="17"/>
      <c r="B1416" s="17"/>
      <c r="C1416" s="18"/>
      <c r="D1416" s="18"/>
      <c r="E1416" s="18"/>
      <c r="F1416" s="18"/>
      <c r="G1416" s="18"/>
      <c r="H1416" s="18"/>
    </row>
    <row r="1417" spans="1:8" x14ac:dyDescent="0.2">
      <c r="A1417" s="17"/>
      <c r="B1417" s="17"/>
      <c r="C1417" s="18"/>
      <c r="D1417" s="18"/>
      <c r="E1417" s="18"/>
      <c r="F1417" s="18"/>
      <c r="G1417" s="18"/>
      <c r="H1417" s="18"/>
    </row>
    <row r="1418" spans="1:8" x14ac:dyDescent="0.2">
      <c r="A1418" s="17"/>
      <c r="B1418" s="17"/>
      <c r="C1418" s="18"/>
      <c r="D1418" s="18"/>
      <c r="E1418" s="18"/>
      <c r="F1418" s="18"/>
      <c r="G1418" s="18"/>
      <c r="H1418" s="18"/>
    </row>
    <row r="1419" spans="1:8" x14ac:dyDescent="0.2">
      <c r="A1419" s="17"/>
      <c r="B1419" s="17"/>
      <c r="C1419" s="18"/>
      <c r="D1419" s="18"/>
      <c r="E1419" s="18"/>
      <c r="F1419" s="18"/>
      <c r="G1419" s="18"/>
      <c r="H1419" s="18"/>
    </row>
    <row r="1420" spans="1:8" x14ac:dyDescent="0.2">
      <c r="A1420" s="17"/>
      <c r="B1420" s="17"/>
      <c r="C1420" s="18"/>
      <c r="D1420" s="18"/>
      <c r="E1420" s="18"/>
      <c r="F1420" s="18"/>
      <c r="G1420" s="18"/>
      <c r="H1420" s="18"/>
    </row>
    <row r="1421" spans="1:8" x14ac:dyDescent="0.2">
      <c r="A1421" s="17"/>
      <c r="B1421" s="17"/>
      <c r="C1421" s="18"/>
      <c r="D1421" s="18"/>
      <c r="E1421" s="18"/>
      <c r="F1421" s="18"/>
      <c r="G1421" s="18"/>
      <c r="H1421" s="18"/>
    </row>
    <row r="1422" spans="1:8" x14ac:dyDescent="0.2">
      <c r="A1422" s="17"/>
      <c r="B1422" s="17"/>
      <c r="C1422" s="18"/>
      <c r="D1422" s="18"/>
      <c r="E1422" s="18"/>
      <c r="F1422" s="18"/>
      <c r="G1422" s="18"/>
      <c r="H1422" s="18"/>
    </row>
    <row r="1423" spans="1:8" x14ac:dyDescent="0.2">
      <c r="A1423" s="17"/>
      <c r="B1423" s="17"/>
      <c r="C1423" s="18"/>
      <c r="D1423" s="18"/>
      <c r="E1423" s="18"/>
      <c r="F1423" s="18"/>
      <c r="G1423" s="18"/>
      <c r="H1423" s="18"/>
    </row>
    <row r="1424" spans="1:8" x14ac:dyDescent="0.2">
      <c r="A1424" s="17"/>
      <c r="B1424" s="17"/>
      <c r="C1424" s="18"/>
      <c r="D1424" s="18"/>
      <c r="E1424" s="18"/>
      <c r="F1424" s="18"/>
      <c r="G1424" s="18"/>
      <c r="H1424" s="18"/>
    </row>
    <row r="1425" spans="1:8" x14ac:dyDescent="0.2">
      <c r="A1425" s="17"/>
      <c r="B1425" s="17"/>
      <c r="C1425" s="18"/>
      <c r="D1425" s="18"/>
      <c r="E1425" s="18"/>
      <c r="F1425" s="18"/>
      <c r="G1425" s="18"/>
      <c r="H1425" s="18"/>
    </row>
    <row r="1426" spans="1:8" x14ac:dyDescent="0.2">
      <c r="A1426" s="17"/>
      <c r="B1426" s="17"/>
      <c r="C1426" s="18"/>
      <c r="D1426" s="18"/>
      <c r="E1426" s="18"/>
      <c r="F1426" s="18"/>
      <c r="G1426" s="18"/>
      <c r="H1426" s="18"/>
    </row>
    <row r="1427" spans="1:8" x14ac:dyDescent="0.2">
      <c r="A1427" s="17"/>
      <c r="B1427" s="17"/>
      <c r="C1427" s="18"/>
      <c r="D1427" s="18"/>
      <c r="E1427" s="18"/>
      <c r="F1427" s="18"/>
      <c r="G1427" s="18"/>
      <c r="H1427" s="18"/>
    </row>
    <row r="1428" spans="1:8" x14ac:dyDescent="0.2">
      <c r="A1428" s="17"/>
      <c r="B1428" s="17"/>
      <c r="C1428" s="18"/>
      <c r="D1428" s="18"/>
      <c r="E1428" s="18"/>
      <c r="F1428" s="18"/>
      <c r="G1428" s="18"/>
      <c r="H1428" s="18"/>
    </row>
    <row r="1429" spans="1:8" x14ac:dyDescent="0.2">
      <c r="A1429" s="17"/>
      <c r="B1429" s="17"/>
      <c r="C1429" s="18"/>
      <c r="D1429" s="18"/>
      <c r="E1429" s="18"/>
      <c r="F1429" s="18"/>
      <c r="G1429" s="18"/>
      <c r="H1429" s="18"/>
    </row>
    <row r="1430" spans="1:8" x14ac:dyDescent="0.2">
      <c r="A1430" s="17"/>
      <c r="B1430" s="17"/>
      <c r="C1430" s="18"/>
      <c r="D1430" s="18"/>
      <c r="E1430" s="18"/>
      <c r="F1430" s="18"/>
      <c r="G1430" s="18"/>
      <c r="H1430" s="18"/>
    </row>
    <row r="1431" spans="1:8" x14ac:dyDescent="0.2">
      <c r="A1431" s="17"/>
      <c r="B1431" s="17"/>
      <c r="C1431" s="18"/>
      <c r="D1431" s="18"/>
      <c r="E1431" s="18"/>
      <c r="F1431" s="18"/>
      <c r="G1431" s="18"/>
      <c r="H1431" s="18"/>
    </row>
    <row r="1432" spans="1:8" x14ac:dyDescent="0.2">
      <c r="A1432" s="17"/>
      <c r="B1432" s="17"/>
      <c r="C1432" s="18"/>
      <c r="D1432" s="18"/>
      <c r="E1432" s="18"/>
      <c r="F1432" s="18"/>
      <c r="G1432" s="18"/>
      <c r="H1432" s="18"/>
    </row>
    <row r="1433" spans="1:8" x14ac:dyDescent="0.2">
      <c r="A1433" s="17"/>
      <c r="B1433" s="17"/>
      <c r="C1433" s="18"/>
      <c r="D1433" s="18"/>
      <c r="E1433" s="18"/>
      <c r="F1433" s="18"/>
      <c r="G1433" s="18"/>
      <c r="H1433" s="18"/>
    </row>
    <row r="1434" spans="1:8" x14ac:dyDescent="0.2">
      <c r="A1434" s="17"/>
      <c r="B1434" s="17"/>
      <c r="C1434" s="18"/>
      <c r="D1434" s="18"/>
      <c r="E1434" s="18"/>
      <c r="F1434" s="18"/>
      <c r="G1434" s="18"/>
      <c r="H1434" s="18"/>
    </row>
    <row r="1435" spans="1:8" x14ac:dyDescent="0.2">
      <c r="A1435" s="17"/>
      <c r="B1435" s="17"/>
      <c r="C1435" s="18"/>
      <c r="D1435" s="18"/>
      <c r="E1435" s="18"/>
      <c r="F1435" s="18"/>
      <c r="G1435" s="18"/>
      <c r="H1435" s="18"/>
    </row>
    <row r="1436" spans="1:8" x14ac:dyDescent="0.2">
      <c r="A1436" s="17"/>
      <c r="B1436" s="17"/>
      <c r="C1436" s="18"/>
      <c r="D1436" s="18"/>
      <c r="E1436" s="18"/>
      <c r="F1436" s="18"/>
      <c r="G1436" s="18"/>
      <c r="H1436" s="18"/>
    </row>
    <row r="1437" spans="1:8" x14ac:dyDescent="0.2">
      <c r="A1437" s="17"/>
      <c r="B1437" s="17"/>
      <c r="C1437" s="18"/>
      <c r="D1437" s="18"/>
      <c r="E1437" s="18"/>
      <c r="F1437" s="18"/>
      <c r="G1437" s="18"/>
      <c r="H1437" s="18"/>
    </row>
    <row r="1438" spans="1:8" x14ac:dyDescent="0.2">
      <c r="A1438" s="17"/>
      <c r="B1438" s="17"/>
      <c r="C1438" s="18"/>
      <c r="D1438" s="18"/>
      <c r="E1438" s="18"/>
      <c r="F1438" s="18"/>
      <c r="G1438" s="18"/>
      <c r="H1438" s="18"/>
    </row>
    <row r="1439" spans="1:8" x14ac:dyDescent="0.2">
      <c r="A1439" s="17"/>
      <c r="B1439" s="17"/>
      <c r="C1439" s="18"/>
      <c r="D1439" s="18"/>
      <c r="E1439" s="18"/>
      <c r="F1439" s="18"/>
      <c r="G1439" s="18"/>
      <c r="H1439" s="18"/>
    </row>
    <row r="1440" spans="1:8" x14ac:dyDescent="0.2">
      <c r="A1440" s="17"/>
      <c r="B1440" s="17"/>
      <c r="C1440" s="18"/>
      <c r="D1440" s="18"/>
      <c r="E1440" s="18"/>
      <c r="F1440" s="18"/>
      <c r="G1440" s="18"/>
      <c r="H1440" s="18"/>
    </row>
    <row r="1441" spans="1:8" x14ac:dyDescent="0.2">
      <c r="A1441" s="17"/>
      <c r="B1441" s="17"/>
      <c r="C1441" s="18"/>
      <c r="D1441" s="18"/>
      <c r="E1441" s="18"/>
      <c r="F1441" s="18"/>
      <c r="G1441" s="18"/>
      <c r="H1441" s="18"/>
    </row>
    <row r="1442" spans="1:8" x14ac:dyDescent="0.2">
      <c r="A1442" s="17"/>
      <c r="B1442" s="17"/>
      <c r="C1442" s="18"/>
      <c r="D1442" s="18"/>
      <c r="E1442" s="18"/>
      <c r="F1442" s="18"/>
      <c r="G1442" s="18"/>
      <c r="H1442" s="18"/>
    </row>
    <row r="1443" spans="1:8" x14ac:dyDescent="0.2">
      <c r="A1443" s="17"/>
      <c r="B1443" s="17"/>
      <c r="C1443" s="18"/>
      <c r="D1443" s="18"/>
      <c r="E1443" s="18"/>
      <c r="F1443" s="18"/>
      <c r="G1443" s="18"/>
      <c r="H1443" s="18"/>
    </row>
    <row r="1444" spans="1:8" x14ac:dyDescent="0.2">
      <c r="A1444" s="17"/>
      <c r="B1444" s="17"/>
      <c r="C1444" s="18"/>
      <c r="D1444" s="18"/>
      <c r="E1444" s="18"/>
      <c r="F1444" s="18"/>
      <c r="G1444" s="18"/>
      <c r="H1444" s="18"/>
    </row>
    <row r="1445" spans="1:8" x14ac:dyDescent="0.2">
      <c r="A1445" s="17"/>
      <c r="B1445" s="17"/>
      <c r="C1445" s="18"/>
      <c r="D1445" s="18"/>
      <c r="E1445" s="18"/>
      <c r="F1445" s="18"/>
      <c r="G1445" s="18"/>
      <c r="H1445" s="18"/>
    </row>
    <row r="1446" spans="1:8" x14ac:dyDescent="0.2">
      <c r="A1446" s="17"/>
      <c r="B1446" s="17"/>
      <c r="C1446" s="18"/>
      <c r="D1446" s="18"/>
      <c r="E1446" s="18"/>
      <c r="F1446" s="18"/>
      <c r="G1446" s="18"/>
      <c r="H1446" s="18"/>
    </row>
    <row r="1447" spans="1:8" x14ac:dyDescent="0.2">
      <c r="A1447" s="17"/>
      <c r="B1447" s="17"/>
      <c r="C1447" s="18"/>
      <c r="D1447" s="18"/>
      <c r="E1447" s="18"/>
      <c r="F1447" s="18"/>
      <c r="G1447" s="18"/>
      <c r="H1447" s="18"/>
    </row>
    <row r="1448" spans="1:8" x14ac:dyDescent="0.2">
      <c r="A1448" s="17"/>
      <c r="B1448" s="17"/>
      <c r="C1448" s="18"/>
      <c r="D1448" s="18"/>
      <c r="E1448" s="18"/>
      <c r="F1448" s="18"/>
      <c r="G1448" s="18"/>
      <c r="H1448" s="18"/>
    </row>
    <row r="1449" spans="1:8" x14ac:dyDescent="0.2">
      <c r="A1449" s="17"/>
      <c r="B1449" s="17"/>
      <c r="C1449" s="18"/>
      <c r="D1449" s="18"/>
      <c r="E1449" s="18"/>
      <c r="F1449" s="18"/>
      <c r="G1449" s="18"/>
      <c r="H1449" s="18"/>
    </row>
    <row r="1450" spans="1:8" x14ac:dyDescent="0.2">
      <c r="A1450" s="17"/>
      <c r="B1450" s="17"/>
      <c r="C1450" s="18"/>
      <c r="D1450" s="18"/>
      <c r="E1450" s="18"/>
      <c r="F1450" s="18"/>
      <c r="G1450" s="18"/>
      <c r="H1450" s="18"/>
    </row>
    <row r="1451" spans="1:8" x14ac:dyDescent="0.2">
      <c r="A1451" s="17"/>
      <c r="B1451" s="17"/>
      <c r="C1451" s="18"/>
      <c r="D1451" s="18"/>
      <c r="E1451" s="18"/>
      <c r="F1451" s="18"/>
      <c r="G1451" s="18"/>
      <c r="H1451" s="18"/>
    </row>
    <row r="1452" spans="1:8" x14ac:dyDescent="0.2">
      <c r="A1452" s="17"/>
      <c r="B1452" s="17"/>
      <c r="C1452" s="18"/>
      <c r="D1452" s="18"/>
      <c r="E1452" s="18"/>
      <c r="F1452" s="18"/>
      <c r="G1452" s="18"/>
      <c r="H1452" s="18"/>
    </row>
    <row r="1453" spans="1:8" x14ac:dyDescent="0.2">
      <c r="A1453" s="17"/>
      <c r="B1453" s="17"/>
      <c r="C1453" s="18"/>
      <c r="D1453" s="18"/>
      <c r="E1453" s="18"/>
      <c r="F1453" s="18"/>
      <c r="G1453" s="18"/>
      <c r="H1453" s="18"/>
    </row>
    <row r="1454" spans="1:8" x14ac:dyDescent="0.2">
      <c r="A1454" s="17"/>
      <c r="B1454" s="17"/>
      <c r="C1454" s="18"/>
      <c r="D1454" s="18"/>
      <c r="E1454" s="18"/>
      <c r="F1454" s="18"/>
      <c r="G1454" s="18"/>
      <c r="H1454" s="18"/>
    </row>
    <row r="1455" spans="1:8" x14ac:dyDescent="0.2">
      <c r="A1455" s="17"/>
      <c r="B1455" s="17"/>
      <c r="C1455" s="18"/>
      <c r="D1455" s="18"/>
      <c r="E1455" s="18"/>
      <c r="F1455" s="18"/>
      <c r="G1455" s="18"/>
      <c r="H1455" s="18"/>
    </row>
    <row r="1456" spans="1:8" x14ac:dyDescent="0.2">
      <c r="A1456" s="17"/>
      <c r="B1456" s="17"/>
      <c r="C1456" s="18"/>
      <c r="D1456" s="18"/>
      <c r="E1456" s="18"/>
      <c r="F1456" s="18"/>
      <c r="G1456" s="18"/>
      <c r="H1456" s="18"/>
    </row>
    <row r="1457" spans="1:8" x14ac:dyDescent="0.2">
      <c r="A1457" s="17"/>
      <c r="B1457" s="17"/>
      <c r="C1457" s="18"/>
      <c r="D1457" s="18"/>
      <c r="E1457" s="18"/>
      <c r="F1457" s="18"/>
      <c r="G1457" s="18"/>
      <c r="H1457" s="18"/>
    </row>
    <row r="1458" spans="1:8" x14ac:dyDescent="0.2">
      <c r="A1458" s="17"/>
      <c r="B1458" s="17"/>
      <c r="C1458" s="18"/>
      <c r="D1458" s="18"/>
      <c r="E1458" s="18"/>
      <c r="F1458" s="18"/>
      <c r="G1458" s="18"/>
      <c r="H1458" s="18"/>
    </row>
    <row r="1459" spans="1:8" x14ac:dyDescent="0.2">
      <c r="A1459" s="17"/>
      <c r="B1459" s="17"/>
      <c r="C1459" s="18"/>
      <c r="D1459" s="18"/>
      <c r="E1459" s="18"/>
      <c r="F1459" s="18"/>
      <c r="G1459" s="18"/>
      <c r="H1459" s="18"/>
    </row>
    <row r="1460" spans="1:8" x14ac:dyDescent="0.2">
      <c r="A1460" s="17"/>
      <c r="B1460" s="17"/>
      <c r="C1460" s="18"/>
      <c r="D1460" s="18"/>
      <c r="E1460" s="18"/>
      <c r="F1460" s="18"/>
      <c r="G1460" s="18"/>
      <c r="H1460" s="18"/>
    </row>
    <row r="1461" spans="1:8" x14ac:dyDescent="0.2">
      <c r="A1461" s="17"/>
      <c r="B1461" s="17"/>
      <c r="C1461" s="18"/>
      <c r="D1461" s="18"/>
      <c r="E1461" s="18"/>
      <c r="F1461" s="18"/>
      <c r="G1461" s="18"/>
      <c r="H1461" s="18"/>
    </row>
    <row r="1462" spans="1:8" x14ac:dyDescent="0.2">
      <c r="A1462" s="17"/>
      <c r="B1462" s="17"/>
      <c r="C1462" s="18"/>
      <c r="D1462" s="18"/>
      <c r="E1462" s="18"/>
      <c r="F1462" s="18"/>
      <c r="G1462" s="18"/>
      <c r="H1462" s="18"/>
    </row>
    <row r="1463" spans="1:8" x14ac:dyDescent="0.2">
      <c r="A1463" s="17"/>
      <c r="B1463" s="17"/>
      <c r="C1463" s="18"/>
      <c r="D1463" s="18"/>
      <c r="E1463" s="18"/>
      <c r="F1463" s="18"/>
      <c r="G1463" s="18"/>
      <c r="H1463" s="18"/>
    </row>
    <row r="1464" spans="1:8" x14ac:dyDescent="0.2">
      <c r="A1464" s="17"/>
      <c r="B1464" s="17"/>
      <c r="C1464" s="18"/>
      <c r="D1464" s="18"/>
      <c r="E1464" s="18"/>
      <c r="F1464" s="18"/>
      <c r="G1464" s="18"/>
      <c r="H1464" s="18"/>
    </row>
    <row r="1465" spans="1:8" x14ac:dyDescent="0.2">
      <c r="A1465" s="17"/>
      <c r="B1465" s="17"/>
      <c r="C1465" s="18"/>
      <c r="D1465" s="18"/>
      <c r="E1465" s="18"/>
      <c r="F1465" s="18"/>
      <c r="G1465" s="18"/>
      <c r="H1465" s="18"/>
    </row>
    <row r="1466" spans="1:8" x14ac:dyDescent="0.2">
      <c r="A1466" s="17"/>
      <c r="B1466" s="17"/>
      <c r="C1466" s="18"/>
      <c r="D1466" s="18"/>
      <c r="E1466" s="18"/>
      <c r="F1466" s="18"/>
      <c r="G1466" s="18"/>
      <c r="H1466" s="18"/>
    </row>
    <row r="1467" spans="1:8" x14ac:dyDescent="0.2">
      <c r="A1467" s="17"/>
      <c r="B1467" s="17"/>
      <c r="C1467" s="18"/>
      <c r="D1467" s="18"/>
      <c r="E1467" s="18"/>
      <c r="F1467" s="18"/>
      <c r="G1467" s="18"/>
      <c r="H1467" s="18"/>
    </row>
    <row r="1468" spans="1:8" x14ac:dyDescent="0.2">
      <c r="A1468" s="17"/>
      <c r="B1468" s="17"/>
      <c r="C1468" s="18"/>
      <c r="D1468" s="18"/>
      <c r="E1468" s="18"/>
      <c r="F1468" s="18"/>
      <c r="G1468" s="18"/>
      <c r="H1468" s="18"/>
    </row>
    <row r="1469" spans="1:8" x14ac:dyDescent="0.2">
      <c r="A1469" s="17"/>
      <c r="B1469" s="17"/>
      <c r="C1469" s="18"/>
      <c r="D1469" s="18"/>
      <c r="E1469" s="18"/>
      <c r="F1469" s="18"/>
      <c r="G1469" s="18"/>
      <c r="H1469" s="18"/>
    </row>
    <row r="1470" spans="1:8" x14ac:dyDescent="0.2">
      <c r="A1470" s="17"/>
      <c r="B1470" s="17"/>
      <c r="C1470" s="18"/>
      <c r="D1470" s="18"/>
      <c r="E1470" s="18"/>
      <c r="F1470" s="18"/>
      <c r="G1470" s="18"/>
      <c r="H1470" s="18"/>
    </row>
    <row r="1471" spans="1:8" x14ac:dyDescent="0.2">
      <c r="A1471" s="17"/>
      <c r="B1471" s="17"/>
      <c r="C1471" s="18"/>
      <c r="D1471" s="18"/>
      <c r="E1471" s="18"/>
      <c r="F1471" s="18"/>
      <c r="G1471" s="18"/>
      <c r="H1471" s="18"/>
    </row>
    <row r="1472" spans="1:8" x14ac:dyDescent="0.2">
      <c r="A1472" s="17"/>
      <c r="B1472" s="17"/>
      <c r="C1472" s="18"/>
      <c r="D1472" s="18"/>
      <c r="E1472" s="18"/>
      <c r="F1472" s="18"/>
      <c r="G1472" s="18"/>
      <c r="H1472" s="18"/>
    </row>
    <row r="1473" spans="1:8" x14ac:dyDescent="0.2">
      <c r="A1473" s="17"/>
      <c r="B1473" s="17"/>
      <c r="C1473" s="18"/>
      <c r="D1473" s="18"/>
      <c r="E1473" s="18"/>
      <c r="F1473" s="18"/>
      <c r="G1473" s="18"/>
      <c r="H1473" s="18"/>
    </row>
    <row r="1474" spans="1:8" x14ac:dyDescent="0.2">
      <c r="A1474" s="17"/>
      <c r="B1474" s="17"/>
      <c r="C1474" s="18"/>
      <c r="D1474" s="18"/>
      <c r="E1474" s="18"/>
      <c r="F1474" s="18"/>
      <c r="G1474" s="18"/>
      <c r="H1474" s="18"/>
    </row>
    <row r="1475" spans="1:8" x14ac:dyDescent="0.2">
      <c r="A1475" s="17"/>
      <c r="B1475" s="17"/>
      <c r="C1475" s="18"/>
      <c r="D1475" s="18"/>
      <c r="E1475" s="18"/>
      <c r="F1475" s="18"/>
      <c r="G1475" s="18"/>
      <c r="H1475" s="18"/>
    </row>
    <row r="1476" spans="1:8" x14ac:dyDescent="0.2">
      <c r="A1476" s="17"/>
      <c r="B1476" s="17"/>
      <c r="C1476" s="18"/>
      <c r="D1476" s="18"/>
      <c r="E1476" s="18"/>
      <c r="F1476" s="18"/>
      <c r="G1476" s="18"/>
      <c r="H1476" s="18"/>
    </row>
    <row r="1477" spans="1:8" x14ac:dyDescent="0.2">
      <c r="A1477" s="17"/>
      <c r="B1477" s="17"/>
      <c r="C1477" s="18"/>
      <c r="D1477" s="18"/>
      <c r="E1477" s="18"/>
      <c r="F1477" s="18"/>
      <c r="G1477" s="18"/>
      <c r="H1477" s="18"/>
    </row>
    <row r="1478" spans="1:8" x14ac:dyDescent="0.2">
      <c r="A1478" s="17"/>
      <c r="B1478" s="17"/>
      <c r="C1478" s="18"/>
      <c r="D1478" s="18"/>
      <c r="E1478" s="18"/>
      <c r="F1478" s="18"/>
      <c r="G1478" s="18"/>
      <c r="H1478" s="18"/>
    </row>
    <row r="1479" spans="1:8" x14ac:dyDescent="0.2">
      <c r="A1479" s="17"/>
      <c r="B1479" s="17"/>
      <c r="C1479" s="18"/>
      <c r="D1479" s="18"/>
      <c r="E1479" s="18"/>
      <c r="F1479" s="18"/>
      <c r="G1479" s="18"/>
      <c r="H1479" s="18"/>
    </row>
    <row r="1480" spans="1:8" x14ac:dyDescent="0.2">
      <c r="A1480" s="17"/>
      <c r="B1480" s="17"/>
      <c r="C1480" s="18"/>
      <c r="D1480" s="18"/>
      <c r="E1480" s="18"/>
      <c r="F1480" s="18"/>
      <c r="G1480" s="18"/>
      <c r="H1480" s="18"/>
    </row>
    <row r="1481" spans="1:8" x14ac:dyDescent="0.2">
      <c r="A1481" s="17"/>
      <c r="B1481" s="17"/>
      <c r="C1481" s="18"/>
      <c r="D1481" s="18"/>
      <c r="E1481" s="18"/>
      <c r="F1481" s="18"/>
      <c r="G1481" s="18"/>
      <c r="H1481" s="18"/>
    </row>
    <row r="1482" spans="1:8" x14ac:dyDescent="0.2">
      <c r="A1482" s="17"/>
      <c r="B1482" s="17"/>
      <c r="C1482" s="18"/>
      <c r="D1482" s="18"/>
      <c r="E1482" s="18"/>
      <c r="F1482" s="18"/>
      <c r="G1482" s="18"/>
      <c r="H1482" s="18"/>
    </row>
    <row r="1483" spans="1:8" x14ac:dyDescent="0.2">
      <c r="A1483" s="17"/>
      <c r="B1483" s="17"/>
      <c r="C1483" s="18"/>
      <c r="D1483" s="18"/>
      <c r="E1483" s="18"/>
      <c r="F1483" s="18"/>
      <c r="G1483" s="18"/>
      <c r="H1483" s="18"/>
    </row>
    <row r="1484" spans="1:8" x14ac:dyDescent="0.2">
      <c r="A1484" s="17"/>
      <c r="B1484" s="17"/>
      <c r="C1484" s="18"/>
      <c r="D1484" s="18"/>
      <c r="E1484" s="18"/>
      <c r="F1484" s="18"/>
      <c r="G1484" s="18"/>
      <c r="H1484" s="18"/>
    </row>
    <row r="1485" spans="1:8" x14ac:dyDescent="0.2">
      <c r="A1485" s="17"/>
      <c r="B1485" s="17"/>
      <c r="C1485" s="18"/>
      <c r="D1485" s="18"/>
      <c r="E1485" s="18"/>
      <c r="F1485" s="18"/>
      <c r="G1485" s="18"/>
      <c r="H1485" s="18"/>
    </row>
    <row r="1486" spans="1:8" x14ac:dyDescent="0.2">
      <c r="A1486" s="17"/>
      <c r="B1486" s="17"/>
      <c r="C1486" s="18"/>
      <c r="D1486" s="18"/>
      <c r="E1486" s="18"/>
      <c r="F1486" s="18"/>
      <c r="G1486" s="18"/>
      <c r="H1486" s="18"/>
    </row>
    <row r="1487" spans="1:8" x14ac:dyDescent="0.2">
      <c r="A1487" s="17"/>
      <c r="B1487" s="17"/>
      <c r="C1487" s="18"/>
      <c r="D1487" s="18"/>
      <c r="E1487" s="18"/>
      <c r="F1487" s="18"/>
      <c r="G1487" s="18"/>
      <c r="H1487" s="18"/>
    </row>
    <row r="1488" spans="1:8" x14ac:dyDescent="0.2">
      <c r="A1488" s="17"/>
      <c r="B1488" s="17"/>
      <c r="C1488" s="18"/>
      <c r="D1488" s="18"/>
      <c r="E1488" s="18"/>
      <c r="F1488" s="18"/>
      <c r="G1488" s="18"/>
      <c r="H1488" s="18"/>
    </row>
    <row r="1489" spans="1:8" x14ac:dyDescent="0.2">
      <c r="A1489" s="17"/>
      <c r="B1489" s="17"/>
      <c r="C1489" s="18"/>
      <c r="D1489" s="18"/>
      <c r="E1489" s="18"/>
      <c r="F1489" s="18"/>
      <c r="G1489" s="18"/>
      <c r="H1489" s="18"/>
    </row>
    <row r="1490" spans="1:8" x14ac:dyDescent="0.2">
      <c r="A1490" s="17"/>
      <c r="B1490" s="17"/>
      <c r="C1490" s="18"/>
      <c r="D1490" s="18"/>
      <c r="E1490" s="18"/>
      <c r="F1490" s="18"/>
      <c r="G1490" s="18"/>
      <c r="H1490" s="18"/>
    </row>
    <row r="1491" spans="1:8" x14ac:dyDescent="0.2">
      <c r="A1491" s="17"/>
      <c r="B1491" s="17"/>
      <c r="C1491" s="18"/>
      <c r="D1491" s="18"/>
      <c r="E1491" s="18"/>
      <c r="F1491" s="18"/>
      <c r="G1491" s="18"/>
      <c r="H1491" s="18"/>
    </row>
    <row r="1492" spans="1:8" x14ac:dyDescent="0.2">
      <c r="A1492" s="17"/>
      <c r="B1492" s="17"/>
      <c r="C1492" s="18"/>
      <c r="D1492" s="18"/>
      <c r="E1492" s="18"/>
      <c r="F1492" s="18"/>
      <c r="G1492" s="18"/>
      <c r="H1492" s="18"/>
    </row>
    <row r="1493" spans="1:8" x14ac:dyDescent="0.2">
      <c r="A1493" s="17"/>
      <c r="B1493" s="17"/>
      <c r="C1493" s="18"/>
      <c r="D1493" s="18"/>
      <c r="E1493" s="18"/>
      <c r="F1493" s="18"/>
      <c r="G1493" s="18"/>
      <c r="H1493" s="18"/>
    </row>
    <row r="1494" spans="1:8" x14ac:dyDescent="0.2">
      <c r="A1494" s="17"/>
      <c r="B1494" s="17"/>
      <c r="C1494" s="18"/>
      <c r="D1494" s="18"/>
      <c r="E1494" s="18"/>
      <c r="F1494" s="18"/>
      <c r="G1494" s="18"/>
      <c r="H1494" s="18"/>
    </row>
    <row r="1495" spans="1:8" x14ac:dyDescent="0.2">
      <c r="A1495" s="17"/>
      <c r="B1495" s="17"/>
      <c r="C1495" s="18"/>
      <c r="D1495" s="18"/>
      <c r="E1495" s="18"/>
      <c r="F1495" s="18"/>
      <c r="G1495" s="18"/>
      <c r="H1495" s="18"/>
    </row>
    <row r="1496" spans="1:8" x14ac:dyDescent="0.2">
      <c r="A1496" s="17"/>
      <c r="B1496" s="17"/>
      <c r="C1496" s="18"/>
      <c r="D1496" s="18"/>
      <c r="E1496" s="18"/>
      <c r="F1496" s="18"/>
      <c r="G1496" s="18"/>
      <c r="H1496" s="18"/>
    </row>
    <row r="1497" spans="1:8" x14ac:dyDescent="0.2">
      <c r="A1497" s="17"/>
      <c r="B1497" s="17"/>
      <c r="C1497" s="18"/>
      <c r="D1497" s="18"/>
      <c r="E1497" s="18"/>
      <c r="F1497" s="18"/>
      <c r="G1497" s="18"/>
      <c r="H1497" s="18"/>
    </row>
    <row r="1498" spans="1:8" x14ac:dyDescent="0.2">
      <c r="A1498" s="17"/>
      <c r="B1498" s="17"/>
      <c r="C1498" s="18"/>
      <c r="D1498" s="18"/>
      <c r="E1498" s="18"/>
      <c r="F1498" s="18"/>
      <c r="G1498" s="18"/>
      <c r="H1498" s="18"/>
    </row>
    <row r="1499" spans="1:8" x14ac:dyDescent="0.2">
      <c r="A1499" s="17"/>
      <c r="B1499" s="17"/>
      <c r="C1499" s="18"/>
      <c r="D1499" s="18"/>
      <c r="E1499" s="18"/>
      <c r="F1499" s="18"/>
      <c r="G1499" s="18"/>
      <c r="H1499" s="18"/>
    </row>
    <row r="1500" spans="1:8" x14ac:dyDescent="0.2">
      <c r="A1500" s="17"/>
      <c r="B1500" s="17"/>
      <c r="C1500" s="18"/>
      <c r="D1500" s="18"/>
      <c r="E1500" s="18"/>
      <c r="F1500" s="18"/>
      <c r="G1500" s="18"/>
      <c r="H1500" s="18"/>
    </row>
    <row r="1501" spans="1:8" x14ac:dyDescent="0.2">
      <c r="A1501" s="17"/>
      <c r="B1501" s="17"/>
      <c r="C1501" s="18"/>
      <c r="D1501" s="18"/>
      <c r="E1501" s="18"/>
      <c r="F1501" s="18"/>
      <c r="G1501" s="18"/>
      <c r="H1501" s="18"/>
    </row>
    <row r="1502" spans="1:8" x14ac:dyDescent="0.2">
      <c r="A1502" s="17"/>
      <c r="B1502" s="17"/>
      <c r="C1502" s="18"/>
      <c r="D1502" s="18"/>
      <c r="E1502" s="18"/>
      <c r="F1502" s="18"/>
      <c r="G1502" s="18"/>
      <c r="H1502" s="18"/>
    </row>
    <row r="1503" spans="1:8" x14ac:dyDescent="0.2">
      <c r="A1503" s="17"/>
      <c r="B1503" s="17"/>
      <c r="C1503" s="18"/>
      <c r="D1503" s="18"/>
      <c r="E1503" s="18"/>
      <c r="F1503" s="18"/>
      <c r="G1503" s="18"/>
      <c r="H1503" s="18"/>
    </row>
    <row r="1504" spans="1:8" x14ac:dyDescent="0.2">
      <c r="A1504" s="17"/>
      <c r="B1504" s="17"/>
      <c r="C1504" s="18"/>
      <c r="D1504" s="18"/>
      <c r="E1504" s="18"/>
      <c r="F1504" s="18"/>
      <c r="G1504" s="18"/>
      <c r="H1504" s="18"/>
    </row>
    <row r="1505" spans="1:8" x14ac:dyDescent="0.2">
      <c r="A1505" s="17"/>
      <c r="B1505" s="17"/>
      <c r="C1505" s="18"/>
      <c r="D1505" s="18"/>
      <c r="E1505" s="18"/>
      <c r="F1505" s="18"/>
      <c r="G1505" s="18"/>
      <c r="H1505" s="18"/>
    </row>
    <row r="1506" spans="1:8" x14ac:dyDescent="0.2">
      <c r="A1506" s="17"/>
      <c r="B1506" s="17"/>
      <c r="C1506" s="18"/>
      <c r="D1506" s="18"/>
      <c r="E1506" s="18"/>
      <c r="F1506" s="18"/>
      <c r="G1506" s="18"/>
      <c r="H1506" s="18"/>
    </row>
    <row r="1507" spans="1:8" x14ac:dyDescent="0.2">
      <c r="A1507" s="17"/>
      <c r="B1507" s="17"/>
      <c r="C1507" s="18"/>
      <c r="D1507" s="18"/>
      <c r="E1507" s="18"/>
      <c r="F1507" s="18"/>
      <c r="G1507" s="18"/>
      <c r="H1507" s="18"/>
    </row>
    <row r="1508" spans="1:8" x14ac:dyDescent="0.2">
      <c r="A1508" s="17"/>
      <c r="B1508" s="17"/>
      <c r="C1508" s="18"/>
      <c r="D1508" s="18"/>
      <c r="E1508" s="18"/>
      <c r="F1508" s="18"/>
      <c r="G1508" s="18"/>
      <c r="H1508" s="18"/>
    </row>
    <row r="1509" spans="1:8" x14ac:dyDescent="0.2">
      <c r="A1509" s="17"/>
      <c r="B1509" s="17"/>
      <c r="C1509" s="18"/>
      <c r="D1509" s="18"/>
      <c r="E1509" s="18"/>
      <c r="F1509" s="18"/>
      <c r="G1509" s="18"/>
      <c r="H1509" s="18"/>
    </row>
    <row r="1510" spans="1:8" x14ac:dyDescent="0.2">
      <c r="A1510" s="17"/>
      <c r="B1510" s="17"/>
      <c r="C1510" s="18"/>
      <c r="D1510" s="18"/>
      <c r="E1510" s="18"/>
      <c r="F1510" s="18"/>
      <c r="G1510" s="18"/>
      <c r="H1510" s="18"/>
    </row>
    <row r="1511" spans="1:8" x14ac:dyDescent="0.2">
      <c r="A1511" s="17"/>
      <c r="B1511" s="17"/>
      <c r="C1511" s="18"/>
      <c r="D1511" s="18"/>
      <c r="E1511" s="18"/>
      <c r="F1511" s="18"/>
      <c r="G1511" s="18"/>
      <c r="H1511" s="18"/>
    </row>
    <row r="1512" spans="1:8" x14ac:dyDescent="0.2">
      <c r="A1512" s="17"/>
      <c r="B1512" s="17"/>
      <c r="C1512" s="18"/>
      <c r="D1512" s="18"/>
      <c r="E1512" s="18"/>
      <c r="F1512" s="18"/>
      <c r="G1512" s="18"/>
      <c r="H1512" s="18"/>
    </row>
    <row r="1513" spans="1:8" x14ac:dyDescent="0.2">
      <c r="A1513" s="17"/>
      <c r="B1513" s="17"/>
      <c r="C1513" s="18"/>
      <c r="D1513" s="18"/>
      <c r="E1513" s="18"/>
      <c r="F1513" s="18"/>
      <c r="G1513" s="18"/>
      <c r="H1513" s="18"/>
    </row>
    <row r="1514" spans="1:8" x14ac:dyDescent="0.2">
      <c r="A1514" s="17"/>
      <c r="B1514" s="17"/>
      <c r="C1514" s="18"/>
      <c r="D1514" s="18"/>
      <c r="E1514" s="18"/>
      <c r="F1514" s="18"/>
      <c r="G1514" s="18"/>
      <c r="H1514" s="18"/>
    </row>
    <row r="1515" spans="1:8" x14ac:dyDescent="0.2">
      <c r="A1515" s="17"/>
      <c r="B1515" s="17"/>
      <c r="C1515" s="18"/>
      <c r="D1515" s="18"/>
      <c r="E1515" s="18"/>
      <c r="F1515" s="18"/>
      <c r="G1515" s="18"/>
      <c r="H1515" s="18"/>
    </row>
    <row r="1516" spans="1:8" x14ac:dyDescent="0.2">
      <c r="A1516" s="17"/>
      <c r="B1516" s="17"/>
      <c r="C1516" s="18"/>
      <c r="D1516" s="18"/>
      <c r="E1516" s="18"/>
      <c r="F1516" s="18"/>
      <c r="G1516" s="18"/>
      <c r="H1516" s="18"/>
    </row>
    <row r="1517" spans="1:8" x14ac:dyDescent="0.2">
      <c r="A1517" s="17"/>
      <c r="B1517" s="17"/>
      <c r="C1517" s="18"/>
      <c r="D1517" s="18"/>
      <c r="E1517" s="18"/>
      <c r="F1517" s="18"/>
      <c r="G1517" s="18"/>
      <c r="H1517" s="18"/>
    </row>
    <row r="1518" spans="1:8" x14ac:dyDescent="0.2">
      <c r="A1518" s="17"/>
      <c r="B1518" s="17"/>
      <c r="C1518" s="18"/>
      <c r="D1518" s="18"/>
      <c r="E1518" s="18"/>
      <c r="F1518" s="18"/>
      <c r="G1518" s="18"/>
      <c r="H1518" s="18"/>
    </row>
    <row r="1519" spans="1:8" x14ac:dyDescent="0.2">
      <c r="A1519" s="17"/>
      <c r="B1519" s="17"/>
      <c r="C1519" s="18"/>
      <c r="D1519" s="18"/>
      <c r="E1519" s="18"/>
      <c r="F1519" s="18"/>
      <c r="G1519" s="18"/>
      <c r="H1519" s="18"/>
    </row>
    <row r="1520" spans="1:8" x14ac:dyDescent="0.2">
      <c r="A1520" s="17"/>
      <c r="B1520" s="17"/>
      <c r="C1520" s="18"/>
      <c r="D1520" s="18"/>
      <c r="E1520" s="18"/>
      <c r="F1520" s="18"/>
      <c r="G1520" s="18"/>
      <c r="H1520" s="18"/>
    </row>
    <row r="1521" spans="1:8" x14ac:dyDescent="0.2">
      <c r="A1521" s="17"/>
      <c r="B1521" s="17"/>
      <c r="C1521" s="18"/>
      <c r="D1521" s="18"/>
      <c r="E1521" s="18"/>
      <c r="F1521" s="18"/>
      <c r="G1521" s="18"/>
      <c r="H1521" s="18"/>
    </row>
    <row r="1522" spans="1:8" x14ac:dyDescent="0.2">
      <c r="A1522" s="17"/>
      <c r="B1522" s="17"/>
      <c r="C1522" s="18"/>
      <c r="D1522" s="18"/>
      <c r="E1522" s="18"/>
      <c r="F1522" s="18"/>
      <c r="G1522" s="18"/>
      <c r="H1522" s="18"/>
    </row>
    <row r="1523" spans="1:8" x14ac:dyDescent="0.2">
      <c r="A1523" s="17"/>
      <c r="B1523" s="17"/>
      <c r="C1523" s="18"/>
      <c r="D1523" s="18"/>
      <c r="E1523" s="18"/>
      <c r="F1523" s="18"/>
      <c r="G1523" s="18"/>
      <c r="H1523" s="18"/>
    </row>
    <row r="1524" spans="1:8" x14ac:dyDescent="0.2">
      <c r="A1524" s="17"/>
      <c r="B1524" s="17"/>
      <c r="C1524" s="18"/>
      <c r="D1524" s="18"/>
      <c r="E1524" s="18"/>
      <c r="F1524" s="18"/>
      <c r="G1524" s="18"/>
      <c r="H1524" s="18"/>
    </row>
    <row r="1525" spans="1:8" x14ac:dyDescent="0.2">
      <c r="A1525" s="17"/>
      <c r="B1525" s="17"/>
      <c r="C1525" s="18"/>
      <c r="D1525" s="18"/>
      <c r="E1525" s="18"/>
      <c r="F1525" s="18"/>
      <c r="G1525" s="18"/>
      <c r="H1525" s="18"/>
    </row>
    <row r="1526" spans="1:8" x14ac:dyDescent="0.2">
      <c r="A1526" s="17"/>
      <c r="B1526" s="17"/>
      <c r="C1526" s="18"/>
      <c r="D1526" s="18"/>
      <c r="E1526" s="18"/>
      <c r="F1526" s="18"/>
      <c r="G1526" s="18"/>
      <c r="H1526" s="18"/>
    </row>
    <row r="1527" spans="1:8" x14ac:dyDescent="0.2">
      <c r="A1527" s="17"/>
      <c r="B1527" s="17"/>
      <c r="C1527" s="18"/>
      <c r="D1527" s="18"/>
      <c r="E1527" s="18"/>
      <c r="F1527" s="18"/>
      <c r="G1527" s="18"/>
      <c r="H1527" s="18"/>
    </row>
    <row r="1528" spans="1:8" x14ac:dyDescent="0.2">
      <c r="A1528" s="17"/>
      <c r="B1528" s="17"/>
      <c r="C1528" s="18"/>
      <c r="D1528" s="18"/>
      <c r="E1528" s="18"/>
      <c r="F1528" s="18"/>
      <c r="G1528" s="18"/>
      <c r="H1528" s="18"/>
    </row>
    <row r="1529" spans="1:8" x14ac:dyDescent="0.2">
      <c r="A1529" s="17"/>
      <c r="B1529" s="17"/>
      <c r="C1529" s="18"/>
      <c r="D1529" s="18"/>
      <c r="E1529" s="18"/>
      <c r="F1529" s="18"/>
      <c r="G1529" s="18"/>
      <c r="H1529" s="18"/>
    </row>
    <row r="1530" spans="1:8" x14ac:dyDescent="0.2">
      <c r="A1530" s="17"/>
      <c r="B1530" s="17"/>
      <c r="C1530" s="18"/>
      <c r="D1530" s="18"/>
      <c r="E1530" s="18"/>
      <c r="F1530" s="18"/>
      <c r="G1530" s="18"/>
      <c r="H1530" s="18"/>
    </row>
    <row r="1531" spans="1:8" x14ac:dyDescent="0.2">
      <c r="A1531" s="17"/>
      <c r="B1531" s="17"/>
      <c r="C1531" s="18"/>
      <c r="D1531" s="18"/>
      <c r="E1531" s="18"/>
      <c r="F1531" s="18"/>
      <c r="G1531" s="18"/>
      <c r="H1531" s="18"/>
    </row>
    <row r="1532" spans="1:8" x14ac:dyDescent="0.2">
      <c r="A1532" s="17"/>
      <c r="B1532" s="17"/>
      <c r="C1532" s="18"/>
      <c r="D1532" s="18"/>
      <c r="E1532" s="18"/>
      <c r="F1532" s="18"/>
      <c r="G1532" s="18"/>
      <c r="H1532" s="18"/>
    </row>
    <row r="1533" spans="1:8" x14ac:dyDescent="0.2">
      <c r="A1533" s="17"/>
      <c r="B1533" s="17"/>
      <c r="C1533" s="18"/>
      <c r="D1533" s="18"/>
      <c r="E1533" s="18"/>
      <c r="F1533" s="18"/>
      <c r="G1533" s="18"/>
      <c r="H1533" s="18"/>
    </row>
    <row r="1534" spans="1:8" x14ac:dyDescent="0.2">
      <c r="A1534" s="17"/>
      <c r="B1534" s="17"/>
      <c r="C1534" s="18"/>
      <c r="D1534" s="18"/>
      <c r="E1534" s="18"/>
      <c r="F1534" s="18"/>
      <c r="G1534" s="18"/>
      <c r="H1534" s="18"/>
    </row>
    <row r="1535" spans="1:8" x14ac:dyDescent="0.2">
      <c r="A1535" s="17"/>
      <c r="B1535" s="17"/>
      <c r="C1535" s="18"/>
      <c r="D1535" s="18"/>
      <c r="E1535" s="18"/>
      <c r="F1535" s="18"/>
      <c r="G1535" s="18"/>
      <c r="H1535" s="18"/>
    </row>
    <row r="1536" spans="1:8" x14ac:dyDescent="0.2">
      <c r="A1536" s="17"/>
      <c r="B1536" s="17"/>
      <c r="C1536" s="18"/>
      <c r="D1536" s="18"/>
      <c r="E1536" s="18"/>
      <c r="F1536" s="18"/>
      <c r="G1536" s="18"/>
      <c r="H1536" s="18"/>
    </row>
    <row r="1537" spans="1:8" x14ac:dyDescent="0.2">
      <c r="A1537" s="17"/>
      <c r="B1537" s="17"/>
      <c r="C1537" s="18"/>
      <c r="D1537" s="18"/>
      <c r="E1537" s="18"/>
      <c r="F1537" s="18"/>
      <c r="G1537" s="18"/>
      <c r="H1537" s="18"/>
    </row>
    <row r="1538" spans="1:8" x14ac:dyDescent="0.2">
      <c r="A1538" s="17"/>
      <c r="B1538" s="17"/>
      <c r="C1538" s="18"/>
      <c r="D1538" s="18"/>
      <c r="E1538" s="18"/>
      <c r="F1538" s="18"/>
      <c r="G1538" s="18"/>
      <c r="H1538" s="18"/>
    </row>
    <row r="1539" spans="1:8" x14ac:dyDescent="0.2">
      <c r="A1539" s="17"/>
      <c r="B1539" s="17"/>
      <c r="C1539" s="18"/>
      <c r="D1539" s="18"/>
      <c r="E1539" s="18"/>
      <c r="F1539" s="18"/>
      <c r="G1539" s="18"/>
      <c r="H1539" s="18"/>
    </row>
    <row r="1540" spans="1:8" x14ac:dyDescent="0.2">
      <c r="A1540" s="17"/>
      <c r="B1540" s="17"/>
      <c r="C1540" s="18"/>
      <c r="D1540" s="18"/>
      <c r="E1540" s="18"/>
      <c r="F1540" s="18"/>
      <c r="G1540" s="18"/>
      <c r="H1540" s="18"/>
    </row>
    <row r="1541" spans="1:8" x14ac:dyDescent="0.2">
      <c r="A1541" s="17"/>
      <c r="B1541" s="17"/>
      <c r="C1541" s="18"/>
      <c r="D1541" s="18"/>
      <c r="E1541" s="18"/>
      <c r="F1541" s="18"/>
      <c r="G1541" s="18"/>
      <c r="H1541" s="18"/>
    </row>
    <row r="1542" spans="1:8" x14ac:dyDescent="0.2">
      <c r="A1542" s="17"/>
      <c r="B1542" s="17"/>
      <c r="C1542" s="18"/>
      <c r="D1542" s="18"/>
      <c r="E1542" s="18"/>
      <c r="F1542" s="18"/>
      <c r="G1542" s="18"/>
      <c r="H1542" s="18"/>
    </row>
    <row r="1543" spans="1:8" x14ac:dyDescent="0.2">
      <c r="A1543" s="17"/>
      <c r="B1543" s="17"/>
      <c r="C1543" s="18"/>
      <c r="D1543" s="18"/>
      <c r="E1543" s="18"/>
      <c r="F1543" s="18"/>
      <c r="G1543" s="18"/>
      <c r="H1543" s="18"/>
    </row>
    <row r="1544" spans="1:8" x14ac:dyDescent="0.2">
      <c r="A1544" s="17"/>
      <c r="B1544" s="17"/>
      <c r="C1544" s="18"/>
      <c r="D1544" s="18"/>
      <c r="E1544" s="18"/>
      <c r="F1544" s="18"/>
      <c r="G1544" s="18"/>
      <c r="H1544" s="18"/>
    </row>
    <row r="1545" spans="1:8" x14ac:dyDescent="0.2">
      <c r="A1545" s="17"/>
      <c r="B1545" s="17"/>
      <c r="C1545" s="18"/>
      <c r="D1545" s="18"/>
      <c r="E1545" s="18"/>
      <c r="F1545" s="18"/>
      <c r="G1545" s="18"/>
      <c r="H1545" s="18"/>
    </row>
    <row r="1546" spans="1:8" x14ac:dyDescent="0.2">
      <c r="A1546" s="17"/>
      <c r="B1546" s="17"/>
      <c r="C1546" s="18"/>
      <c r="D1546" s="18"/>
      <c r="E1546" s="18"/>
      <c r="F1546" s="18"/>
      <c r="G1546" s="18"/>
      <c r="H1546" s="18"/>
    </row>
    <row r="1547" spans="1:8" x14ac:dyDescent="0.2">
      <c r="A1547" s="17"/>
      <c r="B1547" s="17"/>
      <c r="C1547" s="18"/>
      <c r="D1547" s="18"/>
      <c r="E1547" s="18"/>
      <c r="F1547" s="18"/>
      <c r="G1547" s="18"/>
      <c r="H1547" s="18"/>
    </row>
    <row r="1548" spans="1:8" x14ac:dyDescent="0.2">
      <c r="A1548" s="17"/>
      <c r="B1548" s="17"/>
      <c r="C1548" s="18"/>
      <c r="D1548" s="18"/>
      <c r="E1548" s="18"/>
      <c r="F1548" s="18"/>
      <c r="G1548" s="18"/>
      <c r="H1548" s="18"/>
    </row>
    <row r="1549" spans="1:8" x14ac:dyDescent="0.2">
      <c r="A1549" s="17"/>
      <c r="B1549" s="17"/>
      <c r="C1549" s="18"/>
      <c r="D1549" s="18"/>
      <c r="E1549" s="18"/>
      <c r="F1549" s="18"/>
      <c r="G1549" s="18"/>
      <c r="H1549" s="18"/>
    </row>
    <row r="1550" spans="1:8" x14ac:dyDescent="0.2">
      <c r="A1550" s="17"/>
      <c r="B1550" s="17"/>
      <c r="C1550" s="18"/>
      <c r="D1550" s="18"/>
      <c r="E1550" s="18"/>
      <c r="F1550" s="18"/>
      <c r="G1550" s="18"/>
      <c r="H1550" s="18"/>
    </row>
    <row r="1551" spans="1:8" x14ac:dyDescent="0.2">
      <c r="A1551" s="17"/>
      <c r="B1551" s="17"/>
      <c r="C1551" s="18"/>
      <c r="D1551" s="18"/>
      <c r="E1551" s="18"/>
      <c r="F1551" s="18"/>
      <c r="G1551" s="18"/>
      <c r="H1551" s="18"/>
    </row>
    <row r="1552" spans="1:8" x14ac:dyDescent="0.2">
      <c r="A1552" s="17"/>
      <c r="B1552" s="17"/>
      <c r="C1552" s="18"/>
      <c r="D1552" s="18"/>
      <c r="E1552" s="18"/>
      <c r="F1552" s="18"/>
      <c r="G1552" s="18"/>
      <c r="H1552" s="18"/>
    </row>
    <row r="1553" spans="1:8" x14ac:dyDescent="0.2">
      <c r="A1553" s="17"/>
      <c r="B1553" s="17"/>
      <c r="C1553" s="18"/>
      <c r="D1553" s="18"/>
      <c r="E1553" s="18"/>
      <c r="F1553" s="18"/>
      <c r="G1553" s="18"/>
      <c r="H1553" s="18"/>
    </row>
    <row r="1554" spans="1:8" x14ac:dyDescent="0.2">
      <c r="A1554" s="17"/>
      <c r="B1554" s="17"/>
      <c r="C1554" s="18"/>
      <c r="D1554" s="18"/>
      <c r="E1554" s="18"/>
      <c r="F1554" s="18"/>
      <c r="G1554" s="18"/>
      <c r="H1554" s="18"/>
    </row>
    <row r="1555" spans="1:8" x14ac:dyDescent="0.2">
      <c r="A1555" s="17"/>
      <c r="B1555" s="17"/>
      <c r="C1555" s="18"/>
      <c r="D1555" s="18"/>
      <c r="E1555" s="18"/>
      <c r="F1555" s="18"/>
      <c r="G1555" s="18"/>
      <c r="H1555" s="18"/>
    </row>
    <row r="1556" spans="1:8" x14ac:dyDescent="0.2">
      <c r="A1556" s="17"/>
      <c r="B1556" s="17"/>
      <c r="C1556" s="18"/>
      <c r="D1556" s="18"/>
      <c r="E1556" s="18"/>
      <c r="F1556" s="18"/>
      <c r="G1556" s="18"/>
      <c r="H1556" s="18"/>
    </row>
    <row r="1557" spans="1:8" x14ac:dyDescent="0.2">
      <c r="A1557" s="17"/>
      <c r="B1557" s="17"/>
      <c r="C1557" s="18"/>
      <c r="D1557" s="18"/>
      <c r="E1557" s="18"/>
      <c r="F1557" s="18"/>
      <c r="G1557" s="18"/>
      <c r="H1557" s="18"/>
    </row>
    <row r="1558" spans="1:8" x14ac:dyDescent="0.2">
      <c r="A1558" s="17"/>
      <c r="B1558" s="17"/>
      <c r="C1558" s="18"/>
      <c r="D1558" s="18"/>
      <c r="E1558" s="18"/>
      <c r="F1558" s="18"/>
      <c r="G1558" s="18"/>
      <c r="H1558" s="18"/>
    </row>
    <row r="1559" spans="1:8" x14ac:dyDescent="0.2">
      <c r="A1559" s="17"/>
      <c r="B1559" s="17"/>
      <c r="C1559" s="18"/>
      <c r="D1559" s="18"/>
      <c r="E1559" s="18"/>
      <c r="F1559" s="18"/>
      <c r="G1559" s="18"/>
      <c r="H1559" s="18"/>
    </row>
    <row r="1560" spans="1:8" x14ac:dyDescent="0.2">
      <c r="A1560" s="17"/>
      <c r="B1560" s="17"/>
      <c r="C1560" s="18"/>
      <c r="D1560" s="18"/>
      <c r="E1560" s="18"/>
      <c r="F1560" s="18"/>
      <c r="G1560" s="18"/>
      <c r="H1560" s="18"/>
    </row>
    <row r="1561" spans="1:8" x14ac:dyDescent="0.2">
      <c r="A1561" s="17"/>
      <c r="B1561" s="17"/>
      <c r="C1561" s="18"/>
      <c r="D1561" s="18"/>
      <c r="E1561" s="18"/>
      <c r="F1561" s="18"/>
      <c r="G1561" s="18"/>
      <c r="H1561" s="18"/>
    </row>
    <row r="1562" spans="1:8" x14ac:dyDescent="0.2">
      <c r="A1562" s="17"/>
      <c r="B1562" s="17"/>
      <c r="C1562" s="18"/>
      <c r="D1562" s="18"/>
      <c r="E1562" s="18"/>
      <c r="F1562" s="18"/>
      <c r="G1562" s="18"/>
      <c r="H1562" s="18"/>
    </row>
    <row r="1563" spans="1:8" x14ac:dyDescent="0.2">
      <c r="A1563" s="17"/>
      <c r="B1563" s="17"/>
      <c r="C1563" s="18"/>
      <c r="D1563" s="18"/>
      <c r="E1563" s="18"/>
      <c r="F1563" s="18"/>
      <c r="G1563" s="18"/>
      <c r="H1563" s="18"/>
    </row>
    <row r="1564" spans="1:8" x14ac:dyDescent="0.2">
      <c r="A1564" s="17"/>
      <c r="B1564" s="17"/>
      <c r="C1564" s="18"/>
      <c r="D1564" s="18"/>
      <c r="E1564" s="18"/>
      <c r="F1564" s="18"/>
      <c r="G1564" s="18"/>
      <c r="H1564" s="18"/>
    </row>
    <row r="1565" spans="1:8" x14ac:dyDescent="0.2">
      <c r="A1565" s="17"/>
      <c r="B1565" s="17"/>
      <c r="C1565" s="18"/>
      <c r="D1565" s="18"/>
      <c r="E1565" s="18"/>
      <c r="F1565" s="18"/>
      <c r="G1565" s="18"/>
      <c r="H1565" s="18"/>
    </row>
    <row r="1566" spans="1:8" x14ac:dyDescent="0.2">
      <c r="A1566" s="17"/>
      <c r="B1566" s="17"/>
      <c r="C1566" s="18"/>
      <c r="D1566" s="18"/>
      <c r="E1566" s="18"/>
      <c r="F1566" s="18"/>
      <c r="G1566" s="18"/>
      <c r="H1566" s="18"/>
    </row>
    <row r="1567" spans="1:8" x14ac:dyDescent="0.2">
      <c r="A1567" s="17"/>
      <c r="B1567" s="17"/>
      <c r="C1567" s="18"/>
      <c r="D1567" s="18"/>
      <c r="E1567" s="18"/>
      <c r="F1567" s="18"/>
      <c r="G1567" s="18"/>
      <c r="H1567" s="18"/>
    </row>
    <row r="1568" spans="1:8" x14ac:dyDescent="0.2">
      <c r="A1568" s="17"/>
      <c r="B1568" s="17"/>
      <c r="C1568" s="18"/>
      <c r="D1568" s="18"/>
      <c r="E1568" s="18"/>
      <c r="F1568" s="18"/>
      <c r="G1568" s="18"/>
      <c r="H1568" s="18"/>
    </row>
    <row r="1569" spans="1:8" x14ac:dyDescent="0.2">
      <c r="A1569" s="17"/>
      <c r="B1569" s="17"/>
      <c r="C1569" s="18"/>
      <c r="D1569" s="18"/>
      <c r="E1569" s="18"/>
      <c r="F1569" s="18"/>
      <c r="G1569" s="18"/>
      <c r="H1569" s="18"/>
    </row>
    <row r="1570" spans="1:8" x14ac:dyDescent="0.2">
      <c r="A1570" s="17"/>
      <c r="B1570" s="17"/>
      <c r="C1570" s="18"/>
      <c r="D1570" s="18"/>
      <c r="E1570" s="18"/>
      <c r="F1570" s="18"/>
      <c r="G1570" s="18"/>
      <c r="H1570" s="18"/>
    </row>
    <row r="1571" spans="1:8" x14ac:dyDescent="0.2">
      <c r="A1571" s="17"/>
      <c r="B1571" s="17"/>
      <c r="C1571" s="18"/>
      <c r="D1571" s="18"/>
      <c r="E1571" s="18"/>
      <c r="F1571" s="18"/>
      <c r="G1571" s="18"/>
      <c r="H1571" s="18"/>
    </row>
    <row r="1572" spans="1:8" x14ac:dyDescent="0.2">
      <c r="A1572" s="17"/>
      <c r="B1572" s="17"/>
      <c r="C1572" s="18"/>
      <c r="D1572" s="18"/>
      <c r="E1572" s="18"/>
      <c r="F1572" s="18"/>
      <c r="G1572" s="18"/>
      <c r="H1572" s="18"/>
    </row>
    <row r="1573" spans="1:8" x14ac:dyDescent="0.2">
      <c r="A1573" s="17"/>
      <c r="B1573" s="17"/>
      <c r="C1573" s="18"/>
      <c r="D1573" s="18"/>
      <c r="E1573" s="18"/>
      <c r="F1573" s="18"/>
      <c r="G1573" s="18"/>
      <c r="H1573" s="18"/>
    </row>
    <row r="1574" spans="1:8" x14ac:dyDescent="0.2">
      <c r="A1574" s="17"/>
      <c r="B1574" s="17"/>
      <c r="C1574" s="18"/>
      <c r="D1574" s="18"/>
      <c r="E1574" s="18"/>
      <c r="F1574" s="18"/>
      <c r="G1574" s="18"/>
      <c r="H1574" s="18"/>
    </row>
    <row r="1575" spans="1:8" x14ac:dyDescent="0.2">
      <c r="A1575" s="17"/>
      <c r="B1575" s="17"/>
      <c r="C1575" s="18"/>
      <c r="D1575" s="18"/>
      <c r="E1575" s="18"/>
      <c r="F1575" s="18"/>
      <c r="G1575" s="18"/>
      <c r="H1575" s="18"/>
    </row>
    <row r="1576" spans="1:8" x14ac:dyDescent="0.2">
      <c r="A1576" s="17"/>
      <c r="B1576" s="17"/>
      <c r="C1576" s="18"/>
      <c r="D1576" s="18"/>
      <c r="E1576" s="18"/>
      <c r="F1576" s="18"/>
      <c r="G1576" s="18"/>
      <c r="H1576" s="18"/>
    </row>
    <row r="1577" spans="1:8" x14ac:dyDescent="0.2">
      <c r="A1577" s="17"/>
      <c r="B1577" s="17"/>
      <c r="C1577" s="18"/>
      <c r="D1577" s="18"/>
      <c r="E1577" s="18"/>
      <c r="F1577" s="18"/>
      <c r="G1577" s="18"/>
      <c r="H1577" s="18"/>
    </row>
    <row r="1578" spans="1:8" x14ac:dyDescent="0.2">
      <c r="A1578" s="17"/>
      <c r="B1578" s="17"/>
      <c r="C1578" s="18"/>
      <c r="D1578" s="18"/>
      <c r="E1578" s="18"/>
      <c r="F1578" s="18"/>
      <c r="G1578" s="18"/>
      <c r="H1578" s="18"/>
    </row>
    <row r="1579" spans="1:8" x14ac:dyDescent="0.2">
      <c r="A1579" s="17"/>
      <c r="B1579" s="17"/>
      <c r="C1579" s="18"/>
      <c r="D1579" s="18"/>
      <c r="E1579" s="18"/>
      <c r="F1579" s="18"/>
      <c r="G1579" s="18"/>
      <c r="H1579" s="18"/>
    </row>
    <row r="1580" spans="1:8" x14ac:dyDescent="0.2">
      <c r="A1580" s="17"/>
      <c r="B1580" s="17"/>
      <c r="C1580" s="18"/>
      <c r="D1580" s="18"/>
      <c r="E1580" s="18"/>
      <c r="F1580" s="18"/>
      <c r="G1580" s="18"/>
      <c r="H1580" s="18"/>
    </row>
    <row r="1581" spans="1:8" x14ac:dyDescent="0.2">
      <c r="A1581" s="17"/>
      <c r="B1581" s="17"/>
      <c r="C1581" s="18"/>
      <c r="D1581" s="18"/>
      <c r="E1581" s="18"/>
      <c r="F1581" s="18"/>
      <c r="G1581" s="18"/>
      <c r="H1581" s="18"/>
    </row>
    <row r="1582" spans="1:8" x14ac:dyDescent="0.2">
      <c r="A1582" s="17"/>
      <c r="B1582" s="17"/>
      <c r="C1582" s="18"/>
      <c r="D1582" s="18"/>
      <c r="E1582" s="18"/>
      <c r="F1582" s="18"/>
      <c r="G1582" s="18"/>
      <c r="H1582" s="18"/>
    </row>
    <row r="1583" spans="1:8" x14ac:dyDescent="0.2">
      <c r="A1583" s="17"/>
      <c r="B1583" s="17"/>
      <c r="C1583" s="18"/>
      <c r="D1583" s="18"/>
      <c r="E1583" s="18"/>
      <c r="F1583" s="18"/>
      <c r="G1583" s="18"/>
      <c r="H1583" s="18"/>
    </row>
    <row r="1584" spans="1:8" x14ac:dyDescent="0.2">
      <c r="A1584" s="17"/>
      <c r="B1584" s="17"/>
      <c r="C1584" s="18"/>
      <c r="D1584" s="18"/>
      <c r="E1584" s="18"/>
      <c r="F1584" s="18"/>
      <c r="G1584" s="18"/>
      <c r="H1584" s="18"/>
    </row>
    <row r="1585" spans="1:8" x14ac:dyDescent="0.2">
      <c r="A1585" s="17"/>
      <c r="B1585" s="17"/>
      <c r="C1585" s="18"/>
      <c r="D1585" s="18"/>
      <c r="E1585" s="18"/>
      <c r="F1585" s="18"/>
      <c r="G1585" s="18"/>
      <c r="H1585" s="18"/>
    </row>
    <row r="1586" spans="1:8" x14ac:dyDescent="0.2">
      <c r="A1586" s="17"/>
      <c r="B1586" s="17"/>
      <c r="C1586" s="18"/>
      <c r="D1586" s="18"/>
      <c r="E1586" s="18"/>
      <c r="F1586" s="18"/>
      <c r="G1586" s="18"/>
      <c r="H1586" s="18"/>
    </row>
    <row r="1587" spans="1:8" x14ac:dyDescent="0.2">
      <c r="A1587" s="17"/>
      <c r="B1587" s="17"/>
      <c r="C1587" s="18"/>
      <c r="D1587" s="18"/>
      <c r="E1587" s="18"/>
      <c r="F1587" s="18"/>
      <c r="G1587" s="18"/>
      <c r="H1587" s="18"/>
    </row>
    <row r="1588" spans="1:8" x14ac:dyDescent="0.2">
      <c r="A1588" s="17"/>
      <c r="B1588" s="17"/>
      <c r="C1588" s="18"/>
      <c r="D1588" s="18"/>
      <c r="E1588" s="18"/>
      <c r="F1588" s="18"/>
      <c r="G1588" s="18"/>
      <c r="H1588" s="18"/>
    </row>
    <row r="1589" spans="1:8" x14ac:dyDescent="0.2">
      <c r="A1589" s="17"/>
      <c r="B1589" s="17"/>
      <c r="C1589" s="18"/>
      <c r="D1589" s="18"/>
      <c r="E1589" s="18"/>
      <c r="F1589" s="18"/>
      <c r="G1589" s="18"/>
      <c r="H1589" s="18"/>
    </row>
    <row r="1590" spans="1:8" x14ac:dyDescent="0.2">
      <c r="A1590" s="17"/>
      <c r="B1590" s="17"/>
      <c r="C1590" s="18"/>
      <c r="D1590" s="18"/>
      <c r="E1590" s="18"/>
      <c r="F1590" s="18"/>
      <c r="G1590" s="18"/>
      <c r="H1590" s="18"/>
    </row>
    <row r="1591" spans="1:8" x14ac:dyDescent="0.2">
      <c r="A1591" s="17"/>
      <c r="B1591" s="17"/>
      <c r="C1591" s="18"/>
      <c r="D1591" s="18"/>
      <c r="E1591" s="18"/>
      <c r="F1591" s="18"/>
      <c r="G1591" s="18"/>
      <c r="H1591" s="18"/>
    </row>
    <row r="1592" spans="1:8" x14ac:dyDescent="0.2">
      <c r="A1592" s="17"/>
      <c r="B1592" s="17"/>
      <c r="C1592" s="18"/>
      <c r="D1592" s="18"/>
      <c r="E1592" s="18"/>
      <c r="F1592" s="18"/>
      <c r="G1592" s="18"/>
      <c r="H1592" s="18"/>
    </row>
    <row r="1593" spans="1:8" x14ac:dyDescent="0.2">
      <c r="A1593" s="17"/>
      <c r="B1593" s="17"/>
      <c r="C1593" s="18"/>
      <c r="D1593" s="18"/>
      <c r="E1593" s="18"/>
      <c r="F1593" s="18"/>
      <c r="G1593" s="18"/>
      <c r="H1593" s="18"/>
    </row>
    <row r="1594" spans="1:8" x14ac:dyDescent="0.2">
      <c r="A1594" s="17"/>
      <c r="B1594" s="17"/>
      <c r="C1594" s="18"/>
      <c r="D1594" s="18"/>
      <c r="E1594" s="18"/>
      <c r="F1594" s="18"/>
      <c r="G1594" s="18"/>
      <c r="H1594" s="18"/>
    </row>
    <row r="1595" spans="1:8" x14ac:dyDescent="0.2">
      <c r="A1595" s="17"/>
      <c r="B1595" s="17"/>
      <c r="C1595" s="18"/>
      <c r="D1595" s="18"/>
      <c r="E1595" s="18"/>
      <c r="F1595" s="18"/>
      <c r="G1595" s="18"/>
      <c r="H1595" s="18"/>
    </row>
    <row r="1596" spans="1:8" x14ac:dyDescent="0.2">
      <c r="A1596" s="17"/>
      <c r="B1596" s="17"/>
      <c r="C1596" s="18"/>
      <c r="D1596" s="18"/>
      <c r="E1596" s="18"/>
      <c r="F1596" s="18"/>
      <c r="G1596" s="18"/>
      <c r="H1596" s="18"/>
    </row>
    <row r="1597" spans="1:8" x14ac:dyDescent="0.2">
      <c r="A1597" s="17"/>
      <c r="B1597" s="17"/>
      <c r="C1597" s="18"/>
      <c r="D1597" s="18"/>
      <c r="E1597" s="18"/>
      <c r="F1597" s="18"/>
      <c r="G1597" s="18"/>
      <c r="H1597" s="18"/>
    </row>
    <row r="1598" spans="1:8" x14ac:dyDescent="0.2">
      <c r="A1598" s="17"/>
      <c r="B1598" s="17"/>
      <c r="C1598" s="18"/>
      <c r="D1598" s="18"/>
      <c r="E1598" s="18"/>
      <c r="F1598" s="18"/>
      <c r="G1598" s="18"/>
      <c r="H1598" s="18"/>
    </row>
    <row r="1599" spans="1:8" x14ac:dyDescent="0.2">
      <c r="A1599" s="17"/>
      <c r="B1599" s="17"/>
      <c r="C1599" s="18"/>
      <c r="D1599" s="18"/>
      <c r="E1599" s="18"/>
      <c r="F1599" s="18"/>
      <c r="G1599" s="18"/>
      <c r="H1599" s="18"/>
    </row>
    <row r="1600" spans="1:8" x14ac:dyDescent="0.2">
      <c r="A1600" s="17"/>
      <c r="B1600" s="17"/>
      <c r="C1600" s="18"/>
      <c r="D1600" s="18"/>
      <c r="E1600" s="18"/>
      <c r="F1600" s="18"/>
      <c r="G1600" s="18"/>
      <c r="H1600" s="18"/>
    </row>
    <row r="1601" spans="1:8" x14ac:dyDescent="0.2">
      <c r="A1601" s="17"/>
      <c r="B1601" s="17"/>
      <c r="C1601" s="18"/>
      <c r="D1601" s="18"/>
      <c r="E1601" s="18"/>
      <c r="F1601" s="18"/>
      <c r="G1601" s="18"/>
      <c r="H1601" s="18"/>
    </row>
    <row r="1602" spans="1:8" x14ac:dyDescent="0.2">
      <c r="A1602" s="17"/>
      <c r="B1602" s="17"/>
      <c r="C1602" s="18"/>
      <c r="D1602" s="18"/>
      <c r="E1602" s="18"/>
      <c r="F1602" s="18"/>
      <c r="G1602" s="18"/>
      <c r="H1602" s="18"/>
    </row>
    <row r="1603" spans="1:8" x14ac:dyDescent="0.2">
      <c r="A1603" s="17"/>
      <c r="B1603" s="17"/>
      <c r="C1603" s="18"/>
      <c r="D1603" s="18"/>
      <c r="E1603" s="18"/>
      <c r="F1603" s="18"/>
      <c r="G1603" s="18"/>
      <c r="H1603" s="18"/>
    </row>
    <row r="1604" spans="1:8" x14ac:dyDescent="0.2">
      <c r="A1604" s="17"/>
      <c r="B1604" s="17"/>
      <c r="C1604" s="18"/>
      <c r="D1604" s="18"/>
      <c r="E1604" s="18"/>
      <c r="F1604" s="18"/>
      <c r="G1604" s="18"/>
      <c r="H1604" s="18"/>
    </row>
    <row r="1605" spans="1:8" x14ac:dyDescent="0.2">
      <c r="A1605" s="17"/>
      <c r="B1605" s="17"/>
      <c r="C1605" s="18"/>
      <c r="D1605" s="18"/>
      <c r="E1605" s="18"/>
      <c r="F1605" s="18"/>
      <c r="G1605" s="18"/>
      <c r="H1605" s="18"/>
    </row>
    <row r="1606" spans="1:8" x14ac:dyDescent="0.2">
      <c r="A1606" s="17"/>
      <c r="B1606" s="17"/>
      <c r="C1606" s="18"/>
      <c r="D1606" s="18"/>
      <c r="E1606" s="18"/>
      <c r="F1606" s="18"/>
      <c r="G1606" s="18"/>
      <c r="H1606" s="18"/>
    </row>
    <row r="1607" spans="1:8" x14ac:dyDescent="0.2">
      <c r="A1607" s="17"/>
      <c r="B1607" s="17"/>
      <c r="C1607" s="18"/>
      <c r="D1607" s="18"/>
      <c r="E1607" s="18"/>
      <c r="F1607" s="18"/>
      <c r="G1607" s="18"/>
      <c r="H1607" s="18"/>
    </row>
    <row r="1608" spans="1:8" x14ac:dyDescent="0.2">
      <c r="A1608" s="17"/>
      <c r="B1608" s="17"/>
      <c r="C1608" s="18"/>
      <c r="D1608" s="18"/>
      <c r="E1608" s="18"/>
      <c r="F1608" s="18"/>
      <c r="G1608" s="18"/>
      <c r="H1608" s="18"/>
    </row>
    <row r="1609" spans="1:8" x14ac:dyDescent="0.2">
      <c r="A1609" s="17"/>
      <c r="B1609" s="17"/>
      <c r="C1609" s="18"/>
      <c r="D1609" s="18"/>
      <c r="E1609" s="18"/>
      <c r="F1609" s="18"/>
      <c r="G1609" s="18"/>
      <c r="H1609" s="18"/>
    </row>
    <row r="1610" spans="1:8" x14ac:dyDescent="0.2">
      <c r="A1610" s="17"/>
      <c r="B1610" s="17"/>
      <c r="C1610" s="18"/>
      <c r="D1610" s="18"/>
      <c r="E1610" s="18"/>
      <c r="F1610" s="18"/>
      <c r="G1610" s="18"/>
      <c r="H1610" s="18"/>
    </row>
    <row r="1611" spans="1:8" x14ac:dyDescent="0.2">
      <c r="A1611" s="17"/>
      <c r="B1611" s="17"/>
      <c r="C1611" s="18"/>
      <c r="D1611" s="18"/>
      <c r="E1611" s="18"/>
      <c r="F1611" s="18"/>
      <c r="G1611" s="18"/>
      <c r="H1611" s="18"/>
    </row>
    <row r="1612" spans="1:8" x14ac:dyDescent="0.2">
      <c r="A1612" s="17"/>
      <c r="B1612" s="17"/>
      <c r="C1612" s="18"/>
      <c r="D1612" s="18"/>
      <c r="E1612" s="18"/>
      <c r="F1612" s="18"/>
      <c r="G1612" s="18"/>
      <c r="H1612" s="18"/>
    </row>
    <row r="1613" spans="1:8" x14ac:dyDescent="0.2">
      <c r="A1613" s="17"/>
      <c r="B1613" s="17"/>
      <c r="C1613" s="18"/>
      <c r="D1613" s="18"/>
      <c r="E1613" s="18"/>
      <c r="F1613" s="18"/>
      <c r="G1613" s="18"/>
      <c r="H1613" s="18"/>
    </row>
    <row r="1614" spans="1:8" x14ac:dyDescent="0.2">
      <c r="A1614" s="17"/>
      <c r="B1614" s="17"/>
      <c r="C1614" s="18"/>
      <c r="D1614" s="18"/>
      <c r="E1614" s="18"/>
      <c r="F1614" s="18"/>
      <c r="G1614" s="18"/>
      <c r="H1614" s="18"/>
    </row>
    <row r="1615" spans="1:8" x14ac:dyDescent="0.2">
      <c r="A1615" s="17"/>
      <c r="B1615" s="17"/>
      <c r="C1615" s="18"/>
      <c r="D1615" s="18"/>
      <c r="E1615" s="18"/>
      <c r="F1615" s="18"/>
      <c r="G1615" s="18"/>
      <c r="H1615" s="18"/>
    </row>
    <row r="1616" spans="1:8" x14ac:dyDescent="0.2">
      <c r="A1616" s="17"/>
      <c r="B1616" s="17"/>
      <c r="C1616" s="18"/>
      <c r="D1616" s="18"/>
      <c r="E1616" s="18"/>
      <c r="F1616" s="18"/>
      <c r="G1616" s="18"/>
      <c r="H1616" s="18"/>
    </row>
    <row r="1617" spans="1:8" x14ac:dyDescent="0.2">
      <c r="A1617" s="17"/>
      <c r="B1617" s="17"/>
      <c r="C1617" s="18"/>
      <c r="D1617" s="18"/>
      <c r="E1617" s="18"/>
      <c r="F1617" s="18"/>
      <c r="G1617" s="18"/>
      <c r="H1617" s="18"/>
    </row>
    <row r="1618" spans="1:8" x14ac:dyDescent="0.2">
      <c r="A1618" s="17"/>
      <c r="B1618" s="17"/>
      <c r="C1618" s="18"/>
      <c r="D1618" s="18"/>
      <c r="E1618" s="18"/>
      <c r="F1618" s="18"/>
      <c r="G1618" s="18"/>
      <c r="H1618" s="18"/>
    </row>
    <row r="1619" spans="1:8" x14ac:dyDescent="0.2">
      <c r="A1619" s="17"/>
      <c r="B1619" s="17"/>
      <c r="C1619" s="18"/>
      <c r="D1619" s="18"/>
      <c r="E1619" s="18"/>
      <c r="F1619" s="18"/>
      <c r="G1619" s="18"/>
      <c r="H1619" s="18"/>
    </row>
    <row r="1620" spans="1:8" x14ac:dyDescent="0.2">
      <c r="A1620" s="17"/>
      <c r="B1620" s="17"/>
      <c r="C1620" s="18"/>
      <c r="D1620" s="18"/>
      <c r="E1620" s="18"/>
      <c r="F1620" s="18"/>
      <c r="G1620" s="18"/>
      <c r="H1620" s="18"/>
    </row>
    <row r="1621" spans="1:8" x14ac:dyDescent="0.2">
      <c r="A1621" s="17"/>
      <c r="B1621" s="17"/>
      <c r="C1621" s="18"/>
      <c r="D1621" s="18"/>
      <c r="E1621" s="18"/>
      <c r="F1621" s="18"/>
      <c r="G1621" s="18"/>
      <c r="H1621" s="18"/>
    </row>
    <row r="1622" spans="1:8" x14ac:dyDescent="0.2">
      <c r="A1622" s="17"/>
      <c r="B1622" s="17"/>
      <c r="C1622" s="18"/>
      <c r="D1622" s="18"/>
      <c r="E1622" s="18"/>
      <c r="F1622" s="18"/>
      <c r="G1622" s="18"/>
      <c r="H1622" s="18"/>
    </row>
    <row r="1623" spans="1:8" x14ac:dyDescent="0.2">
      <c r="A1623" s="17"/>
      <c r="B1623" s="17"/>
      <c r="C1623" s="18"/>
      <c r="D1623" s="18"/>
      <c r="E1623" s="18"/>
      <c r="F1623" s="18"/>
      <c r="G1623" s="18"/>
      <c r="H1623" s="18"/>
    </row>
    <row r="1624" spans="1:8" x14ac:dyDescent="0.2">
      <c r="A1624" s="17"/>
      <c r="B1624" s="17"/>
      <c r="C1624" s="18"/>
      <c r="D1624" s="18"/>
      <c r="E1624" s="18"/>
      <c r="F1624" s="18"/>
      <c r="G1624" s="18"/>
      <c r="H1624" s="18"/>
    </row>
    <row r="1625" spans="1:8" x14ac:dyDescent="0.2">
      <c r="A1625" s="17"/>
      <c r="B1625" s="17"/>
      <c r="C1625" s="18"/>
      <c r="D1625" s="18"/>
      <c r="E1625" s="18"/>
      <c r="F1625" s="18"/>
      <c r="G1625" s="18"/>
      <c r="H1625" s="18"/>
    </row>
    <row r="1626" spans="1:8" x14ac:dyDescent="0.2">
      <c r="A1626" s="17"/>
      <c r="B1626" s="17"/>
      <c r="C1626" s="18"/>
      <c r="D1626" s="18"/>
      <c r="E1626" s="18"/>
      <c r="F1626" s="18"/>
      <c r="G1626" s="18"/>
      <c r="H1626" s="18"/>
    </row>
    <row r="1627" spans="1:8" x14ac:dyDescent="0.2">
      <c r="A1627" s="17"/>
      <c r="B1627" s="17"/>
      <c r="C1627" s="18"/>
      <c r="D1627" s="18"/>
      <c r="E1627" s="18"/>
      <c r="F1627" s="18"/>
      <c r="G1627" s="18"/>
      <c r="H1627" s="18"/>
    </row>
    <row r="1628" spans="1:8" x14ac:dyDescent="0.2">
      <c r="A1628" s="17"/>
      <c r="B1628" s="17"/>
      <c r="C1628" s="18"/>
      <c r="D1628" s="18"/>
      <c r="E1628" s="18"/>
      <c r="F1628" s="18"/>
      <c r="G1628" s="18"/>
      <c r="H1628" s="18"/>
    </row>
    <row r="1629" spans="1:8" x14ac:dyDescent="0.2">
      <c r="A1629" s="17"/>
      <c r="B1629" s="17"/>
      <c r="C1629" s="18"/>
      <c r="D1629" s="18"/>
      <c r="E1629" s="18"/>
      <c r="F1629" s="18"/>
      <c r="G1629" s="18"/>
      <c r="H1629" s="18"/>
    </row>
    <row r="1630" spans="1:8" x14ac:dyDescent="0.2">
      <c r="A1630" s="17"/>
      <c r="B1630" s="17"/>
      <c r="C1630" s="18"/>
      <c r="D1630" s="18"/>
      <c r="E1630" s="18"/>
      <c r="F1630" s="18"/>
      <c r="G1630" s="18"/>
      <c r="H1630" s="18"/>
    </row>
    <row r="1631" spans="1:8" x14ac:dyDescent="0.2">
      <c r="A1631" s="17"/>
      <c r="B1631" s="17"/>
      <c r="C1631" s="18"/>
      <c r="D1631" s="18"/>
      <c r="E1631" s="18"/>
      <c r="F1631" s="18"/>
      <c r="G1631" s="18"/>
      <c r="H1631" s="18"/>
    </row>
    <row r="1632" spans="1:8" x14ac:dyDescent="0.2">
      <c r="A1632" s="17"/>
      <c r="B1632" s="17"/>
      <c r="C1632" s="18"/>
      <c r="D1632" s="18"/>
      <c r="E1632" s="18"/>
      <c r="F1632" s="18"/>
      <c r="G1632" s="18"/>
      <c r="H1632" s="18"/>
    </row>
    <row r="1633" spans="1:8" x14ac:dyDescent="0.2">
      <c r="A1633" s="17"/>
      <c r="B1633" s="17"/>
      <c r="C1633" s="18"/>
      <c r="D1633" s="18"/>
      <c r="E1633" s="18"/>
      <c r="F1633" s="18"/>
      <c r="G1633" s="18"/>
      <c r="H1633" s="18"/>
    </row>
    <row r="1634" spans="1:8" x14ac:dyDescent="0.2">
      <c r="A1634" s="17"/>
      <c r="B1634" s="17"/>
      <c r="C1634" s="18"/>
      <c r="D1634" s="18"/>
      <c r="E1634" s="18"/>
      <c r="F1634" s="18"/>
      <c r="G1634" s="18"/>
      <c r="H1634" s="18"/>
    </row>
    <row r="1635" spans="1:8" x14ac:dyDescent="0.2">
      <c r="A1635" s="17"/>
      <c r="B1635" s="17"/>
      <c r="C1635" s="18"/>
      <c r="D1635" s="18"/>
      <c r="E1635" s="18"/>
      <c r="F1635" s="18"/>
      <c r="G1635" s="18"/>
      <c r="H1635" s="18"/>
    </row>
    <row r="1636" spans="1:8" x14ac:dyDescent="0.2">
      <c r="A1636" s="17"/>
      <c r="B1636" s="17"/>
      <c r="C1636" s="18"/>
      <c r="D1636" s="18"/>
      <c r="E1636" s="18"/>
      <c r="F1636" s="18"/>
      <c r="G1636" s="18"/>
      <c r="H1636" s="18"/>
    </row>
    <row r="1637" spans="1:8" x14ac:dyDescent="0.2">
      <c r="A1637" s="17"/>
      <c r="B1637" s="17"/>
      <c r="C1637" s="18"/>
      <c r="D1637" s="18"/>
      <c r="E1637" s="18"/>
      <c r="F1637" s="18"/>
      <c r="G1637" s="18"/>
      <c r="H1637" s="18"/>
    </row>
    <row r="1638" spans="1:8" x14ac:dyDescent="0.2">
      <c r="A1638" s="17"/>
      <c r="B1638" s="17"/>
      <c r="C1638" s="18"/>
      <c r="D1638" s="18"/>
      <c r="E1638" s="18"/>
      <c r="F1638" s="18"/>
      <c r="G1638" s="18"/>
      <c r="H1638" s="18"/>
    </row>
    <row r="1639" spans="1:8" x14ac:dyDescent="0.2">
      <c r="A1639" s="17"/>
      <c r="B1639" s="17"/>
      <c r="C1639" s="18"/>
      <c r="D1639" s="18"/>
      <c r="E1639" s="18"/>
      <c r="F1639" s="18"/>
      <c r="G1639" s="18"/>
      <c r="H1639" s="18"/>
    </row>
    <row r="1640" spans="1:8" x14ac:dyDescent="0.2">
      <c r="A1640" s="17"/>
      <c r="B1640" s="17"/>
      <c r="C1640" s="18"/>
      <c r="D1640" s="18"/>
      <c r="E1640" s="18"/>
      <c r="F1640" s="18"/>
      <c r="G1640" s="18"/>
      <c r="H1640" s="18"/>
    </row>
    <row r="1641" spans="1:8" x14ac:dyDescent="0.2">
      <c r="A1641" s="17"/>
      <c r="B1641" s="17"/>
      <c r="C1641" s="18"/>
      <c r="D1641" s="18"/>
      <c r="E1641" s="18"/>
      <c r="F1641" s="18"/>
      <c r="G1641" s="18"/>
      <c r="H1641" s="18"/>
    </row>
    <row r="1642" spans="1:8" x14ac:dyDescent="0.2">
      <c r="A1642" s="17"/>
      <c r="B1642" s="17"/>
      <c r="C1642" s="18"/>
      <c r="D1642" s="18"/>
      <c r="E1642" s="18"/>
      <c r="F1642" s="18"/>
      <c r="G1642" s="18"/>
      <c r="H1642" s="18"/>
    </row>
    <row r="1643" spans="1:8" x14ac:dyDescent="0.2">
      <c r="A1643" s="17"/>
      <c r="B1643" s="17"/>
      <c r="C1643" s="18"/>
      <c r="D1643" s="18"/>
      <c r="E1643" s="18"/>
      <c r="F1643" s="18"/>
      <c r="G1643" s="18"/>
      <c r="H1643" s="18"/>
    </row>
    <row r="1644" spans="1:8" x14ac:dyDescent="0.2">
      <c r="A1644" s="17"/>
      <c r="B1644" s="17"/>
      <c r="C1644" s="18"/>
      <c r="D1644" s="18"/>
      <c r="E1644" s="18"/>
      <c r="F1644" s="18"/>
      <c r="G1644" s="18"/>
      <c r="H1644" s="18"/>
    </row>
    <row r="1645" spans="1:8" x14ac:dyDescent="0.2">
      <c r="A1645" s="17"/>
      <c r="B1645" s="17"/>
      <c r="C1645" s="18"/>
      <c r="D1645" s="18"/>
      <c r="E1645" s="18"/>
      <c r="F1645" s="18"/>
      <c r="G1645" s="18"/>
      <c r="H1645" s="18"/>
    </row>
    <row r="1646" spans="1:8" x14ac:dyDescent="0.2">
      <c r="A1646" s="17"/>
      <c r="B1646" s="17"/>
      <c r="C1646" s="18"/>
      <c r="D1646" s="18"/>
      <c r="E1646" s="18"/>
      <c r="F1646" s="18"/>
      <c r="G1646" s="18"/>
      <c r="H1646" s="18"/>
    </row>
    <row r="1647" spans="1:8" x14ac:dyDescent="0.2">
      <c r="A1647" s="17"/>
      <c r="B1647" s="17"/>
      <c r="C1647" s="18"/>
      <c r="D1647" s="18"/>
      <c r="E1647" s="18"/>
      <c r="F1647" s="18"/>
      <c r="G1647" s="18"/>
      <c r="H1647" s="18"/>
    </row>
    <row r="1648" spans="1:8" x14ac:dyDescent="0.2">
      <c r="A1648" s="17"/>
      <c r="B1648" s="17"/>
      <c r="C1648" s="18"/>
      <c r="D1648" s="18"/>
      <c r="E1648" s="18"/>
      <c r="F1648" s="18"/>
      <c r="G1648" s="18"/>
      <c r="H1648" s="18"/>
    </row>
    <row r="1649" spans="1:8" x14ac:dyDescent="0.2">
      <c r="A1649" s="17"/>
      <c r="B1649" s="17"/>
      <c r="C1649" s="18"/>
      <c r="D1649" s="18"/>
      <c r="E1649" s="18"/>
      <c r="F1649" s="18"/>
      <c r="G1649" s="18"/>
      <c r="H1649" s="18"/>
    </row>
    <row r="1650" spans="1:8" x14ac:dyDescent="0.2">
      <c r="A1650" s="17"/>
      <c r="B1650" s="17"/>
      <c r="C1650" s="18"/>
      <c r="D1650" s="18"/>
      <c r="E1650" s="18"/>
      <c r="F1650" s="18"/>
      <c r="G1650" s="18"/>
      <c r="H1650" s="18"/>
    </row>
    <row r="1651" spans="1:8" x14ac:dyDescent="0.2">
      <c r="A1651" s="17"/>
      <c r="B1651" s="17"/>
      <c r="C1651" s="18"/>
      <c r="D1651" s="18"/>
      <c r="E1651" s="18"/>
      <c r="F1651" s="18"/>
      <c r="G1651" s="18"/>
      <c r="H1651" s="18"/>
    </row>
    <row r="1652" spans="1:8" x14ac:dyDescent="0.2">
      <c r="A1652" s="17"/>
      <c r="B1652" s="17"/>
      <c r="C1652" s="18"/>
      <c r="D1652" s="18"/>
      <c r="E1652" s="18"/>
      <c r="F1652" s="18"/>
      <c r="G1652" s="18"/>
      <c r="H1652" s="18"/>
    </row>
    <row r="1653" spans="1:8" x14ac:dyDescent="0.2">
      <c r="A1653" s="17"/>
      <c r="B1653" s="17"/>
      <c r="C1653" s="18"/>
      <c r="D1653" s="18"/>
      <c r="E1653" s="18"/>
      <c r="F1653" s="18"/>
      <c r="G1653" s="18"/>
      <c r="H1653" s="18"/>
    </row>
    <row r="1654" spans="1:8" x14ac:dyDescent="0.2">
      <c r="A1654" s="17"/>
      <c r="B1654" s="17"/>
      <c r="C1654" s="18"/>
      <c r="D1654" s="18"/>
      <c r="E1654" s="18"/>
      <c r="F1654" s="18"/>
      <c r="G1654" s="18"/>
      <c r="H1654" s="18"/>
    </row>
    <row r="1655" spans="1:8" x14ac:dyDescent="0.2">
      <c r="A1655" s="17"/>
      <c r="B1655" s="17"/>
      <c r="C1655" s="18"/>
      <c r="D1655" s="18"/>
      <c r="E1655" s="18"/>
      <c r="F1655" s="18"/>
      <c r="G1655" s="18"/>
      <c r="H1655" s="18"/>
    </row>
    <row r="1656" spans="1:8" x14ac:dyDescent="0.2">
      <c r="A1656" s="17"/>
      <c r="B1656" s="17"/>
      <c r="C1656" s="18"/>
      <c r="D1656" s="18"/>
      <c r="E1656" s="18"/>
      <c r="F1656" s="18"/>
      <c r="G1656" s="18"/>
      <c r="H1656" s="18"/>
    </row>
    <row r="1657" spans="1:8" x14ac:dyDescent="0.2">
      <c r="A1657" s="17"/>
      <c r="B1657" s="17"/>
      <c r="C1657" s="18"/>
      <c r="D1657" s="18"/>
      <c r="E1657" s="18"/>
      <c r="F1657" s="18"/>
      <c r="G1657" s="18"/>
      <c r="H1657" s="18"/>
    </row>
    <row r="1658" spans="1:8" x14ac:dyDescent="0.2">
      <c r="A1658" s="17"/>
      <c r="B1658" s="17"/>
      <c r="C1658" s="18"/>
      <c r="D1658" s="18"/>
      <c r="E1658" s="18"/>
      <c r="F1658" s="18"/>
      <c r="G1658" s="18"/>
      <c r="H1658" s="18"/>
    </row>
    <row r="1659" spans="1:8" x14ac:dyDescent="0.2">
      <c r="A1659" s="17"/>
      <c r="B1659" s="17"/>
      <c r="C1659" s="18"/>
      <c r="D1659" s="18"/>
      <c r="E1659" s="18"/>
      <c r="F1659" s="18"/>
      <c r="G1659" s="18"/>
      <c r="H1659" s="18"/>
    </row>
    <row r="1660" spans="1:8" x14ac:dyDescent="0.2">
      <c r="A1660" s="17"/>
      <c r="B1660" s="17"/>
      <c r="C1660" s="18"/>
      <c r="D1660" s="18"/>
      <c r="E1660" s="18"/>
      <c r="F1660" s="18"/>
      <c r="G1660" s="18"/>
      <c r="H1660" s="18"/>
    </row>
    <row r="1661" spans="1:8" x14ac:dyDescent="0.2">
      <c r="A1661" s="17"/>
      <c r="B1661" s="17"/>
      <c r="C1661" s="18"/>
      <c r="D1661" s="18"/>
      <c r="E1661" s="18"/>
      <c r="F1661" s="18"/>
      <c r="G1661" s="18"/>
      <c r="H1661" s="18"/>
    </row>
    <row r="1662" spans="1:8" x14ac:dyDescent="0.2">
      <c r="A1662" s="17"/>
      <c r="B1662" s="17"/>
      <c r="C1662" s="18"/>
      <c r="D1662" s="18"/>
      <c r="E1662" s="18"/>
      <c r="F1662" s="18"/>
      <c r="G1662" s="18"/>
      <c r="H1662" s="18"/>
    </row>
    <row r="1663" spans="1:8" x14ac:dyDescent="0.2">
      <c r="A1663" s="17"/>
      <c r="B1663" s="17"/>
      <c r="C1663" s="18"/>
      <c r="D1663" s="18"/>
      <c r="E1663" s="18"/>
      <c r="F1663" s="18"/>
      <c r="G1663" s="18"/>
      <c r="H1663" s="18"/>
    </row>
    <row r="1664" spans="1:8" x14ac:dyDescent="0.2">
      <c r="A1664" s="17"/>
      <c r="B1664" s="17"/>
      <c r="C1664" s="18"/>
      <c r="D1664" s="18"/>
      <c r="E1664" s="18"/>
      <c r="F1664" s="18"/>
      <c r="G1664" s="18"/>
      <c r="H1664" s="18"/>
    </row>
    <row r="1665" spans="1:8" x14ac:dyDescent="0.2">
      <c r="A1665" s="17"/>
      <c r="B1665" s="17"/>
      <c r="C1665" s="18"/>
      <c r="D1665" s="18"/>
      <c r="E1665" s="18"/>
      <c r="F1665" s="18"/>
      <c r="G1665" s="18"/>
      <c r="H1665" s="18"/>
    </row>
    <row r="1666" spans="1:8" x14ac:dyDescent="0.2">
      <c r="A1666" s="17"/>
      <c r="B1666" s="17"/>
      <c r="C1666" s="18"/>
      <c r="D1666" s="18"/>
      <c r="E1666" s="18"/>
      <c r="F1666" s="18"/>
      <c r="G1666" s="18"/>
      <c r="H1666" s="18"/>
    </row>
    <row r="1667" spans="1:8" x14ac:dyDescent="0.2">
      <c r="A1667" s="17"/>
      <c r="B1667" s="17"/>
      <c r="C1667" s="18"/>
      <c r="D1667" s="18"/>
      <c r="E1667" s="18"/>
      <c r="F1667" s="18"/>
      <c r="G1667" s="18"/>
      <c r="H1667" s="18"/>
    </row>
    <row r="1668" spans="1:8" x14ac:dyDescent="0.2">
      <c r="A1668" s="17"/>
      <c r="B1668" s="17"/>
      <c r="C1668" s="18"/>
      <c r="D1668" s="18"/>
      <c r="E1668" s="18"/>
      <c r="F1668" s="18"/>
      <c r="G1668" s="18"/>
      <c r="H1668" s="18"/>
    </row>
    <row r="1669" spans="1:8" x14ac:dyDescent="0.2">
      <c r="A1669" s="17"/>
      <c r="B1669" s="17"/>
      <c r="C1669" s="18"/>
      <c r="D1669" s="18"/>
      <c r="E1669" s="18"/>
      <c r="F1669" s="18"/>
      <c r="G1669" s="18"/>
      <c r="H1669" s="18"/>
    </row>
    <row r="1670" spans="1:8" x14ac:dyDescent="0.2">
      <c r="A1670" s="17"/>
      <c r="B1670" s="17"/>
      <c r="C1670" s="18"/>
      <c r="D1670" s="18"/>
      <c r="E1670" s="18"/>
      <c r="F1670" s="18"/>
      <c r="G1670" s="18"/>
      <c r="H1670" s="18"/>
    </row>
    <row r="1671" spans="1:8" x14ac:dyDescent="0.2">
      <c r="A1671" s="17"/>
      <c r="B1671" s="17"/>
      <c r="C1671" s="18"/>
      <c r="D1671" s="18"/>
      <c r="E1671" s="18"/>
      <c r="F1671" s="18"/>
      <c r="G1671" s="18"/>
      <c r="H1671" s="18"/>
    </row>
    <row r="1672" spans="1:8" x14ac:dyDescent="0.2">
      <c r="A1672" s="17"/>
      <c r="B1672" s="17"/>
      <c r="C1672" s="18"/>
      <c r="D1672" s="18"/>
      <c r="E1672" s="18"/>
      <c r="F1672" s="18"/>
      <c r="G1672" s="18"/>
      <c r="H1672" s="18"/>
    </row>
    <row r="1673" spans="1:8" x14ac:dyDescent="0.2">
      <c r="A1673" s="17"/>
      <c r="B1673" s="17"/>
      <c r="C1673" s="18"/>
      <c r="D1673" s="18"/>
      <c r="E1673" s="18"/>
      <c r="F1673" s="18"/>
      <c r="G1673" s="18"/>
      <c r="H1673" s="18"/>
    </row>
    <row r="1674" spans="1:8" x14ac:dyDescent="0.2">
      <c r="A1674" s="17"/>
      <c r="B1674" s="17"/>
      <c r="C1674" s="18"/>
      <c r="D1674" s="18"/>
      <c r="E1674" s="18"/>
      <c r="F1674" s="18"/>
      <c r="G1674" s="18"/>
      <c r="H1674" s="18"/>
    </row>
    <row r="1675" spans="1:8" x14ac:dyDescent="0.2">
      <c r="A1675" s="17"/>
      <c r="B1675" s="17"/>
      <c r="C1675" s="18"/>
      <c r="D1675" s="18"/>
      <c r="E1675" s="18"/>
      <c r="F1675" s="18"/>
      <c r="G1675" s="18"/>
      <c r="H1675" s="18"/>
    </row>
    <row r="1676" spans="1:8" x14ac:dyDescent="0.2">
      <c r="A1676" s="17"/>
      <c r="B1676" s="17"/>
      <c r="C1676" s="18"/>
      <c r="D1676" s="18"/>
      <c r="E1676" s="18"/>
      <c r="F1676" s="18"/>
      <c r="G1676" s="18"/>
      <c r="H1676" s="18"/>
    </row>
    <row r="1677" spans="1:8" x14ac:dyDescent="0.2">
      <c r="A1677" s="17"/>
      <c r="B1677" s="17"/>
      <c r="C1677" s="18"/>
      <c r="D1677" s="18"/>
      <c r="E1677" s="18"/>
      <c r="F1677" s="18"/>
      <c r="G1677" s="18"/>
      <c r="H1677" s="18"/>
    </row>
    <row r="1678" spans="1:8" x14ac:dyDescent="0.2">
      <c r="A1678" s="17"/>
      <c r="B1678" s="17"/>
      <c r="C1678" s="18"/>
      <c r="D1678" s="18"/>
      <c r="E1678" s="18"/>
      <c r="F1678" s="18"/>
      <c r="G1678" s="18"/>
      <c r="H1678" s="18"/>
    </row>
    <row r="1679" spans="1:8" x14ac:dyDescent="0.2">
      <c r="A1679" s="17"/>
      <c r="B1679" s="17"/>
      <c r="C1679" s="18"/>
      <c r="D1679" s="18"/>
      <c r="E1679" s="18"/>
      <c r="F1679" s="18"/>
      <c r="G1679" s="18"/>
      <c r="H1679" s="18"/>
    </row>
    <row r="1680" spans="1:8" x14ac:dyDescent="0.2">
      <c r="A1680" s="17"/>
      <c r="B1680" s="17"/>
      <c r="C1680" s="18"/>
      <c r="D1680" s="18"/>
      <c r="E1680" s="18"/>
      <c r="F1680" s="18"/>
      <c r="G1680" s="18"/>
      <c r="H1680" s="18"/>
    </row>
    <row r="1681" spans="1:8" x14ac:dyDescent="0.2">
      <c r="A1681" s="17"/>
      <c r="B1681" s="17"/>
      <c r="C1681" s="18"/>
      <c r="D1681" s="18"/>
      <c r="E1681" s="18"/>
      <c r="F1681" s="18"/>
      <c r="G1681" s="18"/>
      <c r="H1681" s="18"/>
    </row>
    <row r="1682" spans="1:8" x14ac:dyDescent="0.2">
      <c r="A1682" s="17"/>
      <c r="B1682" s="17"/>
      <c r="C1682" s="18"/>
      <c r="D1682" s="18"/>
      <c r="E1682" s="18"/>
      <c r="F1682" s="18"/>
      <c r="G1682" s="18"/>
      <c r="H1682" s="18"/>
    </row>
    <row r="1683" spans="1:8" x14ac:dyDescent="0.2">
      <c r="A1683" s="17"/>
      <c r="B1683" s="17"/>
      <c r="C1683" s="18"/>
      <c r="D1683" s="18"/>
      <c r="E1683" s="18"/>
      <c r="F1683" s="18"/>
      <c r="G1683" s="18"/>
      <c r="H1683" s="18"/>
    </row>
    <row r="1684" spans="1:8" x14ac:dyDescent="0.2">
      <c r="A1684" s="17"/>
      <c r="B1684" s="17"/>
      <c r="C1684" s="18"/>
      <c r="D1684" s="18"/>
      <c r="E1684" s="18"/>
      <c r="F1684" s="18"/>
      <c r="G1684" s="18"/>
      <c r="H1684" s="18"/>
    </row>
    <row r="1685" spans="1:8" x14ac:dyDescent="0.2">
      <c r="A1685" s="17"/>
      <c r="B1685" s="17"/>
      <c r="C1685" s="18"/>
      <c r="D1685" s="18"/>
      <c r="E1685" s="18"/>
      <c r="F1685" s="18"/>
      <c r="G1685" s="18"/>
      <c r="H1685" s="18"/>
    </row>
    <row r="1686" spans="1:8" x14ac:dyDescent="0.2">
      <c r="A1686" s="17"/>
      <c r="B1686" s="17"/>
      <c r="C1686" s="18"/>
      <c r="D1686" s="18"/>
      <c r="E1686" s="18"/>
      <c r="F1686" s="18"/>
      <c r="G1686" s="18"/>
      <c r="H1686" s="18"/>
    </row>
    <row r="1687" spans="1:8" x14ac:dyDescent="0.2">
      <c r="A1687" s="17"/>
      <c r="B1687" s="17"/>
      <c r="C1687" s="18"/>
      <c r="D1687" s="18"/>
      <c r="E1687" s="18"/>
      <c r="F1687" s="18"/>
      <c r="G1687" s="18"/>
      <c r="H1687" s="18"/>
    </row>
    <row r="1688" spans="1:8" x14ac:dyDescent="0.2">
      <c r="A1688" s="17"/>
      <c r="B1688" s="17"/>
      <c r="C1688" s="18"/>
      <c r="D1688" s="18"/>
      <c r="E1688" s="18"/>
      <c r="F1688" s="18"/>
      <c r="G1688" s="18"/>
      <c r="H1688" s="18"/>
    </row>
    <row r="1689" spans="1:8" x14ac:dyDescent="0.2">
      <c r="A1689" s="17"/>
      <c r="B1689" s="17"/>
      <c r="C1689" s="18"/>
      <c r="D1689" s="18"/>
      <c r="E1689" s="18"/>
      <c r="F1689" s="18"/>
      <c r="G1689" s="18"/>
      <c r="H1689" s="18"/>
    </row>
    <row r="1690" spans="1:8" x14ac:dyDescent="0.2">
      <c r="A1690" s="17"/>
      <c r="B1690" s="17"/>
      <c r="C1690" s="18"/>
      <c r="D1690" s="18"/>
      <c r="E1690" s="18"/>
      <c r="F1690" s="18"/>
      <c r="G1690" s="18"/>
      <c r="H1690" s="18"/>
    </row>
    <row r="1691" spans="1:8" x14ac:dyDescent="0.2">
      <c r="A1691" s="17"/>
      <c r="B1691" s="17"/>
      <c r="C1691" s="18"/>
      <c r="D1691" s="18"/>
      <c r="E1691" s="18"/>
      <c r="F1691" s="18"/>
      <c r="G1691" s="18"/>
      <c r="H1691" s="18"/>
    </row>
    <row r="1692" spans="1:8" x14ac:dyDescent="0.2">
      <c r="A1692" s="17"/>
      <c r="B1692" s="17"/>
      <c r="C1692" s="18"/>
      <c r="D1692" s="18"/>
      <c r="E1692" s="18"/>
      <c r="F1692" s="18"/>
      <c r="G1692" s="18"/>
      <c r="H1692" s="18"/>
    </row>
    <row r="1693" spans="1:8" x14ac:dyDescent="0.2">
      <c r="A1693" s="17"/>
      <c r="B1693" s="17"/>
      <c r="C1693" s="18"/>
      <c r="D1693" s="18"/>
      <c r="E1693" s="18"/>
      <c r="F1693" s="18"/>
      <c r="G1693" s="18"/>
      <c r="H1693" s="18"/>
    </row>
    <row r="1694" spans="1:8" x14ac:dyDescent="0.2">
      <c r="A1694" s="17"/>
      <c r="B1694" s="17"/>
      <c r="C1694" s="18"/>
      <c r="D1694" s="18"/>
      <c r="E1694" s="18"/>
      <c r="F1694" s="18"/>
      <c r="G1694" s="18"/>
      <c r="H1694" s="18"/>
    </row>
    <row r="1695" spans="1:8" x14ac:dyDescent="0.2">
      <c r="A1695" s="17"/>
      <c r="B1695" s="17"/>
      <c r="C1695" s="18"/>
      <c r="D1695" s="18"/>
      <c r="E1695" s="18"/>
      <c r="F1695" s="18"/>
      <c r="G1695" s="18"/>
      <c r="H1695" s="18"/>
    </row>
    <row r="1696" spans="1:8" x14ac:dyDescent="0.2">
      <c r="A1696" s="17"/>
      <c r="B1696" s="17"/>
      <c r="C1696" s="18"/>
      <c r="D1696" s="18"/>
      <c r="E1696" s="18"/>
      <c r="F1696" s="18"/>
      <c r="G1696" s="18"/>
      <c r="H1696" s="18"/>
    </row>
    <row r="1697" spans="1:8" x14ac:dyDescent="0.2">
      <c r="A1697" s="17"/>
      <c r="B1697" s="17"/>
      <c r="C1697" s="18"/>
      <c r="D1697" s="18"/>
      <c r="E1697" s="18"/>
      <c r="F1697" s="18"/>
      <c r="G1697" s="18"/>
      <c r="H1697" s="18"/>
    </row>
    <row r="1698" spans="1:8" x14ac:dyDescent="0.2">
      <c r="A1698" s="17"/>
      <c r="B1698" s="17"/>
      <c r="C1698" s="18"/>
      <c r="D1698" s="18"/>
      <c r="E1698" s="18"/>
      <c r="F1698" s="18"/>
      <c r="G1698" s="18"/>
      <c r="H1698" s="18"/>
    </row>
    <row r="1699" spans="1:8" x14ac:dyDescent="0.2">
      <c r="A1699" s="17"/>
      <c r="B1699" s="17"/>
      <c r="C1699" s="18"/>
      <c r="D1699" s="18"/>
      <c r="E1699" s="18"/>
      <c r="F1699" s="18"/>
      <c r="G1699" s="18"/>
      <c r="H1699" s="18"/>
    </row>
    <row r="1700" spans="1:8" x14ac:dyDescent="0.2">
      <c r="A1700" s="17"/>
      <c r="B1700" s="17"/>
      <c r="C1700" s="18"/>
      <c r="D1700" s="18"/>
      <c r="E1700" s="18"/>
      <c r="F1700" s="18"/>
      <c r="G1700" s="18"/>
      <c r="H1700" s="18"/>
    </row>
    <row r="1701" spans="1:8" x14ac:dyDescent="0.2">
      <c r="A1701" s="17"/>
      <c r="B1701" s="17"/>
      <c r="C1701" s="18"/>
      <c r="D1701" s="18"/>
      <c r="E1701" s="18"/>
      <c r="F1701" s="18"/>
      <c r="G1701" s="18"/>
      <c r="H1701" s="18"/>
    </row>
    <row r="1702" spans="1:8" x14ac:dyDescent="0.2">
      <c r="A1702" s="17"/>
      <c r="B1702" s="17"/>
      <c r="C1702" s="18"/>
      <c r="D1702" s="18"/>
      <c r="E1702" s="18"/>
      <c r="F1702" s="18"/>
      <c r="G1702" s="18"/>
      <c r="H1702" s="18"/>
    </row>
    <row r="1703" spans="1:8" x14ac:dyDescent="0.2">
      <c r="A1703" s="17"/>
      <c r="B1703" s="17"/>
      <c r="C1703" s="18"/>
      <c r="D1703" s="18"/>
      <c r="E1703" s="18"/>
      <c r="F1703" s="18"/>
      <c r="G1703" s="18"/>
      <c r="H1703" s="18"/>
    </row>
    <row r="1704" spans="1:8" x14ac:dyDescent="0.2">
      <c r="A1704" s="17"/>
      <c r="B1704" s="17"/>
      <c r="C1704" s="18"/>
      <c r="D1704" s="18"/>
      <c r="E1704" s="18"/>
      <c r="F1704" s="18"/>
      <c r="G1704" s="18"/>
      <c r="H1704" s="18"/>
    </row>
    <row r="1705" spans="1:8" x14ac:dyDescent="0.2">
      <c r="A1705" s="17"/>
      <c r="B1705" s="17"/>
      <c r="C1705" s="18"/>
      <c r="D1705" s="18"/>
      <c r="E1705" s="18"/>
      <c r="F1705" s="18"/>
      <c r="G1705" s="18"/>
      <c r="H1705" s="18"/>
    </row>
    <row r="1706" spans="1:8" x14ac:dyDescent="0.2">
      <c r="A1706" s="17"/>
      <c r="B1706" s="17"/>
      <c r="C1706" s="18"/>
      <c r="D1706" s="18"/>
      <c r="E1706" s="18"/>
      <c r="F1706" s="18"/>
      <c r="G1706" s="18"/>
      <c r="H1706" s="18"/>
    </row>
    <row r="1707" spans="1:8" x14ac:dyDescent="0.2">
      <c r="A1707" s="17"/>
      <c r="B1707" s="17"/>
      <c r="C1707" s="18"/>
      <c r="D1707" s="18"/>
      <c r="E1707" s="18"/>
      <c r="F1707" s="18"/>
      <c r="G1707" s="18"/>
      <c r="H1707" s="18"/>
    </row>
    <row r="1708" spans="1:8" x14ac:dyDescent="0.2">
      <c r="A1708" s="17"/>
      <c r="B1708" s="17"/>
      <c r="C1708" s="18"/>
      <c r="D1708" s="18"/>
      <c r="E1708" s="18"/>
      <c r="F1708" s="18"/>
      <c r="G1708" s="18"/>
      <c r="H1708" s="18"/>
    </row>
    <row r="1709" spans="1:8" x14ac:dyDescent="0.2">
      <c r="A1709" s="17"/>
      <c r="B1709" s="17"/>
      <c r="C1709" s="18"/>
      <c r="D1709" s="18"/>
      <c r="E1709" s="18"/>
      <c r="F1709" s="18"/>
      <c r="G1709" s="18"/>
      <c r="H1709" s="18"/>
    </row>
    <row r="1710" spans="1:8" x14ac:dyDescent="0.2">
      <c r="A1710" s="17"/>
      <c r="B1710" s="17"/>
      <c r="C1710" s="18"/>
      <c r="D1710" s="18"/>
      <c r="E1710" s="18"/>
      <c r="F1710" s="18"/>
      <c r="G1710" s="18"/>
      <c r="H1710" s="18"/>
    </row>
    <row r="1711" spans="1:8" x14ac:dyDescent="0.2">
      <c r="A1711" s="17"/>
      <c r="B1711" s="17"/>
      <c r="C1711" s="18"/>
      <c r="D1711" s="18"/>
      <c r="E1711" s="18"/>
      <c r="F1711" s="18"/>
      <c r="G1711" s="18"/>
      <c r="H1711" s="18"/>
    </row>
    <row r="1712" spans="1:8" x14ac:dyDescent="0.2">
      <c r="A1712" s="17"/>
      <c r="B1712" s="17"/>
      <c r="C1712" s="18"/>
      <c r="D1712" s="18"/>
      <c r="E1712" s="18"/>
      <c r="F1712" s="18"/>
      <c r="G1712" s="18"/>
      <c r="H1712" s="18"/>
    </row>
    <row r="1713" spans="1:8" x14ac:dyDescent="0.2">
      <c r="A1713" s="17"/>
      <c r="B1713" s="17"/>
      <c r="C1713" s="18"/>
      <c r="D1713" s="18"/>
      <c r="E1713" s="18"/>
      <c r="F1713" s="18"/>
      <c r="G1713" s="18"/>
      <c r="H1713" s="18"/>
    </row>
    <row r="1714" spans="1:8" x14ac:dyDescent="0.2">
      <c r="A1714" s="17"/>
      <c r="B1714" s="17"/>
      <c r="C1714" s="18"/>
      <c r="D1714" s="18"/>
      <c r="E1714" s="18"/>
      <c r="F1714" s="18"/>
      <c r="G1714" s="18"/>
      <c r="H1714" s="18"/>
    </row>
    <row r="1715" spans="1:8" x14ac:dyDescent="0.2">
      <c r="A1715" s="17"/>
      <c r="B1715" s="17"/>
      <c r="C1715" s="18"/>
      <c r="D1715" s="18"/>
      <c r="E1715" s="18"/>
      <c r="F1715" s="18"/>
      <c r="G1715" s="18"/>
      <c r="H1715" s="18"/>
    </row>
    <row r="1716" spans="1:8" x14ac:dyDescent="0.2">
      <c r="A1716" s="17"/>
      <c r="B1716" s="17"/>
      <c r="C1716" s="18"/>
      <c r="D1716" s="18"/>
      <c r="E1716" s="18"/>
      <c r="F1716" s="18"/>
      <c r="G1716" s="18"/>
      <c r="H1716" s="18"/>
    </row>
    <row r="1717" spans="1:8" x14ac:dyDescent="0.2">
      <c r="A1717" s="17"/>
      <c r="B1717" s="17"/>
      <c r="C1717" s="18"/>
      <c r="D1717" s="18"/>
      <c r="E1717" s="18"/>
      <c r="F1717" s="18"/>
      <c r="G1717" s="18"/>
      <c r="H1717" s="18"/>
    </row>
    <row r="1718" spans="1:8" x14ac:dyDescent="0.2">
      <c r="A1718" s="17"/>
      <c r="B1718" s="17"/>
      <c r="C1718" s="18"/>
      <c r="D1718" s="18"/>
      <c r="E1718" s="18"/>
      <c r="F1718" s="18"/>
      <c r="G1718" s="18"/>
      <c r="H1718" s="18"/>
    </row>
    <row r="1719" spans="1:8" x14ac:dyDescent="0.2">
      <c r="A1719" s="17"/>
      <c r="B1719" s="17"/>
      <c r="C1719" s="18"/>
      <c r="D1719" s="18"/>
      <c r="E1719" s="18"/>
      <c r="F1719" s="18"/>
      <c r="G1719" s="18"/>
      <c r="H1719" s="18"/>
    </row>
    <row r="1720" spans="1:8" x14ac:dyDescent="0.2">
      <c r="A1720" s="17"/>
      <c r="B1720" s="17"/>
      <c r="C1720" s="18"/>
      <c r="D1720" s="18"/>
      <c r="E1720" s="18"/>
      <c r="F1720" s="18"/>
      <c r="G1720" s="18"/>
      <c r="H1720" s="18"/>
    </row>
    <row r="1721" spans="1:8" x14ac:dyDescent="0.2">
      <c r="A1721" s="17"/>
      <c r="B1721" s="17"/>
      <c r="C1721" s="18"/>
      <c r="D1721" s="18"/>
      <c r="E1721" s="18"/>
      <c r="F1721" s="18"/>
      <c r="G1721" s="18"/>
      <c r="H1721" s="18"/>
    </row>
    <row r="1722" spans="1:8" x14ac:dyDescent="0.2">
      <c r="A1722" s="17"/>
      <c r="B1722" s="17"/>
      <c r="C1722" s="18"/>
      <c r="D1722" s="18"/>
      <c r="E1722" s="18"/>
      <c r="F1722" s="18"/>
      <c r="G1722" s="18"/>
      <c r="H1722" s="18"/>
    </row>
    <row r="1723" spans="1:8" x14ac:dyDescent="0.2">
      <c r="A1723" s="17"/>
      <c r="B1723" s="17"/>
      <c r="C1723" s="18"/>
      <c r="D1723" s="18"/>
      <c r="E1723" s="18"/>
      <c r="F1723" s="18"/>
      <c r="G1723" s="18"/>
      <c r="H1723" s="18"/>
    </row>
    <row r="1724" spans="1:8" x14ac:dyDescent="0.2">
      <c r="A1724" s="17"/>
      <c r="B1724" s="17"/>
      <c r="C1724" s="18"/>
      <c r="D1724" s="18"/>
      <c r="E1724" s="18"/>
      <c r="F1724" s="18"/>
      <c r="G1724" s="18"/>
      <c r="H1724" s="18"/>
    </row>
    <row r="1725" spans="1:8" x14ac:dyDescent="0.2">
      <c r="A1725" s="17"/>
      <c r="B1725" s="17"/>
      <c r="C1725" s="18"/>
      <c r="D1725" s="18"/>
      <c r="E1725" s="18"/>
      <c r="F1725" s="18"/>
      <c r="G1725" s="18"/>
      <c r="H1725" s="18"/>
    </row>
    <row r="1726" spans="1:8" x14ac:dyDescent="0.2">
      <c r="A1726" s="17"/>
      <c r="B1726" s="17"/>
      <c r="C1726" s="18"/>
      <c r="D1726" s="18"/>
      <c r="E1726" s="18"/>
      <c r="F1726" s="18"/>
      <c r="G1726" s="18"/>
      <c r="H1726" s="18"/>
    </row>
    <row r="1727" spans="1:8" x14ac:dyDescent="0.2">
      <c r="A1727" s="17"/>
      <c r="B1727" s="17"/>
      <c r="C1727" s="18"/>
      <c r="D1727" s="18"/>
      <c r="E1727" s="18"/>
      <c r="F1727" s="18"/>
      <c r="G1727" s="18"/>
      <c r="H1727" s="18"/>
    </row>
    <row r="1728" spans="1:8" x14ac:dyDescent="0.2">
      <c r="A1728" s="17"/>
      <c r="B1728" s="17"/>
      <c r="C1728" s="18"/>
      <c r="D1728" s="18"/>
      <c r="E1728" s="18"/>
      <c r="F1728" s="18"/>
      <c r="G1728" s="18"/>
      <c r="H1728" s="18"/>
    </row>
    <row r="1729" spans="1:8" x14ac:dyDescent="0.2">
      <c r="A1729" s="17"/>
      <c r="B1729" s="17"/>
      <c r="C1729" s="18"/>
      <c r="D1729" s="18"/>
      <c r="E1729" s="18"/>
      <c r="F1729" s="18"/>
      <c r="G1729" s="18"/>
      <c r="H1729" s="18"/>
    </row>
    <row r="1730" spans="1:8" x14ac:dyDescent="0.2">
      <c r="A1730" s="17"/>
      <c r="B1730" s="17"/>
      <c r="C1730" s="18"/>
      <c r="D1730" s="18"/>
      <c r="E1730" s="18"/>
      <c r="F1730" s="18"/>
      <c r="G1730" s="18"/>
      <c r="H1730" s="18"/>
    </row>
    <row r="1731" spans="1:8" x14ac:dyDescent="0.2">
      <c r="A1731" s="17"/>
      <c r="B1731" s="17"/>
      <c r="C1731" s="18"/>
      <c r="D1731" s="18"/>
      <c r="E1731" s="18"/>
      <c r="F1731" s="18"/>
      <c r="G1731" s="18"/>
      <c r="H1731" s="18"/>
    </row>
    <row r="1732" spans="1:8" x14ac:dyDescent="0.2">
      <c r="A1732" s="17"/>
      <c r="B1732" s="17"/>
      <c r="C1732" s="18"/>
      <c r="D1732" s="18"/>
      <c r="E1732" s="18"/>
      <c r="F1732" s="18"/>
      <c r="G1732" s="18"/>
      <c r="H1732" s="18"/>
    </row>
    <row r="1733" spans="1:8" x14ac:dyDescent="0.2">
      <c r="A1733" s="17"/>
      <c r="B1733" s="17"/>
      <c r="C1733" s="18"/>
      <c r="D1733" s="18"/>
      <c r="E1733" s="18"/>
      <c r="F1733" s="18"/>
      <c r="G1733" s="18"/>
      <c r="H1733" s="18"/>
    </row>
    <row r="1734" spans="1:8" x14ac:dyDescent="0.2">
      <c r="A1734" s="17"/>
      <c r="B1734" s="17"/>
      <c r="C1734" s="18"/>
      <c r="D1734" s="18"/>
      <c r="E1734" s="18"/>
      <c r="F1734" s="18"/>
      <c r="G1734" s="18"/>
      <c r="H1734" s="18"/>
    </row>
    <row r="1735" spans="1:8" x14ac:dyDescent="0.2">
      <c r="A1735" s="17"/>
      <c r="B1735" s="17"/>
      <c r="C1735" s="18"/>
      <c r="D1735" s="18"/>
      <c r="E1735" s="18"/>
      <c r="F1735" s="18"/>
      <c r="G1735" s="18"/>
      <c r="H1735" s="18"/>
    </row>
    <row r="1736" spans="1:8" x14ac:dyDescent="0.2">
      <c r="A1736" s="17"/>
      <c r="B1736" s="17"/>
      <c r="C1736" s="18"/>
      <c r="D1736" s="18"/>
      <c r="E1736" s="18"/>
      <c r="F1736" s="18"/>
      <c r="G1736" s="18"/>
      <c r="H1736" s="18"/>
    </row>
    <row r="1737" spans="1:8" x14ac:dyDescent="0.2">
      <c r="A1737" s="17"/>
      <c r="B1737" s="17"/>
      <c r="C1737" s="18"/>
      <c r="D1737" s="18"/>
      <c r="E1737" s="18"/>
      <c r="F1737" s="18"/>
      <c r="G1737" s="18"/>
      <c r="H1737" s="18"/>
    </row>
    <row r="1738" spans="1:8" x14ac:dyDescent="0.2">
      <c r="A1738" s="17"/>
      <c r="B1738" s="17"/>
      <c r="C1738" s="18"/>
      <c r="D1738" s="18"/>
      <c r="E1738" s="18"/>
      <c r="F1738" s="18"/>
      <c r="G1738" s="18"/>
      <c r="H1738" s="18"/>
    </row>
    <row r="1739" spans="1:8" x14ac:dyDescent="0.2">
      <c r="A1739" s="17"/>
      <c r="B1739" s="17"/>
      <c r="C1739" s="18"/>
      <c r="D1739" s="18"/>
      <c r="E1739" s="18"/>
      <c r="F1739" s="18"/>
      <c r="G1739" s="18"/>
      <c r="H1739" s="18"/>
    </row>
    <row r="1740" spans="1:8" x14ac:dyDescent="0.2">
      <c r="A1740" s="17"/>
      <c r="B1740" s="17"/>
      <c r="C1740" s="18"/>
      <c r="D1740" s="18"/>
      <c r="E1740" s="18"/>
      <c r="F1740" s="18"/>
      <c r="G1740" s="18"/>
      <c r="H1740" s="18"/>
    </row>
    <row r="1741" spans="1:8" x14ac:dyDescent="0.2">
      <c r="A1741" s="17"/>
      <c r="B1741" s="17"/>
      <c r="C1741" s="18"/>
      <c r="D1741" s="18"/>
      <c r="E1741" s="18"/>
      <c r="F1741" s="18"/>
      <c r="G1741" s="18"/>
      <c r="H1741" s="18"/>
    </row>
    <row r="1742" spans="1:8" x14ac:dyDescent="0.2">
      <c r="A1742" s="17"/>
      <c r="B1742" s="17"/>
      <c r="C1742" s="18"/>
      <c r="D1742" s="18"/>
      <c r="E1742" s="18"/>
      <c r="F1742" s="18"/>
      <c r="G1742" s="18"/>
      <c r="H1742" s="18"/>
    </row>
    <row r="1743" spans="1:8" x14ac:dyDescent="0.2">
      <c r="A1743" s="17"/>
      <c r="B1743" s="17"/>
      <c r="C1743" s="18"/>
      <c r="D1743" s="18"/>
      <c r="E1743" s="18"/>
      <c r="F1743" s="18"/>
      <c r="G1743" s="18"/>
      <c r="H1743" s="18"/>
    </row>
    <row r="1744" spans="1:8" x14ac:dyDescent="0.2">
      <c r="A1744" s="17"/>
      <c r="B1744" s="17"/>
      <c r="C1744" s="18"/>
      <c r="D1744" s="18"/>
      <c r="E1744" s="18"/>
      <c r="F1744" s="18"/>
      <c r="G1744" s="18"/>
      <c r="H1744" s="18"/>
    </row>
    <row r="1745" spans="1:8" x14ac:dyDescent="0.2">
      <c r="A1745" s="17"/>
      <c r="B1745" s="17"/>
      <c r="C1745" s="18"/>
      <c r="D1745" s="18"/>
      <c r="E1745" s="18"/>
      <c r="F1745" s="18"/>
      <c r="G1745" s="18"/>
      <c r="H1745" s="18"/>
    </row>
    <row r="1746" spans="1:8" x14ac:dyDescent="0.2">
      <c r="A1746" s="17"/>
      <c r="B1746" s="17"/>
      <c r="C1746" s="18"/>
      <c r="D1746" s="18"/>
      <c r="E1746" s="18"/>
      <c r="F1746" s="18"/>
      <c r="G1746" s="18"/>
      <c r="H1746" s="18"/>
    </row>
    <row r="1747" spans="1:8" x14ac:dyDescent="0.2">
      <c r="A1747" s="17"/>
      <c r="B1747" s="17"/>
      <c r="C1747" s="18"/>
      <c r="D1747" s="18"/>
      <c r="E1747" s="18"/>
      <c r="F1747" s="18"/>
      <c r="G1747" s="18"/>
      <c r="H1747" s="18"/>
    </row>
    <row r="1748" spans="1:8" x14ac:dyDescent="0.2">
      <c r="A1748" s="17"/>
      <c r="B1748" s="17"/>
      <c r="C1748" s="18"/>
      <c r="D1748" s="18"/>
      <c r="E1748" s="18"/>
      <c r="F1748" s="18"/>
      <c r="G1748" s="18"/>
      <c r="H1748" s="18"/>
    </row>
    <row r="1749" spans="1:8" x14ac:dyDescent="0.2">
      <c r="A1749" s="17"/>
      <c r="B1749" s="17"/>
      <c r="C1749" s="18"/>
      <c r="D1749" s="18"/>
      <c r="E1749" s="18"/>
      <c r="F1749" s="18"/>
      <c r="G1749" s="18"/>
      <c r="H1749" s="18"/>
    </row>
    <row r="1750" spans="1:8" x14ac:dyDescent="0.2">
      <c r="A1750" s="17"/>
      <c r="B1750" s="17"/>
      <c r="C1750" s="18"/>
      <c r="D1750" s="18"/>
      <c r="E1750" s="18"/>
      <c r="F1750" s="18"/>
      <c r="G1750" s="18"/>
      <c r="H1750" s="18"/>
    </row>
    <row r="1751" spans="1:8" x14ac:dyDescent="0.2">
      <c r="A1751" s="17"/>
      <c r="B1751" s="17"/>
      <c r="C1751" s="18"/>
      <c r="D1751" s="18"/>
      <c r="E1751" s="18"/>
      <c r="F1751" s="18"/>
      <c r="G1751" s="18"/>
      <c r="H1751" s="18"/>
    </row>
    <row r="1752" spans="1:8" x14ac:dyDescent="0.2">
      <c r="A1752" s="17"/>
      <c r="B1752" s="17"/>
      <c r="C1752" s="18"/>
      <c r="D1752" s="18"/>
      <c r="E1752" s="18"/>
      <c r="F1752" s="18"/>
      <c r="G1752" s="18"/>
      <c r="H1752" s="18"/>
    </row>
    <row r="1753" spans="1:8" x14ac:dyDescent="0.2">
      <c r="A1753" s="17"/>
      <c r="B1753" s="17"/>
      <c r="C1753" s="18"/>
      <c r="D1753" s="18"/>
      <c r="E1753" s="18"/>
      <c r="F1753" s="18"/>
      <c r="G1753" s="18"/>
      <c r="H1753" s="18"/>
    </row>
    <row r="1754" spans="1:8" x14ac:dyDescent="0.2">
      <c r="A1754" s="17"/>
      <c r="B1754" s="17"/>
      <c r="C1754" s="18"/>
      <c r="D1754" s="18"/>
      <c r="E1754" s="18"/>
      <c r="F1754" s="18"/>
      <c r="G1754" s="18"/>
      <c r="H1754" s="18"/>
    </row>
    <row r="1755" spans="1:8" x14ac:dyDescent="0.2">
      <c r="A1755" s="17"/>
      <c r="B1755" s="17"/>
      <c r="C1755" s="18"/>
      <c r="D1755" s="18"/>
      <c r="E1755" s="18"/>
      <c r="F1755" s="18"/>
      <c r="G1755" s="18"/>
      <c r="H1755" s="18"/>
    </row>
    <row r="1756" spans="1:8" x14ac:dyDescent="0.2">
      <c r="A1756" s="17"/>
      <c r="B1756" s="17"/>
      <c r="C1756" s="18"/>
      <c r="D1756" s="18"/>
      <c r="E1756" s="18"/>
      <c r="F1756" s="18"/>
      <c r="G1756" s="18"/>
      <c r="H1756" s="18"/>
    </row>
    <row r="1757" spans="1:8" x14ac:dyDescent="0.2">
      <c r="A1757" s="17"/>
      <c r="B1757" s="17"/>
      <c r="C1757" s="18"/>
      <c r="D1757" s="18"/>
      <c r="E1757" s="18"/>
      <c r="F1757" s="18"/>
      <c r="G1757" s="18"/>
      <c r="H1757" s="18"/>
    </row>
    <row r="1758" spans="1:8" x14ac:dyDescent="0.2">
      <c r="A1758" s="17"/>
      <c r="B1758" s="17"/>
      <c r="C1758" s="18"/>
      <c r="D1758" s="18"/>
      <c r="E1758" s="18"/>
      <c r="F1758" s="18"/>
      <c r="G1758" s="18"/>
      <c r="H1758" s="18"/>
    </row>
    <row r="1759" spans="1:8" x14ac:dyDescent="0.2">
      <c r="A1759" s="17"/>
      <c r="B1759" s="17"/>
      <c r="C1759" s="18"/>
      <c r="D1759" s="18"/>
      <c r="E1759" s="18"/>
      <c r="F1759" s="18"/>
      <c r="G1759" s="18"/>
      <c r="H1759" s="18"/>
    </row>
    <row r="1760" spans="1:8" x14ac:dyDescent="0.2">
      <c r="A1760" s="17"/>
      <c r="B1760" s="17"/>
      <c r="C1760" s="18"/>
      <c r="D1760" s="18"/>
      <c r="E1760" s="18"/>
      <c r="F1760" s="18"/>
      <c r="G1760" s="18"/>
      <c r="H1760" s="18"/>
    </row>
    <row r="1761" spans="1:8" x14ac:dyDescent="0.2">
      <c r="A1761" s="17"/>
      <c r="B1761" s="17"/>
      <c r="C1761" s="18"/>
      <c r="D1761" s="18"/>
      <c r="E1761" s="18"/>
      <c r="F1761" s="18"/>
      <c r="G1761" s="18"/>
      <c r="H1761" s="18"/>
    </row>
    <row r="1762" spans="1:8" x14ac:dyDescent="0.2">
      <c r="A1762" s="17"/>
      <c r="B1762" s="17"/>
      <c r="C1762" s="18"/>
      <c r="D1762" s="18"/>
      <c r="E1762" s="18"/>
      <c r="F1762" s="18"/>
      <c r="G1762" s="18"/>
      <c r="H1762" s="18"/>
    </row>
    <row r="1763" spans="1:8" x14ac:dyDescent="0.2">
      <c r="A1763" s="17"/>
      <c r="B1763" s="17"/>
      <c r="C1763" s="18"/>
      <c r="D1763" s="18"/>
      <c r="E1763" s="18"/>
      <c r="F1763" s="18"/>
      <c r="G1763" s="18"/>
      <c r="H1763" s="18"/>
    </row>
    <row r="1764" spans="1:8" x14ac:dyDescent="0.2">
      <c r="A1764" s="17"/>
      <c r="B1764" s="17"/>
      <c r="C1764" s="18"/>
      <c r="D1764" s="18"/>
      <c r="E1764" s="18"/>
      <c r="F1764" s="18"/>
      <c r="G1764" s="18"/>
      <c r="H1764" s="18"/>
    </row>
    <row r="1765" spans="1:8" x14ac:dyDescent="0.2">
      <c r="A1765" s="17"/>
      <c r="B1765" s="17"/>
      <c r="C1765" s="18"/>
      <c r="D1765" s="18"/>
      <c r="E1765" s="18"/>
      <c r="F1765" s="18"/>
      <c r="G1765" s="18"/>
      <c r="H1765" s="18"/>
    </row>
    <row r="1766" spans="1:8" x14ac:dyDescent="0.2">
      <c r="A1766" s="17"/>
      <c r="B1766" s="17"/>
      <c r="C1766" s="18"/>
      <c r="D1766" s="18"/>
      <c r="E1766" s="18"/>
      <c r="F1766" s="18"/>
      <c r="G1766" s="18"/>
      <c r="H1766" s="18"/>
    </row>
    <row r="1767" spans="1:8" x14ac:dyDescent="0.2">
      <c r="A1767" s="17"/>
      <c r="B1767" s="17"/>
      <c r="C1767" s="18"/>
      <c r="D1767" s="18"/>
      <c r="E1767" s="18"/>
      <c r="F1767" s="18"/>
      <c r="G1767" s="18"/>
      <c r="H1767" s="18"/>
    </row>
    <row r="1768" spans="1:8" x14ac:dyDescent="0.2">
      <c r="A1768" s="17"/>
      <c r="B1768" s="17"/>
      <c r="C1768" s="18"/>
      <c r="D1768" s="18"/>
      <c r="E1768" s="18"/>
      <c r="F1768" s="18"/>
      <c r="G1768" s="18"/>
      <c r="H1768" s="18"/>
    </row>
    <row r="1769" spans="1:8" x14ac:dyDescent="0.2">
      <c r="A1769" s="17"/>
      <c r="B1769" s="17"/>
      <c r="C1769" s="18"/>
      <c r="D1769" s="18"/>
      <c r="E1769" s="18"/>
      <c r="F1769" s="18"/>
      <c r="G1769" s="18"/>
      <c r="H1769" s="18"/>
    </row>
    <row r="1770" spans="1:8" x14ac:dyDescent="0.2">
      <c r="A1770" s="17"/>
      <c r="B1770" s="17"/>
      <c r="C1770" s="18"/>
      <c r="D1770" s="18"/>
      <c r="E1770" s="18"/>
      <c r="F1770" s="18"/>
      <c r="G1770" s="18"/>
      <c r="H1770" s="18"/>
    </row>
    <row r="1771" spans="1:8" x14ac:dyDescent="0.2">
      <c r="A1771" s="17"/>
      <c r="B1771" s="17"/>
      <c r="C1771" s="18"/>
      <c r="D1771" s="18"/>
      <c r="E1771" s="18"/>
      <c r="F1771" s="18"/>
      <c r="G1771" s="18"/>
      <c r="H1771" s="18"/>
    </row>
    <row r="1772" spans="1:8" x14ac:dyDescent="0.2">
      <c r="A1772" s="17"/>
      <c r="B1772" s="17"/>
      <c r="C1772" s="18"/>
      <c r="D1772" s="18"/>
      <c r="E1772" s="18"/>
      <c r="F1772" s="18"/>
      <c r="G1772" s="18"/>
      <c r="H1772" s="18"/>
    </row>
    <row r="1773" spans="1:8" x14ac:dyDescent="0.2">
      <c r="A1773" s="17"/>
      <c r="B1773" s="17"/>
      <c r="C1773" s="18"/>
      <c r="D1773" s="18"/>
      <c r="E1773" s="18"/>
      <c r="F1773" s="18"/>
      <c r="G1773" s="18"/>
      <c r="H1773" s="18"/>
    </row>
    <row r="1774" spans="1:8" x14ac:dyDescent="0.2">
      <c r="A1774" s="17"/>
      <c r="B1774" s="17"/>
      <c r="C1774" s="18"/>
      <c r="D1774" s="18"/>
      <c r="E1774" s="18"/>
      <c r="F1774" s="18"/>
      <c r="G1774" s="18"/>
      <c r="H1774" s="18"/>
    </row>
    <row r="1775" spans="1:8" x14ac:dyDescent="0.2">
      <c r="A1775" s="17"/>
      <c r="B1775" s="17"/>
      <c r="C1775" s="18"/>
      <c r="D1775" s="18"/>
      <c r="E1775" s="18"/>
      <c r="F1775" s="18"/>
      <c r="G1775" s="18"/>
      <c r="H1775" s="18"/>
    </row>
    <row r="1776" spans="1:8" x14ac:dyDescent="0.2">
      <c r="A1776" s="17"/>
      <c r="B1776" s="17"/>
      <c r="C1776" s="18"/>
      <c r="D1776" s="18"/>
      <c r="E1776" s="18"/>
      <c r="F1776" s="18"/>
      <c r="G1776" s="18"/>
      <c r="H1776" s="18"/>
    </row>
    <row r="1777" spans="1:8" x14ac:dyDescent="0.2">
      <c r="A1777" s="17"/>
      <c r="B1777" s="17"/>
      <c r="C1777" s="18"/>
      <c r="D1777" s="18"/>
      <c r="E1777" s="18"/>
      <c r="F1777" s="18"/>
      <c r="G1777" s="18"/>
      <c r="H1777" s="18"/>
    </row>
    <row r="1778" spans="1:8" x14ac:dyDescent="0.2">
      <c r="A1778" s="17"/>
      <c r="B1778" s="17"/>
      <c r="C1778" s="18"/>
      <c r="D1778" s="18"/>
      <c r="E1778" s="18"/>
      <c r="F1778" s="18"/>
      <c r="G1778" s="18"/>
      <c r="H1778" s="18"/>
    </row>
    <row r="1779" spans="1:8" x14ac:dyDescent="0.2">
      <c r="A1779" s="17"/>
      <c r="B1779" s="17"/>
      <c r="C1779" s="18"/>
      <c r="D1779" s="18"/>
      <c r="E1779" s="18"/>
      <c r="F1779" s="18"/>
      <c r="G1779" s="18"/>
      <c r="H1779" s="18"/>
    </row>
    <row r="1780" spans="1:8" x14ac:dyDescent="0.2">
      <c r="A1780" s="17"/>
      <c r="B1780" s="17"/>
      <c r="C1780" s="18"/>
      <c r="D1780" s="18"/>
      <c r="E1780" s="18"/>
      <c r="F1780" s="18"/>
      <c r="G1780" s="18"/>
      <c r="H1780" s="18"/>
    </row>
    <row r="1781" spans="1:8" x14ac:dyDescent="0.2">
      <c r="A1781" s="17"/>
      <c r="B1781" s="17"/>
      <c r="C1781" s="18"/>
      <c r="D1781" s="18"/>
      <c r="E1781" s="18"/>
      <c r="F1781" s="18"/>
      <c r="G1781" s="18"/>
      <c r="H1781" s="18"/>
    </row>
    <row r="1782" spans="1:8" x14ac:dyDescent="0.2">
      <c r="A1782" s="17"/>
      <c r="B1782" s="17"/>
      <c r="C1782" s="18"/>
      <c r="D1782" s="18"/>
      <c r="E1782" s="18"/>
      <c r="F1782" s="18"/>
      <c r="G1782" s="18"/>
      <c r="H1782" s="18"/>
    </row>
    <row r="1783" spans="1:8" x14ac:dyDescent="0.2">
      <c r="A1783" s="17"/>
      <c r="B1783" s="17"/>
      <c r="C1783" s="18"/>
      <c r="D1783" s="18"/>
      <c r="E1783" s="18"/>
      <c r="F1783" s="18"/>
      <c r="G1783" s="18"/>
      <c r="H1783" s="18"/>
    </row>
    <row r="1784" spans="1:8" x14ac:dyDescent="0.2">
      <c r="A1784" s="17"/>
      <c r="B1784" s="17"/>
      <c r="C1784" s="18"/>
      <c r="D1784" s="18"/>
      <c r="E1784" s="18"/>
      <c r="F1784" s="18"/>
      <c r="G1784" s="18"/>
      <c r="H1784" s="18"/>
    </row>
    <row r="1785" spans="1:8" x14ac:dyDescent="0.2">
      <c r="A1785" s="17"/>
      <c r="B1785" s="17"/>
      <c r="C1785" s="18"/>
      <c r="D1785" s="18"/>
      <c r="E1785" s="18"/>
      <c r="F1785" s="18"/>
      <c r="G1785" s="18"/>
      <c r="H1785" s="18"/>
    </row>
    <row r="1786" spans="1:8" x14ac:dyDescent="0.2">
      <c r="A1786" s="17"/>
      <c r="B1786" s="17"/>
      <c r="C1786" s="18"/>
      <c r="D1786" s="18"/>
      <c r="E1786" s="18"/>
      <c r="F1786" s="18"/>
      <c r="G1786" s="18"/>
      <c r="H1786" s="18"/>
    </row>
    <row r="1787" spans="1:8" x14ac:dyDescent="0.2">
      <c r="A1787" s="17"/>
      <c r="B1787" s="17"/>
      <c r="C1787" s="18"/>
      <c r="D1787" s="18"/>
      <c r="E1787" s="18"/>
      <c r="F1787" s="18"/>
      <c r="G1787" s="18"/>
      <c r="H1787" s="18"/>
    </row>
    <row r="1788" spans="1:8" x14ac:dyDescent="0.2">
      <c r="A1788" s="17"/>
      <c r="B1788" s="17"/>
      <c r="C1788" s="18"/>
      <c r="D1788" s="18"/>
      <c r="E1788" s="18"/>
      <c r="F1788" s="18"/>
      <c r="G1788" s="18"/>
      <c r="H1788" s="18"/>
    </row>
    <row r="1789" spans="1:8" x14ac:dyDescent="0.2">
      <c r="A1789" s="17"/>
      <c r="B1789" s="17"/>
      <c r="C1789" s="18"/>
      <c r="D1789" s="18"/>
      <c r="E1789" s="18"/>
      <c r="F1789" s="18"/>
      <c r="G1789" s="18"/>
      <c r="H1789" s="18"/>
    </row>
    <row r="1790" spans="1:8" x14ac:dyDescent="0.2">
      <c r="A1790" s="17"/>
      <c r="B1790" s="17"/>
      <c r="C1790" s="18"/>
      <c r="D1790" s="18"/>
      <c r="E1790" s="18"/>
      <c r="F1790" s="18"/>
      <c r="G1790" s="18"/>
      <c r="H1790" s="18"/>
    </row>
    <row r="1791" spans="1:8" x14ac:dyDescent="0.2">
      <c r="A1791" s="17"/>
      <c r="B1791" s="17"/>
      <c r="C1791" s="18"/>
      <c r="D1791" s="18"/>
      <c r="E1791" s="18"/>
      <c r="F1791" s="18"/>
      <c r="G1791" s="18"/>
      <c r="H1791" s="18"/>
    </row>
    <row r="1792" spans="1:8" x14ac:dyDescent="0.2">
      <c r="A1792" s="17"/>
      <c r="B1792" s="17"/>
      <c r="C1792" s="18"/>
      <c r="D1792" s="18"/>
      <c r="E1792" s="18"/>
      <c r="F1792" s="18"/>
      <c r="G1792" s="18"/>
      <c r="H1792" s="18"/>
    </row>
    <row r="1793" spans="1:8" x14ac:dyDescent="0.2">
      <c r="A1793" s="17"/>
      <c r="B1793" s="17"/>
      <c r="C1793" s="18"/>
      <c r="D1793" s="18"/>
      <c r="E1793" s="18"/>
      <c r="F1793" s="18"/>
      <c r="G1793" s="18"/>
      <c r="H1793" s="18"/>
    </row>
    <row r="1794" spans="1:8" x14ac:dyDescent="0.2">
      <c r="A1794" s="17"/>
      <c r="B1794" s="17"/>
      <c r="C1794" s="18"/>
      <c r="D1794" s="18"/>
      <c r="E1794" s="18"/>
      <c r="F1794" s="18"/>
      <c r="G1794" s="18"/>
      <c r="H1794" s="18"/>
    </row>
    <row r="1795" spans="1:8" x14ac:dyDescent="0.2">
      <c r="A1795" s="17"/>
      <c r="B1795" s="17"/>
      <c r="C1795" s="18"/>
      <c r="D1795" s="18"/>
      <c r="E1795" s="18"/>
      <c r="F1795" s="18"/>
      <c r="G1795" s="18"/>
      <c r="H1795" s="18"/>
    </row>
    <row r="1796" spans="1:8" x14ac:dyDescent="0.2">
      <c r="A1796" s="17"/>
      <c r="B1796" s="17"/>
      <c r="C1796" s="18"/>
      <c r="D1796" s="18"/>
      <c r="E1796" s="18"/>
      <c r="F1796" s="18"/>
      <c r="G1796" s="18"/>
      <c r="H1796" s="18"/>
    </row>
    <row r="1797" spans="1:8" x14ac:dyDescent="0.2">
      <c r="A1797" s="17"/>
      <c r="B1797" s="17"/>
      <c r="C1797" s="18"/>
      <c r="D1797" s="18"/>
      <c r="E1797" s="18"/>
      <c r="F1797" s="18"/>
      <c r="G1797" s="18"/>
      <c r="H1797" s="18"/>
    </row>
    <row r="1798" spans="1:8" x14ac:dyDescent="0.2">
      <c r="A1798" s="17"/>
      <c r="B1798" s="17"/>
      <c r="C1798" s="18"/>
      <c r="D1798" s="18"/>
      <c r="E1798" s="18"/>
      <c r="F1798" s="18"/>
      <c r="G1798" s="18"/>
      <c r="H1798" s="18"/>
    </row>
    <row r="1799" spans="1:8" x14ac:dyDescent="0.2">
      <c r="A1799" s="17"/>
      <c r="B1799" s="17"/>
      <c r="C1799" s="18"/>
      <c r="D1799" s="18"/>
      <c r="E1799" s="18"/>
      <c r="F1799" s="18"/>
      <c r="G1799" s="18"/>
      <c r="H1799" s="18"/>
    </row>
    <row r="1800" spans="1:8" x14ac:dyDescent="0.2">
      <c r="A1800" s="17"/>
      <c r="B1800" s="17"/>
      <c r="C1800" s="18"/>
      <c r="D1800" s="18"/>
      <c r="E1800" s="18"/>
      <c r="F1800" s="18"/>
      <c r="G1800" s="18"/>
      <c r="H1800" s="18"/>
    </row>
    <row r="1801" spans="1:8" x14ac:dyDescent="0.2">
      <c r="A1801" s="17"/>
      <c r="B1801" s="17"/>
      <c r="C1801" s="18"/>
      <c r="D1801" s="18"/>
      <c r="E1801" s="18"/>
      <c r="F1801" s="18"/>
      <c r="G1801" s="18"/>
      <c r="H1801" s="18"/>
    </row>
    <row r="1802" spans="1:8" x14ac:dyDescent="0.2">
      <c r="A1802" s="17"/>
      <c r="B1802" s="17"/>
      <c r="C1802" s="18"/>
      <c r="D1802" s="18"/>
      <c r="E1802" s="18"/>
      <c r="F1802" s="18"/>
      <c r="G1802" s="18"/>
      <c r="H1802" s="18"/>
    </row>
    <row r="1803" spans="1:8" x14ac:dyDescent="0.2">
      <c r="A1803" s="17"/>
      <c r="B1803" s="17"/>
      <c r="C1803" s="18"/>
      <c r="D1803" s="18"/>
      <c r="E1803" s="18"/>
      <c r="F1803" s="18"/>
      <c r="G1803" s="18"/>
      <c r="H1803" s="18"/>
    </row>
    <row r="1804" spans="1:8" x14ac:dyDescent="0.2">
      <c r="A1804" s="17"/>
      <c r="B1804" s="17"/>
      <c r="C1804" s="18"/>
      <c r="D1804" s="18"/>
      <c r="E1804" s="18"/>
      <c r="F1804" s="18"/>
      <c r="G1804" s="18"/>
      <c r="H1804" s="18"/>
    </row>
    <row r="1805" spans="1:8" x14ac:dyDescent="0.2">
      <c r="A1805" s="17"/>
      <c r="B1805" s="17"/>
      <c r="C1805" s="18"/>
      <c r="D1805" s="18"/>
      <c r="E1805" s="18"/>
      <c r="F1805" s="18"/>
      <c r="G1805" s="18"/>
      <c r="H1805" s="18"/>
    </row>
    <row r="1806" spans="1:8" x14ac:dyDescent="0.2">
      <c r="A1806" s="17"/>
      <c r="B1806" s="17"/>
      <c r="C1806" s="18"/>
      <c r="D1806" s="18"/>
      <c r="E1806" s="18"/>
      <c r="F1806" s="18"/>
      <c r="G1806" s="18"/>
      <c r="H1806" s="18"/>
    </row>
    <row r="1807" spans="1:8" x14ac:dyDescent="0.2">
      <c r="A1807" s="17"/>
      <c r="B1807" s="17"/>
      <c r="C1807" s="18"/>
      <c r="D1807" s="18"/>
      <c r="E1807" s="18"/>
      <c r="F1807" s="18"/>
      <c r="G1807" s="18"/>
      <c r="H1807" s="18"/>
    </row>
    <row r="1808" spans="1:8" x14ac:dyDescent="0.2">
      <c r="A1808" s="17"/>
      <c r="B1808" s="17"/>
      <c r="C1808" s="18"/>
      <c r="D1808" s="18"/>
      <c r="E1808" s="18"/>
      <c r="F1808" s="18"/>
      <c r="G1808" s="18"/>
      <c r="H1808" s="18"/>
    </row>
    <row r="1809" spans="1:8" x14ac:dyDescent="0.2">
      <c r="A1809" s="17"/>
      <c r="B1809" s="17"/>
      <c r="C1809" s="18"/>
      <c r="D1809" s="18"/>
      <c r="E1809" s="18"/>
      <c r="F1809" s="18"/>
      <c r="G1809" s="18"/>
      <c r="H1809" s="18"/>
    </row>
    <row r="1810" spans="1:8" x14ac:dyDescent="0.2">
      <c r="A1810" s="17"/>
      <c r="B1810" s="17"/>
      <c r="C1810" s="18"/>
      <c r="D1810" s="18"/>
      <c r="E1810" s="18"/>
      <c r="F1810" s="18"/>
      <c r="G1810" s="18"/>
      <c r="H1810" s="18"/>
    </row>
    <row r="1811" spans="1:8" x14ac:dyDescent="0.2">
      <c r="A1811" s="17"/>
      <c r="B1811" s="17"/>
      <c r="C1811" s="18"/>
      <c r="D1811" s="18"/>
      <c r="E1811" s="18"/>
      <c r="F1811" s="18"/>
      <c r="G1811" s="18"/>
      <c r="H1811" s="18"/>
    </row>
    <row r="1812" spans="1:8" x14ac:dyDescent="0.2">
      <c r="A1812" s="17"/>
      <c r="B1812" s="17"/>
      <c r="C1812" s="18"/>
      <c r="D1812" s="18"/>
      <c r="E1812" s="18"/>
      <c r="F1812" s="18"/>
      <c r="G1812" s="18"/>
      <c r="H1812" s="18"/>
    </row>
    <row r="1813" spans="1:8" x14ac:dyDescent="0.2">
      <c r="A1813" s="17"/>
      <c r="B1813" s="17"/>
      <c r="C1813" s="18"/>
      <c r="D1813" s="18"/>
      <c r="E1813" s="18"/>
      <c r="F1813" s="18"/>
      <c r="G1813" s="18"/>
      <c r="H1813" s="18"/>
    </row>
    <row r="1814" spans="1:8" x14ac:dyDescent="0.2">
      <c r="A1814" s="17"/>
      <c r="B1814" s="17"/>
      <c r="C1814" s="18"/>
      <c r="D1814" s="18"/>
      <c r="E1814" s="18"/>
      <c r="F1814" s="18"/>
      <c r="G1814" s="18"/>
      <c r="H1814" s="18"/>
    </row>
    <row r="1815" spans="1:8" x14ac:dyDescent="0.2">
      <c r="A1815" s="17"/>
      <c r="B1815" s="17"/>
      <c r="C1815" s="18"/>
      <c r="D1815" s="18"/>
      <c r="E1815" s="18"/>
      <c r="F1815" s="18"/>
      <c r="G1815" s="18"/>
      <c r="H1815" s="18"/>
    </row>
    <row r="1816" spans="1:8" x14ac:dyDescent="0.2">
      <c r="A1816" s="17"/>
      <c r="B1816" s="17"/>
      <c r="C1816" s="18"/>
      <c r="D1816" s="18"/>
      <c r="E1816" s="18"/>
      <c r="F1816" s="18"/>
      <c r="G1816" s="18"/>
      <c r="H1816" s="18"/>
    </row>
    <row r="1817" spans="1:8" x14ac:dyDescent="0.2">
      <c r="A1817" s="17"/>
      <c r="B1817" s="17"/>
      <c r="C1817" s="18"/>
      <c r="D1817" s="18"/>
      <c r="E1817" s="18"/>
      <c r="F1817" s="18"/>
      <c r="G1817" s="18"/>
      <c r="H1817" s="18"/>
    </row>
    <row r="1818" spans="1:8" x14ac:dyDescent="0.2">
      <c r="A1818" s="17"/>
      <c r="B1818" s="17"/>
      <c r="C1818" s="18"/>
      <c r="D1818" s="18"/>
      <c r="E1818" s="18"/>
      <c r="F1818" s="18"/>
      <c r="G1818" s="18"/>
      <c r="H1818" s="18"/>
    </row>
    <row r="1819" spans="1:8" x14ac:dyDescent="0.2">
      <c r="A1819" s="17"/>
      <c r="B1819" s="17"/>
      <c r="C1819" s="18"/>
      <c r="D1819" s="18"/>
      <c r="E1819" s="18"/>
      <c r="F1819" s="18"/>
      <c r="G1819" s="18"/>
      <c r="H1819" s="18"/>
    </row>
    <row r="1820" spans="1:8" x14ac:dyDescent="0.2">
      <c r="A1820" s="17"/>
      <c r="B1820" s="17"/>
      <c r="C1820" s="18"/>
      <c r="D1820" s="18"/>
      <c r="E1820" s="18"/>
      <c r="F1820" s="18"/>
      <c r="G1820" s="18"/>
      <c r="H1820" s="18"/>
    </row>
    <row r="1821" spans="1:8" x14ac:dyDescent="0.2">
      <c r="A1821" s="17"/>
      <c r="B1821" s="17"/>
      <c r="C1821" s="18"/>
      <c r="D1821" s="18"/>
      <c r="E1821" s="18"/>
      <c r="F1821" s="18"/>
      <c r="G1821" s="18"/>
      <c r="H1821" s="18"/>
    </row>
    <row r="1822" spans="1:8" x14ac:dyDescent="0.2">
      <c r="A1822" s="17"/>
      <c r="B1822" s="17"/>
      <c r="C1822" s="18"/>
      <c r="D1822" s="18"/>
      <c r="E1822" s="18"/>
      <c r="F1822" s="18"/>
      <c r="G1822" s="18"/>
      <c r="H1822" s="18"/>
    </row>
    <row r="1823" spans="1:8" x14ac:dyDescent="0.2">
      <c r="A1823" s="17"/>
      <c r="B1823" s="17"/>
      <c r="C1823" s="18"/>
      <c r="D1823" s="18"/>
      <c r="E1823" s="18"/>
      <c r="F1823" s="18"/>
      <c r="G1823" s="18"/>
      <c r="H1823" s="18"/>
    </row>
    <row r="1824" spans="1:8" x14ac:dyDescent="0.2">
      <c r="A1824" s="17"/>
      <c r="B1824" s="17"/>
      <c r="C1824" s="18"/>
      <c r="D1824" s="18"/>
      <c r="E1824" s="18"/>
      <c r="F1824" s="18"/>
      <c r="G1824" s="18"/>
      <c r="H1824" s="18"/>
    </row>
    <row r="1825" spans="1:8" x14ac:dyDescent="0.2">
      <c r="A1825" s="17"/>
      <c r="B1825" s="17"/>
      <c r="C1825" s="18"/>
      <c r="D1825" s="18"/>
      <c r="E1825" s="18"/>
      <c r="F1825" s="18"/>
      <c r="G1825" s="18"/>
      <c r="H1825" s="18"/>
    </row>
    <row r="1826" spans="1:8" x14ac:dyDescent="0.2">
      <c r="A1826" s="17"/>
      <c r="B1826" s="17"/>
      <c r="C1826" s="18"/>
      <c r="D1826" s="18"/>
      <c r="E1826" s="18"/>
      <c r="F1826" s="18"/>
      <c r="G1826" s="18"/>
      <c r="H1826" s="18"/>
    </row>
    <row r="1827" spans="1:8" x14ac:dyDescent="0.2">
      <c r="A1827" s="17"/>
      <c r="B1827" s="17"/>
      <c r="C1827" s="18"/>
      <c r="D1827" s="18"/>
      <c r="E1827" s="18"/>
      <c r="F1827" s="18"/>
      <c r="G1827" s="18"/>
      <c r="H1827" s="18"/>
    </row>
    <row r="1828" spans="1:8" x14ac:dyDescent="0.2">
      <c r="A1828" s="17"/>
      <c r="B1828" s="17"/>
      <c r="C1828" s="18"/>
      <c r="D1828" s="18"/>
      <c r="E1828" s="18"/>
      <c r="F1828" s="18"/>
      <c r="G1828" s="18"/>
      <c r="H1828" s="18"/>
    </row>
    <row r="1829" spans="1:8" x14ac:dyDescent="0.2">
      <c r="A1829" s="17"/>
      <c r="B1829" s="17"/>
      <c r="C1829" s="18"/>
      <c r="D1829" s="18"/>
      <c r="E1829" s="18"/>
      <c r="F1829" s="18"/>
      <c r="G1829" s="18"/>
      <c r="H1829" s="18"/>
    </row>
    <row r="1830" spans="1:8" x14ac:dyDescent="0.2">
      <c r="A1830" s="17"/>
      <c r="B1830" s="17"/>
      <c r="C1830" s="18"/>
      <c r="D1830" s="18"/>
      <c r="E1830" s="18"/>
      <c r="F1830" s="18"/>
      <c r="G1830" s="18"/>
      <c r="H1830" s="18"/>
    </row>
    <row r="1831" spans="1:8" x14ac:dyDescent="0.2">
      <c r="A1831" s="17"/>
      <c r="B1831" s="17"/>
      <c r="C1831" s="18"/>
      <c r="D1831" s="18"/>
      <c r="E1831" s="18"/>
      <c r="F1831" s="18"/>
      <c r="G1831" s="18"/>
      <c r="H1831" s="18"/>
    </row>
    <row r="1832" spans="1:8" x14ac:dyDescent="0.2">
      <c r="A1832" s="17"/>
      <c r="B1832" s="17"/>
      <c r="C1832" s="18"/>
      <c r="D1832" s="18"/>
      <c r="E1832" s="18"/>
      <c r="F1832" s="18"/>
      <c r="G1832" s="18"/>
      <c r="H1832" s="18"/>
    </row>
    <row r="1833" spans="1:8" x14ac:dyDescent="0.2">
      <c r="A1833" s="17"/>
      <c r="B1833" s="17"/>
      <c r="C1833" s="18"/>
      <c r="D1833" s="18"/>
      <c r="E1833" s="18"/>
      <c r="F1833" s="18"/>
      <c r="G1833" s="18"/>
      <c r="H1833" s="18"/>
    </row>
    <row r="1834" spans="1:8" x14ac:dyDescent="0.2">
      <c r="A1834" s="17"/>
      <c r="B1834" s="17"/>
      <c r="C1834" s="18"/>
      <c r="D1834" s="18"/>
      <c r="E1834" s="18"/>
      <c r="F1834" s="18"/>
      <c r="G1834" s="18"/>
      <c r="H1834" s="18"/>
    </row>
    <row r="1835" spans="1:8" x14ac:dyDescent="0.2">
      <c r="A1835" s="17"/>
      <c r="B1835" s="17"/>
      <c r="C1835" s="18"/>
      <c r="D1835" s="18"/>
      <c r="E1835" s="18"/>
      <c r="F1835" s="18"/>
      <c r="G1835" s="18"/>
      <c r="H1835" s="18"/>
    </row>
    <row r="1836" spans="1:8" x14ac:dyDescent="0.2">
      <c r="A1836" s="17"/>
      <c r="B1836" s="17"/>
      <c r="C1836" s="18"/>
      <c r="D1836" s="18"/>
      <c r="E1836" s="18"/>
      <c r="F1836" s="18"/>
      <c r="G1836" s="18"/>
      <c r="H1836" s="18"/>
    </row>
    <row r="1837" spans="1:8" x14ac:dyDescent="0.2">
      <c r="A1837" s="17"/>
      <c r="B1837" s="17"/>
      <c r="C1837" s="18"/>
      <c r="D1837" s="18"/>
      <c r="E1837" s="18"/>
      <c r="F1837" s="18"/>
      <c r="G1837" s="18"/>
      <c r="H1837" s="18"/>
    </row>
    <row r="1838" spans="1:8" x14ac:dyDescent="0.2">
      <c r="A1838" s="17"/>
      <c r="B1838" s="17"/>
      <c r="C1838" s="18"/>
      <c r="D1838" s="18"/>
      <c r="E1838" s="18"/>
      <c r="F1838" s="18"/>
      <c r="G1838" s="18"/>
      <c r="H1838" s="18"/>
    </row>
    <row r="1839" spans="1:8" x14ac:dyDescent="0.2">
      <c r="A1839" s="17"/>
      <c r="B1839" s="17"/>
      <c r="C1839" s="18"/>
      <c r="D1839" s="18"/>
      <c r="E1839" s="18"/>
      <c r="F1839" s="18"/>
      <c r="G1839" s="18"/>
      <c r="H1839" s="18"/>
    </row>
    <row r="1840" spans="1:8" x14ac:dyDescent="0.2">
      <c r="A1840" s="17"/>
      <c r="B1840" s="17"/>
      <c r="C1840" s="18"/>
      <c r="D1840" s="18"/>
      <c r="E1840" s="18"/>
      <c r="F1840" s="18"/>
      <c r="G1840" s="18"/>
      <c r="H1840" s="18"/>
    </row>
    <row r="1841" spans="1:8" x14ac:dyDescent="0.2">
      <c r="A1841" s="17"/>
      <c r="B1841" s="17"/>
      <c r="C1841" s="18"/>
      <c r="D1841" s="18"/>
      <c r="E1841" s="18"/>
      <c r="F1841" s="18"/>
      <c r="G1841" s="18"/>
      <c r="H1841" s="18"/>
    </row>
    <row r="1842" spans="1:8" x14ac:dyDescent="0.2">
      <c r="A1842" s="17"/>
      <c r="B1842" s="17"/>
      <c r="C1842" s="18"/>
      <c r="D1842" s="18"/>
      <c r="E1842" s="18"/>
      <c r="F1842" s="18"/>
      <c r="G1842" s="18"/>
      <c r="H1842" s="18"/>
    </row>
    <row r="1843" spans="1:8" x14ac:dyDescent="0.2">
      <c r="A1843" s="17"/>
      <c r="B1843" s="17"/>
      <c r="C1843" s="18"/>
      <c r="D1843" s="18"/>
      <c r="E1843" s="18"/>
      <c r="F1843" s="18"/>
      <c r="G1843" s="18"/>
      <c r="H1843" s="18"/>
    </row>
    <row r="1844" spans="1:8" x14ac:dyDescent="0.2">
      <c r="A1844" s="17"/>
      <c r="B1844" s="17"/>
      <c r="C1844" s="18"/>
      <c r="D1844" s="18"/>
      <c r="E1844" s="18"/>
      <c r="F1844" s="18"/>
      <c r="G1844" s="18"/>
      <c r="H1844" s="18"/>
    </row>
    <row r="1845" spans="1:8" x14ac:dyDescent="0.2">
      <c r="A1845" s="17"/>
      <c r="B1845" s="17"/>
      <c r="C1845" s="18"/>
      <c r="D1845" s="18"/>
      <c r="E1845" s="18"/>
      <c r="F1845" s="18"/>
      <c r="G1845" s="18"/>
      <c r="H1845" s="18"/>
    </row>
    <row r="1846" spans="1:8" x14ac:dyDescent="0.2">
      <c r="A1846" s="17"/>
      <c r="B1846" s="17"/>
      <c r="C1846" s="18"/>
      <c r="D1846" s="18"/>
      <c r="E1846" s="18"/>
      <c r="F1846" s="18"/>
      <c r="G1846" s="18"/>
      <c r="H1846" s="18"/>
    </row>
    <row r="1847" spans="1:8" x14ac:dyDescent="0.2">
      <c r="A1847" s="17"/>
      <c r="B1847" s="17"/>
      <c r="C1847" s="18"/>
      <c r="D1847" s="18"/>
      <c r="E1847" s="18"/>
      <c r="F1847" s="18"/>
      <c r="G1847" s="18"/>
      <c r="H1847" s="18"/>
    </row>
    <row r="1848" spans="1:8" x14ac:dyDescent="0.2">
      <c r="A1848" s="17"/>
      <c r="B1848" s="17"/>
      <c r="C1848" s="18"/>
      <c r="D1848" s="18"/>
      <c r="E1848" s="18"/>
      <c r="F1848" s="18"/>
      <c r="G1848" s="18"/>
      <c r="H1848" s="18"/>
    </row>
    <row r="1849" spans="1:8" x14ac:dyDescent="0.2">
      <c r="A1849" s="17"/>
      <c r="B1849" s="17"/>
      <c r="C1849" s="18"/>
      <c r="D1849" s="18"/>
      <c r="E1849" s="18"/>
      <c r="F1849" s="18"/>
      <c r="G1849" s="18"/>
      <c r="H1849" s="18"/>
    </row>
    <row r="1850" spans="1:8" x14ac:dyDescent="0.2">
      <c r="A1850" s="17"/>
      <c r="B1850" s="17"/>
      <c r="C1850" s="18"/>
      <c r="D1850" s="18"/>
      <c r="E1850" s="18"/>
      <c r="F1850" s="18"/>
      <c r="G1850" s="18"/>
      <c r="H1850" s="18"/>
    </row>
    <row r="1851" spans="1:8" x14ac:dyDescent="0.2">
      <c r="A1851" s="17"/>
      <c r="B1851" s="17"/>
      <c r="C1851" s="18"/>
      <c r="D1851" s="18"/>
      <c r="E1851" s="18"/>
      <c r="F1851" s="18"/>
      <c r="G1851" s="18"/>
      <c r="H1851" s="18"/>
    </row>
    <row r="1852" spans="1:8" x14ac:dyDescent="0.2">
      <c r="A1852" s="17"/>
      <c r="B1852" s="17"/>
      <c r="C1852" s="18"/>
      <c r="D1852" s="18"/>
      <c r="E1852" s="18"/>
      <c r="F1852" s="18"/>
      <c r="G1852" s="18"/>
      <c r="H1852" s="18"/>
    </row>
    <row r="1853" spans="1:8" x14ac:dyDescent="0.2">
      <c r="A1853" s="17"/>
      <c r="B1853" s="17"/>
      <c r="C1853" s="18"/>
      <c r="D1853" s="18"/>
      <c r="E1853" s="18"/>
      <c r="F1853" s="18"/>
      <c r="G1853" s="18"/>
      <c r="H1853" s="18"/>
    </row>
    <row r="1854" spans="1:8" x14ac:dyDescent="0.2">
      <c r="A1854" s="17"/>
      <c r="B1854" s="17"/>
      <c r="C1854" s="18"/>
      <c r="D1854" s="18"/>
      <c r="E1854" s="18"/>
      <c r="F1854" s="18"/>
      <c r="G1854" s="18"/>
      <c r="H1854" s="18"/>
    </row>
    <row r="1855" spans="1:8" x14ac:dyDescent="0.2">
      <c r="A1855" s="17"/>
      <c r="B1855" s="17"/>
      <c r="C1855" s="18"/>
      <c r="D1855" s="18"/>
      <c r="E1855" s="18"/>
      <c r="F1855" s="18"/>
      <c r="G1855" s="18"/>
      <c r="H1855" s="18"/>
    </row>
    <row r="1856" spans="1:8" x14ac:dyDescent="0.2">
      <c r="A1856" s="17"/>
      <c r="B1856" s="17"/>
      <c r="C1856" s="18"/>
      <c r="D1856" s="18"/>
      <c r="E1856" s="18"/>
      <c r="F1856" s="18"/>
      <c r="G1856" s="18"/>
      <c r="H1856" s="18"/>
    </row>
    <row r="1857" spans="1:8" x14ac:dyDescent="0.2">
      <c r="A1857" s="17"/>
      <c r="B1857" s="17"/>
      <c r="C1857" s="18"/>
      <c r="D1857" s="18"/>
      <c r="E1857" s="18"/>
      <c r="F1857" s="18"/>
      <c r="G1857" s="18"/>
      <c r="H1857" s="18"/>
    </row>
    <row r="1858" spans="1:8" x14ac:dyDescent="0.2">
      <c r="A1858" s="17"/>
      <c r="B1858" s="17"/>
      <c r="C1858" s="18"/>
      <c r="D1858" s="18"/>
      <c r="E1858" s="18"/>
      <c r="F1858" s="18"/>
      <c r="G1858" s="18"/>
      <c r="H1858" s="18"/>
    </row>
    <row r="1859" spans="1:8" x14ac:dyDescent="0.2">
      <c r="A1859" s="17"/>
      <c r="B1859" s="17"/>
      <c r="C1859" s="18"/>
      <c r="D1859" s="18"/>
      <c r="E1859" s="18"/>
      <c r="F1859" s="18"/>
      <c r="G1859" s="18"/>
      <c r="H1859" s="18"/>
    </row>
    <row r="1860" spans="1:8" x14ac:dyDescent="0.2">
      <c r="A1860" s="17"/>
      <c r="B1860" s="17"/>
      <c r="C1860" s="18"/>
      <c r="D1860" s="18"/>
      <c r="E1860" s="18"/>
      <c r="F1860" s="18"/>
      <c r="G1860" s="18"/>
      <c r="H1860" s="18"/>
    </row>
    <row r="1861" spans="1:8" x14ac:dyDescent="0.2">
      <c r="A1861" s="17"/>
      <c r="B1861" s="17"/>
      <c r="C1861" s="18"/>
      <c r="D1861" s="18"/>
      <c r="E1861" s="18"/>
      <c r="F1861" s="18"/>
      <c r="G1861" s="18"/>
      <c r="H1861" s="18"/>
    </row>
    <row r="1862" spans="1:8" x14ac:dyDescent="0.2">
      <c r="A1862" s="17"/>
      <c r="B1862" s="17"/>
      <c r="C1862" s="18"/>
      <c r="D1862" s="18"/>
      <c r="E1862" s="18"/>
      <c r="F1862" s="18"/>
      <c r="G1862" s="18"/>
      <c r="H1862" s="18"/>
    </row>
    <row r="1863" spans="1:8" x14ac:dyDescent="0.2">
      <c r="A1863" s="17"/>
      <c r="B1863" s="17"/>
      <c r="C1863" s="18"/>
      <c r="D1863" s="18"/>
      <c r="E1863" s="18"/>
      <c r="F1863" s="18"/>
      <c r="G1863" s="18"/>
      <c r="H1863" s="18"/>
    </row>
    <row r="1864" spans="1:8" x14ac:dyDescent="0.2">
      <c r="A1864" s="17"/>
      <c r="B1864" s="17"/>
      <c r="C1864" s="18"/>
      <c r="D1864" s="18"/>
      <c r="E1864" s="18"/>
      <c r="F1864" s="18"/>
      <c r="G1864" s="18"/>
      <c r="H1864" s="18"/>
    </row>
    <row r="1865" spans="1:8" x14ac:dyDescent="0.2">
      <c r="A1865" s="17"/>
      <c r="B1865" s="17"/>
      <c r="C1865" s="18"/>
      <c r="D1865" s="18"/>
      <c r="E1865" s="18"/>
      <c r="F1865" s="18"/>
      <c r="G1865" s="18"/>
      <c r="H1865" s="18"/>
    </row>
    <row r="1866" spans="1:8" x14ac:dyDescent="0.2">
      <c r="A1866" s="17"/>
      <c r="B1866" s="17"/>
      <c r="C1866" s="18"/>
      <c r="D1866" s="18"/>
      <c r="E1866" s="18"/>
      <c r="F1866" s="18"/>
      <c r="G1866" s="18"/>
      <c r="H1866" s="18"/>
    </row>
    <row r="1867" spans="1:8" x14ac:dyDescent="0.2">
      <c r="A1867" s="17"/>
      <c r="B1867" s="17"/>
      <c r="C1867" s="18"/>
      <c r="D1867" s="18"/>
      <c r="E1867" s="18"/>
      <c r="F1867" s="18"/>
      <c r="G1867" s="18"/>
      <c r="H1867" s="18"/>
    </row>
    <row r="1868" spans="1:8" x14ac:dyDescent="0.2">
      <c r="A1868" s="17"/>
      <c r="B1868" s="17"/>
      <c r="C1868" s="18"/>
      <c r="D1868" s="18"/>
      <c r="E1868" s="18"/>
      <c r="F1868" s="18"/>
      <c r="G1868" s="18"/>
      <c r="H1868" s="18"/>
    </row>
    <row r="1869" spans="1:8" x14ac:dyDescent="0.2">
      <c r="A1869" s="17"/>
      <c r="B1869" s="17"/>
      <c r="C1869" s="18"/>
      <c r="D1869" s="18"/>
      <c r="E1869" s="18"/>
      <c r="F1869" s="18"/>
      <c r="G1869" s="18"/>
      <c r="H1869" s="18"/>
    </row>
    <row r="1870" spans="1:8" x14ac:dyDescent="0.2">
      <c r="A1870" s="17"/>
      <c r="B1870" s="17"/>
      <c r="C1870" s="18"/>
      <c r="D1870" s="18"/>
      <c r="E1870" s="18"/>
      <c r="F1870" s="18"/>
      <c r="G1870" s="18"/>
      <c r="H1870" s="18"/>
    </row>
    <row r="1871" spans="1:8" x14ac:dyDescent="0.2">
      <c r="A1871" s="17"/>
      <c r="B1871" s="17"/>
      <c r="C1871" s="18"/>
      <c r="D1871" s="18"/>
      <c r="E1871" s="18"/>
      <c r="F1871" s="18"/>
      <c r="G1871" s="18"/>
      <c r="H1871" s="18"/>
    </row>
    <row r="1872" spans="1:8" x14ac:dyDescent="0.2">
      <c r="A1872" s="17"/>
      <c r="B1872" s="17"/>
      <c r="C1872" s="18"/>
      <c r="D1872" s="18"/>
      <c r="E1872" s="18"/>
      <c r="F1872" s="18"/>
      <c r="G1872" s="18"/>
      <c r="H1872" s="18"/>
    </row>
    <row r="1873" spans="1:8" x14ac:dyDescent="0.2">
      <c r="A1873" s="17"/>
      <c r="B1873" s="17"/>
      <c r="C1873" s="18"/>
      <c r="D1873" s="18"/>
      <c r="E1873" s="18"/>
      <c r="F1873" s="18"/>
      <c r="G1873" s="18"/>
      <c r="H1873" s="18"/>
    </row>
    <row r="1874" spans="1:8" x14ac:dyDescent="0.2">
      <c r="A1874" s="17"/>
      <c r="B1874" s="17"/>
      <c r="C1874" s="18"/>
      <c r="D1874" s="18"/>
      <c r="E1874" s="18"/>
      <c r="F1874" s="18"/>
      <c r="G1874" s="18"/>
      <c r="H1874" s="18"/>
    </row>
    <row r="1875" spans="1:8" x14ac:dyDescent="0.2">
      <c r="A1875" s="17"/>
      <c r="B1875" s="17"/>
      <c r="C1875" s="18"/>
      <c r="D1875" s="18"/>
      <c r="E1875" s="18"/>
      <c r="F1875" s="18"/>
      <c r="G1875" s="18"/>
      <c r="H1875" s="18"/>
    </row>
    <row r="1876" spans="1:8" x14ac:dyDescent="0.2">
      <c r="A1876" s="17"/>
      <c r="B1876" s="17"/>
      <c r="C1876" s="18"/>
      <c r="D1876" s="18"/>
      <c r="E1876" s="18"/>
      <c r="F1876" s="18"/>
      <c r="G1876" s="18"/>
      <c r="H1876" s="18"/>
    </row>
    <row r="1877" spans="1:8" x14ac:dyDescent="0.2">
      <c r="A1877" s="17"/>
      <c r="B1877" s="17"/>
      <c r="C1877" s="18"/>
      <c r="D1877" s="18"/>
      <c r="E1877" s="18"/>
      <c r="F1877" s="18"/>
      <c r="G1877" s="18"/>
      <c r="H1877" s="18"/>
    </row>
    <row r="1878" spans="1:8" x14ac:dyDescent="0.2">
      <c r="A1878" s="17"/>
      <c r="B1878" s="17"/>
      <c r="C1878" s="18"/>
      <c r="D1878" s="18"/>
      <c r="E1878" s="18"/>
      <c r="F1878" s="18"/>
      <c r="G1878" s="18"/>
      <c r="H1878" s="18"/>
    </row>
    <row r="1879" spans="1:8" x14ac:dyDescent="0.2">
      <c r="A1879" s="17"/>
      <c r="B1879" s="17"/>
      <c r="C1879" s="18"/>
      <c r="D1879" s="18"/>
      <c r="E1879" s="18"/>
      <c r="F1879" s="18"/>
      <c r="G1879" s="18"/>
      <c r="H1879" s="18"/>
    </row>
    <row r="1880" spans="1:8" x14ac:dyDescent="0.2">
      <c r="A1880" s="17"/>
      <c r="B1880" s="17"/>
      <c r="C1880" s="18"/>
      <c r="D1880" s="18"/>
      <c r="E1880" s="18"/>
      <c r="F1880" s="18"/>
      <c r="G1880" s="18"/>
      <c r="H1880" s="18"/>
    </row>
    <row r="1881" spans="1:8" x14ac:dyDescent="0.2">
      <c r="A1881" s="17"/>
      <c r="B1881" s="17"/>
      <c r="C1881" s="18"/>
      <c r="D1881" s="18"/>
      <c r="E1881" s="18"/>
      <c r="F1881" s="18"/>
      <c r="G1881" s="18"/>
      <c r="H1881" s="18"/>
    </row>
    <row r="1882" spans="1:8" x14ac:dyDescent="0.2">
      <c r="A1882" s="17"/>
      <c r="B1882" s="17"/>
      <c r="C1882" s="18"/>
      <c r="D1882" s="18"/>
      <c r="E1882" s="18"/>
      <c r="F1882" s="18"/>
      <c r="G1882" s="18"/>
      <c r="H1882" s="18"/>
    </row>
    <row r="1883" spans="1:8" x14ac:dyDescent="0.2">
      <c r="A1883" s="17"/>
      <c r="B1883" s="17"/>
      <c r="C1883" s="18"/>
      <c r="D1883" s="18"/>
      <c r="E1883" s="18"/>
      <c r="F1883" s="18"/>
      <c r="G1883" s="18"/>
      <c r="H1883" s="18"/>
    </row>
    <row r="1884" spans="1:8" x14ac:dyDescent="0.2">
      <c r="A1884" s="17"/>
      <c r="B1884" s="17"/>
      <c r="C1884" s="18"/>
      <c r="D1884" s="18"/>
      <c r="E1884" s="18"/>
      <c r="F1884" s="18"/>
      <c r="G1884" s="18"/>
      <c r="H1884" s="18"/>
    </row>
    <row r="1885" spans="1:8" x14ac:dyDescent="0.2">
      <c r="A1885" s="17"/>
      <c r="B1885" s="17"/>
      <c r="C1885" s="18"/>
      <c r="D1885" s="18"/>
      <c r="E1885" s="18"/>
      <c r="F1885" s="18"/>
      <c r="G1885" s="18"/>
      <c r="H1885" s="18"/>
    </row>
    <row r="1886" spans="1:8" x14ac:dyDescent="0.2">
      <c r="A1886" s="17"/>
      <c r="B1886" s="17"/>
      <c r="C1886" s="18"/>
      <c r="D1886" s="18"/>
      <c r="E1886" s="18"/>
      <c r="F1886" s="18"/>
      <c r="G1886" s="18"/>
      <c r="H1886" s="18"/>
    </row>
    <row r="1887" spans="1:8" x14ac:dyDescent="0.2">
      <c r="A1887" s="17"/>
      <c r="B1887" s="17"/>
      <c r="C1887" s="18"/>
      <c r="D1887" s="18"/>
      <c r="E1887" s="18"/>
      <c r="F1887" s="18"/>
      <c r="G1887" s="18"/>
      <c r="H1887" s="18"/>
    </row>
    <row r="1888" spans="1:8" x14ac:dyDescent="0.2">
      <c r="A1888" s="17"/>
      <c r="B1888" s="17"/>
      <c r="C1888" s="18"/>
      <c r="D1888" s="18"/>
      <c r="E1888" s="18"/>
      <c r="F1888" s="18"/>
      <c r="G1888" s="18"/>
      <c r="H1888" s="18"/>
    </row>
    <row r="1889" spans="1:8" x14ac:dyDescent="0.2">
      <c r="A1889" s="17"/>
      <c r="B1889" s="17"/>
      <c r="C1889" s="18"/>
      <c r="D1889" s="18"/>
      <c r="E1889" s="18"/>
      <c r="F1889" s="18"/>
      <c r="G1889" s="18"/>
      <c r="H1889" s="18"/>
    </row>
    <row r="1890" spans="1:8" x14ac:dyDescent="0.2">
      <c r="A1890" s="17"/>
      <c r="B1890" s="17"/>
      <c r="C1890" s="18"/>
      <c r="D1890" s="18"/>
      <c r="E1890" s="18"/>
      <c r="F1890" s="18"/>
      <c r="G1890" s="18"/>
      <c r="H1890" s="18"/>
    </row>
    <row r="1891" spans="1:8" x14ac:dyDescent="0.2">
      <c r="A1891" s="17"/>
      <c r="B1891" s="17"/>
      <c r="C1891" s="18"/>
      <c r="D1891" s="18"/>
      <c r="E1891" s="18"/>
      <c r="F1891" s="18"/>
      <c r="G1891" s="18"/>
      <c r="H1891" s="18"/>
    </row>
    <row r="1892" spans="1:8" x14ac:dyDescent="0.2">
      <c r="A1892" s="17"/>
      <c r="B1892" s="17"/>
      <c r="C1892" s="18"/>
      <c r="D1892" s="18"/>
      <c r="E1892" s="18"/>
      <c r="F1892" s="18"/>
      <c r="G1892" s="18"/>
      <c r="H1892" s="18"/>
    </row>
    <row r="1893" spans="1:8" x14ac:dyDescent="0.2">
      <c r="A1893" s="17"/>
      <c r="B1893" s="17"/>
      <c r="C1893" s="18"/>
      <c r="D1893" s="18"/>
      <c r="E1893" s="18"/>
      <c r="F1893" s="18"/>
      <c r="G1893" s="18"/>
      <c r="H1893" s="18"/>
    </row>
    <row r="1894" spans="1:8" x14ac:dyDescent="0.2">
      <c r="A1894" s="17"/>
      <c r="B1894" s="17"/>
      <c r="C1894" s="18"/>
      <c r="D1894" s="18"/>
      <c r="E1894" s="18"/>
      <c r="F1894" s="18"/>
      <c r="G1894" s="18"/>
      <c r="H1894" s="18"/>
    </row>
    <row r="1895" spans="1:8" x14ac:dyDescent="0.2">
      <c r="A1895" s="17"/>
      <c r="B1895" s="17"/>
      <c r="C1895" s="18"/>
      <c r="D1895" s="18"/>
      <c r="E1895" s="18"/>
      <c r="F1895" s="18"/>
      <c r="G1895" s="18"/>
      <c r="H1895" s="18"/>
    </row>
    <row r="1896" spans="1:8" x14ac:dyDescent="0.2">
      <c r="A1896" s="17"/>
      <c r="B1896" s="17"/>
      <c r="C1896" s="18"/>
      <c r="D1896" s="18"/>
      <c r="E1896" s="18"/>
      <c r="F1896" s="18"/>
      <c r="G1896" s="18"/>
      <c r="H1896" s="18"/>
    </row>
    <row r="1897" spans="1:8" x14ac:dyDescent="0.2">
      <c r="A1897" s="17"/>
      <c r="B1897" s="17"/>
      <c r="C1897" s="18"/>
      <c r="D1897" s="18"/>
      <c r="E1897" s="18"/>
      <c r="F1897" s="18"/>
      <c r="G1897" s="18"/>
      <c r="H1897" s="18"/>
    </row>
    <row r="1898" spans="1:8" x14ac:dyDescent="0.2">
      <c r="A1898" s="17"/>
      <c r="B1898" s="17"/>
      <c r="C1898" s="18"/>
      <c r="D1898" s="18"/>
      <c r="E1898" s="18"/>
      <c r="F1898" s="18"/>
      <c r="G1898" s="18"/>
      <c r="H1898" s="18"/>
    </row>
    <row r="1899" spans="1:8" x14ac:dyDescent="0.2">
      <c r="A1899" s="17"/>
      <c r="B1899" s="17"/>
      <c r="C1899" s="18"/>
      <c r="D1899" s="18"/>
      <c r="E1899" s="18"/>
      <c r="F1899" s="18"/>
      <c r="G1899" s="18"/>
      <c r="H1899" s="18"/>
    </row>
    <row r="1900" spans="1:8" x14ac:dyDescent="0.2">
      <c r="A1900" s="17"/>
      <c r="B1900" s="17"/>
      <c r="C1900" s="18"/>
      <c r="D1900" s="18"/>
      <c r="E1900" s="18"/>
      <c r="F1900" s="18"/>
      <c r="G1900" s="18"/>
      <c r="H1900" s="18"/>
    </row>
    <row r="1901" spans="1:8" x14ac:dyDescent="0.2">
      <c r="A1901" s="17"/>
      <c r="B1901" s="17"/>
      <c r="C1901" s="18"/>
      <c r="D1901" s="18"/>
      <c r="E1901" s="18"/>
      <c r="F1901" s="18"/>
      <c r="G1901" s="18"/>
      <c r="H1901" s="18"/>
    </row>
    <row r="1902" spans="1:8" x14ac:dyDescent="0.2">
      <c r="A1902" s="17"/>
      <c r="B1902" s="17"/>
      <c r="C1902" s="18"/>
      <c r="D1902" s="18"/>
      <c r="E1902" s="18"/>
      <c r="F1902" s="18"/>
      <c r="G1902" s="18"/>
      <c r="H1902" s="18"/>
    </row>
    <row r="1903" spans="1:8" x14ac:dyDescent="0.2">
      <c r="A1903" s="17"/>
      <c r="B1903" s="17"/>
      <c r="C1903" s="18"/>
      <c r="D1903" s="18"/>
      <c r="E1903" s="18"/>
      <c r="F1903" s="18"/>
      <c r="G1903" s="18"/>
      <c r="H1903" s="18"/>
    </row>
    <row r="1904" spans="1:8" x14ac:dyDescent="0.2">
      <c r="A1904" s="17"/>
      <c r="B1904" s="17"/>
      <c r="C1904" s="18"/>
      <c r="D1904" s="18"/>
      <c r="E1904" s="18"/>
      <c r="F1904" s="18"/>
      <c r="G1904" s="18"/>
      <c r="H1904" s="18"/>
    </row>
    <row r="1905" spans="1:8" x14ac:dyDescent="0.2">
      <c r="A1905" s="17"/>
      <c r="B1905" s="17"/>
      <c r="C1905" s="18"/>
      <c r="D1905" s="18"/>
      <c r="E1905" s="18"/>
      <c r="F1905" s="18"/>
      <c r="G1905" s="18"/>
      <c r="H1905" s="18"/>
    </row>
    <row r="1906" spans="1:8" x14ac:dyDescent="0.2">
      <c r="A1906" s="17"/>
      <c r="B1906" s="17"/>
      <c r="C1906" s="18"/>
      <c r="D1906" s="18"/>
      <c r="E1906" s="18"/>
      <c r="F1906" s="18"/>
      <c r="G1906" s="18"/>
      <c r="H1906" s="18"/>
    </row>
    <row r="1907" spans="1:8" x14ac:dyDescent="0.2">
      <c r="A1907" s="17"/>
      <c r="B1907" s="17"/>
      <c r="C1907" s="18"/>
      <c r="D1907" s="18"/>
      <c r="E1907" s="18"/>
      <c r="F1907" s="18"/>
      <c r="G1907" s="18"/>
      <c r="H1907" s="18"/>
    </row>
    <row r="1908" spans="1:8" x14ac:dyDescent="0.2">
      <c r="A1908" s="17"/>
      <c r="B1908" s="17"/>
      <c r="C1908" s="18"/>
      <c r="D1908" s="18"/>
      <c r="E1908" s="18"/>
      <c r="F1908" s="18"/>
      <c r="G1908" s="18"/>
      <c r="H1908" s="18"/>
    </row>
    <row r="1909" spans="1:8" x14ac:dyDescent="0.2">
      <c r="A1909" s="17"/>
      <c r="B1909" s="17"/>
      <c r="C1909" s="18"/>
      <c r="D1909" s="18"/>
      <c r="E1909" s="18"/>
      <c r="F1909" s="18"/>
      <c r="G1909" s="18"/>
      <c r="H1909" s="18"/>
    </row>
    <row r="1910" spans="1:8" x14ac:dyDescent="0.2">
      <c r="A1910" s="17"/>
      <c r="B1910" s="17"/>
      <c r="C1910" s="18"/>
      <c r="D1910" s="18"/>
      <c r="E1910" s="18"/>
      <c r="F1910" s="18"/>
      <c r="G1910" s="18"/>
      <c r="H1910" s="18"/>
    </row>
    <row r="1911" spans="1:8" x14ac:dyDescent="0.2">
      <c r="A1911" s="17"/>
      <c r="B1911" s="17"/>
      <c r="C1911" s="18"/>
      <c r="D1911" s="18"/>
      <c r="E1911" s="18"/>
      <c r="F1911" s="18"/>
      <c r="G1911" s="18"/>
      <c r="H1911" s="18"/>
    </row>
    <row r="1912" spans="1:8" x14ac:dyDescent="0.2">
      <c r="A1912" s="17"/>
      <c r="B1912" s="17"/>
      <c r="C1912" s="18"/>
      <c r="D1912" s="18"/>
      <c r="E1912" s="18"/>
      <c r="F1912" s="18"/>
      <c r="G1912" s="18"/>
      <c r="H1912" s="18"/>
    </row>
    <row r="1913" spans="1:8" x14ac:dyDescent="0.2">
      <c r="A1913" s="17"/>
      <c r="B1913" s="17"/>
      <c r="C1913" s="18"/>
      <c r="D1913" s="18"/>
      <c r="E1913" s="18"/>
      <c r="F1913" s="18"/>
      <c r="G1913" s="18"/>
      <c r="H1913" s="18"/>
    </row>
    <row r="1914" spans="1:8" x14ac:dyDescent="0.2">
      <c r="A1914" s="17"/>
      <c r="B1914" s="17"/>
      <c r="C1914" s="18"/>
      <c r="D1914" s="18"/>
      <c r="E1914" s="18"/>
      <c r="F1914" s="18"/>
      <c r="G1914" s="18"/>
      <c r="H1914" s="18"/>
    </row>
    <row r="1915" spans="1:8" x14ac:dyDescent="0.2">
      <c r="A1915" s="17"/>
      <c r="B1915" s="17"/>
      <c r="C1915" s="18"/>
      <c r="D1915" s="18"/>
      <c r="E1915" s="18"/>
      <c r="F1915" s="18"/>
      <c r="G1915" s="18"/>
      <c r="H1915" s="18"/>
    </row>
    <row r="1916" spans="1:8" x14ac:dyDescent="0.2">
      <c r="A1916" s="17"/>
      <c r="B1916" s="17"/>
      <c r="C1916" s="18"/>
      <c r="D1916" s="18"/>
      <c r="E1916" s="18"/>
      <c r="F1916" s="18"/>
      <c r="G1916" s="18"/>
      <c r="H1916" s="18"/>
    </row>
    <row r="1917" spans="1:8" x14ac:dyDescent="0.2">
      <c r="A1917" s="17"/>
      <c r="B1917" s="17"/>
      <c r="C1917" s="18"/>
      <c r="D1917" s="18"/>
      <c r="E1917" s="18"/>
      <c r="F1917" s="18"/>
      <c r="G1917" s="18"/>
      <c r="H1917" s="18"/>
    </row>
    <row r="1918" spans="1:8" x14ac:dyDescent="0.2">
      <c r="A1918" s="17"/>
      <c r="B1918" s="17"/>
      <c r="C1918" s="18"/>
      <c r="D1918" s="18"/>
      <c r="E1918" s="18"/>
      <c r="F1918" s="18"/>
      <c r="G1918" s="18"/>
      <c r="H1918" s="18"/>
    </row>
    <row r="1919" spans="1:8" x14ac:dyDescent="0.2">
      <c r="A1919" s="17"/>
      <c r="B1919" s="17"/>
      <c r="C1919" s="18"/>
      <c r="D1919" s="18"/>
      <c r="E1919" s="18"/>
      <c r="F1919" s="18"/>
      <c r="G1919" s="18"/>
      <c r="H1919" s="18"/>
    </row>
    <row r="1920" spans="1:8" x14ac:dyDescent="0.2">
      <c r="A1920" s="17"/>
      <c r="B1920" s="17"/>
      <c r="C1920" s="18"/>
      <c r="D1920" s="18"/>
      <c r="E1920" s="18"/>
      <c r="F1920" s="18"/>
      <c r="G1920" s="18"/>
      <c r="H1920" s="18"/>
    </row>
    <row r="1921" spans="1:8" x14ac:dyDescent="0.2">
      <c r="A1921" s="17"/>
      <c r="B1921" s="17"/>
      <c r="C1921" s="18"/>
      <c r="D1921" s="18"/>
      <c r="E1921" s="18"/>
      <c r="F1921" s="18"/>
      <c r="G1921" s="18"/>
      <c r="H1921" s="18"/>
    </row>
    <row r="1922" spans="1:8" x14ac:dyDescent="0.2">
      <c r="A1922" s="17"/>
      <c r="B1922" s="17"/>
      <c r="C1922" s="18"/>
      <c r="D1922" s="18"/>
      <c r="E1922" s="18"/>
      <c r="F1922" s="18"/>
      <c r="G1922" s="18"/>
      <c r="H1922" s="18"/>
    </row>
    <row r="1923" spans="1:8" x14ac:dyDescent="0.2">
      <c r="A1923" s="17"/>
      <c r="B1923" s="17"/>
      <c r="C1923" s="18"/>
      <c r="D1923" s="18"/>
      <c r="E1923" s="18"/>
      <c r="F1923" s="18"/>
      <c r="G1923" s="18"/>
      <c r="H1923" s="18"/>
    </row>
    <row r="1924" spans="1:8" x14ac:dyDescent="0.2">
      <c r="A1924" s="17"/>
      <c r="B1924" s="17"/>
      <c r="C1924" s="18"/>
      <c r="D1924" s="18"/>
      <c r="E1924" s="18"/>
      <c r="F1924" s="18"/>
      <c r="G1924" s="18"/>
      <c r="H1924" s="18"/>
    </row>
    <row r="1925" spans="1:8" x14ac:dyDescent="0.2">
      <c r="A1925" s="17"/>
      <c r="B1925" s="17"/>
      <c r="C1925" s="18"/>
      <c r="D1925" s="18"/>
      <c r="E1925" s="18"/>
      <c r="F1925" s="18"/>
      <c r="G1925" s="18"/>
      <c r="H1925" s="18"/>
    </row>
    <row r="1926" spans="1:8" x14ac:dyDescent="0.2">
      <c r="A1926" s="17"/>
      <c r="B1926" s="17"/>
      <c r="C1926" s="18"/>
      <c r="D1926" s="18"/>
      <c r="E1926" s="18"/>
      <c r="F1926" s="18"/>
      <c r="G1926" s="18"/>
      <c r="H1926" s="18"/>
    </row>
    <row r="1927" spans="1:8" x14ac:dyDescent="0.2">
      <c r="A1927" s="17"/>
      <c r="B1927" s="17"/>
      <c r="C1927" s="18"/>
      <c r="D1927" s="18"/>
      <c r="E1927" s="18"/>
      <c r="F1927" s="18"/>
      <c r="G1927" s="18"/>
      <c r="H1927" s="18"/>
    </row>
    <row r="1928" spans="1:8" x14ac:dyDescent="0.2">
      <c r="A1928" s="17"/>
      <c r="B1928" s="17"/>
      <c r="C1928" s="18"/>
      <c r="D1928" s="18"/>
      <c r="E1928" s="18"/>
      <c r="F1928" s="18"/>
      <c r="G1928" s="18"/>
      <c r="H1928" s="18"/>
    </row>
    <row r="1929" spans="1:8" x14ac:dyDescent="0.2">
      <c r="A1929" s="17"/>
      <c r="B1929" s="17"/>
      <c r="C1929" s="18"/>
      <c r="D1929" s="18"/>
      <c r="E1929" s="18"/>
      <c r="F1929" s="18"/>
      <c r="G1929" s="18"/>
      <c r="H1929" s="18"/>
    </row>
    <row r="1930" spans="1:8" x14ac:dyDescent="0.2">
      <c r="A1930" s="17"/>
      <c r="B1930" s="17"/>
      <c r="C1930" s="18"/>
      <c r="D1930" s="18"/>
      <c r="E1930" s="18"/>
      <c r="F1930" s="18"/>
      <c r="G1930" s="18"/>
      <c r="H1930" s="18"/>
    </row>
    <row r="1931" spans="1:8" x14ac:dyDescent="0.2">
      <c r="A1931" s="17"/>
      <c r="B1931" s="17"/>
      <c r="C1931" s="18"/>
      <c r="D1931" s="18"/>
      <c r="E1931" s="18"/>
      <c r="F1931" s="18"/>
      <c r="G1931" s="18"/>
      <c r="H1931" s="18"/>
    </row>
    <row r="1932" spans="1:8" x14ac:dyDescent="0.2">
      <c r="A1932" s="17"/>
      <c r="B1932" s="17"/>
      <c r="C1932" s="18"/>
      <c r="D1932" s="18"/>
      <c r="E1932" s="18"/>
      <c r="F1932" s="18"/>
      <c r="G1932" s="18"/>
      <c r="H1932" s="18"/>
    </row>
    <row r="1933" spans="1:8" x14ac:dyDescent="0.2">
      <c r="A1933" s="17"/>
      <c r="B1933" s="17"/>
      <c r="C1933" s="18"/>
      <c r="D1933" s="18"/>
      <c r="E1933" s="18"/>
      <c r="F1933" s="18"/>
      <c r="G1933" s="18"/>
      <c r="H1933" s="18"/>
    </row>
    <row r="1934" spans="1:8" x14ac:dyDescent="0.2">
      <c r="A1934" s="17"/>
      <c r="B1934" s="17"/>
      <c r="C1934" s="18"/>
      <c r="D1934" s="18"/>
      <c r="E1934" s="18"/>
      <c r="F1934" s="18"/>
      <c r="G1934" s="18"/>
      <c r="H1934" s="18"/>
    </row>
    <row r="1935" spans="1:8" x14ac:dyDescent="0.2">
      <c r="A1935" s="17"/>
      <c r="B1935" s="17"/>
      <c r="C1935" s="18"/>
      <c r="D1935" s="18"/>
      <c r="E1935" s="18"/>
      <c r="F1935" s="18"/>
      <c r="G1935" s="18"/>
      <c r="H1935" s="18"/>
    </row>
    <row r="1936" spans="1:8" x14ac:dyDescent="0.2">
      <c r="A1936" s="17"/>
      <c r="B1936" s="17"/>
      <c r="C1936" s="18"/>
      <c r="D1936" s="18"/>
      <c r="E1936" s="18"/>
      <c r="F1936" s="18"/>
      <c r="G1936" s="18"/>
      <c r="H1936" s="18"/>
    </row>
    <row r="1937" spans="1:8" x14ac:dyDescent="0.2">
      <c r="A1937" s="17"/>
      <c r="B1937" s="17"/>
      <c r="C1937" s="18"/>
      <c r="D1937" s="18"/>
      <c r="E1937" s="18"/>
      <c r="F1937" s="18"/>
      <c r="G1937" s="18"/>
      <c r="H1937" s="18"/>
    </row>
    <row r="1938" spans="1:8" x14ac:dyDescent="0.2">
      <c r="A1938" s="17"/>
      <c r="B1938" s="17"/>
      <c r="C1938" s="18"/>
      <c r="D1938" s="18"/>
      <c r="E1938" s="18"/>
      <c r="F1938" s="18"/>
      <c r="G1938" s="18"/>
      <c r="H1938" s="18"/>
    </row>
    <row r="1939" spans="1:8" x14ac:dyDescent="0.2">
      <c r="A1939" s="17"/>
      <c r="B1939" s="17"/>
      <c r="C1939" s="18"/>
      <c r="D1939" s="18"/>
      <c r="E1939" s="18"/>
      <c r="F1939" s="18"/>
      <c r="G1939" s="18"/>
      <c r="H1939" s="18"/>
    </row>
    <row r="1940" spans="1:8" x14ac:dyDescent="0.2">
      <c r="A1940" s="17"/>
      <c r="B1940" s="17"/>
      <c r="C1940" s="18"/>
      <c r="D1940" s="18"/>
      <c r="E1940" s="18"/>
      <c r="F1940" s="18"/>
      <c r="G1940" s="18"/>
      <c r="H1940" s="18"/>
    </row>
    <row r="1941" spans="1:8" x14ac:dyDescent="0.2">
      <c r="A1941" s="17"/>
      <c r="B1941" s="17"/>
      <c r="C1941" s="18"/>
      <c r="D1941" s="18"/>
      <c r="E1941" s="18"/>
      <c r="F1941" s="18"/>
      <c r="G1941" s="18"/>
      <c r="H1941" s="18"/>
    </row>
    <row r="1942" spans="1:8" x14ac:dyDescent="0.2">
      <c r="A1942" s="17"/>
      <c r="B1942" s="17"/>
      <c r="C1942" s="18"/>
      <c r="D1942" s="18"/>
      <c r="E1942" s="18"/>
      <c r="F1942" s="18"/>
      <c r="G1942" s="18"/>
      <c r="H1942" s="18"/>
    </row>
    <row r="1943" spans="1:8" x14ac:dyDescent="0.2">
      <c r="A1943" s="17"/>
      <c r="B1943" s="17"/>
      <c r="C1943" s="18"/>
      <c r="D1943" s="18"/>
      <c r="E1943" s="18"/>
      <c r="F1943" s="18"/>
      <c r="G1943" s="18"/>
      <c r="H1943" s="18"/>
    </row>
    <row r="1944" spans="1:8" x14ac:dyDescent="0.2">
      <c r="A1944" s="17"/>
      <c r="B1944" s="17"/>
      <c r="C1944" s="18"/>
      <c r="D1944" s="18"/>
      <c r="E1944" s="18"/>
      <c r="F1944" s="18"/>
      <c r="G1944" s="18"/>
      <c r="H1944" s="18"/>
    </row>
    <row r="1945" spans="1:8" x14ac:dyDescent="0.2">
      <c r="A1945" s="17"/>
      <c r="B1945" s="17"/>
      <c r="C1945" s="18"/>
      <c r="D1945" s="18"/>
      <c r="E1945" s="18"/>
      <c r="F1945" s="18"/>
      <c r="G1945" s="18"/>
      <c r="H1945" s="18"/>
    </row>
    <row r="1946" spans="1:8" x14ac:dyDescent="0.2">
      <c r="A1946" s="17"/>
      <c r="B1946" s="17"/>
      <c r="C1946" s="18"/>
      <c r="D1946" s="18"/>
      <c r="E1946" s="18"/>
      <c r="F1946" s="18"/>
      <c r="G1946" s="18"/>
      <c r="H1946" s="18"/>
    </row>
    <row r="1947" spans="1:8" x14ac:dyDescent="0.2">
      <c r="A1947" s="17"/>
      <c r="B1947" s="17"/>
      <c r="C1947" s="18"/>
      <c r="D1947" s="18"/>
      <c r="E1947" s="18"/>
      <c r="F1947" s="18"/>
      <c r="G1947" s="18"/>
      <c r="H1947" s="18"/>
    </row>
    <row r="1948" spans="1:8" x14ac:dyDescent="0.2">
      <c r="A1948" s="17"/>
      <c r="B1948" s="17"/>
      <c r="C1948" s="18"/>
      <c r="D1948" s="18"/>
      <c r="E1948" s="18"/>
      <c r="F1948" s="18"/>
      <c r="G1948" s="18"/>
      <c r="H1948" s="18"/>
    </row>
    <row r="1949" spans="1:8" x14ac:dyDescent="0.2">
      <c r="A1949" s="17"/>
      <c r="B1949" s="17"/>
      <c r="C1949" s="18"/>
      <c r="D1949" s="18"/>
      <c r="E1949" s="18"/>
      <c r="F1949" s="18"/>
      <c r="G1949" s="18"/>
      <c r="H1949" s="18"/>
    </row>
    <row r="1950" spans="1:8" x14ac:dyDescent="0.2">
      <c r="A1950" s="17"/>
      <c r="B1950" s="17"/>
      <c r="C1950" s="18"/>
      <c r="D1950" s="18"/>
      <c r="E1950" s="18"/>
      <c r="F1950" s="18"/>
      <c r="G1950" s="18"/>
      <c r="H1950" s="18"/>
    </row>
    <row r="1951" spans="1:8" x14ac:dyDescent="0.2">
      <c r="A1951" s="17"/>
      <c r="B1951" s="17"/>
      <c r="C1951" s="18"/>
      <c r="D1951" s="18"/>
      <c r="E1951" s="18"/>
      <c r="F1951" s="18"/>
      <c r="G1951" s="18"/>
      <c r="H1951" s="18"/>
    </row>
    <row r="1952" spans="1:8" x14ac:dyDescent="0.2">
      <c r="A1952" s="17"/>
      <c r="B1952" s="17"/>
      <c r="C1952" s="18"/>
      <c r="D1952" s="18"/>
      <c r="E1952" s="18"/>
      <c r="F1952" s="18"/>
      <c r="G1952" s="18"/>
      <c r="H1952" s="18"/>
    </row>
    <row r="1953" spans="1:8" x14ac:dyDescent="0.2">
      <c r="A1953" s="17"/>
      <c r="B1953" s="17"/>
      <c r="C1953" s="18"/>
      <c r="D1953" s="18"/>
      <c r="E1953" s="18"/>
      <c r="F1953" s="18"/>
      <c r="G1953" s="18"/>
      <c r="H1953" s="18"/>
    </row>
    <row r="1954" spans="1:8" x14ac:dyDescent="0.2">
      <c r="A1954" s="17"/>
      <c r="B1954" s="17"/>
      <c r="C1954" s="18"/>
      <c r="D1954" s="18"/>
      <c r="E1954" s="18"/>
      <c r="F1954" s="18"/>
      <c r="G1954" s="18"/>
      <c r="H1954" s="18"/>
    </row>
    <row r="1955" spans="1:8" x14ac:dyDescent="0.2">
      <c r="A1955" s="17"/>
      <c r="B1955" s="17"/>
      <c r="C1955" s="18"/>
      <c r="D1955" s="18"/>
      <c r="E1955" s="18"/>
      <c r="F1955" s="18"/>
      <c r="G1955" s="18"/>
      <c r="H1955" s="18"/>
    </row>
    <row r="1956" spans="1:8" x14ac:dyDescent="0.2">
      <c r="A1956" s="17"/>
      <c r="B1956" s="17"/>
      <c r="C1956" s="18"/>
      <c r="D1956" s="18"/>
      <c r="E1956" s="18"/>
      <c r="F1956" s="18"/>
      <c r="G1956" s="18"/>
      <c r="H1956" s="18"/>
    </row>
    <row r="1957" spans="1:8" x14ac:dyDescent="0.2">
      <c r="A1957" s="17"/>
      <c r="B1957" s="17"/>
      <c r="C1957" s="18"/>
      <c r="D1957" s="18"/>
      <c r="E1957" s="18"/>
      <c r="F1957" s="18"/>
      <c r="G1957" s="18"/>
      <c r="H1957" s="18"/>
    </row>
    <row r="1958" spans="1:8" x14ac:dyDescent="0.2">
      <c r="A1958" s="17"/>
      <c r="B1958" s="17"/>
      <c r="C1958" s="18"/>
      <c r="D1958" s="18"/>
      <c r="E1958" s="18"/>
      <c r="F1958" s="18"/>
      <c r="G1958" s="18"/>
      <c r="H1958" s="18"/>
    </row>
    <row r="1959" spans="1:8" x14ac:dyDescent="0.2">
      <c r="A1959" s="17"/>
      <c r="B1959" s="17"/>
      <c r="C1959" s="18"/>
      <c r="D1959" s="18"/>
      <c r="E1959" s="18"/>
      <c r="F1959" s="18"/>
      <c r="G1959" s="18"/>
      <c r="H1959" s="18"/>
    </row>
    <row r="1960" spans="1:8" x14ac:dyDescent="0.2">
      <c r="A1960" s="17"/>
      <c r="B1960" s="17"/>
      <c r="C1960" s="18"/>
      <c r="D1960" s="18"/>
      <c r="E1960" s="18"/>
      <c r="F1960" s="18"/>
      <c r="G1960" s="18"/>
      <c r="H1960" s="18"/>
    </row>
    <row r="1961" spans="1:8" x14ac:dyDescent="0.2">
      <c r="A1961" s="17"/>
      <c r="B1961" s="17"/>
      <c r="C1961" s="18"/>
      <c r="D1961" s="18"/>
      <c r="E1961" s="18"/>
      <c r="F1961" s="18"/>
      <c r="G1961" s="18"/>
      <c r="H1961" s="18"/>
    </row>
    <row r="1962" spans="1:8" x14ac:dyDescent="0.2">
      <c r="A1962" s="17"/>
      <c r="B1962" s="17"/>
      <c r="C1962" s="18"/>
      <c r="D1962" s="18"/>
      <c r="E1962" s="18"/>
      <c r="F1962" s="18"/>
      <c r="G1962" s="18"/>
      <c r="H1962" s="18"/>
    </row>
    <row r="1963" spans="1:8" x14ac:dyDescent="0.2">
      <c r="A1963" s="17"/>
      <c r="B1963" s="17"/>
      <c r="C1963" s="18"/>
      <c r="D1963" s="18"/>
      <c r="E1963" s="18"/>
      <c r="F1963" s="18"/>
      <c r="G1963" s="18"/>
      <c r="H1963" s="18"/>
    </row>
    <row r="1964" spans="1:8" x14ac:dyDescent="0.2">
      <c r="A1964" s="17"/>
      <c r="B1964" s="17"/>
      <c r="C1964" s="18"/>
      <c r="D1964" s="18"/>
      <c r="E1964" s="18"/>
      <c r="F1964" s="18"/>
      <c r="G1964" s="18"/>
      <c r="H1964" s="18"/>
    </row>
    <row r="1965" spans="1:8" x14ac:dyDescent="0.2">
      <c r="A1965" s="17"/>
      <c r="B1965" s="17"/>
      <c r="C1965" s="18"/>
      <c r="D1965" s="18"/>
      <c r="E1965" s="18"/>
      <c r="F1965" s="18"/>
      <c r="G1965" s="18"/>
      <c r="H1965" s="18"/>
    </row>
    <row r="1966" spans="1:8" x14ac:dyDescent="0.2">
      <c r="A1966" s="17"/>
      <c r="B1966" s="17"/>
      <c r="C1966" s="18"/>
      <c r="D1966" s="18"/>
      <c r="E1966" s="18"/>
      <c r="F1966" s="18"/>
      <c r="G1966" s="18"/>
      <c r="H1966" s="18"/>
    </row>
    <row r="1967" spans="1:8" x14ac:dyDescent="0.2">
      <c r="A1967" s="17"/>
      <c r="B1967" s="17"/>
      <c r="C1967" s="18"/>
      <c r="D1967" s="18"/>
      <c r="E1967" s="18"/>
      <c r="F1967" s="18"/>
      <c r="G1967" s="18"/>
      <c r="H1967" s="18"/>
    </row>
    <row r="1968" spans="1:8" x14ac:dyDescent="0.2">
      <c r="A1968" s="17"/>
      <c r="B1968" s="17"/>
      <c r="C1968" s="18"/>
      <c r="D1968" s="18"/>
      <c r="E1968" s="18"/>
      <c r="F1968" s="18"/>
      <c r="G1968" s="18"/>
      <c r="H1968" s="18"/>
    </row>
    <row r="1969" spans="1:8" x14ac:dyDescent="0.2">
      <c r="A1969" s="17"/>
      <c r="B1969" s="17"/>
      <c r="C1969" s="18"/>
      <c r="D1969" s="18"/>
      <c r="E1969" s="18"/>
      <c r="F1969" s="18"/>
      <c r="G1969" s="18"/>
      <c r="H1969" s="18"/>
    </row>
    <row r="1970" spans="1:8" x14ac:dyDescent="0.2">
      <c r="A1970" s="17"/>
      <c r="B1970" s="17"/>
      <c r="C1970" s="18"/>
      <c r="D1970" s="18"/>
      <c r="E1970" s="18"/>
      <c r="F1970" s="18"/>
      <c r="G1970" s="18"/>
      <c r="H1970" s="18"/>
    </row>
    <row r="1971" spans="1:8" x14ac:dyDescent="0.2">
      <c r="A1971" s="17"/>
      <c r="B1971" s="17"/>
      <c r="C1971" s="18"/>
      <c r="D1971" s="18"/>
      <c r="E1971" s="18"/>
      <c r="F1971" s="18"/>
      <c r="G1971" s="18"/>
      <c r="H1971" s="18"/>
    </row>
    <row r="1972" spans="1:8" x14ac:dyDescent="0.2">
      <c r="A1972" s="17"/>
      <c r="B1972" s="17"/>
      <c r="C1972" s="18"/>
      <c r="D1972" s="18"/>
      <c r="E1972" s="18"/>
      <c r="F1972" s="18"/>
      <c r="G1972" s="18"/>
      <c r="H1972" s="18"/>
    </row>
    <row r="1973" spans="1:8" x14ac:dyDescent="0.2">
      <c r="A1973" s="17"/>
      <c r="B1973" s="17"/>
      <c r="C1973" s="18"/>
      <c r="D1973" s="18"/>
      <c r="E1973" s="18"/>
      <c r="F1973" s="18"/>
      <c r="G1973" s="18"/>
      <c r="H1973" s="18"/>
    </row>
    <row r="1974" spans="1:8" x14ac:dyDescent="0.2">
      <c r="A1974" s="17"/>
      <c r="B1974" s="17"/>
      <c r="C1974" s="18"/>
      <c r="D1974" s="18"/>
      <c r="E1974" s="18"/>
      <c r="F1974" s="18"/>
      <c r="G1974" s="18"/>
      <c r="H1974" s="18"/>
    </row>
    <row r="1975" spans="1:8" x14ac:dyDescent="0.2">
      <c r="A1975" s="17"/>
      <c r="B1975" s="17"/>
      <c r="C1975" s="18"/>
      <c r="D1975" s="18"/>
      <c r="E1975" s="18"/>
      <c r="F1975" s="18"/>
      <c r="G1975" s="18"/>
      <c r="H1975" s="18"/>
    </row>
    <row r="1976" spans="1:8" x14ac:dyDescent="0.2">
      <c r="A1976" s="17"/>
      <c r="B1976" s="17"/>
      <c r="C1976" s="18"/>
      <c r="D1976" s="18"/>
      <c r="E1976" s="18"/>
      <c r="F1976" s="18"/>
      <c r="G1976" s="18"/>
      <c r="H1976" s="18"/>
    </row>
    <row r="1977" spans="1:8" x14ac:dyDescent="0.2">
      <c r="A1977" s="17"/>
      <c r="B1977" s="17"/>
      <c r="C1977" s="18"/>
      <c r="D1977" s="18"/>
      <c r="E1977" s="18"/>
      <c r="F1977" s="18"/>
      <c r="G1977" s="18"/>
      <c r="H1977" s="18"/>
    </row>
    <row r="1978" spans="1:8" x14ac:dyDescent="0.2">
      <c r="A1978" s="17"/>
      <c r="B1978" s="17"/>
      <c r="C1978" s="18"/>
      <c r="D1978" s="18"/>
      <c r="E1978" s="18"/>
      <c r="F1978" s="18"/>
      <c r="G1978" s="18"/>
      <c r="H1978" s="18"/>
    </row>
    <row r="1979" spans="1:8" x14ac:dyDescent="0.2">
      <c r="A1979" s="17"/>
      <c r="B1979" s="17"/>
      <c r="C1979" s="18"/>
      <c r="D1979" s="18"/>
      <c r="E1979" s="18"/>
      <c r="F1979" s="18"/>
      <c r="G1979" s="18"/>
      <c r="H1979" s="18"/>
    </row>
    <row r="1980" spans="1:8" x14ac:dyDescent="0.2">
      <c r="A1980" s="17"/>
      <c r="B1980" s="17"/>
      <c r="C1980" s="18"/>
      <c r="D1980" s="18"/>
      <c r="E1980" s="18"/>
      <c r="F1980" s="18"/>
      <c r="G1980" s="18"/>
      <c r="H1980" s="18"/>
    </row>
    <row r="1981" spans="1:8" x14ac:dyDescent="0.2">
      <c r="A1981" s="17"/>
      <c r="B1981" s="17"/>
      <c r="C1981" s="18"/>
      <c r="D1981" s="18"/>
      <c r="E1981" s="18"/>
      <c r="F1981" s="18"/>
      <c r="G1981" s="18"/>
      <c r="H1981" s="18"/>
    </row>
    <row r="1982" spans="1:8" x14ac:dyDescent="0.2">
      <c r="A1982" s="17"/>
      <c r="B1982" s="17"/>
      <c r="C1982" s="18"/>
      <c r="D1982" s="18"/>
      <c r="E1982" s="18"/>
      <c r="F1982" s="18"/>
      <c r="G1982" s="18"/>
      <c r="H1982" s="18"/>
    </row>
    <row r="1983" spans="1:8" x14ac:dyDescent="0.2">
      <c r="A1983" s="17"/>
      <c r="B1983" s="17"/>
      <c r="C1983" s="18"/>
      <c r="D1983" s="18"/>
      <c r="E1983" s="18"/>
      <c r="F1983" s="18"/>
      <c r="G1983" s="18"/>
      <c r="H1983" s="18"/>
    </row>
    <row r="1984" spans="1:8" x14ac:dyDescent="0.2">
      <c r="A1984" s="17"/>
      <c r="B1984" s="17"/>
      <c r="C1984" s="18"/>
      <c r="D1984" s="18"/>
      <c r="E1984" s="18"/>
      <c r="F1984" s="18"/>
      <c r="G1984" s="18"/>
      <c r="H1984" s="18"/>
    </row>
    <row r="1985" spans="1:8" x14ac:dyDescent="0.2">
      <c r="A1985" s="17"/>
      <c r="B1985" s="17"/>
      <c r="C1985" s="18"/>
      <c r="D1985" s="18"/>
      <c r="E1985" s="18"/>
      <c r="F1985" s="18"/>
      <c r="G1985" s="18"/>
      <c r="H1985" s="18"/>
    </row>
    <row r="1986" spans="1:8" x14ac:dyDescent="0.2">
      <c r="A1986" s="17"/>
      <c r="B1986" s="17"/>
      <c r="C1986" s="18"/>
      <c r="D1986" s="18"/>
      <c r="E1986" s="18"/>
      <c r="F1986" s="18"/>
      <c r="G1986" s="18"/>
      <c r="H1986" s="18"/>
    </row>
    <row r="1987" spans="1:8" x14ac:dyDescent="0.2">
      <c r="A1987" s="17"/>
      <c r="B1987" s="17"/>
      <c r="C1987" s="18"/>
      <c r="D1987" s="18"/>
      <c r="E1987" s="18"/>
      <c r="F1987" s="18"/>
      <c r="G1987" s="18"/>
      <c r="H1987" s="18"/>
    </row>
    <row r="1988" spans="1:8" x14ac:dyDescent="0.2">
      <c r="A1988" s="17"/>
      <c r="B1988" s="17"/>
      <c r="C1988" s="18"/>
      <c r="D1988" s="18"/>
      <c r="E1988" s="18"/>
      <c r="F1988" s="18"/>
      <c r="G1988" s="18"/>
      <c r="H1988" s="18"/>
    </row>
    <row r="1989" spans="1:8" x14ac:dyDescent="0.2">
      <c r="A1989" s="17"/>
      <c r="B1989" s="17"/>
      <c r="C1989" s="18"/>
      <c r="D1989" s="18"/>
      <c r="E1989" s="18"/>
      <c r="F1989" s="18"/>
      <c r="G1989" s="18"/>
      <c r="H1989" s="18"/>
    </row>
    <row r="1990" spans="1:8" x14ac:dyDescent="0.2">
      <c r="A1990" s="17"/>
      <c r="B1990" s="17"/>
      <c r="C1990" s="18"/>
      <c r="D1990" s="18"/>
      <c r="E1990" s="18"/>
      <c r="F1990" s="18"/>
      <c r="G1990" s="18"/>
      <c r="H1990" s="18"/>
    </row>
    <row r="1991" spans="1:8" x14ac:dyDescent="0.2">
      <c r="A1991" s="17"/>
      <c r="B1991" s="17"/>
      <c r="C1991" s="18"/>
      <c r="D1991" s="18"/>
      <c r="E1991" s="18"/>
      <c r="F1991" s="18"/>
      <c r="G1991" s="18"/>
      <c r="H1991" s="18"/>
    </row>
    <row r="1992" spans="1:8" x14ac:dyDescent="0.2">
      <c r="A1992" s="17"/>
      <c r="B1992" s="17"/>
      <c r="C1992" s="18"/>
      <c r="D1992" s="18"/>
      <c r="E1992" s="18"/>
      <c r="F1992" s="18"/>
      <c r="G1992" s="18"/>
      <c r="H1992" s="18"/>
    </row>
    <row r="1993" spans="1:8" x14ac:dyDescent="0.2">
      <c r="A1993" s="17"/>
      <c r="B1993" s="17"/>
      <c r="C1993" s="18"/>
      <c r="D1993" s="18"/>
      <c r="E1993" s="18"/>
      <c r="F1993" s="18"/>
      <c r="G1993" s="18"/>
      <c r="H1993" s="18"/>
    </row>
    <row r="1994" spans="1:8" x14ac:dyDescent="0.2">
      <c r="A1994" s="17"/>
      <c r="B1994" s="17"/>
      <c r="C1994" s="18"/>
      <c r="D1994" s="18"/>
      <c r="E1994" s="18"/>
      <c r="F1994" s="18"/>
      <c r="G1994" s="18"/>
      <c r="H1994" s="18"/>
    </row>
    <row r="1995" spans="1:8" x14ac:dyDescent="0.2">
      <c r="A1995" s="17"/>
      <c r="B1995" s="17"/>
      <c r="C1995" s="18"/>
      <c r="D1995" s="18"/>
      <c r="E1995" s="18"/>
      <c r="F1995" s="18"/>
      <c r="G1995" s="18"/>
      <c r="H1995" s="18"/>
    </row>
    <row r="1996" spans="1:8" x14ac:dyDescent="0.2">
      <c r="A1996" s="17"/>
      <c r="B1996" s="17"/>
      <c r="C1996" s="18"/>
      <c r="D1996" s="18"/>
      <c r="E1996" s="18"/>
      <c r="F1996" s="18"/>
      <c r="G1996" s="18"/>
      <c r="H1996" s="18"/>
    </row>
    <row r="1997" spans="1:8" x14ac:dyDescent="0.2">
      <c r="A1997" s="17"/>
      <c r="B1997" s="17"/>
      <c r="C1997" s="18"/>
      <c r="D1997" s="18"/>
      <c r="E1997" s="18"/>
      <c r="F1997" s="18"/>
      <c r="G1997" s="18"/>
      <c r="H1997" s="18"/>
    </row>
    <row r="1998" spans="1:8" x14ac:dyDescent="0.2">
      <c r="A1998" s="17"/>
      <c r="B1998" s="17"/>
      <c r="C1998" s="18"/>
      <c r="D1998" s="18"/>
      <c r="E1998" s="18"/>
      <c r="F1998" s="18"/>
      <c r="G1998" s="18"/>
      <c r="H1998" s="18"/>
    </row>
    <row r="1999" spans="1:8" x14ac:dyDescent="0.2">
      <c r="A1999" s="17"/>
      <c r="B1999" s="17"/>
      <c r="C1999" s="18"/>
      <c r="D1999" s="18"/>
      <c r="E1999" s="18"/>
      <c r="F1999" s="18"/>
      <c r="G1999" s="18"/>
      <c r="H1999" s="18"/>
    </row>
    <row r="2000" spans="1:8" x14ac:dyDescent="0.2">
      <c r="A2000" s="17"/>
      <c r="B2000" s="17"/>
      <c r="C2000" s="18"/>
      <c r="D2000" s="18"/>
      <c r="E2000" s="18"/>
      <c r="F2000" s="18"/>
      <c r="G2000" s="18"/>
      <c r="H2000" s="18"/>
    </row>
    <row r="2001" spans="1:8" x14ac:dyDescent="0.2">
      <c r="A2001" s="17"/>
      <c r="B2001" s="17"/>
      <c r="C2001" s="18"/>
      <c r="D2001" s="18"/>
      <c r="E2001" s="18"/>
      <c r="F2001" s="18"/>
      <c r="G2001" s="18"/>
      <c r="H2001" s="18"/>
    </row>
    <row r="2002" spans="1:8" x14ac:dyDescent="0.2">
      <c r="A2002" s="17"/>
      <c r="B2002" s="17"/>
      <c r="C2002" s="18"/>
      <c r="D2002" s="18"/>
      <c r="E2002" s="18"/>
      <c r="F2002" s="18"/>
      <c r="G2002" s="18"/>
      <c r="H2002" s="18"/>
    </row>
    <row r="2003" spans="1:8" x14ac:dyDescent="0.2">
      <c r="A2003" s="17"/>
      <c r="B2003" s="17"/>
      <c r="C2003" s="18"/>
      <c r="D2003" s="18"/>
      <c r="E2003" s="18"/>
      <c r="F2003" s="18"/>
      <c r="G2003" s="18"/>
      <c r="H2003" s="18"/>
    </row>
    <row r="2004" spans="1:8" x14ac:dyDescent="0.2">
      <c r="A2004" s="17"/>
      <c r="B2004" s="17"/>
      <c r="C2004" s="18"/>
      <c r="D2004" s="18"/>
      <c r="E2004" s="18"/>
      <c r="F2004" s="18"/>
      <c r="G2004" s="18"/>
      <c r="H2004" s="18"/>
    </row>
    <row r="2005" spans="1:8" x14ac:dyDescent="0.2">
      <c r="A2005" s="17"/>
      <c r="B2005" s="17"/>
      <c r="C2005" s="18"/>
      <c r="D2005" s="18"/>
      <c r="E2005" s="18"/>
      <c r="F2005" s="18"/>
      <c r="G2005" s="18"/>
      <c r="H2005" s="18"/>
    </row>
    <row r="2006" spans="1:8" x14ac:dyDescent="0.2">
      <c r="A2006" s="17"/>
      <c r="B2006" s="17"/>
      <c r="C2006" s="18"/>
      <c r="D2006" s="18"/>
      <c r="E2006" s="18"/>
      <c r="F2006" s="18"/>
      <c r="G2006" s="18"/>
      <c r="H2006" s="18"/>
    </row>
    <row r="2007" spans="1:8" x14ac:dyDescent="0.2">
      <c r="A2007" s="17"/>
      <c r="B2007" s="17"/>
      <c r="C2007" s="18"/>
      <c r="D2007" s="18"/>
      <c r="E2007" s="18"/>
      <c r="F2007" s="18"/>
      <c r="G2007" s="18"/>
      <c r="H2007" s="18"/>
    </row>
    <row r="2008" spans="1:8" x14ac:dyDescent="0.2">
      <c r="A2008" s="17"/>
      <c r="B2008" s="17"/>
      <c r="C2008" s="18"/>
      <c r="D2008" s="18"/>
      <c r="E2008" s="18"/>
      <c r="F2008" s="18"/>
      <c r="G2008" s="18"/>
      <c r="H2008" s="18"/>
    </row>
    <row r="2009" spans="1:8" x14ac:dyDescent="0.2">
      <c r="A2009" s="17"/>
      <c r="B2009" s="17"/>
      <c r="C2009" s="18"/>
      <c r="D2009" s="18"/>
      <c r="E2009" s="18"/>
      <c r="F2009" s="18"/>
      <c r="G2009" s="18"/>
      <c r="H2009" s="18"/>
    </row>
    <row r="2010" spans="1:8" x14ac:dyDescent="0.2">
      <c r="A2010" s="17"/>
      <c r="B2010" s="17"/>
      <c r="C2010" s="18"/>
      <c r="D2010" s="18"/>
      <c r="E2010" s="18"/>
      <c r="F2010" s="18"/>
      <c r="G2010" s="18"/>
      <c r="H2010" s="18"/>
    </row>
    <row r="2011" spans="1:8" x14ac:dyDescent="0.2">
      <c r="A2011" s="17"/>
      <c r="B2011" s="17"/>
      <c r="C2011" s="18"/>
      <c r="D2011" s="18"/>
      <c r="E2011" s="18"/>
      <c r="F2011" s="18"/>
      <c r="G2011" s="18"/>
      <c r="H2011" s="18"/>
    </row>
    <row r="2012" spans="1:8" x14ac:dyDescent="0.2">
      <c r="A2012" s="17"/>
      <c r="B2012" s="17"/>
      <c r="C2012" s="18"/>
      <c r="D2012" s="18"/>
      <c r="E2012" s="18"/>
      <c r="F2012" s="18"/>
      <c r="G2012" s="18"/>
      <c r="H2012" s="18"/>
    </row>
    <row r="2013" spans="1:8" x14ac:dyDescent="0.2">
      <c r="A2013" s="17"/>
      <c r="B2013" s="17"/>
      <c r="C2013" s="18"/>
      <c r="D2013" s="18"/>
      <c r="E2013" s="18"/>
      <c r="F2013" s="18"/>
      <c r="G2013" s="18"/>
      <c r="H2013" s="18"/>
    </row>
    <row r="2014" spans="1:8" x14ac:dyDescent="0.2">
      <c r="A2014" s="17"/>
      <c r="B2014" s="17"/>
      <c r="C2014" s="18"/>
      <c r="D2014" s="18"/>
      <c r="E2014" s="18"/>
      <c r="F2014" s="18"/>
      <c r="G2014" s="18"/>
      <c r="H2014" s="18"/>
    </row>
    <row r="2015" spans="1:8" x14ac:dyDescent="0.2">
      <c r="A2015" s="17"/>
      <c r="B2015" s="17"/>
      <c r="C2015" s="18"/>
      <c r="D2015" s="18"/>
      <c r="E2015" s="18"/>
      <c r="F2015" s="18"/>
      <c r="G2015" s="18"/>
      <c r="H2015" s="18"/>
    </row>
    <row r="2016" spans="1:8" x14ac:dyDescent="0.2">
      <c r="A2016" s="17"/>
      <c r="B2016" s="17"/>
      <c r="C2016" s="18"/>
      <c r="D2016" s="18"/>
      <c r="E2016" s="18"/>
      <c r="F2016" s="18"/>
      <c r="G2016" s="18"/>
      <c r="H2016" s="18"/>
    </row>
    <row r="2017" spans="1:8" x14ac:dyDescent="0.2">
      <c r="A2017" s="17"/>
      <c r="B2017" s="17"/>
      <c r="C2017" s="18"/>
      <c r="D2017" s="18"/>
      <c r="E2017" s="18"/>
      <c r="F2017" s="18"/>
      <c r="G2017" s="18"/>
      <c r="H2017" s="18"/>
    </row>
    <row r="2018" spans="1:8" x14ac:dyDescent="0.2">
      <c r="A2018" s="17"/>
      <c r="B2018" s="17"/>
      <c r="C2018" s="18"/>
      <c r="D2018" s="18"/>
      <c r="E2018" s="18"/>
      <c r="F2018" s="18"/>
      <c r="G2018" s="18"/>
      <c r="H2018" s="18"/>
    </row>
    <row r="2019" spans="1:8" x14ac:dyDescent="0.2">
      <c r="A2019" s="17"/>
      <c r="B2019" s="17"/>
      <c r="C2019" s="18"/>
      <c r="D2019" s="18"/>
      <c r="E2019" s="18"/>
      <c r="F2019" s="18"/>
      <c r="G2019" s="18"/>
      <c r="H2019" s="18"/>
    </row>
    <row r="2020" spans="1:8" x14ac:dyDescent="0.2">
      <c r="A2020" s="17"/>
      <c r="B2020" s="17"/>
      <c r="C2020" s="18"/>
      <c r="D2020" s="18"/>
      <c r="E2020" s="18"/>
      <c r="F2020" s="18"/>
      <c r="G2020" s="18"/>
      <c r="H2020" s="18"/>
    </row>
    <row r="2021" spans="1:8" x14ac:dyDescent="0.2">
      <c r="A2021" s="17"/>
      <c r="B2021" s="17"/>
      <c r="C2021" s="18"/>
      <c r="D2021" s="18"/>
      <c r="E2021" s="18"/>
      <c r="F2021" s="18"/>
      <c r="G2021" s="18"/>
      <c r="H2021" s="18"/>
    </row>
    <row r="2022" spans="1:8" x14ac:dyDescent="0.2">
      <c r="A2022" s="17"/>
      <c r="B2022" s="17"/>
      <c r="C2022" s="18"/>
      <c r="D2022" s="18"/>
      <c r="E2022" s="18"/>
      <c r="F2022" s="18"/>
      <c r="G2022" s="18"/>
      <c r="H2022" s="18"/>
    </row>
    <row r="2023" spans="1:8" x14ac:dyDescent="0.2">
      <c r="A2023" s="17"/>
      <c r="B2023" s="17"/>
      <c r="C2023" s="18"/>
      <c r="D2023" s="18"/>
      <c r="E2023" s="18"/>
      <c r="F2023" s="18"/>
      <c r="G2023" s="18"/>
      <c r="H2023" s="18"/>
    </row>
    <row r="2024" spans="1:8" x14ac:dyDescent="0.2">
      <c r="A2024" s="17"/>
      <c r="B2024" s="17"/>
      <c r="C2024" s="18"/>
      <c r="D2024" s="18"/>
      <c r="E2024" s="18"/>
      <c r="F2024" s="18"/>
      <c r="G2024" s="18"/>
      <c r="H2024" s="18"/>
    </row>
    <row r="2025" spans="1:8" x14ac:dyDescent="0.2">
      <c r="A2025" s="17"/>
      <c r="B2025" s="17"/>
      <c r="C2025" s="18"/>
      <c r="D2025" s="18"/>
      <c r="E2025" s="18"/>
      <c r="F2025" s="18"/>
      <c r="G2025" s="18"/>
      <c r="H2025" s="18"/>
    </row>
    <row r="2026" spans="1:8" x14ac:dyDescent="0.2">
      <c r="A2026" s="17"/>
      <c r="B2026" s="17"/>
      <c r="C2026" s="18"/>
      <c r="D2026" s="18"/>
      <c r="E2026" s="18"/>
      <c r="F2026" s="18"/>
      <c r="G2026" s="18"/>
      <c r="H2026" s="18"/>
    </row>
    <row r="2027" spans="1:8" x14ac:dyDescent="0.2">
      <c r="A2027" s="17"/>
      <c r="B2027" s="17"/>
      <c r="C2027" s="18"/>
      <c r="D2027" s="18"/>
      <c r="E2027" s="18"/>
      <c r="F2027" s="18"/>
      <c r="G2027" s="18"/>
      <c r="H2027" s="18"/>
    </row>
    <row r="2028" spans="1:8" x14ac:dyDescent="0.2">
      <c r="A2028" s="17"/>
      <c r="B2028" s="17"/>
      <c r="C2028" s="18"/>
      <c r="D2028" s="18"/>
      <c r="E2028" s="18"/>
      <c r="F2028" s="18"/>
      <c r="G2028" s="18"/>
      <c r="H2028" s="18"/>
    </row>
    <row r="2029" spans="1:8" x14ac:dyDescent="0.2">
      <c r="A2029" s="17"/>
      <c r="B2029" s="17"/>
      <c r="C2029" s="18"/>
      <c r="D2029" s="18"/>
      <c r="E2029" s="18"/>
      <c r="F2029" s="18"/>
      <c r="G2029" s="18"/>
      <c r="H2029" s="18"/>
    </row>
    <row r="2030" spans="1:8" x14ac:dyDescent="0.2">
      <c r="A2030" s="17"/>
      <c r="B2030" s="17"/>
      <c r="C2030" s="18"/>
      <c r="D2030" s="18"/>
      <c r="E2030" s="18"/>
      <c r="F2030" s="18"/>
      <c r="G2030" s="18"/>
      <c r="H2030" s="18"/>
    </row>
    <row r="2031" spans="1:8" x14ac:dyDescent="0.2">
      <c r="A2031" s="17"/>
      <c r="B2031" s="17"/>
      <c r="C2031" s="18"/>
      <c r="D2031" s="18"/>
      <c r="E2031" s="18"/>
      <c r="F2031" s="18"/>
      <c r="G2031" s="18"/>
      <c r="H2031" s="18"/>
    </row>
    <row r="2032" spans="1:8" x14ac:dyDescent="0.2">
      <c r="A2032" s="17"/>
      <c r="B2032" s="17"/>
      <c r="C2032" s="18"/>
      <c r="D2032" s="18"/>
      <c r="E2032" s="18"/>
      <c r="F2032" s="18"/>
      <c r="G2032" s="18"/>
      <c r="H2032" s="18"/>
    </row>
    <row r="2033" spans="1:8" x14ac:dyDescent="0.2">
      <c r="A2033" s="17"/>
      <c r="B2033" s="17"/>
      <c r="C2033" s="18"/>
      <c r="D2033" s="18"/>
      <c r="E2033" s="18"/>
      <c r="F2033" s="18"/>
      <c r="G2033" s="18"/>
      <c r="H2033" s="18"/>
    </row>
    <row r="2034" spans="1:8" x14ac:dyDescent="0.2">
      <c r="A2034" s="17"/>
      <c r="B2034" s="17"/>
      <c r="C2034" s="18"/>
      <c r="D2034" s="18"/>
      <c r="E2034" s="18"/>
      <c r="F2034" s="18"/>
      <c r="G2034" s="18"/>
      <c r="H2034" s="18"/>
    </row>
    <row r="2035" spans="1:8" x14ac:dyDescent="0.2">
      <c r="A2035" s="17"/>
      <c r="B2035" s="17"/>
      <c r="C2035" s="18"/>
      <c r="D2035" s="18"/>
      <c r="E2035" s="18"/>
      <c r="F2035" s="18"/>
      <c r="G2035" s="18"/>
      <c r="H2035" s="18"/>
    </row>
    <row r="2036" spans="1:8" x14ac:dyDescent="0.2">
      <c r="A2036" s="17"/>
      <c r="B2036" s="17"/>
      <c r="C2036" s="18"/>
      <c r="D2036" s="18"/>
      <c r="E2036" s="18"/>
      <c r="F2036" s="18"/>
      <c r="G2036" s="18"/>
      <c r="H2036" s="18"/>
    </row>
    <row r="2037" spans="1:8" x14ac:dyDescent="0.2">
      <c r="A2037" s="17"/>
      <c r="B2037" s="17"/>
      <c r="C2037" s="18"/>
      <c r="D2037" s="18"/>
      <c r="E2037" s="18"/>
      <c r="F2037" s="18"/>
      <c r="G2037" s="18"/>
      <c r="H2037" s="18"/>
    </row>
    <row r="2038" spans="1:8" x14ac:dyDescent="0.2">
      <c r="A2038" s="17"/>
      <c r="B2038" s="17"/>
      <c r="C2038" s="18"/>
      <c r="D2038" s="18"/>
      <c r="E2038" s="18"/>
      <c r="F2038" s="18"/>
      <c r="G2038" s="18"/>
      <c r="H2038" s="18"/>
    </row>
    <row r="2039" spans="1:8" x14ac:dyDescent="0.2">
      <c r="A2039" s="17"/>
      <c r="B2039" s="17"/>
      <c r="C2039" s="18"/>
      <c r="D2039" s="18"/>
      <c r="E2039" s="18"/>
      <c r="F2039" s="18"/>
      <c r="G2039" s="18"/>
      <c r="H2039" s="18"/>
    </row>
    <row r="2040" spans="1:8" x14ac:dyDescent="0.2">
      <c r="A2040" s="17"/>
      <c r="B2040" s="17"/>
      <c r="C2040" s="18"/>
      <c r="D2040" s="18"/>
      <c r="E2040" s="18"/>
      <c r="F2040" s="18"/>
      <c r="G2040" s="18"/>
      <c r="H2040" s="18"/>
    </row>
    <row r="2041" spans="1:8" x14ac:dyDescent="0.2">
      <c r="A2041" s="17"/>
      <c r="B2041" s="17"/>
      <c r="C2041" s="18"/>
      <c r="D2041" s="18"/>
      <c r="E2041" s="18"/>
      <c r="F2041" s="18"/>
      <c r="G2041" s="18"/>
      <c r="H2041" s="18"/>
    </row>
    <row r="2042" spans="1:8" x14ac:dyDescent="0.2">
      <c r="A2042" s="17"/>
      <c r="B2042" s="17"/>
      <c r="C2042" s="18"/>
      <c r="D2042" s="18"/>
      <c r="E2042" s="18"/>
      <c r="F2042" s="18"/>
      <c r="G2042" s="18"/>
      <c r="H2042" s="18"/>
    </row>
    <row r="2043" spans="1:8" x14ac:dyDescent="0.2">
      <c r="A2043" s="17"/>
      <c r="B2043" s="17"/>
      <c r="C2043" s="18"/>
      <c r="D2043" s="18"/>
      <c r="E2043" s="18"/>
      <c r="F2043" s="18"/>
      <c r="G2043" s="18"/>
      <c r="H2043" s="18"/>
    </row>
    <row r="2044" spans="1:8" x14ac:dyDescent="0.2">
      <c r="A2044" s="17"/>
      <c r="B2044" s="17"/>
      <c r="C2044" s="18"/>
      <c r="D2044" s="18"/>
      <c r="E2044" s="18"/>
      <c r="F2044" s="18"/>
      <c r="G2044" s="18"/>
      <c r="H2044" s="18"/>
    </row>
    <row r="2045" spans="1:8" x14ac:dyDescent="0.2">
      <c r="A2045" s="17"/>
      <c r="B2045" s="17"/>
      <c r="C2045" s="18"/>
      <c r="D2045" s="18"/>
      <c r="E2045" s="18"/>
      <c r="F2045" s="18"/>
      <c r="G2045" s="18"/>
      <c r="H2045" s="18"/>
    </row>
    <row r="2046" spans="1:8" x14ac:dyDescent="0.2">
      <c r="A2046" s="17"/>
      <c r="B2046" s="17"/>
      <c r="C2046" s="18"/>
      <c r="D2046" s="18"/>
      <c r="E2046" s="18"/>
      <c r="F2046" s="18"/>
      <c r="G2046" s="18"/>
      <c r="H2046" s="18"/>
    </row>
    <row r="2047" spans="1:8" x14ac:dyDescent="0.2">
      <c r="A2047" s="17"/>
      <c r="B2047" s="17"/>
      <c r="C2047" s="18"/>
      <c r="D2047" s="18"/>
      <c r="E2047" s="18"/>
      <c r="F2047" s="18"/>
      <c r="G2047" s="18"/>
      <c r="H2047" s="18"/>
    </row>
    <row r="2048" spans="1:8" x14ac:dyDescent="0.2">
      <c r="A2048" s="17"/>
      <c r="B2048" s="17"/>
      <c r="C2048" s="18"/>
      <c r="D2048" s="18"/>
      <c r="E2048" s="18"/>
      <c r="F2048" s="18"/>
      <c r="G2048" s="18"/>
      <c r="H2048" s="18"/>
    </row>
    <row r="2049" spans="1:8" x14ac:dyDescent="0.2">
      <c r="A2049" s="17"/>
      <c r="B2049" s="17"/>
      <c r="C2049" s="18"/>
      <c r="D2049" s="18"/>
      <c r="E2049" s="18"/>
      <c r="F2049" s="18"/>
      <c r="G2049" s="18"/>
      <c r="H2049" s="18"/>
    </row>
    <row r="2050" spans="1:8" x14ac:dyDescent="0.2">
      <c r="A2050" s="17"/>
      <c r="B2050" s="17"/>
      <c r="C2050" s="18"/>
      <c r="D2050" s="18"/>
      <c r="E2050" s="18"/>
      <c r="F2050" s="18"/>
      <c r="G2050" s="18"/>
      <c r="H2050" s="18"/>
    </row>
    <row r="2051" spans="1:8" x14ac:dyDescent="0.2">
      <c r="A2051" s="17"/>
      <c r="B2051" s="17"/>
      <c r="C2051" s="18"/>
      <c r="D2051" s="18"/>
      <c r="E2051" s="18"/>
      <c r="F2051" s="18"/>
      <c r="G2051" s="18"/>
      <c r="H2051" s="18"/>
    </row>
    <row r="2052" spans="1:8" x14ac:dyDescent="0.2">
      <c r="A2052" s="17"/>
      <c r="B2052" s="17"/>
      <c r="C2052" s="18"/>
      <c r="D2052" s="18"/>
      <c r="E2052" s="18"/>
      <c r="F2052" s="18"/>
      <c r="G2052" s="18"/>
      <c r="H2052" s="18"/>
    </row>
    <row r="2053" spans="1:8" x14ac:dyDescent="0.2">
      <c r="A2053" s="17"/>
      <c r="B2053" s="17"/>
      <c r="C2053" s="18"/>
      <c r="D2053" s="18"/>
      <c r="E2053" s="18"/>
      <c r="F2053" s="18"/>
      <c r="G2053" s="18"/>
      <c r="H2053" s="18"/>
    </row>
    <row r="2054" spans="1:8" x14ac:dyDescent="0.2">
      <c r="A2054" s="17"/>
      <c r="B2054" s="17"/>
      <c r="C2054" s="18"/>
      <c r="D2054" s="18"/>
      <c r="E2054" s="18"/>
      <c r="F2054" s="18"/>
      <c r="G2054" s="18"/>
      <c r="H2054" s="18"/>
    </row>
    <row r="2055" spans="1:8" x14ac:dyDescent="0.2">
      <c r="A2055" s="17"/>
      <c r="B2055" s="17"/>
      <c r="C2055" s="18"/>
      <c r="D2055" s="18"/>
      <c r="E2055" s="18"/>
      <c r="F2055" s="18"/>
      <c r="G2055" s="18"/>
      <c r="H2055" s="18"/>
    </row>
    <row r="2056" spans="1:8" x14ac:dyDescent="0.2">
      <c r="A2056" s="17"/>
      <c r="B2056" s="17"/>
      <c r="C2056" s="18"/>
      <c r="D2056" s="18"/>
      <c r="E2056" s="18"/>
      <c r="F2056" s="18"/>
      <c r="G2056" s="18"/>
      <c r="H2056" s="18"/>
    </row>
    <row r="2057" spans="1:8" x14ac:dyDescent="0.2">
      <c r="A2057" s="17"/>
      <c r="B2057" s="17"/>
      <c r="C2057" s="18"/>
      <c r="D2057" s="18"/>
      <c r="E2057" s="18"/>
      <c r="F2057" s="18"/>
      <c r="G2057" s="18"/>
      <c r="H2057" s="18"/>
    </row>
    <row r="2058" spans="1:8" x14ac:dyDescent="0.2">
      <c r="A2058" s="17"/>
      <c r="B2058" s="17"/>
      <c r="C2058" s="18"/>
      <c r="D2058" s="18"/>
      <c r="E2058" s="18"/>
      <c r="F2058" s="18"/>
      <c r="G2058" s="18"/>
      <c r="H2058" s="18"/>
    </row>
    <row r="2059" spans="1:8" x14ac:dyDescent="0.2">
      <c r="A2059" s="17"/>
      <c r="B2059" s="17"/>
      <c r="C2059" s="18"/>
      <c r="D2059" s="18"/>
      <c r="E2059" s="18"/>
      <c r="F2059" s="18"/>
      <c r="G2059" s="18"/>
      <c r="H2059" s="18"/>
    </row>
    <row r="2060" spans="1:8" x14ac:dyDescent="0.2">
      <c r="A2060" s="17"/>
      <c r="B2060" s="17"/>
      <c r="C2060" s="18"/>
      <c r="D2060" s="18"/>
      <c r="E2060" s="18"/>
      <c r="F2060" s="18"/>
      <c r="G2060" s="18"/>
      <c r="H2060" s="18"/>
    </row>
    <row r="2061" spans="1:8" x14ac:dyDescent="0.2">
      <c r="A2061" s="17"/>
      <c r="B2061" s="17"/>
      <c r="C2061" s="18"/>
      <c r="D2061" s="18"/>
      <c r="E2061" s="18"/>
      <c r="F2061" s="18"/>
      <c r="G2061" s="18"/>
      <c r="H2061" s="18"/>
    </row>
    <row r="2062" spans="1:8" x14ac:dyDescent="0.2">
      <c r="A2062" s="17"/>
      <c r="B2062" s="17"/>
      <c r="C2062" s="18"/>
      <c r="D2062" s="18"/>
      <c r="E2062" s="18"/>
      <c r="F2062" s="18"/>
      <c r="G2062" s="18"/>
      <c r="H2062" s="18"/>
    </row>
    <row r="2063" spans="1:8" x14ac:dyDescent="0.2">
      <c r="A2063" s="17"/>
      <c r="B2063" s="17"/>
      <c r="C2063" s="18"/>
      <c r="D2063" s="18"/>
      <c r="E2063" s="18"/>
      <c r="F2063" s="18"/>
      <c r="G2063" s="18"/>
      <c r="H2063" s="18"/>
    </row>
    <row r="2064" spans="1:8" x14ac:dyDescent="0.2">
      <c r="A2064" s="17"/>
      <c r="B2064" s="17"/>
      <c r="C2064" s="18"/>
      <c r="D2064" s="18"/>
      <c r="E2064" s="18"/>
      <c r="F2064" s="18"/>
      <c r="G2064" s="18"/>
      <c r="H2064" s="18"/>
    </row>
    <row r="2065" spans="1:8" x14ac:dyDescent="0.2">
      <c r="A2065" s="17"/>
      <c r="B2065" s="17"/>
      <c r="C2065" s="18"/>
      <c r="D2065" s="18"/>
      <c r="E2065" s="18"/>
      <c r="F2065" s="18"/>
      <c r="G2065" s="18"/>
      <c r="H2065" s="18"/>
    </row>
    <row r="2066" spans="1:8" x14ac:dyDescent="0.2">
      <c r="A2066" s="17"/>
      <c r="B2066" s="17"/>
      <c r="C2066" s="18"/>
      <c r="D2066" s="18"/>
      <c r="E2066" s="18"/>
      <c r="F2066" s="18"/>
      <c r="G2066" s="18"/>
      <c r="H2066" s="18"/>
    </row>
    <row r="2067" spans="1:8" x14ac:dyDescent="0.2">
      <c r="A2067" s="17"/>
      <c r="B2067" s="17"/>
      <c r="C2067" s="18"/>
      <c r="D2067" s="18"/>
      <c r="E2067" s="18"/>
      <c r="F2067" s="18"/>
      <c r="G2067" s="18"/>
      <c r="H2067" s="18"/>
    </row>
    <row r="2068" spans="1:8" x14ac:dyDescent="0.2">
      <c r="A2068" s="17"/>
      <c r="B2068" s="17"/>
      <c r="C2068" s="18"/>
      <c r="D2068" s="18"/>
      <c r="E2068" s="18"/>
      <c r="F2068" s="18"/>
      <c r="G2068" s="18"/>
      <c r="H2068" s="18"/>
    </row>
    <row r="2069" spans="1:8" x14ac:dyDescent="0.2">
      <c r="A2069" s="17"/>
      <c r="B2069" s="17"/>
      <c r="C2069" s="18"/>
      <c r="D2069" s="18"/>
      <c r="E2069" s="18"/>
      <c r="F2069" s="18"/>
      <c r="G2069" s="18"/>
      <c r="H2069" s="18"/>
    </row>
    <row r="2070" spans="1:8" x14ac:dyDescent="0.2">
      <c r="A2070" s="17"/>
      <c r="B2070" s="17"/>
      <c r="C2070" s="18"/>
      <c r="D2070" s="18"/>
      <c r="E2070" s="18"/>
      <c r="F2070" s="18"/>
      <c r="G2070" s="18"/>
      <c r="H2070" s="18"/>
    </row>
    <row r="2071" spans="1:8" x14ac:dyDescent="0.2">
      <c r="A2071" s="17"/>
      <c r="B2071" s="17"/>
      <c r="C2071" s="18"/>
      <c r="D2071" s="18"/>
      <c r="E2071" s="18"/>
      <c r="F2071" s="18"/>
      <c r="G2071" s="18"/>
      <c r="H2071" s="18"/>
    </row>
    <row r="2072" spans="1:8" x14ac:dyDescent="0.2">
      <c r="A2072" s="17"/>
      <c r="B2072" s="17"/>
      <c r="C2072" s="18"/>
      <c r="D2072" s="18"/>
      <c r="E2072" s="18"/>
      <c r="F2072" s="18"/>
      <c r="G2072" s="18"/>
      <c r="H2072" s="18"/>
    </row>
    <row r="2073" spans="1:8" x14ac:dyDescent="0.2">
      <c r="A2073" s="17"/>
      <c r="B2073" s="17"/>
      <c r="C2073" s="18"/>
      <c r="D2073" s="18"/>
      <c r="E2073" s="18"/>
      <c r="F2073" s="18"/>
      <c r="G2073" s="18"/>
      <c r="H2073" s="18"/>
    </row>
    <row r="2074" spans="1:8" x14ac:dyDescent="0.2">
      <c r="A2074" s="17"/>
      <c r="B2074" s="17"/>
      <c r="C2074" s="18"/>
      <c r="D2074" s="18"/>
      <c r="E2074" s="18"/>
      <c r="F2074" s="18"/>
      <c r="G2074" s="18"/>
      <c r="H2074" s="18"/>
    </row>
    <row r="2075" spans="1:8" x14ac:dyDescent="0.2">
      <c r="A2075" s="17"/>
      <c r="B2075" s="17"/>
      <c r="C2075" s="18"/>
      <c r="D2075" s="18"/>
      <c r="E2075" s="18"/>
      <c r="F2075" s="18"/>
      <c r="G2075" s="18"/>
      <c r="H2075" s="18"/>
    </row>
    <row r="2076" spans="1:8" x14ac:dyDescent="0.2">
      <c r="A2076" s="17"/>
      <c r="B2076" s="17"/>
      <c r="C2076" s="18"/>
      <c r="D2076" s="18"/>
      <c r="E2076" s="18"/>
      <c r="F2076" s="18"/>
      <c r="G2076" s="18"/>
      <c r="H2076" s="18"/>
    </row>
    <row r="2077" spans="1:8" x14ac:dyDescent="0.2">
      <c r="A2077" s="17"/>
      <c r="B2077" s="17"/>
      <c r="C2077" s="18"/>
      <c r="D2077" s="18"/>
      <c r="E2077" s="18"/>
      <c r="F2077" s="18"/>
      <c r="G2077" s="18"/>
      <c r="H2077" s="18"/>
    </row>
    <row r="2078" spans="1:8" x14ac:dyDescent="0.2">
      <c r="A2078" s="17"/>
      <c r="B2078" s="17"/>
      <c r="C2078" s="18"/>
      <c r="D2078" s="18"/>
      <c r="E2078" s="18"/>
      <c r="F2078" s="18"/>
      <c r="G2078" s="18"/>
      <c r="H2078" s="18"/>
    </row>
    <row r="2079" spans="1:8" x14ac:dyDescent="0.2">
      <c r="A2079" s="17"/>
      <c r="B2079" s="17"/>
      <c r="C2079" s="18"/>
      <c r="D2079" s="18"/>
      <c r="E2079" s="18"/>
      <c r="F2079" s="18"/>
      <c r="G2079" s="18"/>
      <c r="H2079" s="18"/>
    </row>
    <row r="2080" spans="1:8" x14ac:dyDescent="0.2">
      <c r="A2080" s="17"/>
      <c r="B2080" s="17"/>
      <c r="C2080" s="18"/>
      <c r="D2080" s="18"/>
      <c r="E2080" s="18"/>
      <c r="F2080" s="18"/>
      <c r="G2080" s="18"/>
      <c r="H2080" s="18"/>
    </row>
    <row r="2081" spans="1:8" x14ac:dyDescent="0.2">
      <c r="A2081" s="17"/>
      <c r="B2081" s="17"/>
      <c r="C2081" s="18"/>
      <c r="D2081" s="18"/>
      <c r="E2081" s="18"/>
      <c r="F2081" s="18"/>
      <c r="G2081" s="18"/>
      <c r="H2081" s="18"/>
    </row>
    <row r="2082" spans="1:8" x14ac:dyDescent="0.2">
      <c r="A2082" s="17"/>
      <c r="B2082" s="17"/>
      <c r="C2082" s="18"/>
      <c r="D2082" s="18"/>
      <c r="E2082" s="18"/>
      <c r="F2082" s="18"/>
      <c r="G2082" s="18"/>
      <c r="H2082" s="18"/>
    </row>
    <row r="2083" spans="1:8" x14ac:dyDescent="0.2">
      <c r="A2083" s="17"/>
      <c r="B2083" s="17"/>
      <c r="C2083" s="18"/>
      <c r="D2083" s="18"/>
      <c r="E2083" s="18"/>
      <c r="F2083" s="18"/>
      <c r="G2083" s="18"/>
      <c r="H2083" s="18"/>
    </row>
    <row r="2084" spans="1:8" x14ac:dyDescent="0.2">
      <c r="A2084" s="17"/>
      <c r="B2084" s="17"/>
      <c r="C2084" s="18"/>
      <c r="D2084" s="18"/>
      <c r="E2084" s="18"/>
      <c r="F2084" s="18"/>
      <c r="G2084" s="18"/>
      <c r="H2084" s="18"/>
    </row>
    <row r="2085" spans="1:8" x14ac:dyDescent="0.2">
      <c r="A2085" s="17"/>
      <c r="B2085" s="17"/>
      <c r="C2085" s="18"/>
      <c r="D2085" s="18"/>
      <c r="E2085" s="18"/>
      <c r="F2085" s="18"/>
      <c r="G2085" s="18"/>
      <c r="H2085" s="18"/>
    </row>
    <row r="2086" spans="1:8" x14ac:dyDescent="0.2">
      <c r="A2086" s="17"/>
      <c r="B2086" s="17"/>
      <c r="C2086" s="18"/>
      <c r="D2086" s="18"/>
      <c r="E2086" s="18"/>
      <c r="F2086" s="18"/>
      <c r="G2086" s="18"/>
      <c r="H2086" s="18"/>
    </row>
    <row r="2087" spans="1:8" x14ac:dyDescent="0.2">
      <c r="A2087" s="17"/>
      <c r="B2087" s="17"/>
      <c r="C2087" s="18"/>
      <c r="D2087" s="18"/>
      <c r="E2087" s="18"/>
      <c r="F2087" s="18"/>
      <c r="G2087" s="18"/>
      <c r="H2087" s="18"/>
    </row>
    <row r="2088" spans="1:8" x14ac:dyDescent="0.2">
      <c r="A2088" s="17"/>
      <c r="B2088" s="17"/>
      <c r="C2088" s="18"/>
      <c r="D2088" s="18"/>
      <c r="E2088" s="18"/>
      <c r="F2088" s="18"/>
      <c r="G2088" s="18"/>
      <c r="H2088" s="18"/>
    </row>
    <row r="2089" spans="1:8" x14ac:dyDescent="0.2">
      <c r="A2089" s="17"/>
      <c r="B2089" s="17"/>
      <c r="C2089" s="18"/>
      <c r="D2089" s="18"/>
      <c r="E2089" s="18"/>
      <c r="F2089" s="18"/>
      <c r="G2089" s="18"/>
      <c r="H2089" s="18"/>
    </row>
    <row r="2090" spans="1:8" x14ac:dyDescent="0.2">
      <c r="A2090" s="17"/>
      <c r="B2090" s="17"/>
      <c r="C2090" s="18"/>
      <c r="D2090" s="18"/>
      <c r="E2090" s="18"/>
      <c r="F2090" s="18"/>
      <c r="G2090" s="18"/>
      <c r="H2090" s="18"/>
    </row>
    <row r="2091" spans="1:8" x14ac:dyDescent="0.2">
      <c r="A2091" s="17"/>
      <c r="B2091" s="17"/>
      <c r="C2091" s="18"/>
      <c r="D2091" s="18"/>
      <c r="E2091" s="18"/>
      <c r="F2091" s="18"/>
      <c r="G2091" s="18"/>
      <c r="H2091" s="18"/>
    </row>
    <row r="2092" spans="1:8" x14ac:dyDescent="0.2">
      <c r="A2092" s="17"/>
      <c r="B2092" s="17"/>
      <c r="C2092" s="18"/>
      <c r="D2092" s="18"/>
      <c r="E2092" s="18"/>
      <c r="F2092" s="18"/>
      <c r="G2092" s="18"/>
      <c r="H2092" s="18"/>
    </row>
    <row r="2093" spans="1:8" x14ac:dyDescent="0.2">
      <c r="A2093" s="17"/>
      <c r="B2093" s="17"/>
      <c r="C2093" s="18"/>
      <c r="D2093" s="18"/>
      <c r="E2093" s="18"/>
      <c r="F2093" s="18"/>
      <c r="G2093" s="18"/>
      <c r="H2093" s="18"/>
    </row>
    <row r="2094" spans="1:8" x14ac:dyDescent="0.2">
      <c r="A2094" s="17"/>
      <c r="B2094" s="17"/>
      <c r="C2094" s="18"/>
      <c r="D2094" s="18"/>
      <c r="E2094" s="18"/>
      <c r="F2094" s="18"/>
      <c r="G2094" s="18"/>
      <c r="H2094" s="18"/>
    </row>
    <row r="2095" spans="1:8" x14ac:dyDescent="0.2">
      <c r="A2095" s="17"/>
      <c r="B2095" s="17"/>
      <c r="C2095" s="18"/>
      <c r="D2095" s="18"/>
      <c r="E2095" s="18"/>
      <c r="F2095" s="18"/>
      <c r="G2095" s="18"/>
      <c r="H2095" s="18"/>
    </row>
    <row r="2096" spans="1:8" x14ac:dyDescent="0.2">
      <c r="A2096" s="17"/>
      <c r="B2096" s="17"/>
      <c r="C2096" s="18"/>
      <c r="D2096" s="18"/>
      <c r="E2096" s="18"/>
      <c r="F2096" s="18"/>
      <c r="G2096" s="18"/>
      <c r="H2096" s="18"/>
    </row>
    <row r="2097" spans="1:8" x14ac:dyDescent="0.2">
      <c r="A2097" s="17"/>
      <c r="B2097" s="17"/>
      <c r="C2097" s="18"/>
      <c r="D2097" s="18"/>
      <c r="E2097" s="18"/>
      <c r="F2097" s="18"/>
      <c r="G2097" s="18"/>
      <c r="H2097" s="18"/>
    </row>
    <row r="2098" spans="1:8" x14ac:dyDescent="0.2">
      <c r="A2098" s="17"/>
      <c r="B2098" s="17"/>
      <c r="C2098" s="18"/>
      <c r="D2098" s="18"/>
      <c r="E2098" s="18"/>
      <c r="F2098" s="18"/>
      <c r="G2098" s="18"/>
      <c r="H2098" s="18"/>
    </row>
    <row r="2099" spans="1:8" x14ac:dyDescent="0.2">
      <c r="A2099" s="17"/>
      <c r="B2099" s="17"/>
      <c r="C2099" s="18"/>
      <c r="D2099" s="18"/>
      <c r="E2099" s="18"/>
      <c r="F2099" s="18"/>
      <c r="G2099" s="18"/>
      <c r="H2099" s="18"/>
    </row>
    <row r="2100" spans="1:8" x14ac:dyDescent="0.2">
      <c r="A2100" s="17"/>
      <c r="B2100" s="17"/>
      <c r="C2100" s="18"/>
      <c r="D2100" s="18"/>
      <c r="E2100" s="18"/>
      <c r="F2100" s="18"/>
      <c r="G2100" s="18"/>
      <c r="H2100" s="18"/>
    </row>
    <row r="2101" spans="1:8" x14ac:dyDescent="0.2">
      <c r="A2101" s="17"/>
      <c r="B2101" s="17"/>
      <c r="C2101" s="18"/>
      <c r="D2101" s="18"/>
      <c r="E2101" s="18"/>
      <c r="F2101" s="18"/>
      <c r="G2101" s="18"/>
      <c r="H2101" s="18"/>
    </row>
    <row r="2102" spans="1:8" x14ac:dyDescent="0.2">
      <c r="A2102" s="17"/>
      <c r="B2102" s="17"/>
      <c r="C2102" s="18"/>
      <c r="D2102" s="18"/>
      <c r="E2102" s="18"/>
      <c r="F2102" s="18"/>
      <c r="G2102" s="18"/>
      <c r="H2102" s="18"/>
    </row>
    <row r="2103" spans="1:8" x14ac:dyDescent="0.2">
      <c r="A2103" s="17"/>
      <c r="B2103" s="17"/>
      <c r="C2103" s="18"/>
      <c r="D2103" s="18"/>
      <c r="E2103" s="18"/>
      <c r="F2103" s="18"/>
      <c r="G2103" s="18"/>
      <c r="H2103" s="18"/>
    </row>
    <row r="2104" spans="1:8" x14ac:dyDescent="0.2">
      <c r="A2104" s="17"/>
      <c r="B2104" s="17"/>
      <c r="C2104" s="18"/>
      <c r="D2104" s="18"/>
      <c r="E2104" s="18"/>
      <c r="F2104" s="18"/>
      <c r="G2104" s="18"/>
      <c r="H2104" s="18"/>
    </row>
    <row r="2105" spans="1:8" x14ac:dyDescent="0.2">
      <c r="A2105" s="17"/>
      <c r="B2105" s="17"/>
      <c r="C2105" s="18"/>
      <c r="D2105" s="18"/>
      <c r="E2105" s="18"/>
      <c r="F2105" s="18"/>
      <c r="G2105" s="18"/>
      <c r="H2105" s="18"/>
    </row>
    <row r="2106" spans="1:8" x14ac:dyDescent="0.2">
      <c r="A2106" s="17"/>
      <c r="B2106" s="17"/>
      <c r="C2106" s="18"/>
      <c r="D2106" s="18"/>
      <c r="E2106" s="18"/>
      <c r="F2106" s="18"/>
      <c r="G2106" s="18"/>
      <c r="H2106" s="18"/>
    </row>
    <row r="2107" spans="1:8" x14ac:dyDescent="0.2">
      <c r="A2107" s="17"/>
      <c r="B2107" s="17"/>
      <c r="C2107" s="18"/>
      <c r="D2107" s="18"/>
      <c r="E2107" s="18"/>
      <c r="F2107" s="18"/>
      <c r="G2107" s="18"/>
      <c r="H2107" s="18"/>
    </row>
    <row r="2108" spans="1:8" x14ac:dyDescent="0.2">
      <c r="A2108" s="17"/>
      <c r="B2108" s="17"/>
      <c r="C2108" s="18"/>
      <c r="D2108" s="18"/>
      <c r="E2108" s="18"/>
      <c r="F2108" s="18"/>
      <c r="G2108" s="18"/>
      <c r="H2108" s="18"/>
    </row>
    <row r="2109" spans="1:8" x14ac:dyDescent="0.2">
      <c r="A2109" s="17"/>
      <c r="B2109" s="17"/>
      <c r="C2109" s="18"/>
      <c r="D2109" s="18"/>
      <c r="E2109" s="18"/>
      <c r="F2109" s="18"/>
      <c r="G2109" s="18"/>
      <c r="H2109" s="18"/>
    </row>
    <row r="2110" spans="1:8" x14ac:dyDescent="0.2">
      <c r="A2110" s="17"/>
      <c r="B2110" s="17"/>
      <c r="C2110" s="18"/>
      <c r="D2110" s="18"/>
      <c r="E2110" s="18"/>
      <c r="F2110" s="18"/>
      <c r="G2110" s="18"/>
      <c r="H2110" s="18"/>
    </row>
    <row r="2111" spans="1:8" x14ac:dyDescent="0.2">
      <c r="A2111" s="17"/>
      <c r="B2111" s="17"/>
      <c r="C2111" s="18"/>
      <c r="D2111" s="18"/>
      <c r="E2111" s="18"/>
      <c r="F2111" s="18"/>
      <c r="G2111" s="18"/>
      <c r="H2111" s="18"/>
    </row>
    <row r="2112" spans="1:8" x14ac:dyDescent="0.2">
      <c r="A2112" s="17"/>
      <c r="B2112" s="17"/>
      <c r="C2112" s="18"/>
      <c r="D2112" s="18"/>
      <c r="E2112" s="18"/>
      <c r="F2112" s="18"/>
      <c r="G2112" s="18"/>
      <c r="H2112" s="18"/>
    </row>
    <row r="2113" spans="1:8" x14ac:dyDescent="0.2">
      <c r="A2113" s="17"/>
      <c r="B2113" s="17"/>
      <c r="C2113" s="18"/>
      <c r="D2113" s="18"/>
      <c r="E2113" s="18"/>
      <c r="F2113" s="18"/>
      <c r="G2113" s="18"/>
      <c r="H2113" s="18"/>
    </row>
    <row r="2114" spans="1:8" x14ac:dyDescent="0.2">
      <c r="A2114" s="17"/>
      <c r="B2114" s="17"/>
      <c r="C2114" s="18"/>
      <c r="D2114" s="18"/>
      <c r="E2114" s="18"/>
      <c r="F2114" s="18"/>
      <c r="G2114" s="18"/>
      <c r="H2114" s="18"/>
    </row>
    <row r="2115" spans="1:8" x14ac:dyDescent="0.2">
      <c r="A2115" s="17"/>
      <c r="B2115" s="17"/>
      <c r="C2115" s="18"/>
      <c r="D2115" s="18"/>
      <c r="E2115" s="18"/>
      <c r="F2115" s="18"/>
      <c r="G2115" s="18"/>
      <c r="H2115" s="18"/>
    </row>
    <row r="2116" spans="1:8" x14ac:dyDescent="0.2">
      <c r="A2116" s="17"/>
      <c r="B2116" s="17"/>
      <c r="C2116" s="18"/>
      <c r="D2116" s="18"/>
      <c r="E2116" s="18"/>
      <c r="F2116" s="18"/>
      <c r="G2116" s="18"/>
      <c r="H2116" s="18"/>
    </row>
    <row r="2117" spans="1:8" x14ac:dyDescent="0.2">
      <c r="A2117" s="17"/>
      <c r="B2117" s="17"/>
      <c r="C2117" s="18"/>
      <c r="D2117" s="18"/>
      <c r="E2117" s="18"/>
      <c r="F2117" s="18"/>
      <c r="G2117" s="18"/>
      <c r="H2117" s="18"/>
    </row>
    <row r="2118" spans="1:8" x14ac:dyDescent="0.2">
      <c r="A2118" s="17"/>
      <c r="B2118" s="17"/>
      <c r="C2118" s="18"/>
      <c r="D2118" s="18"/>
      <c r="E2118" s="18"/>
      <c r="F2118" s="18"/>
      <c r="G2118" s="18"/>
      <c r="H2118" s="18"/>
    </row>
    <row r="2119" spans="1:8" x14ac:dyDescent="0.2">
      <c r="A2119" s="17"/>
      <c r="B2119" s="17"/>
      <c r="C2119" s="18"/>
      <c r="D2119" s="18"/>
      <c r="E2119" s="18"/>
      <c r="F2119" s="18"/>
      <c r="G2119" s="18"/>
      <c r="H2119" s="18"/>
    </row>
    <row r="2120" spans="1:8" x14ac:dyDescent="0.2">
      <c r="A2120" s="17"/>
      <c r="B2120" s="17"/>
      <c r="C2120" s="18"/>
      <c r="D2120" s="18"/>
      <c r="E2120" s="18"/>
      <c r="F2120" s="18"/>
      <c r="G2120" s="18"/>
      <c r="H2120" s="18"/>
    </row>
    <row r="2121" spans="1:8" x14ac:dyDescent="0.2">
      <c r="A2121" s="17"/>
      <c r="B2121" s="17"/>
      <c r="C2121" s="18"/>
      <c r="D2121" s="18"/>
      <c r="E2121" s="18"/>
      <c r="F2121" s="18"/>
      <c r="G2121" s="18"/>
      <c r="H2121" s="18"/>
    </row>
    <row r="2122" spans="1:8" x14ac:dyDescent="0.2">
      <c r="A2122" s="17"/>
      <c r="B2122" s="17"/>
      <c r="C2122" s="18"/>
      <c r="D2122" s="18"/>
      <c r="E2122" s="18"/>
      <c r="F2122" s="18"/>
      <c r="G2122" s="18"/>
      <c r="H2122" s="18"/>
    </row>
    <row r="2123" spans="1:8" x14ac:dyDescent="0.2">
      <c r="A2123" s="17"/>
      <c r="B2123" s="17"/>
      <c r="C2123" s="18"/>
      <c r="D2123" s="18"/>
      <c r="E2123" s="18"/>
      <c r="F2123" s="18"/>
      <c r="G2123" s="18"/>
      <c r="H2123" s="18"/>
    </row>
    <row r="2124" spans="1:8" x14ac:dyDescent="0.2">
      <c r="A2124" s="17"/>
      <c r="B2124" s="17"/>
      <c r="C2124" s="18"/>
      <c r="D2124" s="18"/>
      <c r="E2124" s="18"/>
      <c r="F2124" s="18"/>
      <c r="G2124" s="18"/>
      <c r="H2124" s="18"/>
    </row>
    <row r="2125" spans="1:8" x14ac:dyDescent="0.2">
      <c r="A2125" s="17"/>
      <c r="B2125" s="17"/>
      <c r="C2125" s="18"/>
      <c r="D2125" s="18"/>
      <c r="E2125" s="18"/>
      <c r="F2125" s="18"/>
      <c r="G2125" s="18"/>
      <c r="H2125" s="18"/>
    </row>
    <row r="2126" spans="1:8" x14ac:dyDescent="0.2">
      <c r="A2126" s="17"/>
      <c r="B2126" s="17"/>
      <c r="C2126" s="18"/>
      <c r="D2126" s="18"/>
      <c r="E2126" s="18"/>
      <c r="F2126" s="18"/>
      <c r="G2126" s="18"/>
      <c r="H2126" s="18"/>
    </row>
    <row r="2127" spans="1:8" x14ac:dyDescent="0.2">
      <c r="A2127" s="17"/>
      <c r="B2127" s="17"/>
      <c r="C2127" s="18"/>
      <c r="D2127" s="18"/>
      <c r="E2127" s="18"/>
      <c r="F2127" s="18"/>
      <c r="G2127" s="18"/>
      <c r="H2127" s="18"/>
    </row>
    <row r="2128" spans="1:8" x14ac:dyDescent="0.2">
      <c r="A2128" s="17"/>
      <c r="B2128" s="17"/>
      <c r="C2128" s="18"/>
      <c r="D2128" s="18"/>
      <c r="E2128" s="18"/>
      <c r="F2128" s="18"/>
      <c r="G2128" s="18"/>
      <c r="H2128" s="18"/>
    </row>
    <row r="2129" spans="1:8" x14ac:dyDescent="0.2">
      <c r="A2129" s="17"/>
      <c r="B2129" s="17"/>
      <c r="C2129" s="18"/>
      <c r="D2129" s="18"/>
      <c r="E2129" s="18"/>
      <c r="F2129" s="18"/>
      <c r="G2129" s="18"/>
      <c r="H2129" s="18"/>
    </row>
    <row r="2130" spans="1:8" x14ac:dyDescent="0.2">
      <c r="A2130" s="17"/>
      <c r="B2130" s="17"/>
      <c r="C2130" s="18"/>
      <c r="D2130" s="18"/>
      <c r="E2130" s="18"/>
      <c r="F2130" s="18"/>
      <c r="G2130" s="18"/>
      <c r="H2130" s="18"/>
    </row>
    <row r="2131" spans="1:8" x14ac:dyDescent="0.2">
      <c r="A2131" s="17"/>
      <c r="B2131" s="17"/>
      <c r="C2131" s="18"/>
      <c r="D2131" s="18"/>
      <c r="E2131" s="18"/>
      <c r="F2131" s="18"/>
      <c r="G2131" s="18"/>
      <c r="H2131" s="18"/>
    </row>
    <row r="2132" spans="1:8" x14ac:dyDescent="0.2">
      <c r="A2132" s="17"/>
      <c r="B2132" s="17"/>
      <c r="C2132" s="18"/>
      <c r="D2132" s="18"/>
      <c r="E2132" s="18"/>
      <c r="F2132" s="18"/>
      <c r="G2132" s="18"/>
      <c r="H2132" s="18"/>
    </row>
    <row r="2133" spans="1:8" x14ac:dyDescent="0.2">
      <c r="A2133" s="17"/>
      <c r="B2133" s="17"/>
      <c r="C2133" s="18"/>
      <c r="D2133" s="18"/>
      <c r="E2133" s="18"/>
      <c r="F2133" s="18"/>
      <c r="G2133" s="18"/>
      <c r="H2133" s="18"/>
    </row>
    <row r="2134" spans="1:8" x14ac:dyDescent="0.2">
      <c r="A2134" s="17"/>
      <c r="B2134" s="17"/>
      <c r="C2134" s="18"/>
      <c r="D2134" s="18"/>
      <c r="E2134" s="18"/>
      <c r="F2134" s="18"/>
      <c r="G2134" s="18"/>
      <c r="H2134" s="18"/>
    </row>
    <row r="2135" spans="1:8" x14ac:dyDescent="0.2">
      <c r="A2135" s="17"/>
      <c r="B2135" s="17"/>
      <c r="C2135" s="18"/>
      <c r="D2135" s="18"/>
      <c r="E2135" s="18"/>
      <c r="F2135" s="18"/>
      <c r="G2135" s="18"/>
      <c r="H2135" s="18"/>
    </row>
    <row r="2136" spans="1:8" x14ac:dyDescent="0.2">
      <c r="A2136" s="17"/>
      <c r="B2136" s="17"/>
      <c r="C2136" s="18"/>
      <c r="D2136" s="18"/>
      <c r="E2136" s="18"/>
      <c r="F2136" s="18"/>
      <c r="G2136" s="18"/>
      <c r="H2136" s="18"/>
    </row>
    <row r="2137" spans="1:8" x14ac:dyDescent="0.2">
      <c r="A2137" s="17"/>
      <c r="B2137" s="17"/>
      <c r="C2137" s="18"/>
      <c r="D2137" s="18"/>
      <c r="E2137" s="18"/>
      <c r="F2137" s="18"/>
      <c r="G2137" s="18"/>
      <c r="H2137" s="18"/>
    </row>
    <row r="2138" spans="1:8" x14ac:dyDescent="0.2">
      <c r="A2138" s="17"/>
      <c r="B2138" s="17"/>
      <c r="C2138" s="18"/>
      <c r="D2138" s="18"/>
      <c r="E2138" s="18"/>
      <c r="F2138" s="18"/>
      <c r="G2138" s="18"/>
      <c r="H2138" s="18"/>
    </row>
    <row r="2139" spans="1:8" x14ac:dyDescent="0.2">
      <c r="A2139" s="17"/>
      <c r="B2139" s="17"/>
      <c r="C2139" s="18"/>
      <c r="D2139" s="18"/>
      <c r="E2139" s="18"/>
      <c r="F2139" s="18"/>
      <c r="G2139" s="18"/>
      <c r="H2139" s="18"/>
    </row>
    <row r="2140" spans="1:8" x14ac:dyDescent="0.2">
      <c r="A2140" s="17"/>
      <c r="B2140" s="17"/>
      <c r="C2140" s="18"/>
      <c r="D2140" s="18"/>
      <c r="E2140" s="18"/>
      <c r="F2140" s="18"/>
      <c r="G2140" s="18"/>
      <c r="H2140" s="18"/>
    </row>
    <row r="2141" spans="1:8" x14ac:dyDescent="0.2">
      <c r="A2141" s="17"/>
      <c r="B2141" s="17"/>
      <c r="C2141" s="18"/>
      <c r="D2141" s="18"/>
      <c r="E2141" s="18"/>
      <c r="F2141" s="18"/>
      <c r="G2141" s="18"/>
      <c r="H2141" s="18"/>
    </row>
    <row r="2142" spans="1:8" x14ac:dyDescent="0.2">
      <c r="A2142" s="17"/>
      <c r="B2142" s="17"/>
      <c r="C2142" s="18"/>
      <c r="D2142" s="18"/>
      <c r="E2142" s="18"/>
      <c r="F2142" s="18"/>
      <c r="G2142" s="18"/>
      <c r="H2142" s="18"/>
    </row>
    <row r="2143" spans="1:8" x14ac:dyDescent="0.2">
      <c r="A2143" s="17"/>
      <c r="B2143" s="17"/>
      <c r="C2143" s="18"/>
      <c r="D2143" s="18"/>
      <c r="E2143" s="18"/>
      <c r="F2143" s="18"/>
      <c r="G2143" s="18"/>
      <c r="H2143" s="18"/>
    </row>
    <row r="2144" spans="1:8" x14ac:dyDescent="0.2">
      <c r="A2144" s="17"/>
      <c r="B2144" s="17"/>
      <c r="C2144" s="18"/>
      <c r="D2144" s="18"/>
      <c r="E2144" s="18"/>
      <c r="F2144" s="18"/>
      <c r="G2144" s="18"/>
      <c r="H2144" s="18"/>
    </row>
    <row r="2145" spans="1:8" x14ac:dyDescent="0.2">
      <c r="A2145" s="17"/>
      <c r="B2145" s="17"/>
      <c r="C2145" s="18"/>
      <c r="D2145" s="18"/>
      <c r="E2145" s="18"/>
      <c r="F2145" s="18"/>
      <c r="G2145" s="18"/>
      <c r="H2145" s="18"/>
    </row>
    <row r="2146" spans="1:8" x14ac:dyDescent="0.2">
      <c r="A2146" s="17"/>
      <c r="B2146" s="17"/>
      <c r="C2146" s="18"/>
      <c r="D2146" s="18"/>
      <c r="E2146" s="18"/>
      <c r="F2146" s="18"/>
      <c r="G2146" s="18"/>
      <c r="H2146" s="18"/>
    </row>
    <row r="2147" spans="1:8" x14ac:dyDescent="0.2">
      <c r="A2147" s="17"/>
      <c r="B2147" s="17"/>
      <c r="C2147" s="18"/>
      <c r="D2147" s="18"/>
      <c r="E2147" s="18"/>
      <c r="F2147" s="18"/>
      <c r="G2147" s="18"/>
      <c r="H2147" s="18"/>
    </row>
    <row r="2148" spans="1:8" x14ac:dyDescent="0.2">
      <c r="A2148" s="17"/>
      <c r="B2148" s="17"/>
      <c r="C2148" s="18"/>
      <c r="D2148" s="18"/>
      <c r="E2148" s="18"/>
      <c r="F2148" s="18"/>
      <c r="G2148" s="18"/>
      <c r="H2148" s="18"/>
    </row>
    <row r="2149" spans="1:8" x14ac:dyDescent="0.2">
      <c r="A2149" s="17"/>
      <c r="B2149" s="17"/>
      <c r="C2149" s="18"/>
      <c r="D2149" s="18"/>
      <c r="E2149" s="18"/>
      <c r="F2149" s="18"/>
      <c r="G2149" s="18"/>
      <c r="H2149" s="18"/>
    </row>
    <row r="2150" spans="1:8" x14ac:dyDescent="0.2">
      <c r="A2150" s="17"/>
      <c r="B2150" s="17"/>
      <c r="C2150" s="18"/>
      <c r="D2150" s="18"/>
      <c r="E2150" s="18"/>
      <c r="F2150" s="18"/>
      <c r="G2150" s="18"/>
      <c r="H2150" s="18"/>
    </row>
    <row r="2151" spans="1:8" x14ac:dyDescent="0.2">
      <c r="A2151" s="17"/>
      <c r="B2151" s="17"/>
      <c r="C2151" s="18"/>
      <c r="D2151" s="18"/>
      <c r="E2151" s="18"/>
      <c r="F2151" s="18"/>
      <c r="G2151" s="18"/>
      <c r="H2151" s="18"/>
    </row>
    <row r="2152" spans="1:8" x14ac:dyDescent="0.2">
      <c r="A2152" s="17"/>
      <c r="B2152" s="17"/>
      <c r="C2152" s="18"/>
      <c r="D2152" s="18"/>
      <c r="E2152" s="18"/>
      <c r="F2152" s="18"/>
      <c r="G2152" s="18"/>
      <c r="H2152" s="18"/>
    </row>
    <row r="2153" spans="1:8" x14ac:dyDescent="0.2">
      <c r="A2153" s="17"/>
      <c r="B2153" s="17"/>
      <c r="C2153" s="18"/>
      <c r="D2153" s="18"/>
      <c r="E2153" s="18"/>
      <c r="F2153" s="18"/>
      <c r="G2153" s="18"/>
      <c r="H2153" s="18"/>
    </row>
    <row r="2154" spans="1:8" x14ac:dyDescent="0.2">
      <c r="A2154" s="17"/>
      <c r="B2154" s="17"/>
      <c r="C2154" s="18"/>
      <c r="D2154" s="18"/>
      <c r="E2154" s="18"/>
      <c r="F2154" s="18"/>
      <c r="G2154" s="18"/>
      <c r="H2154" s="18"/>
    </row>
    <row r="2155" spans="1:8" x14ac:dyDescent="0.2">
      <c r="A2155" s="17"/>
      <c r="B2155" s="17"/>
      <c r="C2155" s="18"/>
      <c r="D2155" s="18"/>
      <c r="E2155" s="18"/>
      <c r="F2155" s="18"/>
      <c r="G2155" s="18"/>
      <c r="H2155" s="18"/>
    </row>
    <row r="2156" spans="1:8" x14ac:dyDescent="0.2">
      <c r="A2156" s="17"/>
      <c r="B2156" s="17"/>
      <c r="C2156" s="18"/>
      <c r="D2156" s="18"/>
      <c r="E2156" s="18"/>
      <c r="F2156" s="18"/>
      <c r="G2156" s="18"/>
      <c r="H2156" s="18"/>
    </row>
    <row r="2157" spans="1:8" x14ac:dyDescent="0.2">
      <c r="A2157" s="17"/>
      <c r="B2157" s="17"/>
      <c r="C2157" s="18"/>
      <c r="D2157" s="18"/>
      <c r="E2157" s="18"/>
      <c r="F2157" s="18"/>
      <c r="G2157" s="18"/>
      <c r="H2157" s="18"/>
    </row>
    <row r="2158" spans="1:8" x14ac:dyDescent="0.2">
      <c r="A2158" s="17"/>
      <c r="B2158" s="17"/>
      <c r="C2158" s="18"/>
      <c r="D2158" s="18"/>
      <c r="E2158" s="18"/>
      <c r="F2158" s="18"/>
      <c r="G2158" s="18"/>
      <c r="H2158" s="18"/>
    </row>
    <row r="2159" spans="1:8" x14ac:dyDescent="0.2">
      <c r="A2159" s="17"/>
      <c r="B2159" s="17"/>
      <c r="C2159" s="18"/>
      <c r="D2159" s="18"/>
      <c r="E2159" s="18"/>
      <c r="F2159" s="18"/>
      <c r="G2159" s="18"/>
      <c r="H2159" s="18"/>
    </row>
    <row r="2160" spans="1:8" x14ac:dyDescent="0.2">
      <c r="A2160" s="17"/>
      <c r="B2160" s="17"/>
      <c r="C2160" s="18"/>
      <c r="D2160" s="18"/>
      <c r="E2160" s="18"/>
      <c r="F2160" s="18"/>
      <c r="G2160" s="18"/>
      <c r="H2160" s="18"/>
    </row>
    <row r="2161" spans="1:8" x14ac:dyDescent="0.2">
      <c r="A2161" s="17"/>
      <c r="B2161" s="17"/>
      <c r="C2161" s="18"/>
      <c r="D2161" s="18"/>
      <c r="E2161" s="18"/>
      <c r="F2161" s="18"/>
      <c r="G2161" s="18"/>
      <c r="H2161" s="18"/>
    </row>
    <row r="2162" spans="1:8" x14ac:dyDescent="0.2">
      <c r="A2162" s="17"/>
      <c r="B2162" s="17"/>
      <c r="C2162" s="18"/>
      <c r="D2162" s="18"/>
      <c r="E2162" s="18"/>
      <c r="F2162" s="18"/>
      <c r="G2162" s="18"/>
      <c r="H2162" s="18"/>
    </row>
    <row r="2163" spans="1:8" x14ac:dyDescent="0.2">
      <c r="A2163" s="17"/>
      <c r="B2163" s="17"/>
      <c r="C2163" s="18"/>
      <c r="D2163" s="18"/>
      <c r="E2163" s="18"/>
      <c r="F2163" s="18"/>
      <c r="G2163" s="18"/>
      <c r="H2163" s="18"/>
    </row>
    <row r="2164" spans="1:8" x14ac:dyDescent="0.2">
      <c r="A2164" s="17"/>
      <c r="B2164" s="17"/>
      <c r="C2164" s="18"/>
      <c r="D2164" s="18"/>
      <c r="E2164" s="18"/>
      <c r="F2164" s="18"/>
      <c r="G2164" s="18"/>
      <c r="H2164" s="18"/>
    </row>
    <row r="2165" spans="1:8" x14ac:dyDescent="0.2">
      <c r="A2165" s="17"/>
      <c r="B2165" s="17"/>
      <c r="C2165" s="18"/>
      <c r="D2165" s="18"/>
      <c r="E2165" s="18"/>
      <c r="F2165" s="18"/>
      <c r="G2165" s="18"/>
      <c r="H2165" s="18"/>
    </row>
    <row r="2166" spans="1:8" x14ac:dyDescent="0.2">
      <c r="A2166" s="17"/>
      <c r="B2166" s="17"/>
      <c r="C2166" s="18"/>
      <c r="D2166" s="18"/>
      <c r="E2166" s="18"/>
      <c r="F2166" s="18"/>
      <c r="G2166" s="18"/>
      <c r="H2166" s="18"/>
    </row>
    <row r="2167" spans="1:8" x14ac:dyDescent="0.2">
      <c r="A2167" s="17"/>
      <c r="B2167" s="17"/>
      <c r="C2167" s="18"/>
      <c r="D2167" s="18"/>
      <c r="E2167" s="18"/>
      <c r="F2167" s="18"/>
      <c r="G2167" s="18"/>
      <c r="H2167" s="18"/>
    </row>
    <row r="2168" spans="1:8" x14ac:dyDescent="0.2">
      <c r="A2168" s="17"/>
      <c r="B2168" s="17"/>
      <c r="C2168" s="18"/>
      <c r="D2168" s="18"/>
      <c r="E2168" s="18"/>
      <c r="F2168" s="18"/>
      <c r="G2168" s="18"/>
      <c r="H2168" s="18"/>
    </row>
    <row r="2169" spans="1:8" x14ac:dyDescent="0.2">
      <c r="A2169" s="17"/>
      <c r="B2169" s="17"/>
      <c r="C2169" s="18"/>
      <c r="D2169" s="18"/>
      <c r="E2169" s="18"/>
      <c r="F2169" s="18"/>
      <c r="G2169" s="18"/>
      <c r="H2169" s="18"/>
    </row>
    <row r="2170" spans="1:8" x14ac:dyDescent="0.2">
      <c r="A2170" s="17"/>
      <c r="B2170" s="17"/>
      <c r="C2170" s="18"/>
      <c r="D2170" s="18"/>
      <c r="E2170" s="18"/>
      <c r="F2170" s="18"/>
      <c r="G2170" s="18"/>
      <c r="H2170" s="18"/>
    </row>
    <row r="2171" spans="1:8" x14ac:dyDescent="0.2">
      <c r="A2171" s="17"/>
      <c r="B2171" s="17"/>
      <c r="C2171" s="18"/>
      <c r="D2171" s="18"/>
      <c r="E2171" s="18"/>
      <c r="F2171" s="18"/>
      <c r="G2171" s="18"/>
      <c r="H2171" s="18"/>
    </row>
    <row r="2172" spans="1:8" x14ac:dyDescent="0.2">
      <c r="A2172" s="17"/>
      <c r="B2172" s="17"/>
      <c r="C2172" s="18"/>
      <c r="D2172" s="18"/>
      <c r="E2172" s="18"/>
      <c r="F2172" s="18"/>
      <c r="G2172" s="18"/>
      <c r="H2172" s="18"/>
    </row>
    <row r="2173" spans="1:8" x14ac:dyDescent="0.2">
      <c r="A2173" s="17"/>
      <c r="B2173" s="17"/>
      <c r="C2173" s="18"/>
      <c r="D2173" s="18"/>
      <c r="E2173" s="18"/>
      <c r="F2173" s="18"/>
      <c r="G2173" s="18"/>
      <c r="H2173" s="18"/>
    </row>
    <row r="2174" spans="1:8" x14ac:dyDescent="0.2">
      <c r="A2174" s="17"/>
      <c r="B2174" s="17"/>
      <c r="C2174" s="18"/>
      <c r="D2174" s="18"/>
      <c r="E2174" s="18"/>
      <c r="F2174" s="18"/>
      <c r="G2174" s="18"/>
      <c r="H2174" s="18"/>
    </row>
    <row r="2175" spans="1:8" x14ac:dyDescent="0.2">
      <c r="A2175" s="17"/>
      <c r="B2175" s="17"/>
      <c r="C2175" s="18"/>
      <c r="D2175" s="18"/>
      <c r="E2175" s="18"/>
      <c r="F2175" s="18"/>
      <c r="G2175" s="18"/>
      <c r="H2175" s="18"/>
    </row>
    <row r="2176" spans="1:8" x14ac:dyDescent="0.2">
      <c r="A2176" s="17"/>
      <c r="B2176" s="17"/>
      <c r="C2176" s="18"/>
      <c r="D2176" s="18"/>
      <c r="E2176" s="18"/>
      <c r="F2176" s="18"/>
      <c r="G2176" s="18"/>
      <c r="H2176" s="18"/>
    </row>
    <row r="2177" spans="1:8" x14ac:dyDescent="0.2">
      <c r="A2177" s="17"/>
      <c r="B2177" s="17"/>
      <c r="C2177" s="18"/>
      <c r="D2177" s="18"/>
      <c r="E2177" s="18"/>
      <c r="F2177" s="18"/>
      <c r="G2177" s="18"/>
      <c r="H2177" s="18"/>
    </row>
    <row r="2178" spans="1:8" x14ac:dyDescent="0.2">
      <c r="A2178" s="17"/>
      <c r="B2178" s="17"/>
      <c r="C2178" s="18"/>
      <c r="D2178" s="18"/>
      <c r="E2178" s="18"/>
      <c r="F2178" s="18"/>
      <c r="G2178" s="18"/>
      <c r="H2178" s="18"/>
    </row>
    <row r="2179" spans="1:8" x14ac:dyDescent="0.2">
      <c r="A2179" s="17"/>
      <c r="B2179" s="17"/>
      <c r="C2179" s="18"/>
      <c r="D2179" s="18"/>
      <c r="E2179" s="18"/>
      <c r="F2179" s="18"/>
      <c r="G2179" s="18"/>
      <c r="H2179" s="18"/>
    </row>
    <row r="2180" spans="1:8" x14ac:dyDescent="0.2">
      <c r="A2180" s="17"/>
      <c r="B2180" s="17"/>
      <c r="C2180" s="18"/>
      <c r="D2180" s="18"/>
      <c r="E2180" s="18"/>
      <c r="F2180" s="18"/>
      <c r="G2180" s="18"/>
      <c r="H2180" s="18"/>
    </row>
    <row r="2181" spans="1:8" x14ac:dyDescent="0.2">
      <c r="A2181" s="17"/>
      <c r="B2181" s="17"/>
      <c r="C2181" s="18"/>
      <c r="D2181" s="18"/>
      <c r="E2181" s="18"/>
      <c r="F2181" s="18"/>
      <c r="G2181" s="18"/>
      <c r="H2181" s="18"/>
    </row>
    <row r="2182" spans="1:8" x14ac:dyDescent="0.2">
      <c r="A2182" s="17"/>
      <c r="B2182" s="17"/>
      <c r="C2182" s="18"/>
      <c r="D2182" s="18"/>
      <c r="E2182" s="18"/>
      <c r="F2182" s="18"/>
      <c r="G2182" s="18"/>
      <c r="H2182" s="18"/>
    </row>
    <row r="2183" spans="1:8" x14ac:dyDescent="0.2">
      <c r="A2183" s="17"/>
      <c r="B2183" s="17"/>
      <c r="C2183" s="18"/>
      <c r="D2183" s="18"/>
      <c r="E2183" s="18"/>
      <c r="F2183" s="18"/>
      <c r="G2183" s="18"/>
      <c r="H2183" s="18"/>
    </row>
    <row r="2184" spans="1:8" x14ac:dyDescent="0.2">
      <c r="A2184" s="17"/>
      <c r="B2184" s="17"/>
      <c r="C2184" s="18"/>
      <c r="D2184" s="18"/>
      <c r="E2184" s="18"/>
      <c r="F2184" s="18"/>
      <c r="G2184" s="18"/>
      <c r="H2184" s="18"/>
    </row>
    <row r="2185" spans="1:8" x14ac:dyDescent="0.2">
      <c r="A2185" s="17"/>
      <c r="B2185" s="17"/>
      <c r="C2185" s="18"/>
      <c r="D2185" s="18"/>
      <c r="E2185" s="18"/>
      <c r="F2185" s="18"/>
      <c r="G2185" s="18"/>
      <c r="H2185" s="18"/>
    </row>
    <row r="2186" spans="1:8" x14ac:dyDescent="0.2">
      <c r="A2186" s="17"/>
      <c r="B2186" s="17"/>
      <c r="C2186" s="18"/>
      <c r="D2186" s="18"/>
      <c r="E2186" s="18"/>
      <c r="F2186" s="18"/>
      <c r="G2186" s="18"/>
      <c r="H2186" s="18"/>
    </row>
    <row r="2187" spans="1:8" x14ac:dyDescent="0.2">
      <c r="A2187" s="17"/>
      <c r="B2187" s="17"/>
      <c r="C2187" s="18"/>
      <c r="D2187" s="18"/>
      <c r="E2187" s="18"/>
      <c r="F2187" s="18"/>
      <c r="G2187" s="18"/>
      <c r="H2187" s="18"/>
    </row>
    <row r="2188" spans="1:8" x14ac:dyDescent="0.2">
      <c r="A2188" s="17"/>
      <c r="B2188" s="17"/>
      <c r="C2188" s="18"/>
      <c r="D2188" s="18"/>
      <c r="E2188" s="18"/>
      <c r="F2188" s="18"/>
      <c r="G2188" s="18"/>
      <c r="H2188" s="18"/>
    </row>
    <row r="2189" spans="1:8" x14ac:dyDescent="0.2">
      <c r="A2189" s="17"/>
      <c r="B2189" s="17"/>
      <c r="C2189" s="18"/>
      <c r="D2189" s="18"/>
      <c r="E2189" s="18"/>
      <c r="F2189" s="18"/>
      <c r="G2189" s="18"/>
      <c r="H2189" s="18"/>
    </row>
    <row r="2190" spans="1:8" x14ac:dyDescent="0.2">
      <c r="A2190" s="17"/>
      <c r="B2190" s="17"/>
      <c r="C2190" s="18"/>
      <c r="D2190" s="18"/>
      <c r="E2190" s="18"/>
      <c r="F2190" s="18"/>
      <c r="G2190" s="18"/>
      <c r="H2190" s="18"/>
    </row>
    <row r="2191" spans="1:8" x14ac:dyDescent="0.2">
      <c r="A2191" s="17"/>
      <c r="B2191" s="17"/>
      <c r="C2191" s="18"/>
      <c r="D2191" s="18"/>
      <c r="E2191" s="18"/>
      <c r="F2191" s="18"/>
      <c r="G2191" s="18"/>
      <c r="H2191" s="18"/>
    </row>
    <row r="2192" spans="1:8" x14ac:dyDescent="0.2">
      <c r="A2192" s="17"/>
      <c r="B2192" s="17"/>
      <c r="C2192" s="18"/>
      <c r="D2192" s="18"/>
      <c r="E2192" s="18"/>
      <c r="F2192" s="18"/>
      <c r="G2192" s="18"/>
      <c r="H2192" s="18"/>
    </row>
    <row r="2193" spans="1:8" x14ac:dyDescent="0.2">
      <c r="A2193" s="17"/>
      <c r="B2193" s="17"/>
      <c r="C2193" s="18"/>
      <c r="D2193" s="18"/>
      <c r="E2193" s="18"/>
      <c r="F2193" s="18"/>
      <c r="G2193" s="18"/>
      <c r="H2193" s="18"/>
    </row>
    <row r="2194" spans="1:8" x14ac:dyDescent="0.2">
      <c r="A2194" s="17"/>
      <c r="B2194" s="17"/>
      <c r="C2194" s="18"/>
      <c r="D2194" s="18"/>
      <c r="E2194" s="18"/>
      <c r="F2194" s="18"/>
      <c r="G2194" s="18"/>
      <c r="H2194" s="18"/>
    </row>
    <row r="2195" spans="1:8" x14ac:dyDescent="0.2">
      <c r="A2195" s="17"/>
      <c r="B2195" s="17"/>
      <c r="C2195" s="18"/>
      <c r="D2195" s="18"/>
      <c r="E2195" s="18"/>
      <c r="F2195" s="18"/>
      <c r="G2195" s="18"/>
      <c r="H2195" s="18"/>
    </row>
    <row r="2196" spans="1:8" x14ac:dyDescent="0.2">
      <c r="A2196" s="17"/>
      <c r="B2196" s="17"/>
      <c r="C2196" s="18"/>
      <c r="D2196" s="18"/>
      <c r="E2196" s="18"/>
      <c r="F2196" s="18"/>
      <c r="G2196" s="18"/>
      <c r="H2196" s="18"/>
    </row>
    <row r="2197" spans="1:8" x14ac:dyDescent="0.2">
      <c r="A2197" s="17"/>
      <c r="B2197" s="17"/>
      <c r="C2197" s="18"/>
      <c r="D2197" s="18"/>
      <c r="E2197" s="18"/>
      <c r="F2197" s="18"/>
      <c r="G2197" s="18"/>
      <c r="H2197" s="18"/>
    </row>
    <row r="2198" spans="1:8" x14ac:dyDescent="0.2">
      <c r="A2198" s="17"/>
      <c r="B2198" s="17"/>
      <c r="C2198" s="18"/>
      <c r="D2198" s="18"/>
      <c r="E2198" s="18"/>
      <c r="F2198" s="18"/>
      <c r="G2198" s="18"/>
      <c r="H2198" s="18"/>
    </row>
    <row r="2199" spans="1:8" x14ac:dyDescent="0.2">
      <c r="A2199" s="17"/>
      <c r="B2199" s="17"/>
      <c r="C2199" s="18"/>
      <c r="D2199" s="18"/>
      <c r="E2199" s="18"/>
      <c r="F2199" s="18"/>
      <c r="G2199" s="18"/>
      <c r="H2199" s="18"/>
    </row>
    <row r="2200" spans="1:8" x14ac:dyDescent="0.2">
      <c r="A2200" s="17"/>
      <c r="B2200" s="17"/>
      <c r="C2200" s="18"/>
      <c r="D2200" s="18"/>
      <c r="E2200" s="18"/>
      <c r="F2200" s="18"/>
      <c r="G2200" s="18"/>
      <c r="H2200" s="18"/>
    </row>
    <row r="2201" spans="1:8" x14ac:dyDescent="0.2">
      <c r="A2201" s="17"/>
      <c r="B2201" s="17"/>
      <c r="C2201" s="18"/>
      <c r="D2201" s="18"/>
      <c r="E2201" s="18"/>
      <c r="F2201" s="18"/>
      <c r="G2201" s="18"/>
      <c r="H2201" s="18"/>
    </row>
    <row r="2202" spans="1:8" x14ac:dyDescent="0.2">
      <c r="A2202" s="17"/>
      <c r="B2202" s="17"/>
      <c r="C2202" s="18"/>
      <c r="D2202" s="18"/>
      <c r="E2202" s="18"/>
      <c r="F2202" s="18"/>
      <c r="G2202" s="18"/>
      <c r="H2202" s="18"/>
    </row>
    <row r="2203" spans="1:8" x14ac:dyDescent="0.2">
      <c r="A2203" s="17"/>
      <c r="B2203" s="17"/>
      <c r="C2203" s="18"/>
      <c r="D2203" s="18"/>
      <c r="E2203" s="18"/>
      <c r="F2203" s="18"/>
      <c r="G2203" s="18"/>
      <c r="H2203" s="18"/>
    </row>
    <row r="2204" spans="1:8" x14ac:dyDescent="0.2">
      <c r="A2204" s="17"/>
      <c r="B2204" s="17"/>
      <c r="C2204" s="18"/>
      <c r="D2204" s="18"/>
      <c r="E2204" s="18"/>
      <c r="F2204" s="18"/>
      <c r="G2204" s="18"/>
      <c r="H2204" s="18"/>
    </row>
    <row r="2205" spans="1:8" x14ac:dyDescent="0.2">
      <c r="A2205" s="17"/>
      <c r="B2205" s="17"/>
      <c r="C2205" s="18"/>
      <c r="D2205" s="18"/>
      <c r="E2205" s="18"/>
      <c r="F2205" s="18"/>
      <c r="G2205" s="18"/>
      <c r="H2205" s="18"/>
    </row>
    <row r="2206" spans="1:8" x14ac:dyDescent="0.2">
      <c r="A2206" s="17"/>
      <c r="B2206" s="17"/>
      <c r="C2206" s="18"/>
      <c r="D2206" s="18"/>
      <c r="E2206" s="18"/>
      <c r="F2206" s="18"/>
      <c r="G2206" s="18"/>
      <c r="H2206" s="18"/>
    </row>
    <row r="2207" spans="1:8" x14ac:dyDescent="0.2">
      <c r="A2207" s="17"/>
      <c r="B2207" s="17"/>
      <c r="C2207" s="18"/>
      <c r="D2207" s="18"/>
      <c r="E2207" s="18"/>
      <c r="F2207" s="18"/>
      <c r="G2207" s="18"/>
      <c r="H2207" s="18"/>
    </row>
    <row r="2208" spans="1:8" x14ac:dyDescent="0.2">
      <c r="A2208" s="17"/>
      <c r="B2208" s="17"/>
      <c r="C2208" s="18"/>
      <c r="D2208" s="18"/>
      <c r="E2208" s="18"/>
      <c r="F2208" s="18"/>
      <c r="G2208" s="18"/>
      <c r="H2208" s="18"/>
    </row>
    <row r="2209" spans="1:8" x14ac:dyDescent="0.2">
      <c r="A2209" s="17"/>
      <c r="B2209" s="17"/>
      <c r="C2209" s="18"/>
      <c r="D2209" s="18"/>
      <c r="E2209" s="18"/>
      <c r="F2209" s="18"/>
      <c r="G2209" s="18"/>
      <c r="H2209" s="18"/>
    </row>
    <row r="2210" spans="1:8" x14ac:dyDescent="0.2">
      <c r="A2210" s="17"/>
      <c r="B2210" s="17"/>
      <c r="C2210" s="18"/>
      <c r="D2210" s="18"/>
      <c r="E2210" s="18"/>
      <c r="F2210" s="18"/>
      <c r="G2210" s="18"/>
      <c r="H2210" s="18"/>
    </row>
    <row r="2211" spans="1:8" x14ac:dyDescent="0.2">
      <c r="A2211" s="17"/>
      <c r="B2211" s="17"/>
      <c r="C2211" s="18"/>
      <c r="D2211" s="18"/>
      <c r="E2211" s="18"/>
      <c r="F2211" s="18"/>
      <c r="G2211" s="18"/>
      <c r="H2211" s="18"/>
    </row>
    <row r="2212" spans="1:8" x14ac:dyDescent="0.2">
      <c r="A2212" s="17"/>
      <c r="B2212" s="17"/>
      <c r="C2212" s="18"/>
      <c r="D2212" s="18"/>
      <c r="E2212" s="18"/>
      <c r="F2212" s="18"/>
      <c r="G2212" s="18"/>
      <c r="H2212" s="18"/>
    </row>
    <row r="2213" spans="1:8" x14ac:dyDescent="0.2">
      <c r="A2213" s="17"/>
      <c r="B2213" s="17"/>
      <c r="C2213" s="18"/>
      <c r="D2213" s="18"/>
      <c r="E2213" s="18"/>
      <c r="F2213" s="18"/>
      <c r="G2213" s="18"/>
      <c r="H2213" s="18"/>
    </row>
    <row r="2214" spans="1:8" x14ac:dyDescent="0.2">
      <c r="A2214" s="17"/>
      <c r="B2214" s="17"/>
      <c r="C2214" s="18"/>
      <c r="D2214" s="18"/>
      <c r="E2214" s="18"/>
      <c r="F2214" s="18"/>
      <c r="G2214" s="18"/>
      <c r="H2214" s="18"/>
    </row>
    <row r="2215" spans="1:8" x14ac:dyDescent="0.2">
      <c r="A2215" s="17"/>
      <c r="B2215" s="17"/>
      <c r="C2215" s="18"/>
      <c r="D2215" s="18"/>
      <c r="E2215" s="18"/>
      <c r="F2215" s="18"/>
      <c r="G2215" s="18"/>
      <c r="H2215" s="18"/>
    </row>
    <row r="2216" spans="1:8" x14ac:dyDescent="0.2">
      <c r="A2216" s="17"/>
      <c r="B2216" s="17"/>
      <c r="C2216" s="18"/>
      <c r="D2216" s="18"/>
      <c r="E2216" s="18"/>
      <c r="F2216" s="18"/>
      <c r="G2216" s="18"/>
      <c r="H2216" s="18"/>
    </row>
    <row r="2217" spans="1:8" x14ac:dyDescent="0.2">
      <c r="A2217" s="17"/>
      <c r="B2217" s="17"/>
      <c r="C2217" s="18"/>
      <c r="D2217" s="18"/>
      <c r="E2217" s="18"/>
      <c r="F2217" s="18"/>
      <c r="G2217" s="18"/>
      <c r="H2217" s="18"/>
    </row>
    <row r="2218" spans="1:8" x14ac:dyDescent="0.2">
      <c r="A2218" s="17"/>
      <c r="B2218" s="17"/>
      <c r="C2218" s="18"/>
      <c r="D2218" s="18"/>
      <c r="E2218" s="18"/>
      <c r="F2218" s="18"/>
      <c r="G2218" s="18"/>
      <c r="H2218" s="18"/>
    </row>
    <row r="2219" spans="1:8" x14ac:dyDescent="0.2">
      <c r="A2219" s="17"/>
      <c r="B2219" s="17"/>
      <c r="C2219" s="18"/>
      <c r="D2219" s="18"/>
      <c r="E2219" s="18"/>
      <c r="F2219" s="18"/>
      <c r="G2219" s="18"/>
      <c r="H2219" s="18"/>
    </row>
    <row r="2220" spans="1:8" x14ac:dyDescent="0.2">
      <c r="A2220" s="17"/>
      <c r="B2220" s="17"/>
      <c r="C2220" s="18"/>
      <c r="D2220" s="18"/>
      <c r="E2220" s="18"/>
      <c r="F2220" s="18"/>
      <c r="G2220" s="18"/>
      <c r="H2220" s="18"/>
    </row>
    <row r="2221" spans="1:8" x14ac:dyDescent="0.2">
      <c r="A2221" s="17"/>
      <c r="B2221" s="17"/>
      <c r="C2221" s="18"/>
      <c r="D2221" s="18"/>
      <c r="E2221" s="18"/>
      <c r="F2221" s="18"/>
      <c r="G2221" s="18"/>
      <c r="H2221" s="18"/>
    </row>
    <row r="2222" spans="1:8" x14ac:dyDescent="0.2">
      <c r="A2222" s="17"/>
      <c r="B2222" s="17"/>
      <c r="C2222" s="18"/>
      <c r="D2222" s="18"/>
      <c r="E2222" s="18"/>
      <c r="F2222" s="18"/>
      <c r="G2222" s="18"/>
      <c r="H2222" s="18"/>
    </row>
    <row r="2223" spans="1:8" x14ac:dyDescent="0.2">
      <c r="A2223" s="17"/>
      <c r="B2223" s="17"/>
      <c r="C2223" s="18"/>
      <c r="D2223" s="18"/>
      <c r="E2223" s="18"/>
      <c r="F2223" s="18"/>
      <c r="G2223" s="18"/>
      <c r="H2223" s="18"/>
    </row>
    <row r="2224" spans="1:8" x14ac:dyDescent="0.2">
      <c r="A2224" s="17"/>
      <c r="B2224" s="17"/>
      <c r="C2224" s="18"/>
      <c r="D2224" s="18"/>
      <c r="E2224" s="18"/>
      <c r="F2224" s="18"/>
      <c r="G2224" s="18"/>
      <c r="H2224" s="18"/>
    </row>
    <row r="2225" spans="1:8" x14ac:dyDescent="0.2">
      <c r="A2225" s="17"/>
      <c r="B2225" s="17"/>
      <c r="C2225" s="18"/>
      <c r="D2225" s="18"/>
      <c r="E2225" s="18"/>
      <c r="F2225" s="18"/>
      <c r="G2225" s="18"/>
      <c r="H2225" s="18"/>
    </row>
    <row r="2226" spans="1:8" x14ac:dyDescent="0.2">
      <c r="A2226" s="17"/>
      <c r="B2226" s="17"/>
      <c r="C2226" s="18"/>
      <c r="D2226" s="18"/>
      <c r="E2226" s="18"/>
      <c r="F2226" s="18"/>
      <c r="G2226" s="18"/>
      <c r="H2226" s="18"/>
    </row>
    <row r="2227" spans="1:8" x14ac:dyDescent="0.2">
      <c r="A2227" s="17"/>
      <c r="B2227" s="17"/>
      <c r="C2227" s="18"/>
      <c r="D2227" s="18"/>
      <c r="E2227" s="18"/>
      <c r="F2227" s="18"/>
      <c r="G2227" s="18"/>
      <c r="H2227" s="18"/>
    </row>
    <row r="2228" spans="1:8" x14ac:dyDescent="0.2">
      <c r="A2228" s="17"/>
      <c r="B2228" s="17"/>
      <c r="C2228" s="18"/>
      <c r="D2228" s="18"/>
      <c r="E2228" s="18"/>
      <c r="F2228" s="18"/>
      <c r="G2228" s="18"/>
      <c r="H2228" s="18"/>
    </row>
    <row r="2229" spans="1:8" x14ac:dyDescent="0.2">
      <c r="A2229" s="17"/>
      <c r="B2229" s="17"/>
      <c r="C2229" s="18"/>
      <c r="D2229" s="18"/>
      <c r="E2229" s="18"/>
      <c r="F2229" s="18"/>
      <c r="G2229" s="18"/>
      <c r="H2229" s="18"/>
    </row>
    <row r="2230" spans="1:8" x14ac:dyDescent="0.2">
      <c r="A2230" s="17"/>
      <c r="B2230" s="17"/>
      <c r="C2230" s="18"/>
      <c r="D2230" s="18"/>
      <c r="E2230" s="18"/>
      <c r="F2230" s="18"/>
      <c r="G2230" s="18"/>
      <c r="H2230" s="18"/>
    </row>
    <row r="2231" spans="1:8" x14ac:dyDescent="0.2">
      <c r="A2231" s="17"/>
      <c r="B2231" s="17"/>
      <c r="C2231" s="18"/>
      <c r="D2231" s="18"/>
      <c r="E2231" s="18"/>
      <c r="F2231" s="18"/>
      <c r="G2231" s="18"/>
      <c r="H2231" s="18"/>
    </row>
    <row r="2232" spans="1:8" x14ac:dyDescent="0.2">
      <c r="A2232" s="17"/>
      <c r="B2232" s="17"/>
      <c r="C2232" s="18"/>
      <c r="D2232" s="18"/>
      <c r="E2232" s="18"/>
      <c r="F2232" s="18"/>
      <c r="G2232" s="18"/>
      <c r="H2232" s="18"/>
    </row>
    <row r="2233" spans="1:8" x14ac:dyDescent="0.2">
      <c r="A2233" s="17"/>
      <c r="B2233" s="17"/>
      <c r="C2233" s="18"/>
      <c r="D2233" s="18"/>
      <c r="E2233" s="18"/>
      <c r="F2233" s="18"/>
      <c r="G2233" s="18"/>
      <c r="H2233" s="18"/>
    </row>
    <row r="2234" spans="1:8" x14ac:dyDescent="0.2">
      <c r="A2234" s="17"/>
      <c r="B2234" s="17"/>
      <c r="C2234" s="18"/>
      <c r="D2234" s="18"/>
      <c r="E2234" s="18"/>
      <c r="F2234" s="18"/>
      <c r="G2234" s="18"/>
      <c r="H2234" s="18"/>
    </row>
    <row r="2235" spans="1:8" x14ac:dyDescent="0.2">
      <c r="A2235" s="17"/>
      <c r="B2235" s="17"/>
      <c r="C2235" s="18"/>
      <c r="D2235" s="18"/>
      <c r="E2235" s="18"/>
      <c r="F2235" s="18"/>
      <c r="G2235" s="18"/>
      <c r="H2235" s="18"/>
    </row>
    <row r="2236" spans="1:8" x14ac:dyDescent="0.2">
      <c r="A2236" s="17"/>
      <c r="B2236" s="17"/>
      <c r="C2236" s="18"/>
      <c r="D2236" s="18"/>
      <c r="E2236" s="18"/>
      <c r="F2236" s="18"/>
      <c r="G2236" s="18"/>
      <c r="H2236" s="18"/>
    </row>
    <row r="2237" spans="1:8" x14ac:dyDescent="0.2">
      <c r="A2237" s="17"/>
      <c r="B2237" s="17"/>
      <c r="C2237" s="18"/>
      <c r="D2237" s="18"/>
      <c r="E2237" s="18"/>
      <c r="F2237" s="18"/>
      <c r="G2237" s="18"/>
      <c r="H2237" s="18"/>
    </row>
    <row r="2238" spans="1:8" x14ac:dyDescent="0.2">
      <c r="A2238" s="17"/>
      <c r="B2238" s="17"/>
      <c r="C2238" s="18"/>
      <c r="D2238" s="18"/>
      <c r="E2238" s="18"/>
      <c r="F2238" s="18"/>
      <c r="G2238" s="18"/>
      <c r="H2238" s="18"/>
    </row>
    <row r="2239" spans="1:8" x14ac:dyDescent="0.2">
      <c r="A2239" s="17"/>
      <c r="B2239" s="17"/>
      <c r="C2239" s="18"/>
      <c r="D2239" s="18"/>
      <c r="E2239" s="18"/>
      <c r="F2239" s="18"/>
      <c r="G2239" s="18"/>
      <c r="H2239" s="18"/>
    </row>
    <row r="2240" spans="1:8" x14ac:dyDescent="0.2">
      <c r="A2240" s="17"/>
      <c r="B2240" s="17"/>
      <c r="C2240" s="18"/>
      <c r="D2240" s="18"/>
      <c r="E2240" s="18"/>
      <c r="F2240" s="18"/>
      <c r="G2240" s="18"/>
      <c r="H2240" s="18"/>
    </row>
    <row r="2241" spans="1:8" x14ac:dyDescent="0.2">
      <c r="A2241" s="17"/>
      <c r="B2241" s="17"/>
      <c r="C2241" s="18"/>
      <c r="D2241" s="18"/>
      <c r="E2241" s="18"/>
      <c r="F2241" s="18"/>
      <c r="G2241" s="18"/>
      <c r="H2241" s="18"/>
    </row>
    <row r="2242" spans="1:8" x14ac:dyDescent="0.2">
      <c r="A2242" s="17"/>
      <c r="B2242" s="17"/>
      <c r="C2242" s="18"/>
      <c r="D2242" s="18"/>
      <c r="E2242" s="18"/>
      <c r="F2242" s="18"/>
      <c r="G2242" s="18"/>
      <c r="H2242" s="18"/>
    </row>
    <row r="2243" spans="1:8" x14ac:dyDescent="0.2">
      <c r="A2243" s="17"/>
      <c r="B2243" s="17"/>
      <c r="C2243" s="18"/>
      <c r="D2243" s="18"/>
      <c r="E2243" s="18"/>
      <c r="F2243" s="18"/>
      <c r="G2243" s="18"/>
      <c r="H2243" s="18"/>
    </row>
    <row r="2244" spans="1:8" x14ac:dyDescent="0.2">
      <c r="A2244" s="17"/>
      <c r="B2244" s="17"/>
      <c r="C2244" s="18"/>
      <c r="D2244" s="18"/>
      <c r="E2244" s="18"/>
      <c r="F2244" s="18"/>
      <c r="G2244" s="18"/>
      <c r="H2244" s="18"/>
    </row>
    <row r="2245" spans="1:8" x14ac:dyDescent="0.2">
      <c r="A2245" s="17"/>
      <c r="B2245" s="17"/>
      <c r="C2245" s="18"/>
      <c r="D2245" s="18"/>
      <c r="E2245" s="18"/>
      <c r="F2245" s="18"/>
      <c r="G2245" s="18"/>
      <c r="H2245" s="18"/>
    </row>
    <row r="2246" spans="1:8" x14ac:dyDescent="0.2">
      <c r="A2246" s="17"/>
      <c r="B2246" s="17"/>
      <c r="C2246" s="18"/>
      <c r="D2246" s="18"/>
      <c r="E2246" s="18"/>
      <c r="F2246" s="18"/>
      <c r="G2246" s="18"/>
      <c r="H2246" s="18"/>
    </row>
    <row r="2247" spans="1:8" x14ac:dyDescent="0.2">
      <c r="A2247" s="17"/>
      <c r="B2247" s="17"/>
      <c r="C2247" s="18"/>
      <c r="D2247" s="18"/>
      <c r="E2247" s="18"/>
      <c r="F2247" s="18"/>
      <c r="G2247" s="18"/>
      <c r="H2247" s="18"/>
    </row>
    <row r="2248" spans="1:8" x14ac:dyDescent="0.2">
      <c r="A2248" s="17"/>
      <c r="B2248" s="17"/>
      <c r="C2248" s="18"/>
      <c r="D2248" s="18"/>
      <c r="E2248" s="18"/>
      <c r="F2248" s="18"/>
      <c r="G2248" s="18"/>
      <c r="H2248" s="18"/>
    </row>
    <row r="2249" spans="1:8" x14ac:dyDescent="0.2">
      <c r="A2249" s="17"/>
      <c r="B2249" s="17"/>
      <c r="C2249" s="18"/>
      <c r="D2249" s="18"/>
      <c r="E2249" s="18"/>
      <c r="F2249" s="18"/>
      <c r="G2249" s="18"/>
      <c r="H2249" s="18"/>
    </row>
    <row r="2250" spans="1:8" x14ac:dyDescent="0.2">
      <c r="A2250" s="17"/>
      <c r="B2250" s="17"/>
      <c r="C2250" s="18"/>
      <c r="D2250" s="18"/>
      <c r="E2250" s="18"/>
      <c r="F2250" s="18"/>
      <c r="G2250" s="18"/>
      <c r="H2250" s="18"/>
    </row>
    <row r="2251" spans="1:8" x14ac:dyDescent="0.2">
      <c r="A2251" s="17"/>
      <c r="B2251" s="17"/>
      <c r="C2251" s="18"/>
      <c r="D2251" s="18"/>
      <c r="E2251" s="18"/>
      <c r="F2251" s="18"/>
      <c r="G2251" s="18"/>
      <c r="H2251" s="18"/>
    </row>
    <row r="2252" spans="1:8" x14ac:dyDescent="0.2">
      <c r="A2252" s="17"/>
      <c r="B2252" s="17"/>
      <c r="C2252" s="18"/>
      <c r="D2252" s="18"/>
      <c r="E2252" s="18"/>
      <c r="F2252" s="18"/>
      <c r="G2252" s="18"/>
      <c r="H2252" s="18"/>
    </row>
    <row r="2253" spans="1:8" x14ac:dyDescent="0.2">
      <c r="A2253" s="17"/>
      <c r="B2253" s="17"/>
      <c r="C2253" s="18"/>
      <c r="D2253" s="18"/>
      <c r="E2253" s="18"/>
      <c r="F2253" s="18"/>
      <c r="G2253" s="18"/>
      <c r="H2253" s="18"/>
    </row>
    <row r="2254" spans="1:8" x14ac:dyDescent="0.2">
      <c r="A2254" s="17"/>
      <c r="B2254" s="17"/>
      <c r="C2254" s="18"/>
      <c r="D2254" s="18"/>
      <c r="E2254" s="18"/>
      <c r="F2254" s="18"/>
      <c r="G2254" s="18"/>
      <c r="H2254" s="18"/>
    </row>
    <row r="2255" spans="1:8" x14ac:dyDescent="0.2">
      <c r="A2255" s="17"/>
      <c r="B2255" s="17"/>
      <c r="C2255" s="18"/>
      <c r="D2255" s="18"/>
      <c r="E2255" s="18"/>
      <c r="F2255" s="18"/>
      <c r="G2255" s="18"/>
      <c r="H2255" s="18"/>
    </row>
    <row r="2256" spans="1:8" x14ac:dyDescent="0.2">
      <c r="A2256" s="17"/>
      <c r="B2256" s="17"/>
      <c r="C2256" s="18"/>
      <c r="D2256" s="18"/>
      <c r="E2256" s="18"/>
      <c r="F2256" s="18"/>
      <c r="G2256" s="18"/>
      <c r="H2256" s="18"/>
    </row>
    <row r="2257" spans="1:8" x14ac:dyDescent="0.2">
      <c r="A2257" s="17"/>
      <c r="B2257" s="17"/>
      <c r="C2257" s="18"/>
      <c r="D2257" s="18"/>
      <c r="E2257" s="18"/>
      <c r="F2257" s="18"/>
      <c r="G2257" s="18"/>
      <c r="H2257" s="18"/>
    </row>
    <row r="2258" spans="1:8" x14ac:dyDescent="0.2">
      <c r="A2258" s="17"/>
      <c r="B2258" s="17"/>
      <c r="C2258" s="18"/>
      <c r="D2258" s="18"/>
      <c r="E2258" s="18"/>
      <c r="F2258" s="18"/>
      <c r="G2258" s="18"/>
      <c r="H2258" s="18"/>
    </row>
    <row r="2259" spans="1:8" x14ac:dyDescent="0.2">
      <c r="A2259" s="17"/>
      <c r="B2259" s="17"/>
      <c r="C2259" s="18"/>
      <c r="D2259" s="18"/>
      <c r="E2259" s="18"/>
      <c r="F2259" s="18"/>
      <c r="G2259" s="18"/>
      <c r="H2259" s="18"/>
    </row>
    <row r="2260" spans="1:8" x14ac:dyDescent="0.2">
      <c r="A2260" s="17"/>
      <c r="B2260" s="17"/>
      <c r="C2260" s="18"/>
      <c r="D2260" s="18"/>
      <c r="E2260" s="18"/>
      <c r="F2260" s="18"/>
      <c r="G2260" s="18"/>
      <c r="H2260" s="18"/>
    </row>
    <row r="2261" spans="1:8" x14ac:dyDescent="0.2">
      <c r="A2261" s="17"/>
      <c r="B2261" s="17"/>
      <c r="C2261" s="18"/>
      <c r="D2261" s="18"/>
      <c r="E2261" s="18"/>
      <c r="F2261" s="18"/>
      <c r="G2261" s="18"/>
      <c r="H2261" s="18"/>
    </row>
    <row r="2262" spans="1:8" x14ac:dyDescent="0.2">
      <c r="A2262" s="17"/>
      <c r="B2262" s="17"/>
      <c r="C2262" s="18"/>
      <c r="D2262" s="18"/>
      <c r="E2262" s="18"/>
      <c r="F2262" s="18"/>
      <c r="G2262" s="18"/>
      <c r="H2262" s="18"/>
    </row>
    <row r="2263" spans="1:8" x14ac:dyDescent="0.2">
      <c r="A2263" s="17"/>
      <c r="B2263" s="17"/>
      <c r="C2263" s="18"/>
      <c r="D2263" s="18"/>
      <c r="E2263" s="18"/>
      <c r="F2263" s="18"/>
      <c r="G2263" s="18"/>
      <c r="H2263" s="18"/>
    </row>
    <row r="2264" spans="1:8" x14ac:dyDescent="0.2">
      <c r="A2264" s="17"/>
      <c r="B2264" s="17"/>
      <c r="C2264" s="18"/>
      <c r="D2264" s="18"/>
      <c r="E2264" s="18"/>
      <c r="F2264" s="18"/>
      <c r="G2264" s="18"/>
      <c r="H2264" s="18"/>
    </row>
    <row r="2265" spans="1:8" x14ac:dyDescent="0.2">
      <c r="A2265" s="17"/>
      <c r="B2265" s="17"/>
      <c r="C2265" s="18"/>
      <c r="D2265" s="18"/>
      <c r="E2265" s="18"/>
      <c r="F2265" s="18"/>
      <c r="G2265" s="18"/>
      <c r="H2265" s="18"/>
    </row>
    <row r="2266" spans="1:8" x14ac:dyDescent="0.2">
      <c r="A2266" s="17"/>
      <c r="B2266" s="17"/>
      <c r="C2266" s="18"/>
      <c r="D2266" s="18"/>
      <c r="E2266" s="18"/>
      <c r="F2266" s="18"/>
      <c r="G2266" s="18"/>
      <c r="H2266" s="18"/>
    </row>
    <row r="2267" spans="1:8" x14ac:dyDescent="0.2">
      <c r="A2267" s="17"/>
      <c r="B2267" s="17"/>
      <c r="C2267" s="18"/>
      <c r="D2267" s="18"/>
      <c r="E2267" s="18"/>
      <c r="F2267" s="18"/>
      <c r="G2267" s="18"/>
      <c r="H2267" s="18"/>
    </row>
    <row r="2268" spans="1:8" x14ac:dyDescent="0.2">
      <c r="A2268" s="17"/>
      <c r="B2268" s="17"/>
      <c r="C2268" s="18"/>
      <c r="D2268" s="18"/>
      <c r="E2268" s="18"/>
      <c r="F2268" s="18"/>
      <c r="G2268" s="18"/>
      <c r="H2268" s="18"/>
    </row>
    <row r="2269" spans="1:8" x14ac:dyDescent="0.2">
      <c r="A2269" s="17"/>
      <c r="B2269" s="17"/>
      <c r="C2269" s="18"/>
      <c r="D2269" s="18"/>
      <c r="E2269" s="18"/>
      <c r="F2269" s="18"/>
      <c r="G2269" s="18"/>
      <c r="H2269" s="18"/>
    </row>
    <row r="2270" spans="1:8" x14ac:dyDescent="0.2">
      <c r="A2270" s="17"/>
      <c r="B2270" s="17"/>
      <c r="C2270" s="18"/>
      <c r="D2270" s="18"/>
      <c r="E2270" s="18"/>
      <c r="F2270" s="18"/>
      <c r="G2270" s="18"/>
      <c r="H2270" s="18"/>
    </row>
    <row r="2271" spans="1:8" x14ac:dyDescent="0.2">
      <c r="A2271" s="17"/>
      <c r="B2271" s="17"/>
      <c r="C2271" s="18"/>
      <c r="D2271" s="18"/>
      <c r="E2271" s="18"/>
      <c r="F2271" s="18"/>
      <c r="G2271" s="18"/>
      <c r="H2271" s="18"/>
    </row>
    <row r="2272" spans="1:8" x14ac:dyDescent="0.2">
      <c r="A2272" s="17"/>
      <c r="B2272" s="17"/>
      <c r="C2272" s="18"/>
      <c r="D2272" s="18"/>
      <c r="E2272" s="18"/>
      <c r="F2272" s="18"/>
      <c r="G2272" s="18"/>
      <c r="H2272" s="18"/>
    </row>
    <row r="2273" spans="1:8" x14ac:dyDescent="0.2">
      <c r="A2273" s="17"/>
      <c r="B2273" s="17"/>
      <c r="C2273" s="18"/>
      <c r="D2273" s="18"/>
      <c r="E2273" s="18"/>
      <c r="F2273" s="18"/>
      <c r="G2273" s="18"/>
      <c r="H2273" s="18"/>
    </row>
    <row r="2274" spans="1:8" x14ac:dyDescent="0.2">
      <c r="A2274" s="17"/>
      <c r="B2274" s="17"/>
      <c r="C2274" s="18"/>
      <c r="D2274" s="18"/>
      <c r="E2274" s="18"/>
      <c r="F2274" s="18"/>
      <c r="G2274" s="18"/>
      <c r="H2274" s="18"/>
    </row>
    <row r="2275" spans="1:8" x14ac:dyDescent="0.2">
      <c r="A2275" s="17"/>
      <c r="B2275" s="17"/>
      <c r="C2275" s="18"/>
      <c r="D2275" s="18"/>
      <c r="E2275" s="18"/>
      <c r="F2275" s="18"/>
      <c r="G2275" s="18"/>
      <c r="H2275" s="18"/>
    </row>
    <row r="2276" spans="1:8" x14ac:dyDescent="0.2">
      <c r="A2276" s="17"/>
      <c r="B2276" s="17"/>
      <c r="C2276" s="18"/>
      <c r="D2276" s="18"/>
      <c r="E2276" s="18"/>
      <c r="F2276" s="18"/>
      <c r="G2276" s="18"/>
      <c r="H2276" s="18"/>
    </row>
    <row r="2277" spans="1:8" x14ac:dyDescent="0.2">
      <c r="A2277" s="17"/>
      <c r="B2277" s="17"/>
      <c r="C2277" s="18"/>
      <c r="D2277" s="18"/>
      <c r="E2277" s="18"/>
      <c r="F2277" s="18"/>
      <c r="G2277" s="18"/>
      <c r="H2277" s="18"/>
    </row>
    <row r="2278" spans="1:8" x14ac:dyDescent="0.2">
      <c r="A2278" s="17"/>
      <c r="B2278" s="17"/>
      <c r="C2278" s="18"/>
      <c r="D2278" s="18"/>
      <c r="E2278" s="18"/>
      <c r="F2278" s="18"/>
      <c r="G2278" s="18"/>
      <c r="H2278" s="18"/>
    </row>
    <row r="2279" spans="1:8" x14ac:dyDescent="0.2">
      <c r="A2279" s="17"/>
      <c r="B2279" s="17"/>
      <c r="C2279" s="18"/>
      <c r="D2279" s="18"/>
      <c r="E2279" s="18"/>
      <c r="F2279" s="18"/>
      <c r="G2279" s="18"/>
      <c r="H2279" s="18"/>
    </row>
    <row r="2280" spans="1:8" x14ac:dyDescent="0.2">
      <c r="A2280" s="17"/>
      <c r="B2280" s="17"/>
      <c r="C2280" s="18"/>
      <c r="D2280" s="18"/>
      <c r="E2280" s="18"/>
      <c r="F2280" s="18"/>
      <c r="G2280" s="18"/>
      <c r="H2280" s="18"/>
    </row>
    <row r="2281" spans="1:8" x14ac:dyDescent="0.2">
      <c r="A2281" s="17"/>
      <c r="B2281" s="17"/>
      <c r="C2281" s="18"/>
      <c r="D2281" s="18"/>
      <c r="E2281" s="18"/>
      <c r="F2281" s="18"/>
      <c r="G2281" s="18"/>
      <c r="H2281" s="18"/>
    </row>
    <row r="2282" spans="1:8" x14ac:dyDescent="0.2">
      <c r="A2282" s="17"/>
      <c r="B2282" s="17"/>
      <c r="C2282" s="18"/>
      <c r="D2282" s="18"/>
      <c r="E2282" s="18"/>
      <c r="F2282" s="18"/>
      <c r="G2282" s="18"/>
      <c r="H2282" s="18"/>
    </row>
    <row r="2283" spans="1:8" x14ac:dyDescent="0.2">
      <c r="A2283" s="17"/>
      <c r="B2283" s="17"/>
      <c r="C2283" s="18"/>
      <c r="D2283" s="18"/>
      <c r="E2283" s="18"/>
      <c r="F2283" s="18"/>
      <c r="G2283" s="18"/>
      <c r="H2283" s="18"/>
    </row>
    <row r="2284" spans="1:8" x14ac:dyDescent="0.2">
      <c r="A2284" s="17"/>
      <c r="B2284" s="17"/>
      <c r="C2284" s="18"/>
      <c r="D2284" s="18"/>
      <c r="E2284" s="18"/>
      <c r="F2284" s="18"/>
      <c r="G2284" s="18"/>
      <c r="H2284" s="18"/>
    </row>
    <row r="2285" spans="1:8" x14ac:dyDescent="0.2">
      <c r="A2285" s="17"/>
      <c r="B2285" s="17"/>
      <c r="C2285" s="18"/>
      <c r="D2285" s="18"/>
      <c r="E2285" s="18"/>
      <c r="F2285" s="18"/>
      <c r="G2285" s="18"/>
      <c r="H2285" s="18"/>
    </row>
    <row r="2286" spans="1:8" x14ac:dyDescent="0.2">
      <c r="A2286" s="17"/>
      <c r="B2286" s="17"/>
      <c r="C2286" s="18"/>
      <c r="D2286" s="18"/>
      <c r="E2286" s="18"/>
      <c r="F2286" s="18"/>
      <c r="G2286" s="18"/>
      <c r="H2286" s="18"/>
    </row>
    <row r="2287" spans="1:8" x14ac:dyDescent="0.2">
      <c r="A2287" s="17"/>
      <c r="B2287" s="17"/>
      <c r="C2287" s="18"/>
      <c r="D2287" s="18"/>
      <c r="E2287" s="18"/>
      <c r="F2287" s="18"/>
      <c r="G2287" s="18"/>
      <c r="H2287" s="18"/>
    </row>
    <row r="2288" spans="1:8" x14ac:dyDescent="0.2">
      <c r="A2288" s="17"/>
      <c r="B2288" s="17"/>
      <c r="C2288" s="18"/>
      <c r="D2288" s="18"/>
      <c r="E2288" s="18"/>
      <c r="F2288" s="18"/>
      <c r="G2288" s="18"/>
      <c r="H2288" s="18"/>
    </row>
    <row r="2289" spans="1:8" x14ac:dyDescent="0.2">
      <c r="A2289" s="17"/>
      <c r="B2289" s="17"/>
      <c r="C2289" s="18"/>
      <c r="D2289" s="18"/>
      <c r="E2289" s="18"/>
      <c r="F2289" s="18"/>
      <c r="G2289" s="18"/>
      <c r="H2289" s="18"/>
    </row>
    <row r="2290" spans="1:8" x14ac:dyDescent="0.2">
      <c r="A2290" s="17"/>
      <c r="B2290" s="17"/>
      <c r="C2290" s="18"/>
      <c r="D2290" s="18"/>
      <c r="E2290" s="18"/>
      <c r="F2290" s="18"/>
      <c r="G2290" s="18"/>
      <c r="H2290" s="18"/>
    </row>
    <row r="2291" spans="1:8" x14ac:dyDescent="0.2">
      <c r="A2291" s="17"/>
      <c r="B2291" s="17"/>
      <c r="C2291" s="18"/>
      <c r="D2291" s="18"/>
      <c r="E2291" s="18"/>
      <c r="F2291" s="18"/>
      <c r="G2291" s="18"/>
      <c r="H2291" s="18"/>
    </row>
    <row r="2292" spans="1:8" x14ac:dyDescent="0.2">
      <c r="A2292" s="17"/>
      <c r="B2292" s="17"/>
      <c r="C2292" s="18"/>
      <c r="D2292" s="18"/>
      <c r="E2292" s="18"/>
      <c r="F2292" s="18"/>
      <c r="G2292" s="18"/>
      <c r="H2292" s="18"/>
    </row>
    <row r="2293" spans="1:8" x14ac:dyDescent="0.2">
      <c r="A2293" s="17"/>
      <c r="B2293" s="17"/>
      <c r="C2293" s="18"/>
      <c r="D2293" s="18"/>
      <c r="E2293" s="18"/>
      <c r="F2293" s="18"/>
      <c r="G2293" s="18"/>
      <c r="H2293" s="18"/>
    </row>
    <row r="2294" spans="1:8" x14ac:dyDescent="0.2">
      <c r="A2294" s="17"/>
      <c r="B2294" s="17"/>
      <c r="C2294" s="18"/>
      <c r="D2294" s="18"/>
      <c r="E2294" s="18"/>
      <c r="F2294" s="18"/>
      <c r="G2294" s="18"/>
      <c r="H2294" s="18"/>
    </row>
    <row r="2295" spans="1:8" x14ac:dyDescent="0.2">
      <c r="A2295" s="17"/>
      <c r="B2295" s="17"/>
      <c r="C2295" s="18"/>
      <c r="D2295" s="18"/>
      <c r="E2295" s="18"/>
      <c r="F2295" s="18"/>
      <c r="G2295" s="18"/>
      <c r="H2295" s="18"/>
    </row>
    <row r="2296" spans="1:8" x14ac:dyDescent="0.2">
      <c r="A2296" s="17"/>
      <c r="B2296" s="17"/>
      <c r="C2296" s="18"/>
      <c r="D2296" s="18"/>
      <c r="E2296" s="18"/>
      <c r="F2296" s="18"/>
      <c r="G2296" s="18"/>
      <c r="H2296" s="18"/>
    </row>
    <row r="2297" spans="1:8" x14ac:dyDescent="0.2">
      <c r="A2297" s="17"/>
      <c r="B2297" s="17"/>
      <c r="C2297" s="18"/>
      <c r="D2297" s="18"/>
      <c r="E2297" s="18"/>
      <c r="F2297" s="18"/>
      <c r="G2297" s="18"/>
      <c r="H2297" s="18"/>
    </row>
    <row r="2298" spans="1:8" x14ac:dyDescent="0.2">
      <c r="A2298" s="17"/>
      <c r="B2298" s="17"/>
      <c r="C2298" s="18"/>
      <c r="D2298" s="18"/>
      <c r="E2298" s="18"/>
      <c r="F2298" s="18"/>
      <c r="G2298" s="18"/>
      <c r="H2298" s="18"/>
    </row>
    <row r="2299" spans="1:8" x14ac:dyDescent="0.2">
      <c r="A2299" s="17"/>
      <c r="B2299" s="17"/>
      <c r="C2299" s="18"/>
      <c r="D2299" s="18"/>
      <c r="E2299" s="18"/>
      <c r="F2299" s="18"/>
      <c r="G2299" s="18"/>
      <c r="H2299" s="18"/>
    </row>
    <row r="2300" spans="1:8" x14ac:dyDescent="0.2">
      <c r="A2300" s="17"/>
      <c r="B2300" s="17"/>
      <c r="C2300" s="18"/>
      <c r="D2300" s="18"/>
      <c r="E2300" s="18"/>
      <c r="F2300" s="18"/>
      <c r="G2300" s="18"/>
      <c r="H2300" s="18"/>
    </row>
    <row r="2301" spans="1:8" x14ac:dyDescent="0.2">
      <c r="A2301" s="17"/>
      <c r="B2301" s="17"/>
      <c r="C2301" s="18"/>
      <c r="D2301" s="18"/>
      <c r="E2301" s="18"/>
      <c r="F2301" s="18"/>
      <c r="G2301" s="18"/>
      <c r="H2301" s="18"/>
    </row>
    <row r="2302" spans="1:8" x14ac:dyDescent="0.2">
      <c r="A2302" s="17"/>
      <c r="B2302" s="17"/>
      <c r="C2302" s="18"/>
      <c r="D2302" s="18"/>
      <c r="E2302" s="18"/>
      <c r="F2302" s="18"/>
      <c r="G2302" s="18"/>
      <c r="H2302" s="18"/>
    </row>
    <row r="2303" spans="1:8" x14ac:dyDescent="0.2">
      <c r="A2303" s="17"/>
      <c r="B2303" s="17"/>
      <c r="C2303" s="18"/>
      <c r="D2303" s="18"/>
      <c r="E2303" s="18"/>
      <c r="F2303" s="18"/>
      <c r="G2303" s="18"/>
      <c r="H2303" s="18"/>
    </row>
    <row r="2304" spans="1:8" x14ac:dyDescent="0.2">
      <c r="A2304" s="17"/>
      <c r="B2304" s="17"/>
      <c r="C2304" s="18"/>
      <c r="D2304" s="18"/>
      <c r="E2304" s="18"/>
      <c r="F2304" s="18"/>
      <c r="G2304" s="18"/>
      <c r="H2304" s="18"/>
    </row>
    <row r="2305" spans="1:8" x14ac:dyDescent="0.2">
      <c r="A2305" s="17"/>
      <c r="B2305" s="17"/>
      <c r="C2305" s="18"/>
      <c r="D2305" s="18"/>
      <c r="E2305" s="18"/>
      <c r="F2305" s="18"/>
      <c r="G2305" s="18"/>
      <c r="H2305" s="18"/>
    </row>
    <row r="2306" spans="1:8" x14ac:dyDescent="0.2">
      <c r="A2306" s="17"/>
      <c r="B2306" s="17"/>
      <c r="C2306" s="18"/>
      <c r="D2306" s="18"/>
      <c r="E2306" s="18"/>
      <c r="F2306" s="18"/>
      <c r="G2306" s="18"/>
      <c r="H2306" s="18"/>
    </row>
    <row r="2307" spans="1:8" x14ac:dyDescent="0.2">
      <c r="A2307" s="17"/>
      <c r="B2307" s="17"/>
      <c r="C2307" s="18"/>
      <c r="D2307" s="18"/>
      <c r="E2307" s="18"/>
      <c r="F2307" s="18"/>
      <c r="G2307" s="18"/>
      <c r="H2307" s="18"/>
    </row>
    <row r="2308" spans="1:8" x14ac:dyDescent="0.2">
      <c r="A2308" s="17"/>
      <c r="B2308" s="17"/>
      <c r="C2308" s="18"/>
      <c r="D2308" s="18"/>
      <c r="E2308" s="18"/>
      <c r="F2308" s="18"/>
      <c r="G2308" s="18"/>
      <c r="H2308" s="18"/>
    </row>
    <row r="2309" spans="1:8" x14ac:dyDescent="0.2">
      <c r="A2309" s="17"/>
      <c r="B2309" s="17"/>
      <c r="C2309" s="18"/>
      <c r="D2309" s="18"/>
      <c r="E2309" s="18"/>
      <c r="F2309" s="18"/>
      <c r="G2309" s="18"/>
      <c r="H2309" s="18"/>
    </row>
    <row r="2310" spans="1:8" x14ac:dyDescent="0.2">
      <c r="A2310" s="17"/>
      <c r="B2310" s="17"/>
      <c r="C2310" s="18"/>
      <c r="D2310" s="18"/>
      <c r="E2310" s="18"/>
      <c r="F2310" s="18"/>
      <c r="G2310" s="18"/>
      <c r="H2310" s="18"/>
    </row>
    <row r="2311" spans="1:8" x14ac:dyDescent="0.2">
      <c r="A2311" s="17"/>
      <c r="B2311" s="17"/>
      <c r="C2311" s="18"/>
      <c r="D2311" s="18"/>
      <c r="E2311" s="18"/>
      <c r="F2311" s="18"/>
      <c r="G2311" s="18"/>
      <c r="H2311" s="18"/>
    </row>
    <row r="2312" spans="1:8" x14ac:dyDescent="0.2">
      <c r="A2312" s="17"/>
      <c r="B2312" s="17"/>
      <c r="C2312" s="18"/>
      <c r="D2312" s="18"/>
      <c r="E2312" s="18"/>
      <c r="F2312" s="18"/>
      <c r="G2312" s="18"/>
      <c r="H2312" s="18"/>
    </row>
    <row r="2313" spans="1:8" x14ac:dyDescent="0.2">
      <c r="A2313" s="17"/>
      <c r="B2313" s="17"/>
      <c r="C2313" s="18"/>
      <c r="D2313" s="18"/>
      <c r="E2313" s="18"/>
      <c r="F2313" s="18"/>
      <c r="G2313" s="18"/>
      <c r="H2313" s="18"/>
    </row>
    <row r="2314" spans="1:8" x14ac:dyDescent="0.2">
      <c r="A2314" s="17"/>
      <c r="B2314" s="17"/>
      <c r="C2314" s="18"/>
      <c r="D2314" s="18"/>
      <c r="E2314" s="18"/>
      <c r="F2314" s="18"/>
      <c r="G2314" s="18"/>
      <c r="H2314" s="18"/>
    </row>
    <row r="2315" spans="1:8" x14ac:dyDescent="0.2">
      <c r="A2315" s="17"/>
      <c r="B2315" s="17"/>
      <c r="C2315" s="18"/>
      <c r="D2315" s="18"/>
      <c r="E2315" s="18"/>
      <c r="F2315" s="18"/>
      <c r="G2315" s="18"/>
      <c r="H2315" s="18"/>
    </row>
    <row r="2316" spans="1:8" x14ac:dyDescent="0.2">
      <c r="A2316" s="17"/>
      <c r="B2316" s="17"/>
      <c r="C2316" s="18"/>
      <c r="D2316" s="18"/>
      <c r="E2316" s="18"/>
      <c r="F2316" s="18"/>
      <c r="G2316" s="18"/>
      <c r="H2316" s="18"/>
    </row>
    <row r="2317" spans="1:8" x14ac:dyDescent="0.2">
      <c r="A2317" s="17"/>
      <c r="B2317" s="17"/>
      <c r="C2317" s="18"/>
      <c r="D2317" s="18"/>
      <c r="E2317" s="18"/>
      <c r="F2317" s="18"/>
      <c r="G2317" s="18"/>
      <c r="H2317" s="18"/>
    </row>
    <row r="2318" spans="1:8" x14ac:dyDescent="0.2">
      <c r="A2318" s="17"/>
      <c r="B2318" s="17"/>
      <c r="C2318" s="18"/>
      <c r="D2318" s="18"/>
      <c r="E2318" s="18"/>
      <c r="F2318" s="18"/>
      <c r="G2318" s="18"/>
      <c r="H2318" s="18"/>
    </row>
    <row r="2319" spans="1:8" x14ac:dyDescent="0.2">
      <c r="A2319" s="17"/>
      <c r="B2319" s="17"/>
      <c r="C2319" s="18"/>
      <c r="D2319" s="18"/>
      <c r="E2319" s="18"/>
      <c r="F2319" s="18"/>
      <c r="G2319" s="18"/>
      <c r="H2319" s="18"/>
    </row>
    <row r="2320" spans="1:8" x14ac:dyDescent="0.2">
      <c r="A2320" s="17"/>
      <c r="B2320" s="17"/>
      <c r="C2320" s="18"/>
      <c r="D2320" s="18"/>
      <c r="E2320" s="18"/>
      <c r="F2320" s="18"/>
      <c r="G2320" s="18"/>
      <c r="H2320" s="18"/>
    </row>
    <row r="2321" spans="1:8" x14ac:dyDescent="0.2">
      <c r="A2321" s="17"/>
      <c r="B2321" s="17"/>
      <c r="C2321" s="18"/>
      <c r="D2321" s="18"/>
      <c r="E2321" s="18"/>
      <c r="F2321" s="18"/>
      <c r="G2321" s="18"/>
      <c r="H2321" s="18"/>
    </row>
    <row r="2322" spans="1:8" x14ac:dyDescent="0.2">
      <c r="A2322" s="17"/>
      <c r="B2322" s="17"/>
      <c r="C2322" s="18"/>
      <c r="D2322" s="18"/>
      <c r="E2322" s="18"/>
      <c r="F2322" s="18"/>
      <c r="G2322" s="18"/>
      <c r="H2322" s="18"/>
    </row>
    <row r="2323" spans="1:8" x14ac:dyDescent="0.2">
      <c r="A2323" s="17"/>
      <c r="B2323" s="17"/>
      <c r="C2323" s="18"/>
      <c r="D2323" s="18"/>
      <c r="E2323" s="18"/>
      <c r="F2323" s="18"/>
      <c r="G2323" s="18"/>
      <c r="H2323" s="18"/>
    </row>
    <row r="2324" spans="1:8" x14ac:dyDescent="0.2">
      <c r="A2324" s="17"/>
      <c r="B2324" s="17"/>
      <c r="C2324" s="18"/>
      <c r="D2324" s="18"/>
      <c r="E2324" s="18"/>
      <c r="F2324" s="18"/>
      <c r="G2324" s="18"/>
      <c r="H2324" s="18"/>
    </row>
    <row r="2325" spans="1:8" x14ac:dyDescent="0.2">
      <c r="A2325" s="17"/>
      <c r="B2325" s="17"/>
      <c r="C2325" s="18"/>
      <c r="D2325" s="18"/>
      <c r="E2325" s="18"/>
      <c r="F2325" s="18"/>
      <c r="G2325" s="18"/>
      <c r="H2325" s="18"/>
    </row>
    <row r="2326" spans="1:8" x14ac:dyDescent="0.2">
      <c r="A2326" s="17"/>
      <c r="B2326" s="17"/>
      <c r="C2326" s="18"/>
      <c r="D2326" s="18"/>
      <c r="E2326" s="18"/>
      <c r="F2326" s="18"/>
      <c r="G2326" s="18"/>
      <c r="H2326" s="18"/>
    </row>
    <row r="2327" spans="1:8" x14ac:dyDescent="0.2">
      <c r="A2327" s="17"/>
      <c r="B2327" s="17"/>
      <c r="C2327" s="18"/>
      <c r="D2327" s="18"/>
      <c r="E2327" s="18"/>
      <c r="F2327" s="18"/>
      <c r="G2327" s="18"/>
      <c r="H2327" s="18"/>
    </row>
    <row r="2328" spans="1:8" x14ac:dyDescent="0.2">
      <c r="A2328" s="17"/>
      <c r="B2328" s="17"/>
      <c r="C2328" s="18"/>
      <c r="D2328" s="18"/>
      <c r="E2328" s="18"/>
      <c r="F2328" s="18"/>
      <c r="G2328" s="18"/>
      <c r="H2328" s="18"/>
    </row>
    <row r="2329" spans="1:8" x14ac:dyDescent="0.2">
      <c r="A2329" s="17"/>
      <c r="B2329" s="17"/>
      <c r="C2329" s="18"/>
      <c r="D2329" s="18"/>
      <c r="E2329" s="18"/>
      <c r="F2329" s="18"/>
      <c r="G2329" s="18"/>
      <c r="H2329" s="18"/>
    </row>
    <row r="2330" spans="1:8" x14ac:dyDescent="0.2">
      <c r="A2330" s="17"/>
      <c r="B2330" s="17"/>
      <c r="C2330" s="18"/>
      <c r="D2330" s="18"/>
      <c r="E2330" s="18"/>
      <c r="F2330" s="18"/>
      <c r="G2330" s="18"/>
      <c r="H2330" s="18"/>
    </row>
    <row r="2331" spans="1:8" x14ac:dyDescent="0.2">
      <c r="A2331" s="17"/>
      <c r="B2331" s="17"/>
      <c r="C2331" s="18"/>
      <c r="D2331" s="18"/>
      <c r="E2331" s="18"/>
      <c r="F2331" s="18"/>
      <c r="G2331" s="18"/>
      <c r="H2331" s="18"/>
    </row>
    <row r="2332" spans="1:8" x14ac:dyDescent="0.2">
      <c r="A2332" s="17"/>
      <c r="B2332" s="17"/>
      <c r="C2332" s="18"/>
      <c r="D2332" s="18"/>
      <c r="E2332" s="18"/>
      <c r="F2332" s="18"/>
      <c r="G2332" s="18"/>
      <c r="H2332" s="18"/>
    </row>
    <row r="2333" spans="1:8" x14ac:dyDescent="0.2">
      <c r="A2333" s="17"/>
      <c r="B2333" s="17"/>
      <c r="C2333" s="18"/>
      <c r="D2333" s="18"/>
      <c r="E2333" s="18"/>
      <c r="F2333" s="18"/>
      <c r="G2333" s="18"/>
      <c r="H2333" s="18"/>
    </row>
    <row r="2334" spans="1:8" x14ac:dyDescent="0.2">
      <c r="A2334" s="17"/>
      <c r="B2334" s="17"/>
      <c r="C2334" s="18"/>
      <c r="D2334" s="18"/>
      <c r="E2334" s="18"/>
      <c r="F2334" s="18"/>
      <c r="G2334" s="18"/>
      <c r="H2334" s="18"/>
    </row>
    <row r="2335" spans="1:8" x14ac:dyDescent="0.2">
      <c r="A2335" s="17"/>
      <c r="B2335" s="17"/>
      <c r="C2335" s="18"/>
      <c r="D2335" s="18"/>
      <c r="E2335" s="18"/>
      <c r="F2335" s="18"/>
      <c r="G2335" s="18"/>
      <c r="H2335" s="18"/>
    </row>
    <row r="2336" spans="1:8" x14ac:dyDescent="0.2">
      <c r="A2336" s="17"/>
      <c r="B2336" s="17"/>
      <c r="C2336" s="18"/>
      <c r="D2336" s="18"/>
      <c r="E2336" s="18"/>
      <c r="F2336" s="18"/>
      <c r="G2336" s="18"/>
      <c r="H2336" s="18"/>
    </row>
    <row r="2337" spans="1:8" x14ac:dyDescent="0.2">
      <c r="A2337" s="17"/>
      <c r="B2337" s="17"/>
      <c r="C2337" s="18"/>
      <c r="D2337" s="18"/>
      <c r="E2337" s="18"/>
      <c r="F2337" s="18"/>
      <c r="G2337" s="18"/>
      <c r="H2337" s="18"/>
    </row>
    <row r="2338" spans="1:8" x14ac:dyDescent="0.2">
      <c r="A2338" s="17"/>
      <c r="B2338" s="17"/>
      <c r="C2338" s="18"/>
      <c r="D2338" s="18"/>
      <c r="E2338" s="18"/>
      <c r="F2338" s="18"/>
      <c r="G2338" s="18"/>
      <c r="H2338" s="18"/>
    </row>
    <row r="2339" spans="1:8" x14ac:dyDescent="0.2">
      <c r="A2339" s="17"/>
      <c r="B2339" s="17"/>
      <c r="C2339" s="18"/>
      <c r="D2339" s="18"/>
      <c r="E2339" s="18"/>
      <c r="F2339" s="18"/>
      <c r="G2339" s="18"/>
      <c r="H2339" s="18"/>
    </row>
    <row r="2340" spans="1:8" x14ac:dyDescent="0.2">
      <c r="A2340" s="17"/>
      <c r="B2340" s="17"/>
      <c r="C2340" s="18"/>
      <c r="D2340" s="18"/>
      <c r="E2340" s="18"/>
      <c r="F2340" s="18"/>
      <c r="G2340" s="18"/>
      <c r="H2340" s="18"/>
    </row>
    <row r="2341" spans="1:8" x14ac:dyDescent="0.2">
      <c r="A2341" s="17"/>
      <c r="B2341" s="17"/>
      <c r="C2341" s="18"/>
      <c r="D2341" s="18"/>
      <c r="E2341" s="18"/>
      <c r="F2341" s="18"/>
      <c r="G2341" s="18"/>
      <c r="H2341" s="18"/>
    </row>
    <row r="2342" spans="1:8" x14ac:dyDescent="0.2">
      <c r="A2342" s="17"/>
      <c r="B2342" s="17"/>
      <c r="C2342" s="18"/>
      <c r="D2342" s="18"/>
      <c r="E2342" s="18"/>
      <c r="F2342" s="18"/>
      <c r="G2342" s="18"/>
      <c r="H2342" s="18"/>
    </row>
    <row r="2343" spans="1:8" x14ac:dyDescent="0.2">
      <c r="A2343" s="17"/>
      <c r="B2343" s="17"/>
      <c r="C2343" s="18"/>
      <c r="D2343" s="18"/>
      <c r="E2343" s="18"/>
      <c r="F2343" s="18"/>
      <c r="G2343" s="18"/>
      <c r="H2343" s="18"/>
    </row>
    <row r="2344" spans="1:8" x14ac:dyDescent="0.2">
      <c r="A2344" s="17"/>
      <c r="B2344" s="17"/>
      <c r="C2344" s="18"/>
      <c r="D2344" s="18"/>
      <c r="E2344" s="18"/>
      <c r="F2344" s="18"/>
      <c r="G2344" s="18"/>
      <c r="H2344" s="18"/>
    </row>
    <row r="2345" spans="1:8" x14ac:dyDescent="0.2">
      <c r="A2345" s="17"/>
      <c r="B2345" s="17"/>
      <c r="C2345" s="18"/>
      <c r="D2345" s="18"/>
      <c r="E2345" s="18"/>
      <c r="F2345" s="18"/>
      <c r="G2345" s="18"/>
      <c r="H2345" s="18"/>
    </row>
    <row r="2346" spans="1:8" x14ac:dyDescent="0.2">
      <c r="A2346" s="17"/>
      <c r="B2346" s="17"/>
      <c r="C2346" s="18"/>
      <c r="D2346" s="18"/>
      <c r="E2346" s="18"/>
      <c r="F2346" s="18"/>
      <c r="G2346" s="18"/>
      <c r="H2346" s="18"/>
    </row>
    <row r="2347" spans="1:8" x14ac:dyDescent="0.2">
      <c r="A2347" s="17"/>
      <c r="B2347" s="17"/>
      <c r="C2347" s="18"/>
      <c r="D2347" s="18"/>
      <c r="E2347" s="18"/>
      <c r="F2347" s="18"/>
      <c r="G2347" s="18"/>
      <c r="H2347" s="18"/>
    </row>
    <row r="2348" spans="1:8" x14ac:dyDescent="0.2">
      <c r="A2348" s="17"/>
      <c r="B2348" s="17"/>
      <c r="C2348" s="18"/>
      <c r="D2348" s="18"/>
      <c r="E2348" s="18"/>
      <c r="F2348" s="18"/>
      <c r="G2348" s="18"/>
      <c r="H2348" s="18"/>
    </row>
    <row r="2349" spans="1:8" x14ac:dyDescent="0.2">
      <c r="A2349" s="17"/>
      <c r="B2349" s="17"/>
      <c r="C2349" s="18"/>
      <c r="D2349" s="18"/>
      <c r="E2349" s="18"/>
      <c r="F2349" s="18"/>
      <c r="G2349" s="18"/>
      <c r="H2349" s="18"/>
    </row>
    <row r="2350" spans="1:8" x14ac:dyDescent="0.2">
      <c r="A2350" s="17"/>
      <c r="B2350" s="17"/>
      <c r="C2350" s="18"/>
      <c r="D2350" s="18"/>
      <c r="E2350" s="18"/>
      <c r="F2350" s="18"/>
      <c r="G2350" s="18"/>
      <c r="H2350" s="18"/>
    </row>
    <row r="2351" spans="1:8" x14ac:dyDescent="0.2">
      <c r="A2351" s="17"/>
      <c r="B2351" s="17"/>
      <c r="C2351" s="18"/>
      <c r="D2351" s="18"/>
      <c r="E2351" s="18"/>
      <c r="F2351" s="18"/>
      <c r="G2351" s="18"/>
      <c r="H2351" s="18"/>
    </row>
    <row r="2352" spans="1:8" x14ac:dyDescent="0.2">
      <c r="A2352" s="17"/>
      <c r="B2352" s="17"/>
      <c r="C2352" s="18"/>
      <c r="D2352" s="18"/>
      <c r="E2352" s="18"/>
      <c r="F2352" s="18"/>
      <c r="G2352" s="18"/>
      <c r="H2352" s="18"/>
    </row>
    <row r="2353" spans="1:8" x14ac:dyDescent="0.2">
      <c r="A2353" s="17"/>
      <c r="B2353" s="17"/>
      <c r="C2353" s="18"/>
      <c r="D2353" s="18"/>
      <c r="E2353" s="18"/>
      <c r="F2353" s="18"/>
      <c r="G2353" s="18"/>
      <c r="H2353" s="18"/>
    </row>
    <row r="2354" spans="1:8" x14ac:dyDescent="0.2">
      <c r="A2354" s="17"/>
      <c r="B2354" s="17"/>
      <c r="C2354" s="18"/>
      <c r="D2354" s="18"/>
      <c r="E2354" s="18"/>
      <c r="F2354" s="18"/>
      <c r="G2354" s="18"/>
      <c r="H2354" s="18"/>
    </row>
    <row r="2355" spans="1:8" x14ac:dyDescent="0.2">
      <c r="A2355" s="17"/>
      <c r="B2355" s="17"/>
      <c r="C2355" s="18"/>
      <c r="D2355" s="18"/>
      <c r="E2355" s="18"/>
      <c r="F2355" s="18"/>
      <c r="G2355" s="18"/>
      <c r="H2355" s="18"/>
    </row>
    <row r="2356" spans="1:8" x14ac:dyDescent="0.2">
      <c r="A2356" s="17"/>
      <c r="B2356" s="17"/>
      <c r="C2356" s="18"/>
      <c r="D2356" s="18"/>
      <c r="E2356" s="18"/>
      <c r="F2356" s="18"/>
      <c r="G2356" s="18"/>
      <c r="H2356" s="18"/>
    </row>
    <row r="2357" spans="1:8" x14ac:dyDescent="0.2">
      <c r="A2357" s="17"/>
      <c r="B2357" s="17"/>
      <c r="C2357" s="18"/>
      <c r="D2357" s="18"/>
      <c r="E2357" s="18"/>
      <c r="F2357" s="18"/>
      <c r="G2357" s="18"/>
      <c r="H2357" s="18"/>
    </row>
    <row r="2358" spans="1:8" x14ac:dyDescent="0.2">
      <c r="A2358" s="17"/>
      <c r="B2358" s="17"/>
      <c r="C2358" s="18"/>
      <c r="D2358" s="18"/>
      <c r="E2358" s="18"/>
      <c r="F2358" s="18"/>
      <c r="G2358" s="18"/>
      <c r="H2358" s="18"/>
    </row>
    <row r="2359" spans="1:8" x14ac:dyDescent="0.2">
      <c r="A2359" s="17"/>
      <c r="B2359" s="17"/>
      <c r="C2359" s="18"/>
      <c r="D2359" s="18"/>
      <c r="E2359" s="18"/>
      <c r="F2359" s="18"/>
      <c r="G2359" s="18"/>
      <c r="H2359" s="18"/>
    </row>
    <row r="2360" spans="1:8" x14ac:dyDescent="0.2">
      <c r="A2360" s="17"/>
      <c r="B2360" s="17"/>
      <c r="C2360" s="18"/>
      <c r="D2360" s="18"/>
      <c r="E2360" s="18"/>
      <c r="F2360" s="18"/>
      <c r="G2360" s="18"/>
      <c r="H2360" s="18"/>
    </row>
    <row r="2361" spans="1:8" x14ac:dyDescent="0.2">
      <c r="A2361" s="17"/>
      <c r="B2361" s="17"/>
      <c r="C2361" s="18"/>
      <c r="D2361" s="18"/>
      <c r="E2361" s="18"/>
      <c r="F2361" s="18"/>
      <c r="G2361" s="18"/>
      <c r="H2361" s="18"/>
    </row>
    <row r="2362" spans="1:8" x14ac:dyDescent="0.2">
      <c r="A2362" s="17"/>
      <c r="B2362" s="17"/>
      <c r="C2362" s="18"/>
      <c r="D2362" s="18"/>
      <c r="E2362" s="18"/>
      <c r="F2362" s="18"/>
      <c r="G2362" s="18"/>
      <c r="H2362" s="18"/>
    </row>
    <row r="2363" spans="1:8" x14ac:dyDescent="0.2">
      <c r="A2363" s="17"/>
      <c r="B2363" s="17"/>
      <c r="C2363" s="18"/>
      <c r="D2363" s="18"/>
      <c r="E2363" s="18"/>
      <c r="F2363" s="18"/>
      <c r="G2363" s="18"/>
      <c r="H2363" s="18"/>
    </row>
    <row r="2364" spans="1:8" x14ac:dyDescent="0.2">
      <c r="A2364" s="17"/>
      <c r="B2364" s="17"/>
      <c r="C2364" s="18"/>
      <c r="D2364" s="18"/>
      <c r="E2364" s="18"/>
      <c r="F2364" s="18"/>
      <c r="G2364" s="18"/>
      <c r="H2364" s="18"/>
    </row>
    <row r="2365" spans="1:8" x14ac:dyDescent="0.2">
      <c r="A2365" s="17"/>
      <c r="B2365" s="17"/>
      <c r="C2365" s="18"/>
      <c r="D2365" s="18"/>
      <c r="E2365" s="18"/>
      <c r="F2365" s="18"/>
      <c r="G2365" s="18"/>
      <c r="H2365" s="18"/>
    </row>
    <row r="2366" spans="1:8" x14ac:dyDescent="0.2">
      <c r="A2366" s="17"/>
      <c r="B2366" s="17"/>
      <c r="C2366" s="18"/>
      <c r="D2366" s="18"/>
      <c r="E2366" s="18"/>
      <c r="F2366" s="18"/>
      <c r="G2366" s="18"/>
      <c r="H2366" s="18"/>
    </row>
    <row r="2367" spans="1:8" x14ac:dyDescent="0.2">
      <c r="A2367" s="17"/>
      <c r="B2367" s="17"/>
      <c r="C2367" s="18"/>
      <c r="D2367" s="18"/>
      <c r="E2367" s="18"/>
      <c r="F2367" s="18"/>
      <c r="G2367" s="18"/>
      <c r="H2367" s="18"/>
    </row>
    <row r="2368" spans="1:8" x14ac:dyDescent="0.2">
      <c r="A2368" s="17"/>
      <c r="B2368" s="17"/>
      <c r="C2368" s="18"/>
      <c r="D2368" s="18"/>
      <c r="E2368" s="18"/>
      <c r="F2368" s="18"/>
      <c r="G2368" s="18"/>
      <c r="H2368" s="18"/>
    </row>
    <row r="2369" spans="1:8" x14ac:dyDescent="0.2">
      <c r="A2369" s="17"/>
      <c r="B2369" s="17"/>
      <c r="C2369" s="18"/>
      <c r="D2369" s="18"/>
      <c r="E2369" s="18"/>
      <c r="F2369" s="18"/>
      <c r="G2369" s="18"/>
      <c r="H2369" s="18"/>
    </row>
    <row r="2370" spans="1:8" x14ac:dyDescent="0.2">
      <c r="A2370" s="17"/>
      <c r="B2370" s="17"/>
      <c r="C2370" s="18"/>
      <c r="D2370" s="18"/>
      <c r="E2370" s="18"/>
      <c r="F2370" s="18"/>
      <c r="G2370" s="18"/>
      <c r="H2370" s="18"/>
    </row>
    <row r="2371" spans="1:8" x14ac:dyDescent="0.2">
      <c r="A2371" s="17"/>
      <c r="B2371" s="17"/>
      <c r="C2371" s="18"/>
      <c r="D2371" s="18"/>
      <c r="E2371" s="18"/>
      <c r="F2371" s="18"/>
      <c r="G2371" s="18"/>
      <c r="H2371" s="18"/>
    </row>
    <row r="2372" spans="1:8" x14ac:dyDescent="0.2">
      <c r="A2372" s="17"/>
      <c r="B2372" s="17"/>
      <c r="C2372" s="18"/>
      <c r="D2372" s="18"/>
      <c r="E2372" s="18"/>
      <c r="F2372" s="18"/>
      <c r="G2372" s="18"/>
      <c r="H2372" s="18"/>
    </row>
    <row r="2373" spans="1:8" x14ac:dyDescent="0.2">
      <c r="A2373" s="17"/>
      <c r="B2373" s="17"/>
      <c r="C2373" s="18"/>
      <c r="D2373" s="18"/>
      <c r="E2373" s="18"/>
      <c r="F2373" s="18"/>
      <c r="G2373" s="18"/>
      <c r="H2373" s="18"/>
    </row>
    <row r="2374" spans="1:8" x14ac:dyDescent="0.2">
      <c r="A2374" s="17"/>
      <c r="B2374" s="17"/>
      <c r="C2374" s="18"/>
      <c r="D2374" s="18"/>
      <c r="E2374" s="18"/>
      <c r="F2374" s="18"/>
      <c r="G2374" s="18"/>
      <c r="H2374" s="18"/>
    </row>
    <row r="2375" spans="1:8" x14ac:dyDescent="0.2">
      <c r="A2375" s="17"/>
      <c r="B2375" s="17"/>
      <c r="C2375" s="18"/>
      <c r="D2375" s="18"/>
      <c r="E2375" s="18"/>
      <c r="F2375" s="18"/>
      <c r="G2375" s="18"/>
      <c r="H2375" s="18"/>
    </row>
    <row r="2376" spans="1:8" x14ac:dyDescent="0.2">
      <c r="A2376" s="17"/>
      <c r="B2376" s="17"/>
      <c r="C2376" s="18"/>
      <c r="D2376" s="18"/>
      <c r="E2376" s="18"/>
      <c r="F2376" s="18"/>
      <c r="G2376" s="18"/>
      <c r="H2376" s="18"/>
    </row>
    <row r="2377" spans="1:8" x14ac:dyDescent="0.2">
      <c r="A2377" s="17"/>
      <c r="B2377" s="17"/>
      <c r="C2377" s="18"/>
      <c r="D2377" s="18"/>
      <c r="E2377" s="18"/>
      <c r="F2377" s="18"/>
      <c r="G2377" s="18"/>
      <c r="H2377" s="18"/>
    </row>
    <row r="2378" spans="1:8" x14ac:dyDescent="0.2">
      <c r="A2378" s="17"/>
      <c r="B2378" s="17"/>
      <c r="C2378" s="18"/>
      <c r="D2378" s="18"/>
      <c r="E2378" s="18"/>
      <c r="F2378" s="18"/>
      <c r="G2378" s="18"/>
      <c r="H2378" s="18"/>
    </row>
    <row r="2379" spans="1:8" x14ac:dyDescent="0.2">
      <c r="A2379" s="17"/>
      <c r="B2379" s="17"/>
      <c r="C2379" s="18"/>
      <c r="D2379" s="18"/>
      <c r="E2379" s="18"/>
      <c r="F2379" s="18"/>
      <c r="G2379" s="18"/>
      <c r="H2379" s="18"/>
    </row>
    <row r="2380" spans="1:8" x14ac:dyDescent="0.2">
      <c r="A2380" s="17"/>
      <c r="B2380" s="17"/>
      <c r="C2380" s="18"/>
      <c r="D2380" s="18"/>
      <c r="E2380" s="18"/>
      <c r="F2380" s="18"/>
      <c r="G2380" s="18"/>
      <c r="H2380" s="18"/>
    </row>
    <row r="2381" spans="1:8" x14ac:dyDescent="0.2">
      <c r="A2381" s="17"/>
      <c r="B2381" s="17"/>
      <c r="C2381" s="18"/>
      <c r="D2381" s="18"/>
      <c r="E2381" s="18"/>
      <c r="F2381" s="18"/>
      <c r="G2381" s="18"/>
      <c r="H2381" s="18"/>
    </row>
    <row r="2382" spans="1:8" x14ac:dyDescent="0.2">
      <c r="A2382" s="17"/>
      <c r="B2382" s="17"/>
      <c r="C2382" s="18"/>
      <c r="D2382" s="18"/>
      <c r="E2382" s="18"/>
      <c r="F2382" s="18"/>
      <c r="G2382" s="18"/>
      <c r="H2382" s="18"/>
    </row>
    <row r="2383" spans="1:8" x14ac:dyDescent="0.2">
      <c r="A2383" s="17"/>
      <c r="B2383" s="17"/>
      <c r="C2383" s="18"/>
      <c r="D2383" s="18"/>
      <c r="E2383" s="18"/>
      <c r="F2383" s="18"/>
      <c r="G2383" s="18"/>
      <c r="H2383" s="18"/>
    </row>
    <row r="2384" spans="1:8" x14ac:dyDescent="0.2">
      <c r="A2384" s="17"/>
      <c r="B2384" s="17"/>
      <c r="C2384" s="18"/>
      <c r="D2384" s="18"/>
      <c r="E2384" s="18"/>
      <c r="F2384" s="18"/>
      <c r="G2384" s="18"/>
      <c r="H2384" s="18"/>
    </row>
    <row r="2385" spans="1:8" x14ac:dyDescent="0.2">
      <c r="A2385" s="17"/>
      <c r="B2385" s="17"/>
      <c r="C2385" s="18"/>
      <c r="D2385" s="18"/>
      <c r="E2385" s="18"/>
      <c r="F2385" s="18"/>
      <c r="G2385" s="18"/>
      <c r="H2385" s="18"/>
    </row>
    <row r="2386" spans="1:8" x14ac:dyDescent="0.2">
      <c r="A2386" s="17"/>
      <c r="B2386" s="17"/>
      <c r="C2386" s="18"/>
      <c r="D2386" s="18"/>
      <c r="E2386" s="18"/>
      <c r="F2386" s="18"/>
      <c r="G2386" s="18"/>
      <c r="H2386" s="18"/>
    </row>
    <row r="2387" spans="1:8" x14ac:dyDescent="0.2">
      <c r="A2387" s="17"/>
      <c r="B2387" s="17"/>
      <c r="C2387" s="18"/>
      <c r="D2387" s="18"/>
      <c r="E2387" s="18"/>
      <c r="F2387" s="18"/>
      <c r="G2387" s="18"/>
      <c r="H2387" s="18"/>
    </row>
    <row r="2388" spans="1:8" x14ac:dyDescent="0.2">
      <c r="A2388" s="17"/>
      <c r="B2388" s="17"/>
      <c r="C2388" s="18"/>
      <c r="D2388" s="18"/>
      <c r="E2388" s="18"/>
      <c r="F2388" s="18"/>
      <c r="G2388" s="18"/>
      <c r="H2388" s="18"/>
    </row>
    <row r="2389" spans="1:8" x14ac:dyDescent="0.2">
      <c r="A2389" s="17"/>
      <c r="B2389" s="17"/>
      <c r="C2389" s="18"/>
      <c r="D2389" s="18"/>
      <c r="E2389" s="18"/>
      <c r="F2389" s="18"/>
      <c r="G2389" s="18"/>
      <c r="H2389" s="18"/>
    </row>
    <row r="2390" spans="1:8" x14ac:dyDescent="0.2">
      <c r="A2390" s="17"/>
      <c r="B2390" s="17"/>
      <c r="C2390" s="18"/>
      <c r="D2390" s="18"/>
      <c r="E2390" s="18"/>
      <c r="F2390" s="18"/>
      <c r="G2390" s="18"/>
      <c r="H2390" s="18"/>
    </row>
    <row r="2391" spans="1:8" x14ac:dyDescent="0.2">
      <c r="A2391" s="17"/>
      <c r="B2391" s="17"/>
      <c r="C2391" s="18"/>
      <c r="D2391" s="18"/>
      <c r="E2391" s="18"/>
      <c r="F2391" s="18"/>
      <c r="G2391" s="18"/>
      <c r="H2391" s="18"/>
    </row>
    <row r="2392" spans="1:8" x14ac:dyDescent="0.2">
      <c r="A2392" s="17"/>
      <c r="B2392" s="17"/>
      <c r="C2392" s="18"/>
      <c r="D2392" s="18"/>
      <c r="E2392" s="18"/>
      <c r="F2392" s="18"/>
      <c r="G2392" s="18"/>
      <c r="H2392" s="18"/>
    </row>
    <row r="2393" spans="1:8" x14ac:dyDescent="0.2">
      <c r="A2393" s="17"/>
      <c r="B2393" s="17"/>
      <c r="C2393" s="18"/>
      <c r="D2393" s="18"/>
      <c r="E2393" s="18"/>
      <c r="F2393" s="18"/>
      <c r="G2393" s="18"/>
      <c r="H2393" s="18"/>
    </row>
    <row r="2394" spans="1:8" x14ac:dyDescent="0.2">
      <c r="A2394" s="17"/>
      <c r="B2394" s="17"/>
      <c r="C2394" s="18"/>
      <c r="D2394" s="18"/>
      <c r="E2394" s="18"/>
      <c r="F2394" s="18"/>
      <c r="G2394" s="18"/>
      <c r="H2394" s="18"/>
    </row>
    <row r="2395" spans="1:8" x14ac:dyDescent="0.2">
      <c r="A2395" s="17"/>
      <c r="B2395" s="17"/>
      <c r="C2395" s="18"/>
      <c r="D2395" s="18"/>
      <c r="E2395" s="18"/>
      <c r="F2395" s="18"/>
      <c r="G2395" s="18"/>
      <c r="H2395" s="18"/>
    </row>
    <row r="2396" spans="1:8" x14ac:dyDescent="0.2">
      <c r="A2396" s="17"/>
      <c r="B2396" s="17"/>
      <c r="C2396" s="18"/>
      <c r="D2396" s="18"/>
      <c r="E2396" s="18"/>
      <c r="F2396" s="18"/>
      <c r="G2396" s="18"/>
      <c r="H2396" s="18"/>
    </row>
    <row r="2397" spans="1:8" x14ac:dyDescent="0.2">
      <c r="A2397" s="17"/>
      <c r="B2397" s="17"/>
      <c r="C2397" s="18"/>
      <c r="D2397" s="18"/>
      <c r="E2397" s="18"/>
      <c r="F2397" s="18"/>
      <c r="G2397" s="18"/>
      <c r="H2397" s="18"/>
    </row>
    <row r="2398" spans="1:8" x14ac:dyDescent="0.2">
      <c r="A2398" s="17"/>
      <c r="B2398" s="17"/>
      <c r="C2398" s="18"/>
      <c r="D2398" s="18"/>
      <c r="E2398" s="18"/>
      <c r="F2398" s="18"/>
      <c r="G2398" s="18"/>
      <c r="H2398" s="18"/>
    </row>
    <row r="2399" spans="1:8" x14ac:dyDescent="0.2">
      <c r="A2399" s="17"/>
      <c r="B2399" s="17"/>
      <c r="C2399" s="18"/>
      <c r="D2399" s="18"/>
      <c r="E2399" s="18"/>
      <c r="F2399" s="18"/>
      <c r="G2399" s="18"/>
      <c r="H2399" s="18"/>
    </row>
    <row r="2400" spans="1:8" x14ac:dyDescent="0.2">
      <c r="A2400" s="17"/>
      <c r="B2400" s="17"/>
      <c r="C2400" s="18"/>
      <c r="D2400" s="18"/>
      <c r="E2400" s="18"/>
      <c r="F2400" s="18"/>
      <c r="G2400" s="18"/>
      <c r="H2400" s="18"/>
    </row>
    <row r="2401" spans="1:8" x14ac:dyDescent="0.2">
      <c r="A2401" s="17"/>
      <c r="B2401" s="17"/>
      <c r="C2401" s="18"/>
      <c r="D2401" s="18"/>
      <c r="E2401" s="18"/>
      <c r="F2401" s="18"/>
      <c r="G2401" s="18"/>
      <c r="H2401" s="18"/>
    </row>
    <row r="2402" spans="1:8" x14ac:dyDescent="0.2">
      <c r="A2402" s="17"/>
      <c r="B2402" s="17"/>
      <c r="C2402" s="18"/>
      <c r="D2402" s="18"/>
      <c r="E2402" s="18"/>
      <c r="F2402" s="18"/>
      <c r="G2402" s="18"/>
      <c r="H2402" s="18"/>
    </row>
    <row r="2403" spans="1:8" x14ac:dyDescent="0.2">
      <c r="A2403" s="17"/>
      <c r="B2403" s="17"/>
      <c r="C2403" s="18"/>
      <c r="D2403" s="18"/>
      <c r="E2403" s="18"/>
      <c r="F2403" s="18"/>
      <c r="G2403" s="18"/>
      <c r="H2403" s="18"/>
    </row>
    <row r="2404" spans="1:8" x14ac:dyDescent="0.2">
      <c r="A2404" s="17"/>
      <c r="B2404" s="17"/>
      <c r="C2404" s="18"/>
      <c r="D2404" s="18"/>
      <c r="E2404" s="18"/>
      <c r="F2404" s="18"/>
      <c r="G2404" s="18"/>
      <c r="H2404" s="18"/>
    </row>
    <row r="2405" spans="1:8" x14ac:dyDescent="0.2">
      <c r="A2405" s="17"/>
      <c r="B2405" s="17"/>
      <c r="C2405" s="18"/>
      <c r="D2405" s="18"/>
      <c r="E2405" s="18"/>
      <c r="F2405" s="18"/>
      <c r="G2405" s="18"/>
      <c r="H2405" s="18"/>
    </row>
    <row r="2406" spans="1:8" x14ac:dyDescent="0.2">
      <c r="A2406" s="17"/>
      <c r="B2406" s="17"/>
      <c r="C2406" s="18"/>
      <c r="D2406" s="18"/>
      <c r="E2406" s="18"/>
      <c r="F2406" s="18"/>
      <c r="G2406" s="18"/>
      <c r="H2406" s="18"/>
    </row>
    <row r="2407" spans="1:8" x14ac:dyDescent="0.2">
      <c r="A2407" s="17"/>
      <c r="B2407" s="17"/>
      <c r="C2407" s="18"/>
      <c r="D2407" s="18"/>
      <c r="E2407" s="18"/>
      <c r="F2407" s="18"/>
      <c r="G2407" s="18"/>
      <c r="H2407" s="18"/>
    </row>
    <row r="2408" spans="1:8" x14ac:dyDescent="0.2">
      <c r="A2408" s="17"/>
      <c r="B2408" s="17"/>
      <c r="C2408" s="18"/>
      <c r="D2408" s="18"/>
      <c r="E2408" s="18"/>
      <c r="F2408" s="18"/>
      <c r="G2408" s="18"/>
      <c r="H2408" s="18"/>
    </row>
    <row r="2409" spans="1:8" x14ac:dyDescent="0.2">
      <c r="A2409" s="17"/>
      <c r="B2409" s="17"/>
      <c r="C2409" s="18"/>
      <c r="D2409" s="18"/>
      <c r="E2409" s="18"/>
      <c r="F2409" s="18"/>
      <c r="G2409" s="18"/>
      <c r="H2409" s="18"/>
    </row>
    <row r="2410" spans="1:8" x14ac:dyDescent="0.2">
      <c r="A2410" s="17"/>
      <c r="B2410" s="17"/>
      <c r="C2410" s="18"/>
      <c r="D2410" s="18"/>
      <c r="E2410" s="18"/>
      <c r="F2410" s="18"/>
      <c r="G2410" s="18"/>
      <c r="H2410" s="18"/>
    </row>
    <row r="2411" spans="1:8" x14ac:dyDescent="0.2">
      <c r="A2411" s="17"/>
      <c r="B2411" s="17"/>
      <c r="C2411" s="18"/>
      <c r="D2411" s="18"/>
      <c r="E2411" s="18"/>
      <c r="F2411" s="18"/>
      <c r="G2411" s="18"/>
      <c r="H2411" s="18"/>
    </row>
    <row r="2412" spans="1:8" x14ac:dyDescent="0.2">
      <c r="A2412" s="17"/>
      <c r="B2412" s="17"/>
      <c r="C2412" s="18"/>
      <c r="D2412" s="18"/>
      <c r="E2412" s="18"/>
      <c r="F2412" s="18"/>
      <c r="G2412" s="18"/>
      <c r="H2412" s="18"/>
    </row>
    <row r="2413" spans="1:8" x14ac:dyDescent="0.2">
      <c r="A2413" s="17"/>
      <c r="B2413" s="17"/>
      <c r="C2413" s="18"/>
      <c r="D2413" s="18"/>
      <c r="E2413" s="18"/>
      <c r="F2413" s="18"/>
      <c r="G2413" s="18"/>
      <c r="H2413" s="18"/>
    </row>
    <row r="2414" spans="1:8" x14ac:dyDescent="0.2">
      <c r="A2414" s="17"/>
      <c r="B2414" s="17"/>
      <c r="C2414" s="18"/>
      <c r="D2414" s="18"/>
      <c r="E2414" s="18"/>
      <c r="F2414" s="18"/>
      <c r="G2414" s="18"/>
      <c r="H2414" s="18"/>
    </row>
    <row r="2415" spans="1:8" x14ac:dyDescent="0.2">
      <c r="A2415" s="17"/>
      <c r="B2415" s="17"/>
      <c r="C2415" s="18"/>
      <c r="D2415" s="18"/>
      <c r="E2415" s="18"/>
      <c r="F2415" s="18"/>
      <c r="G2415" s="18"/>
      <c r="H2415" s="18"/>
    </row>
    <row r="2416" spans="1:8" x14ac:dyDescent="0.2">
      <c r="A2416" s="17"/>
      <c r="B2416" s="17"/>
      <c r="C2416" s="18"/>
      <c r="D2416" s="18"/>
      <c r="E2416" s="18"/>
      <c r="F2416" s="18"/>
      <c r="G2416" s="18"/>
      <c r="H2416" s="18"/>
    </row>
    <row r="2417" spans="1:8" x14ac:dyDescent="0.2">
      <c r="A2417" s="17"/>
      <c r="B2417" s="17"/>
      <c r="C2417" s="18"/>
      <c r="D2417" s="18"/>
      <c r="E2417" s="18"/>
      <c r="F2417" s="18"/>
      <c r="G2417" s="18"/>
      <c r="H2417" s="18"/>
    </row>
    <row r="2418" spans="1:8" x14ac:dyDescent="0.2">
      <c r="A2418" s="17"/>
      <c r="B2418" s="17"/>
      <c r="C2418" s="18"/>
      <c r="D2418" s="18"/>
      <c r="E2418" s="18"/>
      <c r="F2418" s="18"/>
      <c r="G2418" s="18"/>
      <c r="H2418" s="18"/>
    </row>
    <row r="2419" spans="1:8" x14ac:dyDescent="0.2">
      <c r="A2419" s="17"/>
      <c r="B2419" s="17"/>
      <c r="C2419" s="18"/>
      <c r="D2419" s="18"/>
      <c r="E2419" s="18"/>
      <c r="F2419" s="18"/>
      <c r="G2419" s="18"/>
      <c r="H2419" s="18"/>
    </row>
    <row r="2420" spans="1:8" x14ac:dyDescent="0.2">
      <c r="A2420" s="17"/>
      <c r="B2420" s="17"/>
      <c r="C2420" s="18"/>
      <c r="D2420" s="18"/>
      <c r="E2420" s="18"/>
      <c r="F2420" s="18"/>
      <c r="G2420" s="18"/>
      <c r="H2420" s="18"/>
    </row>
    <row r="2421" spans="1:8" x14ac:dyDescent="0.2">
      <c r="A2421" s="17"/>
      <c r="B2421" s="17"/>
      <c r="C2421" s="18"/>
      <c r="D2421" s="18"/>
      <c r="E2421" s="18"/>
      <c r="F2421" s="18"/>
      <c r="G2421" s="18"/>
      <c r="H2421" s="18"/>
    </row>
    <row r="2422" spans="1:8" x14ac:dyDescent="0.2">
      <c r="A2422" s="17"/>
      <c r="B2422" s="17"/>
      <c r="C2422" s="18"/>
      <c r="D2422" s="18"/>
      <c r="E2422" s="18"/>
      <c r="F2422" s="18"/>
      <c r="G2422" s="18"/>
      <c r="H2422" s="18"/>
    </row>
    <row r="2423" spans="1:8" x14ac:dyDescent="0.2">
      <c r="A2423" s="17"/>
      <c r="B2423" s="17"/>
      <c r="C2423" s="18"/>
      <c r="D2423" s="18"/>
      <c r="E2423" s="18"/>
      <c r="F2423" s="18"/>
      <c r="G2423" s="18"/>
      <c r="H2423" s="18"/>
    </row>
    <row r="2424" spans="1:8" x14ac:dyDescent="0.2">
      <c r="A2424" s="17"/>
      <c r="B2424" s="17"/>
      <c r="C2424" s="18"/>
      <c r="D2424" s="18"/>
      <c r="E2424" s="18"/>
      <c r="F2424" s="18"/>
      <c r="G2424" s="18"/>
      <c r="H2424" s="18"/>
    </row>
    <row r="2425" spans="1:8" x14ac:dyDescent="0.2">
      <c r="A2425" s="17"/>
      <c r="B2425" s="17"/>
      <c r="C2425" s="18"/>
      <c r="D2425" s="18"/>
      <c r="E2425" s="18"/>
      <c r="F2425" s="18"/>
      <c r="G2425" s="18"/>
      <c r="H2425" s="18"/>
    </row>
    <row r="2426" spans="1:8" x14ac:dyDescent="0.2">
      <c r="A2426" s="17"/>
      <c r="B2426" s="17"/>
      <c r="C2426" s="18"/>
      <c r="D2426" s="18"/>
      <c r="E2426" s="18"/>
      <c r="F2426" s="18"/>
      <c r="G2426" s="18"/>
      <c r="H2426" s="18"/>
    </row>
    <row r="2427" spans="1:8" x14ac:dyDescent="0.2">
      <c r="A2427" s="17"/>
      <c r="B2427" s="17"/>
      <c r="C2427" s="18"/>
      <c r="D2427" s="18"/>
      <c r="E2427" s="18"/>
      <c r="F2427" s="18"/>
      <c r="G2427" s="18"/>
      <c r="H2427" s="18"/>
    </row>
    <row r="2428" spans="1:8" x14ac:dyDescent="0.2">
      <c r="A2428" s="17"/>
      <c r="B2428" s="17"/>
      <c r="C2428" s="18"/>
      <c r="D2428" s="18"/>
      <c r="E2428" s="18"/>
      <c r="F2428" s="18"/>
      <c r="G2428" s="18"/>
      <c r="H2428" s="18"/>
    </row>
    <row r="2429" spans="1:8" x14ac:dyDescent="0.2">
      <c r="A2429" s="17"/>
      <c r="B2429" s="17"/>
      <c r="C2429" s="18"/>
      <c r="D2429" s="18"/>
      <c r="E2429" s="18"/>
      <c r="F2429" s="18"/>
      <c r="G2429" s="18"/>
      <c r="H2429" s="18"/>
    </row>
    <row r="2430" spans="1:8" x14ac:dyDescent="0.2">
      <c r="A2430" s="17"/>
      <c r="B2430" s="17"/>
      <c r="C2430" s="18"/>
      <c r="D2430" s="18"/>
      <c r="E2430" s="18"/>
      <c r="F2430" s="18"/>
      <c r="G2430" s="18"/>
      <c r="H2430" s="18"/>
    </row>
    <row r="2431" spans="1:8" x14ac:dyDescent="0.2">
      <c r="A2431" s="17"/>
      <c r="B2431" s="17"/>
      <c r="C2431" s="18"/>
      <c r="D2431" s="18"/>
      <c r="E2431" s="18"/>
      <c r="F2431" s="18"/>
      <c r="G2431" s="18"/>
      <c r="H2431" s="18"/>
    </row>
    <row r="2432" spans="1:8" x14ac:dyDescent="0.2">
      <c r="A2432" s="17"/>
      <c r="B2432" s="17"/>
      <c r="C2432" s="18"/>
      <c r="D2432" s="18"/>
      <c r="E2432" s="18"/>
      <c r="F2432" s="18"/>
      <c r="G2432" s="18"/>
      <c r="H2432" s="18"/>
    </row>
    <row r="2433" spans="1:8" x14ac:dyDescent="0.2">
      <c r="A2433" s="17"/>
      <c r="B2433" s="17"/>
      <c r="C2433" s="18"/>
      <c r="D2433" s="18"/>
      <c r="E2433" s="18"/>
      <c r="F2433" s="18"/>
      <c r="G2433" s="18"/>
      <c r="H2433" s="18"/>
    </row>
    <row r="2434" spans="1:8" x14ac:dyDescent="0.2">
      <c r="A2434" s="17"/>
      <c r="B2434" s="17"/>
      <c r="C2434" s="18"/>
      <c r="D2434" s="18"/>
      <c r="E2434" s="18"/>
      <c r="F2434" s="18"/>
      <c r="G2434" s="18"/>
      <c r="H2434" s="18"/>
    </row>
    <row r="2435" spans="1:8" x14ac:dyDescent="0.2">
      <c r="A2435" s="17"/>
      <c r="B2435" s="17"/>
      <c r="C2435" s="18"/>
      <c r="D2435" s="18"/>
      <c r="E2435" s="18"/>
      <c r="F2435" s="18"/>
      <c r="G2435" s="18"/>
      <c r="H2435" s="18"/>
    </row>
    <row r="2436" spans="1:8" x14ac:dyDescent="0.2">
      <c r="A2436" s="17"/>
      <c r="B2436" s="17"/>
      <c r="C2436" s="18"/>
      <c r="D2436" s="18"/>
      <c r="E2436" s="18"/>
      <c r="F2436" s="18"/>
      <c r="G2436" s="18"/>
      <c r="H2436" s="18"/>
    </row>
    <row r="2437" spans="1:8" x14ac:dyDescent="0.2">
      <c r="A2437" s="17"/>
      <c r="B2437" s="17"/>
      <c r="C2437" s="18"/>
      <c r="D2437" s="18"/>
      <c r="E2437" s="18"/>
      <c r="F2437" s="18"/>
      <c r="G2437" s="18"/>
      <c r="H2437" s="18"/>
    </row>
    <row r="2438" spans="1:8" x14ac:dyDescent="0.2">
      <c r="A2438" s="17"/>
      <c r="B2438" s="17"/>
      <c r="C2438" s="18"/>
      <c r="D2438" s="18"/>
      <c r="E2438" s="18"/>
      <c r="F2438" s="18"/>
      <c r="G2438" s="18"/>
      <c r="H2438" s="18"/>
    </row>
    <row r="2439" spans="1:8" x14ac:dyDescent="0.2">
      <c r="A2439" s="17"/>
      <c r="B2439" s="17"/>
      <c r="C2439" s="18"/>
      <c r="D2439" s="18"/>
      <c r="E2439" s="18"/>
      <c r="F2439" s="18"/>
      <c r="G2439" s="18"/>
      <c r="H2439" s="18"/>
    </row>
    <row r="2440" spans="1:8" x14ac:dyDescent="0.2">
      <c r="A2440" s="17"/>
      <c r="B2440" s="17"/>
      <c r="C2440" s="18"/>
      <c r="D2440" s="18"/>
      <c r="E2440" s="18"/>
      <c r="F2440" s="18"/>
      <c r="G2440" s="18"/>
      <c r="H2440" s="18"/>
    </row>
    <row r="2441" spans="1:8" x14ac:dyDescent="0.2">
      <c r="A2441" s="17"/>
      <c r="B2441" s="17"/>
      <c r="C2441" s="18"/>
      <c r="D2441" s="18"/>
      <c r="E2441" s="18"/>
      <c r="F2441" s="18"/>
      <c r="G2441" s="18"/>
      <c r="H2441" s="18"/>
    </row>
    <row r="2442" spans="1:8" x14ac:dyDescent="0.2">
      <c r="A2442" s="17"/>
      <c r="B2442" s="17"/>
      <c r="C2442" s="18"/>
      <c r="D2442" s="18"/>
      <c r="E2442" s="18"/>
      <c r="F2442" s="18"/>
      <c r="G2442" s="18"/>
      <c r="H2442" s="18"/>
    </row>
    <row r="2443" spans="1:8" x14ac:dyDescent="0.2">
      <c r="A2443" s="17"/>
      <c r="B2443" s="17"/>
      <c r="C2443" s="18"/>
      <c r="D2443" s="18"/>
      <c r="E2443" s="18"/>
      <c r="F2443" s="18"/>
      <c r="G2443" s="18"/>
      <c r="H2443" s="18"/>
    </row>
    <row r="2444" spans="1:8" x14ac:dyDescent="0.2">
      <c r="A2444" s="17"/>
      <c r="B2444" s="17"/>
      <c r="C2444" s="18"/>
      <c r="D2444" s="18"/>
      <c r="E2444" s="18"/>
      <c r="F2444" s="18"/>
      <c r="G2444" s="18"/>
      <c r="H2444" s="18"/>
    </row>
    <row r="2445" spans="1:8" x14ac:dyDescent="0.2">
      <c r="A2445" s="17"/>
      <c r="B2445" s="17"/>
      <c r="C2445" s="18"/>
      <c r="D2445" s="18"/>
      <c r="E2445" s="18"/>
      <c r="F2445" s="18"/>
      <c r="G2445" s="18"/>
      <c r="H2445" s="18"/>
    </row>
    <row r="2446" spans="1:8" x14ac:dyDescent="0.2">
      <c r="A2446" s="17"/>
      <c r="B2446" s="17"/>
      <c r="C2446" s="18"/>
      <c r="D2446" s="18"/>
      <c r="E2446" s="18"/>
      <c r="F2446" s="18"/>
      <c r="G2446" s="18"/>
      <c r="H2446" s="18"/>
    </row>
    <row r="2447" spans="1:8" x14ac:dyDescent="0.2">
      <c r="A2447" s="17"/>
      <c r="B2447" s="17"/>
      <c r="C2447" s="18"/>
      <c r="D2447" s="18"/>
      <c r="E2447" s="18"/>
      <c r="F2447" s="18"/>
      <c r="G2447" s="18"/>
      <c r="H2447" s="18"/>
    </row>
    <row r="2448" spans="1:8" x14ac:dyDescent="0.2">
      <c r="A2448" s="17"/>
      <c r="B2448" s="17"/>
      <c r="C2448" s="18"/>
      <c r="D2448" s="18"/>
      <c r="E2448" s="18"/>
      <c r="F2448" s="18"/>
      <c r="G2448" s="18"/>
      <c r="H2448" s="18"/>
    </row>
    <row r="2449" spans="1:8" x14ac:dyDescent="0.2">
      <c r="A2449" s="17"/>
      <c r="B2449" s="17"/>
      <c r="C2449" s="18"/>
      <c r="D2449" s="18"/>
      <c r="E2449" s="18"/>
      <c r="F2449" s="18"/>
      <c r="G2449" s="18"/>
      <c r="H2449" s="18"/>
    </row>
    <row r="2450" spans="1:8" x14ac:dyDescent="0.2">
      <c r="A2450" s="17"/>
      <c r="B2450" s="17"/>
      <c r="C2450" s="18"/>
      <c r="D2450" s="18"/>
      <c r="E2450" s="18"/>
      <c r="F2450" s="18"/>
      <c r="G2450" s="18"/>
      <c r="H2450" s="18"/>
    </row>
    <row r="2451" spans="1:8" x14ac:dyDescent="0.2">
      <c r="A2451" s="17"/>
      <c r="B2451" s="17"/>
      <c r="C2451" s="18"/>
      <c r="D2451" s="18"/>
      <c r="E2451" s="18"/>
      <c r="F2451" s="18"/>
      <c r="G2451" s="18"/>
      <c r="H2451" s="18"/>
    </row>
    <row r="2452" spans="1:8" x14ac:dyDescent="0.2">
      <c r="A2452" s="17"/>
      <c r="B2452" s="17"/>
      <c r="C2452" s="18"/>
      <c r="D2452" s="18"/>
      <c r="E2452" s="18"/>
      <c r="F2452" s="18"/>
      <c r="G2452" s="18"/>
      <c r="H2452" s="18"/>
    </row>
    <row r="2453" spans="1:8" x14ac:dyDescent="0.2">
      <c r="A2453" s="17"/>
      <c r="B2453" s="17"/>
      <c r="C2453" s="18"/>
      <c r="D2453" s="18"/>
      <c r="E2453" s="18"/>
      <c r="F2453" s="18"/>
      <c r="G2453" s="18"/>
      <c r="H2453" s="18"/>
    </row>
    <row r="2454" spans="1:8" x14ac:dyDescent="0.2">
      <c r="A2454" s="17"/>
      <c r="B2454" s="17"/>
      <c r="C2454" s="18"/>
      <c r="D2454" s="18"/>
      <c r="E2454" s="18"/>
      <c r="F2454" s="18"/>
      <c r="G2454" s="18"/>
      <c r="H2454" s="18"/>
    </row>
    <row r="2455" spans="1:8" x14ac:dyDescent="0.2">
      <c r="A2455" s="17"/>
      <c r="B2455" s="17"/>
      <c r="C2455" s="18"/>
      <c r="D2455" s="18"/>
      <c r="E2455" s="18"/>
      <c r="F2455" s="18"/>
      <c r="G2455" s="18"/>
      <c r="H2455" s="18"/>
    </row>
    <row r="2456" spans="1:8" x14ac:dyDescent="0.2">
      <c r="A2456" s="17"/>
      <c r="B2456" s="17"/>
      <c r="C2456" s="18"/>
      <c r="D2456" s="18"/>
      <c r="E2456" s="18"/>
      <c r="F2456" s="18"/>
      <c r="G2456" s="18"/>
      <c r="H2456" s="18"/>
    </row>
    <row r="2457" spans="1:8" x14ac:dyDescent="0.2">
      <c r="A2457" s="17"/>
      <c r="B2457" s="17"/>
      <c r="C2457" s="18"/>
      <c r="D2457" s="18"/>
      <c r="E2457" s="18"/>
      <c r="F2457" s="18"/>
      <c r="G2457" s="18"/>
      <c r="H2457" s="18"/>
    </row>
    <row r="2458" spans="1:8" x14ac:dyDescent="0.2">
      <c r="A2458" s="17"/>
      <c r="B2458" s="17"/>
      <c r="C2458" s="18"/>
      <c r="D2458" s="18"/>
      <c r="E2458" s="18"/>
      <c r="F2458" s="18"/>
      <c r="G2458" s="18"/>
      <c r="H2458" s="18"/>
    </row>
    <row r="2459" spans="1:8" x14ac:dyDescent="0.2">
      <c r="A2459" s="17"/>
      <c r="B2459" s="17"/>
      <c r="C2459" s="18"/>
      <c r="D2459" s="18"/>
      <c r="E2459" s="18"/>
      <c r="F2459" s="18"/>
      <c r="G2459" s="18"/>
      <c r="H2459" s="18"/>
    </row>
    <row r="2460" spans="1:8" x14ac:dyDescent="0.2">
      <c r="A2460" s="17"/>
      <c r="B2460" s="17"/>
      <c r="C2460" s="18"/>
      <c r="D2460" s="18"/>
      <c r="E2460" s="18"/>
      <c r="F2460" s="18"/>
      <c r="G2460" s="18"/>
      <c r="H2460" s="18"/>
    </row>
    <row r="2461" spans="1:8" x14ac:dyDescent="0.2">
      <c r="A2461" s="17"/>
      <c r="B2461" s="17"/>
      <c r="C2461" s="18"/>
      <c r="D2461" s="18"/>
      <c r="E2461" s="18"/>
      <c r="F2461" s="18"/>
      <c r="G2461" s="18"/>
      <c r="H2461" s="18"/>
    </row>
    <row r="2462" spans="1:8" x14ac:dyDescent="0.2">
      <c r="A2462" s="17"/>
      <c r="B2462" s="17"/>
      <c r="C2462" s="18"/>
      <c r="D2462" s="18"/>
      <c r="E2462" s="18"/>
      <c r="F2462" s="18"/>
      <c r="G2462" s="18"/>
      <c r="H2462" s="18"/>
    </row>
    <row r="2463" spans="1:8" x14ac:dyDescent="0.2">
      <c r="A2463" s="17"/>
      <c r="B2463" s="17"/>
      <c r="C2463" s="18"/>
      <c r="D2463" s="18"/>
      <c r="E2463" s="18"/>
      <c r="F2463" s="18"/>
      <c r="G2463" s="18"/>
      <c r="H2463" s="18"/>
    </row>
    <row r="2464" spans="1:8" x14ac:dyDescent="0.2">
      <c r="A2464" s="17"/>
      <c r="B2464" s="17"/>
      <c r="C2464" s="18"/>
      <c r="D2464" s="18"/>
      <c r="E2464" s="18"/>
      <c r="F2464" s="18"/>
      <c r="G2464" s="18"/>
      <c r="H2464" s="18"/>
    </row>
    <row r="2465" spans="1:8" x14ac:dyDescent="0.2">
      <c r="A2465" s="17"/>
      <c r="B2465" s="17"/>
      <c r="C2465" s="18"/>
      <c r="D2465" s="18"/>
      <c r="E2465" s="18"/>
      <c r="F2465" s="18"/>
      <c r="G2465" s="18"/>
      <c r="H2465" s="18"/>
    </row>
    <row r="2466" spans="1:8" x14ac:dyDescent="0.2">
      <c r="A2466" s="17"/>
      <c r="B2466" s="17"/>
      <c r="C2466" s="18"/>
      <c r="D2466" s="18"/>
      <c r="E2466" s="18"/>
      <c r="F2466" s="18"/>
      <c r="G2466" s="18"/>
      <c r="H2466" s="18"/>
    </row>
    <row r="2467" spans="1:8" x14ac:dyDescent="0.2">
      <c r="A2467" s="17"/>
      <c r="B2467" s="17"/>
      <c r="C2467" s="18"/>
      <c r="D2467" s="18"/>
      <c r="E2467" s="18"/>
      <c r="F2467" s="18"/>
      <c r="G2467" s="18"/>
      <c r="H2467" s="18"/>
    </row>
    <row r="2468" spans="1:8" x14ac:dyDescent="0.2">
      <c r="A2468" s="17"/>
      <c r="B2468" s="17"/>
      <c r="C2468" s="18"/>
      <c r="D2468" s="18"/>
      <c r="E2468" s="18"/>
      <c r="F2468" s="18"/>
      <c r="G2468" s="18"/>
      <c r="H2468" s="18"/>
    </row>
    <row r="2469" spans="1:8" x14ac:dyDescent="0.2">
      <c r="A2469" s="17"/>
      <c r="B2469" s="17"/>
      <c r="C2469" s="18"/>
      <c r="D2469" s="18"/>
      <c r="E2469" s="18"/>
      <c r="F2469" s="18"/>
      <c r="G2469" s="18"/>
      <c r="H2469" s="18"/>
    </row>
    <row r="2470" spans="1:8" x14ac:dyDescent="0.2">
      <c r="A2470" s="17"/>
      <c r="B2470" s="17"/>
      <c r="C2470" s="18"/>
      <c r="D2470" s="18"/>
      <c r="E2470" s="18"/>
      <c r="F2470" s="18"/>
      <c r="G2470" s="18"/>
      <c r="H2470" s="18"/>
    </row>
    <row r="2471" spans="1:8" x14ac:dyDescent="0.2">
      <c r="A2471" s="17"/>
      <c r="B2471" s="17"/>
      <c r="C2471" s="18"/>
      <c r="D2471" s="18"/>
      <c r="E2471" s="18"/>
      <c r="F2471" s="18"/>
      <c r="G2471" s="18"/>
      <c r="H2471" s="18"/>
    </row>
    <row r="2472" spans="1:8" x14ac:dyDescent="0.2">
      <c r="A2472" s="17"/>
      <c r="B2472" s="17"/>
      <c r="C2472" s="18"/>
      <c r="D2472" s="18"/>
      <c r="E2472" s="18"/>
      <c r="F2472" s="18"/>
      <c r="G2472" s="18"/>
      <c r="H2472" s="18"/>
    </row>
    <row r="2473" spans="1:8" x14ac:dyDescent="0.2">
      <c r="A2473" s="17"/>
      <c r="B2473" s="17"/>
      <c r="C2473" s="18"/>
      <c r="D2473" s="18"/>
      <c r="E2473" s="18"/>
      <c r="F2473" s="18"/>
      <c r="G2473" s="18"/>
      <c r="H2473" s="18"/>
    </row>
    <row r="2474" spans="1:8" x14ac:dyDescent="0.2">
      <c r="A2474" s="17"/>
      <c r="B2474" s="17"/>
      <c r="C2474" s="18"/>
      <c r="D2474" s="18"/>
      <c r="E2474" s="18"/>
      <c r="F2474" s="18"/>
      <c r="G2474" s="18"/>
      <c r="H2474" s="18"/>
    </row>
    <row r="2475" spans="1:8" x14ac:dyDescent="0.2">
      <c r="A2475" s="17"/>
      <c r="B2475" s="17"/>
      <c r="C2475" s="18"/>
      <c r="D2475" s="18"/>
      <c r="E2475" s="18"/>
      <c r="F2475" s="18"/>
      <c r="G2475" s="18"/>
      <c r="H2475" s="18"/>
    </row>
    <row r="2476" spans="1:8" x14ac:dyDescent="0.2">
      <c r="A2476" s="17"/>
      <c r="B2476" s="17"/>
      <c r="C2476" s="18"/>
      <c r="D2476" s="18"/>
      <c r="E2476" s="18"/>
      <c r="F2476" s="18"/>
      <c r="G2476" s="18"/>
      <c r="H2476" s="18"/>
    </row>
    <row r="2477" spans="1:8" x14ac:dyDescent="0.2">
      <c r="A2477" s="17"/>
      <c r="B2477" s="17"/>
      <c r="C2477" s="18"/>
      <c r="D2477" s="18"/>
      <c r="E2477" s="18"/>
      <c r="F2477" s="18"/>
      <c r="G2477" s="18"/>
      <c r="H2477" s="18"/>
    </row>
    <row r="2478" spans="1:8" x14ac:dyDescent="0.2">
      <c r="A2478" s="17"/>
      <c r="B2478" s="17"/>
      <c r="C2478" s="18"/>
      <c r="D2478" s="18"/>
      <c r="E2478" s="18"/>
      <c r="F2478" s="18"/>
      <c r="G2478" s="18"/>
      <c r="H2478" s="18"/>
    </row>
    <row r="2479" spans="1:8" x14ac:dyDescent="0.2">
      <c r="A2479" s="17"/>
      <c r="B2479" s="17"/>
      <c r="C2479" s="18"/>
      <c r="D2479" s="18"/>
      <c r="E2479" s="18"/>
      <c r="F2479" s="18"/>
      <c r="G2479" s="18"/>
      <c r="H2479" s="18"/>
    </row>
    <row r="2480" spans="1:8" x14ac:dyDescent="0.2">
      <c r="A2480" s="17"/>
      <c r="B2480" s="17"/>
      <c r="C2480" s="18"/>
      <c r="D2480" s="18"/>
      <c r="E2480" s="18"/>
      <c r="F2480" s="18"/>
      <c r="G2480" s="18"/>
      <c r="H2480" s="18"/>
    </row>
    <row r="2481" spans="1:8" x14ac:dyDescent="0.2">
      <c r="A2481" s="17"/>
      <c r="B2481" s="17"/>
      <c r="C2481" s="18"/>
      <c r="D2481" s="18"/>
      <c r="E2481" s="18"/>
      <c r="F2481" s="18"/>
      <c r="G2481" s="18"/>
      <c r="H2481" s="18"/>
    </row>
    <row r="2482" spans="1:8" x14ac:dyDescent="0.2">
      <c r="A2482" s="17"/>
      <c r="B2482" s="17"/>
      <c r="C2482" s="18"/>
      <c r="D2482" s="18"/>
      <c r="E2482" s="18"/>
      <c r="F2482" s="18"/>
      <c r="G2482" s="18"/>
      <c r="H2482" s="18"/>
    </row>
    <row r="2483" spans="1:8" x14ac:dyDescent="0.2">
      <c r="A2483" s="17"/>
      <c r="B2483" s="17"/>
      <c r="C2483" s="18"/>
      <c r="D2483" s="18"/>
      <c r="E2483" s="18"/>
      <c r="F2483" s="18"/>
      <c r="G2483" s="18"/>
      <c r="H2483" s="18"/>
    </row>
    <row r="2484" spans="1:8" x14ac:dyDescent="0.2">
      <c r="A2484" s="17"/>
      <c r="B2484" s="17"/>
      <c r="C2484" s="18"/>
      <c r="D2484" s="18"/>
      <c r="E2484" s="18"/>
      <c r="F2484" s="18"/>
      <c r="G2484" s="18"/>
      <c r="H2484" s="18"/>
    </row>
    <row r="2485" spans="1:8" x14ac:dyDescent="0.2">
      <c r="A2485" s="17"/>
      <c r="B2485" s="17"/>
      <c r="C2485" s="18"/>
      <c r="D2485" s="18"/>
      <c r="E2485" s="18"/>
      <c r="F2485" s="18"/>
      <c r="G2485" s="18"/>
      <c r="H2485" s="18"/>
    </row>
    <row r="2486" spans="1:8" x14ac:dyDescent="0.2">
      <c r="A2486" s="17"/>
      <c r="B2486" s="17"/>
      <c r="C2486" s="18"/>
      <c r="D2486" s="18"/>
      <c r="E2486" s="18"/>
      <c r="F2486" s="18"/>
      <c r="G2486" s="18"/>
      <c r="H2486" s="18"/>
    </row>
    <row r="2487" spans="1:8" x14ac:dyDescent="0.2">
      <c r="A2487" s="17"/>
      <c r="B2487" s="17"/>
      <c r="C2487" s="18"/>
      <c r="D2487" s="18"/>
      <c r="E2487" s="18"/>
      <c r="F2487" s="18"/>
      <c r="G2487" s="18"/>
      <c r="H2487" s="18"/>
    </row>
    <row r="2488" spans="1:8" x14ac:dyDescent="0.2">
      <c r="A2488" s="17"/>
      <c r="B2488" s="17"/>
      <c r="C2488" s="18"/>
      <c r="D2488" s="18"/>
      <c r="E2488" s="18"/>
      <c r="F2488" s="18"/>
      <c r="G2488" s="18"/>
      <c r="H2488" s="18"/>
    </row>
    <row r="2489" spans="1:8" x14ac:dyDescent="0.2">
      <c r="A2489" s="17"/>
      <c r="B2489" s="17"/>
      <c r="C2489" s="18"/>
      <c r="D2489" s="18"/>
      <c r="E2489" s="18"/>
      <c r="F2489" s="18"/>
      <c r="G2489" s="18"/>
      <c r="H2489" s="18"/>
    </row>
    <row r="2490" spans="1:8" x14ac:dyDescent="0.2">
      <c r="A2490" s="17"/>
      <c r="B2490" s="17"/>
      <c r="C2490" s="18"/>
      <c r="D2490" s="18"/>
      <c r="E2490" s="18"/>
      <c r="F2490" s="18"/>
      <c r="G2490" s="18"/>
      <c r="H2490" s="18"/>
    </row>
    <row r="2491" spans="1:8" x14ac:dyDescent="0.2">
      <c r="A2491" s="17"/>
      <c r="B2491" s="17"/>
      <c r="C2491" s="18"/>
      <c r="D2491" s="18"/>
      <c r="E2491" s="18"/>
      <c r="F2491" s="18"/>
      <c r="G2491" s="18"/>
      <c r="H2491" s="18"/>
    </row>
    <row r="2492" spans="1:8" x14ac:dyDescent="0.2">
      <c r="A2492" s="17"/>
      <c r="B2492" s="17"/>
      <c r="C2492" s="18"/>
      <c r="D2492" s="18"/>
      <c r="E2492" s="18"/>
      <c r="F2492" s="18"/>
      <c r="G2492" s="18"/>
      <c r="H2492" s="18"/>
    </row>
    <row r="2493" spans="1:8" x14ac:dyDescent="0.2">
      <c r="A2493" s="17"/>
      <c r="B2493" s="17"/>
      <c r="C2493" s="18"/>
      <c r="D2493" s="18"/>
      <c r="E2493" s="18"/>
      <c r="F2493" s="18"/>
      <c r="G2493" s="18"/>
      <c r="H2493" s="18"/>
    </row>
    <row r="2494" spans="1:8" x14ac:dyDescent="0.2">
      <c r="A2494" s="17"/>
      <c r="B2494" s="17"/>
      <c r="C2494" s="18"/>
      <c r="D2494" s="18"/>
      <c r="E2494" s="18"/>
      <c r="F2494" s="18"/>
      <c r="G2494" s="18"/>
      <c r="H2494" s="18"/>
    </row>
    <row r="2495" spans="1:8" x14ac:dyDescent="0.2">
      <c r="A2495" s="17"/>
      <c r="B2495" s="17"/>
      <c r="C2495" s="18"/>
      <c r="D2495" s="18"/>
      <c r="E2495" s="18"/>
      <c r="F2495" s="18"/>
      <c r="G2495" s="18"/>
      <c r="H2495" s="18"/>
    </row>
    <row r="2496" spans="1:8" x14ac:dyDescent="0.2">
      <c r="A2496" s="17"/>
      <c r="B2496" s="17"/>
      <c r="C2496" s="18"/>
      <c r="D2496" s="18"/>
      <c r="E2496" s="18"/>
      <c r="F2496" s="18"/>
      <c r="G2496" s="18"/>
      <c r="H2496" s="18"/>
    </row>
    <row r="2497" spans="1:8" x14ac:dyDescent="0.2">
      <c r="A2497" s="17"/>
      <c r="B2497" s="17"/>
      <c r="C2497" s="18"/>
      <c r="D2497" s="18"/>
      <c r="E2497" s="18"/>
      <c r="F2497" s="18"/>
      <c r="G2497" s="18"/>
      <c r="H2497" s="18"/>
    </row>
    <row r="2498" spans="1:8" x14ac:dyDescent="0.2">
      <c r="A2498" s="17"/>
      <c r="B2498" s="17"/>
      <c r="C2498" s="18"/>
      <c r="D2498" s="18"/>
      <c r="E2498" s="18"/>
      <c r="F2498" s="18"/>
      <c r="G2498" s="18"/>
      <c r="H2498" s="18"/>
    </row>
    <row r="2499" spans="1:8" x14ac:dyDescent="0.2">
      <c r="A2499" s="17"/>
      <c r="B2499" s="17"/>
      <c r="C2499" s="18"/>
      <c r="D2499" s="18"/>
      <c r="E2499" s="18"/>
      <c r="F2499" s="18"/>
      <c r="G2499" s="18"/>
      <c r="H2499" s="18"/>
    </row>
    <row r="2500" spans="1:8" x14ac:dyDescent="0.2">
      <c r="A2500" s="17"/>
      <c r="B2500" s="17"/>
      <c r="C2500" s="18"/>
      <c r="D2500" s="18"/>
      <c r="E2500" s="18"/>
      <c r="F2500" s="18"/>
      <c r="G2500" s="18"/>
      <c r="H2500" s="18"/>
    </row>
    <row r="2501" spans="1:8" x14ac:dyDescent="0.2">
      <c r="A2501" s="17"/>
      <c r="B2501" s="17"/>
      <c r="C2501" s="18"/>
      <c r="D2501" s="18"/>
      <c r="E2501" s="18"/>
      <c r="F2501" s="18"/>
      <c r="G2501" s="18"/>
      <c r="H2501" s="18"/>
    </row>
    <row r="2502" spans="1:8" x14ac:dyDescent="0.2">
      <c r="A2502" s="17"/>
      <c r="B2502" s="17"/>
      <c r="C2502" s="18"/>
      <c r="D2502" s="18"/>
      <c r="E2502" s="18"/>
      <c r="F2502" s="18"/>
      <c r="G2502" s="18"/>
      <c r="H2502" s="18"/>
    </row>
    <row r="2503" spans="1:8" x14ac:dyDescent="0.2">
      <c r="A2503" s="17"/>
      <c r="B2503" s="17"/>
      <c r="C2503" s="18"/>
      <c r="D2503" s="18"/>
      <c r="E2503" s="18"/>
      <c r="F2503" s="18"/>
      <c r="G2503" s="18"/>
      <c r="H2503" s="18"/>
    </row>
    <row r="2504" spans="1:8" x14ac:dyDescent="0.2">
      <c r="A2504" s="17"/>
      <c r="B2504" s="17"/>
      <c r="C2504" s="18"/>
      <c r="D2504" s="18"/>
      <c r="E2504" s="18"/>
      <c r="F2504" s="18"/>
      <c r="G2504" s="18"/>
      <c r="H2504" s="18"/>
    </row>
    <row r="2505" spans="1:8" x14ac:dyDescent="0.2">
      <c r="A2505" s="17"/>
      <c r="B2505" s="17"/>
      <c r="C2505" s="18"/>
      <c r="D2505" s="18"/>
      <c r="E2505" s="18"/>
      <c r="F2505" s="18"/>
      <c r="G2505" s="18"/>
      <c r="H2505" s="18"/>
    </row>
    <row r="2506" spans="1:8" x14ac:dyDescent="0.2">
      <c r="A2506" s="17"/>
      <c r="B2506" s="17"/>
      <c r="C2506" s="18"/>
      <c r="D2506" s="18"/>
      <c r="E2506" s="18"/>
      <c r="F2506" s="18"/>
      <c r="G2506" s="18"/>
      <c r="H2506" s="18"/>
    </row>
    <row r="2507" spans="1:8" x14ac:dyDescent="0.2">
      <c r="A2507" s="17"/>
      <c r="B2507" s="17"/>
      <c r="C2507" s="18"/>
      <c r="D2507" s="18"/>
      <c r="E2507" s="18"/>
      <c r="F2507" s="18"/>
      <c r="G2507" s="18"/>
      <c r="H2507" s="18"/>
    </row>
    <row r="2508" spans="1:8" x14ac:dyDescent="0.2">
      <c r="A2508" s="17"/>
      <c r="B2508" s="17"/>
      <c r="C2508" s="18"/>
      <c r="D2508" s="18"/>
      <c r="E2508" s="18"/>
      <c r="F2508" s="18"/>
      <c r="G2508" s="18"/>
      <c r="H2508" s="18"/>
    </row>
    <row r="2509" spans="1:8" x14ac:dyDescent="0.2">
      <c r="A2509" s="17"/>
      <c r="B2509" s="17"/>
      <c r="C2509" s="18"/>
      <c r="D2509" s="18"/>
      <c r="E2509" s="18"/>
      <c r="F2509" s="18"/>
      <c r="G2509" s="18"/>
      <c r="H2509" s="18"/>
    </row>
    <row r="2510" spans="1:8" x14ac:dyDescent="0.2">
      <c r="A2510" s="17"/>
      <c r="B2510" s="17"/>
      <c r="C2510" s="18"/>
      <c r="D2510" s="18"/>
      <c r="E2510" s="18"/>
      <c r="F2510" s="18"/>
      <c r="G2510" s="18"/>
      <c r="H2510" s="18"/>
    </row>
    <row r="2511" spans="1:8" x14ac:dyDescent="0.2">
      <c r="A2511" s="17"/>
      <c r="B2511" s="17"/>
      <c r="C2511" s="18"/>
      <c r="D2511" s="18"/>
      <c r="E2511" s="18"/>
      <c r="F2511" s="18"/>
      <c r="G2511" s="18"/>
      <c r="H2511" s="18"/>
    </row>
    <row r="2512" spans="1:8" x14ac:dyDescent="0.2">
      <c r="A2512" s="17"/>
      <c r="B2512" s="17"/>
      <c r="C2512" s="18"/>
      <c r="D2512" s="18"/>
      <c r="E2512" s="18"/>
      <c r="F2512" s="18"/>
      <c r="G2512" s="18"/>
      <c r="H2512" s="18"/>
    </row>
    <row r="2513" spans="1:8" x14ac:dyDescent="0.2">
      <c r="A2513" s="17"/>
      <c r="B2513" s="17"/>
      <c r="C2513" s="18"/>
      <c r="D2513" s="18"/>
      <c r="E2513" s="18"/>
      <c r="F2513" s="18"/>
      <c r="G2513" s="18"/>
      <c r="H2513" s="18"/>
    </row>
    <row r="2514" spans="1:8" x14ac:dyDescent="0.2">
      <c r="A2514" s="17"/>
      <c r="B2514" s="17"/>
      <c r="C2514" s="18"/>
      <c r="D2514" s="18"/>
      <c r="E2514" s="18"/>
      <c r="F2514" s="18"/>
      <c r="G2514" s="18"/>
      <c r="H2514" s="18"/>
    </row>
    <row r="2515" spans="1:8" x14ac:dyDescent="0.2">
      <c r="A2515" s="17"/>
      <c r="B2515" s="17"/>
      <c r="C2515" s="18"/>
      <c r="D2515" s="18"/>
      <c r="E2515" s="18"/>
      <c r="F2515" s="18"/>
      <c r="G2515" s="18"/>
      <c r="H2515" s="18"/>
    </row>
    <row r="2516" spans="1:8" x14ac:dyDescent="0.2">
      <c r="A2516" s="17"/>
      <c r="B2516" s="17"/>
      <c r="C2516" s="18"/>
      <c r="D2516" s="18"/>
      <c r="E2516" s="18"/>
      <c r="F2516" s="18"/>
      <c r="G2516" s="18"/>
      <c r="H2516" s="18"/>
    </row>
    <row r="2517" spans="1:8" x14ac:dyDescent="0.2">
      <c r="A2517" s="17"/>
      <c r="B2517" s="17"/>
      <c r="C2517" s="18"/>
      <c r="D2517" s="18"/>
      <c r="E2517" s="18"/>
      <c r="F2517" s="18"/>
      <c r="G2517" s="18"/>
      <c r="H2517" s="18"/>
    </row>
    <row r="2518" spans="1:8" x14ac:dyDescent="0.2">
      <c r="A2518" s="17"/>
      <c r="B2518" s="17"/>
      <c r="C2518" s="18"/>
      <c r="D2518" s="18"/>
      <c r="E2518" s="18"/>
      <c r="F2518" s="18"/>
      <c r="G2518" s="18"/>
      <c r="H2518" s="18"/>
    </row>
    <row r="2519" spans="1:8" x14ac:dyDescent="0.2">
      <c r="A2519" s="17"/>
      <c r="B2519" s="17"/>
      <c r="C2519" s="18"/>
      <c r="D2519" s="18"/>
      <c r="E2519" s="18"/>
      <c r="F2519" s="18"/>
      <c r="G2519" s="18"/>
      <c r="H2519" s="18"/>
    </row>
    <row r="2520" spans="1:8" x14ac:dyDescent="0.2">
      <c r="A2520" s="17"/>
      <c r="B2520" s="17"/>
      <c r="C2520" s="18"/>
      <c r="D2520" s="18"/>
      <c r="E2520" s="18"/>
      <c r="F2520" s="18"/>
      <c r="G2520" s="18"/>
      <c r="H2520" s="18"/>
    </row>
    <row r="2521" spans="1:8" x14ac:dyDescent="0.2">
      <c r="A2521" s="17"/>
      <c r="B2521" s="17"/>
      <c r="C2521" s="18"/>
      <c r="D2521" s="18"/>
      <c r="E2521" s="18"/>
      <c r="F2521" s="18"/>
      <c r="G2521" s="18"/>
      <c r="H2521" s="18"/>
    </row>
    <row r="2522" spans="1:8" x14ac:dyDescent="0.2">
      <c r="A2522" s="17"/>
      <c r="B2522" s="17"/>
      <c r="C2522" s="18"/>
      <c r="D2522" s="18"/>
      <c r="E2522" s="18"/>
      <c r="F2522" s="18"/>
      <c r="G2522" s="18"/>
      <c r="H2522" s="18"/>
    </row>
    <row r="2523" spans="1:8" x14ac:dyDescent="0.2">
      <c r="A2523" s="17"/>
      <c r="B2523" s="17"/>
      <c r="C2523" s="18"/>
      <c r="D2523" s="18"/>
      <c r="E2523" s="18"/>
      <c r="F2523" s="18"/>
      <c r="G2523" s="18"/>
      <c r="H2523" s="18"/>
    </row>
    <row r="2524" spans="1:8" x14ac:dyDescent="0.2">
      <c r="A2524" s="17"/>
      <c r="B2524" s="17"/>
      <c r="C2524" s="18"/>
      <c r="D2524" s="18"/>
      <c r="E2524" s="18"/>
      <c r="F2524" s="18"/>
      <c r="G2524" s="18"/>
      <c r="H2524" s="18"/>
    </row>
    <row r="2525" spans="1:8" x14ac:dyDescent="0.2">
      <c r="A2525" s="17"/>
      <c r="B2525" s="17"/>
      <c r="C2525" s="18"/>
      <c r="D2525" s="18"/>
      <c r="E2525" s="18"/>
      <c r="F2525" s="18"/>
      <c r="G2525" s="18"/>
      <c r="H2525" s="18"/>
    </row>
    <row r="2526" spans="1:8" x14ac:dyDescent="0.2">
      <c r="A2526" s="17"/>
      <c r="B2526" s="17"/>
      <c r="C2526" s="18"/>
      <c r="D2526" s="18"/>
      <c r="E2526" s="18"/>
      <c r="F2526" s="18"/>
      <c r="G2526" s="18"/>
      <c r="H2526" s="18"/>
    </row>
    <row r="2527" spans="1:8" x14ac:dyDescent="0.2">
      <c r="A2527" s="17"/>
      <c r="B2527" s="17"/>
      <c r="C2527" s="18"/>
      <c r="D2527" s="18"/>
      <c r="E2527" s="18"/>
      <c r="F2527" s="18"/>
      <c r="G2527" s="18"/>
      <c r="H2527" s="18"/>
    </row>
    <row r="2528" spans="1:8" x14ac:dyDescent="0.2">
      <c r="A2528" s="17"/>
      <c r="B2528" s="17"/>
      <c r="C2528" s="18"/>
      <c r="D2528" s="18"/>
      <c r="E2528" s="18"/>
      <c r="F2528" s="18"/>
      <c r="G2528" s="18"/>
      <c r="H2528" s="18"/>
    </row>
    <row r="2529" spans="1:8" x14ac:dyDescent="0.2">
      <c r="A2529" s="17"/>
      <c r="B2529" s="17"/>
      <c r="C2529" s="18"/>
      <c r="D2529" s="18"/>
      <c r="E2529" s="18"/>
      <c r="F2529" s="18"/>
      <c r="G2529" s="18"/>
      <c r="H2529" s="18"/>
    </row>
    <row r="2530" spans="1:8" x14ac:dyDescent="0.2">
      <c r="A2530" s="17"/>
      <c r="B2530" s="17"/>
      <c r="C2530" s="18"/>
      <c r="D2530" s="18"/>
      <c r="E2530" s="18"/>
      <c r="F2530" s="18"/>
      <c r="G2530" s="18"/>
      <c r="H2530" s="18"/>
    </row>
    <row r="2531" spans="1:8" x14ac:dyDescent="0.2">
      <c r="A2531" s="17"/>
      <c r="B2531" s="17"/>
      <c r="C2531" s="18"/>
      <c r="D2531" s="18"/>
      <c r="E2531" s="18"/>
      <c r="F2531" s="18"/>
      <c r="G2531" s="18"/>
      <c r="H2531" s="18"/>
    </row>
    <row r="2532" spans="1:8" x14ac:dyDescent="0.2">
      <c r="A2532" s="17"/>
      <c r="B2532" s="17"/>
      <c r="C2532" s="18"/>
      <c r="D2532" s="18"/>
      <c r="E2532" s="18"/>
      <c r="F2532" s="18"/>
      <c r="G2532" s="18"/>
      <c r="H2532" s="18"/>
    </row>
    <row r="2533" spans="1:8" x14ac:dyDescent="0.2">
      <c r="A2533" s="17"/>
      <c r="B2533" s="17"/>
      <c r="C2533" s="18"/>
      <c r="D2533" s="18"/>
      <c r="E2533" s="18"/>
      <c r="F2533" s="18"/>
      <c r="G2533" s="18"/>
      <c r="H2533" s="18"/>
    </row>
    <row r="2534" spans="1:8" x14ac:dyDescent="0.2">
      <c r="A2534" s="17"/>
      <c r="B2534" s="17"/>
      <c r="C2534" s="18"/>
      <c r="D2534" s="18"/>
      <c r="E2534" s="18"/>
      <c r="F2534" s="18"/>
      <c r="G2534" s="18"/>
      <c r="H2534" s="18"/>
    </row>
    <row r="2535" spans="1:8" x14ac:dyDescent="0.2">
      <c r="A2535" s="17"/>
      <c r="B2535" s="17"/>
      <c r="C2535" s="18"/>
      <c r="D2535" s="18"/>
      <c r="E2535" s="18"/>
      <c r="F2535" s="18"/>
      <c r="G2535" s="18"/>
      <c r="H2535" s="18"/>
    </row>
    <row r="2536" spans="1:8" x14ac:dyDescent="0.2">
      <c r="A2536" s="17"/>
      <c r="B2536" s="17"/>
      <c r="C2536" s="18"/>
      <c r="D2536" s="18"/>
      <c r="E2536" s="18"/>
      <c r="F2536" s="18"/>
      <c r="G2536" s="18"/>
      <c r="H2536" s="18"/>
    </row>
    <row r="2537" spans="1:8" x14ac:dyDescent="0.2">
      <c r="A2537" s="17"/>
      <c r="B2537" s="17"/>
      <c r="C2537" s="18"/>
      <c r="D2537" s="18"/>
      <c r="E2537" s="18"/>
      <c r="F2537" s="18"/>
      <c r="G2537" s="18"/>
      <c r="H2537" s="18"/>
    </row>
    <row r="2538" spans="1:8" x14ac:dyDescent="0.2">
      <c r="A2538" s="17"/>
      <c r="B2538" s="17"/>
      <c r="C2538" s="18"/>
      <c r="D2538" s="18"/>
      <c r="E2538" s="18"/>
      <c r="F2538" s="18"/>
      <c r="G2538" s="18"/>
      <c r="H2538" s="18"/>
    </row>
    <row r="2539" spans="1:8" x14ac:dyDescent="0.2">
      <c r="A2539" s="17"/>
      <c r="B2539" s="17"/>
      <c r="C2539" s="18"/>
      <c r="D2539" s="18"/>
      <c r="E2539" s="18"/>
      <c r="F2539" s="18"/>
      <c r="G2539" s="18"/>
      <c r="H2539" s="18"/>
    </row>
    <row r="2540" spans="1:8" x14ac:dyDescent="0.2">
      <c r="A2540" s="17"/>
      <c r="B2540" s="17"/>
      <c r="C2540" s="18"/>
      <c r="D2540" s="18"/>
      <c r="E2540" s="18"/>
      <c r="F2540" s="18"/>
      <c r="G2540" s="18"/>
      <c r="H2540" s="18"/>
    </row>
    <row r="2541" spans="1:8" x14ac:dyDescent="0.2">
      <c r="A2541" s="17"/>
      <c r="B2541" s="17"/>
      <c r="C2541" s="18"/>
      <c r="D2541" s="18"/>
      <c r="E2541" s="18"/>
      <c r="F2541" s="18"/>
      <c r="G2541" s="18"/>
      <c r="H2541" s="18"/>
    </row>
    <row r="2542" spans="1:8" x14ac:dyDescent="0.2">
      <c r="A2542" s="17"/>
      <c r="B2542" s="17"/>
      <c r="C2542" s="18"/>
      <c r="D2542" s="18"/>
      <c r="E2542" s="18"/>
      <c r="F2542" s="18"/>
      <c r="G2542" s="18"/>
      <c r="H2542" s="18"/>
    </row>
    <row r="2543" spans="1:8" x14ac:dyDescent="0.2">
      <c r="A2543" s="17"/>
      <c r="B2543" s="17"/>
      <c r="C2543" s="18"/>
      <c r="D2543" s="18"/>
      <c r="E2543" s="18"/>
      <c r="F2543" s="18"/>
      <c r="G2543" s="18"/>
      <c r="H2543" s="18"/>
    </row>
    <row r="2544" spans="1:8" x14ac:dyDescent="0.2">
      <c r="A2544" s="17"/>
      <c r="B2544" s="17"/>
      <c r="C2544" s="18"/>
      <c r="D2544" s="18"/>
      <c r="E2544" s="18"/>
      <c r="F2544" s="18"/>
      <c r="G2544" s="18"/>
      <c r="H2544" s="18"/>
    </row>
    <row r="2545" spans="1:8" x14ac:dyDescent="0.2">
      <c r="A2545" s="17"/>
      <c r="B2545" s="17"/>
      <c r="C2545" s="18"/>
      <c r="D2545" s="18"/>
      <c r="E2545" s="18"/>
      <c r="F2545" s="18"/>
      <c r="G2545" s="18"/>
      <c r="H2545" s="18"/>
    </row>
    <row r="2546" spans="1:8" x14ac:dyDescent="0.2">
      <c r="A2546" s="17"/>
      <c r="B2546" s="17"/>
      <c r="C2546" s="18"/>
      <c r="D2546" s="18"/>
      <c r="E2546" s="18"/>
      <c r="F2546" s="18"/>
      <c r="G2546" s="18"/>
      <c r="H2546" s="18"/>
    </row>
    <row r="2547" spans="1:8" x14ac:dyDescent="0.2">
      <c r="A2547" s="17"/>
      <c r="B2547" s="17"/>
      <c r="C2547" s="18"/>
      <c r="D2547" s="18"/>
      <c r="E2547" s="18"/>
      <c r="F2547" s="18"/>
      <c r="G2547" s="18"/>
      <c r="H2547" s="18"/>
    </row>
    <row r="2548" spans="1:8" x14ac:dyDescent="0.2">
      <c r="A2548" s="17"/>
      <c r="B2548" s="17"/>
      <c r="C2548" s="18"/>
      <c r="D2548" s="18"/>
      <c r="E2548" s="18"/>
      <c r="F2548" s="18"/>
      <c r="G2548" s="18"/>
      <c r="H2548" s="18"/>
    </row>
    <row r="2549" spans="1:8" x14ac:dyDescent="0.2">
      <c r="A2549" s="17"/>
      <c r="B2549" s="17"/>
      <c r="C2549" s="18"/>
      <c r="D2549" s="18"/>
      <c r="E2549" s="18"/>
      <c r="F2549" s="18"/>
      <c r="G2549" s="18"/>
      <c r="H2549" s="18"/>
    </row>
    <row r="2550" spans="1:8" x14ac:dyDescent="0.2">
      <c r="A2550" s="17"/>
      <c r="B2550" s="17"/>
      <c r="C2550" s="18"/>
      <c r="D2550" s="18"/>
      <c r="E2550" s="18"/>
      <c r="F2550" s="18"/>
      <c r="G2550" s="18"/>
      <c r="H2550" s="18"/>
    </row>
    <row r="2551" spans="1:8" x14ac:dyDescent="0.2">
      <c r="A2551" s="17"/>
      <c r="B2551" s="17"/>
      <c r="C2551" s="18"/>
      <c r="D2551" s="18"/>
      <c r="E2551" s="18"/>
      <c r="F2551" s="18"/>
      <c r="G2551" s="18"/>
      <c r="H2551" s="18"/>
    </row>
    <row r="2552" spans="1:8" x14ac:dyDescent="0.2">
      <c r="A2552" s="17"/>
      <c r="B2552" s="17"/>
      <c r="C2552" s="18"/>
      <c r="D2552" s="18"/>
      <c r="E2552" s="18"/>
      <c r="F2552" s="18"/>
      <c r="G2552" s="18"/>
      <c r="H2552" s="18"/>
    </row>
    <row r="2553" spans="1:8" x14ac:dyDescent="0.2">
      <c r="A2553" s="17"/>
      <c r="B2553" s="17"/>
      <c r="C2553" s="18"/>
      <c r="D2553" s="18"/>
      <c r="E2553" s="18"/>
      <c r="F2553" s="18"/>
      <c r="G2553" s="18"/>
      <c r="H2553" s="18"/>
    </row>
    <row r="2554" spans="1:8" x14ac:dyDescent="0.2">
      <c r="A2554" s="17"/>
      <c r="B2554" s="17"/>
      <c r="C2554" s="18"/>
      <c r="D2554" s="18"/>
      <c r="E2554" s="18"/>
      <c r="F2554" s="18"/>
      <c r="G2554" s="18"/>
      <c r="H2554" s="18"/>
    </row>
    <row r="2555" spans="1:8" x14ac:dyDescent="0.2">
      <c r="A2555" s="17"/>
      <c r="B2555" s="17"/>
      <c r="C2555" s="18"/>
      <c r="D2555" s="18"/>
      <c r="E2555" s="18"/>
      <c r="F2555" s="18"/>
      <c r="G2555" s="18"/>
      <c r="H2555" s="18"/>
    </row>
    <row r="2556" spans="1:8" x14ac:dyDescent="0.2">
      <c r="A2556" s="17"/>
      <c r="B2556" s="17"/>
      <c r="C2556" s="18"/>
      <c r="D2556" s="18"/>
      <c r="E2556" s="18"/>
      <c r="F2556" s="18"/>
      <c r="G2556" s="18"/>
      <c r="H2556" s="18"/>
    </row>
    <row r="2557" spans="1:8" x14ac:dyDescent="0.2">
      <c r="A2557" s="17"/>
      <c r="B2557" s="17"/>
      <c r="C2557" s="18"/>
      <c r="D2557" s="18"/>
      <c r="E2557" s="18"/>
      <c r="F2557" s="18"/>
      <c r="G2557" s="18"/>
      <c r="H2557" s="18"/>
    </row>
    <row r="2558" spans="1:8" x14ac:dyDescent="0.2">
      <c r="A2558" s="17"/>
      <c r="B2558" s="17"/>
      <c r="C2558" s="18"/>
      <c r="D2558" s="18"/>
      <c r="E2558" s="18"/>
      <c r="F2558" s="18"/>
      <c r="G2558" s="18"/>
      <c r="H2558" s="18"/>
    </row>
    <row r="2559" spans="1:8" x14ac:dyDescent="0.2">
      <c r="A2559" s="17"/>
      <c r="B2559" s="17"/>
      <c r="C2559" s="18"/>
      <c r="D2559" s="18"/>
      <c r="E2559" s="18"/>
      <c r="F2559" s="18"/>
      <c r="G2559" s="18"/>
      <c r="H2559" s="18"/>
    </row>
    <row r="2560" spans="1:8" x14ac:dyDescent="0.2">
      <c r="A2560" s="17"/>
      <c r="B2560" s="17"/>
      <c r="C2560" s="18"/>
      <c r="D2560" s="18"/>
      <c r="E2560" s="18"/>
      <c r="F2560" s="18"/>
      <c r="G2560" s="18"/>
      <c r="H2560" s="18"/>
    </row>
    <row r="2561" spans="1:8" x14ac:dyDescent="0.2">
      <c r="A2561" s="17"/>
      <c r="B2561" s="17"/>
      <c r="C2561" s="18"/>
      <c r="D2561" s="18"/>
      <c r="E2561" s="18"/>
      <c r="F2561" s="18"/>
      <c r="G2561" s="18"/>
      <c r="H2561" s="18"/>
    </row>
    <row r="2562" spans="1:8" x14ac:dyDescent="0.2">
      <c r="A2562" s="17"/>
      <c r="B2562" s="17"/>
      <c r="C2562" s="18"/>
      <c r="D2562" s="18"/>
      <c r="E2562" s="18"/>
      <c r="F2562" s="18"/>
      <c r="G2562" s="18"/>
      <c r="H2562" s="18"/>
    </row>
    <row r="2563" spans="1:8" x14ac:dyDescent="0.2">
      <c r="A2563" s="17"/>
      <c r="B2563" s="17"/>
      <c r="C2563" s="18"/>
      <c r="D2563" s="18"/>
      <c r="E2563" s="18"/>
      <c r="F2563" s="18"/>
      <c r="G2563" s="18"/>
      <c r="H2563" s="18"/>
    </row>
    <row r="2564" spans="1:8" x14ac:dyDescent="0.2">
      <c r="A2564" s="17"/>
      <c r="B2564" s="17"/>
      <c r="C2564" s="18"/>
      <c r="D2564" s="18"/>
      <c r="E2564" s="18"/>
      <c r="F2564" s="18"/>
      <c r="G2564" s="18"/>
      <c r="H2564" s="18"/>
    </row>
    <row r="2565" spans="1:8" x14ac:dyDescent="0.2">
      <c r="A2565" s="17"/>
      <c r="B2565" s="17"/>
      <c r="C2565" s="18"/>
      <c r="D2565" s="18"/>
      <c r="E2565" s="18"/>
      <c r="F2565" s="18"/>
      <c r="G2565" s="18"/>
      <c r="H2565" s="18"/>
    </row>
    <row r="2566" spans="1:8" x14ac:dyDescent="0.2">
      <c r="A2566" s="17"/>
      <c r="B2566" s="17"/>
      <c r="C2566" s="18"/>
      <c r="D2566" s="18"/>
      <c r="E2566" s="18"/>
      <c r="F2566" s="18"/>
      <c r="G2566" s="18"/>
      <c r="H2566" s="18"/>
    </row>
    <row r="2567" spans="1:8" x14ac:dyDescent="0.2">
      <c r="A2567" s="17"/>
      <c r="B2567" s="17"/>
      <c r="C2567" s="18"/>
      <c r="D2567" s="18"/>
      <c r="E2567" s="18"/>
      <c r="F2567" s="18"/>
      <c r="G2567" s="18"/>
      <c r="H2567" s="18"/>
    </row>
    <row r="2568" spans="1:8" x14ac:dyDescent="0.2">
      <c r="A2568" s="17"/>
      <c r="B2568" s="17"/>
      <c r="C2568" s="18"/>
      <c r="D2568" s="18"/>
      <c r="E2568" s="18"/>
      <c r="F2568" s="18"/>
      <c r="G2568" s="18"/>
      <c r="H2568" s="18"/>
    </row>
    <row r="2569" spans="1:8" x14ac:dyDescent="0.2">
      <c r="A2569" s="17"/>
      <c r="B2569" s="17"/>
      <c r="C2569" s="18"/>
      <c r="D2569" s="18"/>
      <c r="E2569" s="18"/>
      <c r="F2569" s="18"/>
      <c r="G2569" s="18"/>
      <c r="H2569" s="18"/>
    </row>
    <row r="2570" spans="1:8" x14ac:dyDescent="0.2">
      <c r="A2570" s="17"/>
      <c r="B2570" s="17"/>
      <c r="C2570" s="18"/>
      <c r="D2570" s="18"/>
      <c r="E2570" s="18"/>
      <c r="F2570" s="18"/>
      <c r="G2570" s="18"/>
      <c r="H2570" s="18"/>
    </row>
    <row r="2571" spans="1:8" x14ac:dyDescent="0.2">
      <c r="A2571" s="17"/>
      <c r="B2571" s="17"/>
      <c r="C2571" s="18"/>
      <c r="D2571" s="18"/>
      <c r="E2571" s="18"/>
      <c r="F2571" s="18"/>
      <c r="G2571" s="18"/>
      <c r="H2571" s="18"/>
    </row>
    <row r="2572" spans="1:8" x14ac:dyDescent="0.2">
      <c r="A2572" s="17"/>
      <c r="B2572" s="17"/>
      <c r="C2572" s="18"/>
      <c r="D2572" s="18"/>
      <c r="E2572" s="18"/>
      <c r="F2572" s="18"/>
      <c r="G2572" s="18"/>
      <c r="H2572" s="18"/>
    </row>
    <row r="2573" spans="1:8" x14ac:dyDescent="0.2">
      <c r="A2573" s="17"/>
      <c r="B2573" s="17"/>
      <c r="C2573" s="18"/>
      <c r="D2573" s="18"/>
      <c r="E2573" s="18"/>
      <c r="F2573" s="18"/>
      <c r="G2573" s="18"/>
      <c r="H2573" s="18"/>
    </row>
    <row r="2574" spans="1:8" x14ac:dyDescent="0.2">
      <c r="A2574" s="17"/>
      <c r="B2574" s="17"/>
      <c r="C2574" s="18"/>
      <c r="D2574" s="18"/>
      <c r="E2574" s="18"/>
      <c r="F2574" s="18"/>
      <c r="G2574" s="18"/>
      <c r="H2574" s="18"/>
    </row>
    <row r="2575" spans="1:8" x14ac:dyDescent="0.2">
      <c r="A2575" s="17"/>
      <c r="B2575" s="17"/>
      <c r="C2575" s="18"/>
      <c r="D2575" s="18"/>
      <c r="E2575" s="18"/>
      <c r="F2575" s="18"/>
      <c r="G2575" s="18"/>
      <c r="H2575" s="18"/>
    </row>
    <row r="2576" spans="1:8" x14ac:dyDescent="0.2">
      <c r="A2576" s="17"/>
      <c r="B2576" s="17"/>
      <c r="C2576" s="18"/>
      <c r="D2576" s="18"/>
      <c r="E2576" s="18"/>
      <c r="F2576" s="18"/>
      <c r="G2576" s="18"/>
      <c r="H2576" s="18"/>
    </row>
    <row r="2577" spans="1:8" x14ac:dyDescent="0.2">
      <c r="A2577" s="17"/>
      <c r="B2577" s="17"/>
      <c r="C2577" s="18"/>
      <c r="D2577" s="18"/>
      <c r="E2577" s="18"/>
      <c r="F2577" s="18"/>
      <c r="G2577" s="18"/>
      <c r="H2577" s="18"/>
    </row>
    <row r="2578" spans="1:8" x14ac:dyDescent="0.2">
      <c r="A2578" s="17"/>
      <c r="B2578" s="17"/>
      <c r="C2578" s="18"/>
      <c r="D2578" s="18"/>
      <c r="E2578" s="18"/>
      <c r="F2578" s="18"/>
      <c r="G2578" s="18"/>
      <c r="H2578" s="18"/>
    </row>
    <row r="2579" spans="1:8" x14ac:dyDescent="0.2">
      <c r="A2579" s="17"/>
      <c r="B2579" s="17"/>
      <c r="C2579" s="18"/>
      <c r="D2579" s="18"/>
      <c r="E2579" s="18"/>
      <c r="F2579" s="18"/>
      <c r="G2579" s="18"/>
      <c r="H2579" s="18"/>
    </row>
    <row r="2580" spans="1:8" x14ac:dyDescent="0.2">
      <c r="A2580" s="17"/>
      <c r="B2580" s="17"/>
      <c r="C2580" s="18"/>
      <c r="D2580" s="18"/>
      <c r="E2580" s="18"/>
      <c r="F2580" s="18"/>
      <c r="G2580" s="18"/>
      <c r="H2580" s="18"/>
    </row>
    <row r="2581" spans="1:8" x14ac:dyDescent="0.2">
      <c r="A2581" s="17"/>
      <c r="B2581" s="17"/>
      <c r="C2581" s="18"/>
      <c r="D2581" s="18"/>
      <c r="E2581" s="18"/>
      <c r="F2581" s="18"/>
      <c r="G2581" s="18"/>
      <c r="H2581" s="18"/>
    </row>
    <row r="2582" spans="1:8" x14ac:dyDescent="0.2">
      <c r="A2582" s="17"/>
      <c r="B2582" s="17"/>
      <c r="C2582" s="18"/>
      <c r="D2582" s="18"/>
      <c r="E2582" s="18"/>
      <c r="F2582" s="18"/>
      <c r="G2582" s="18"/>
      <c r="H2582" s="18"/>
    </row>
    <row r="2583" spans="1:8" x14ac:dyDescent="0.2">
      <c r="A2583" s="17"/>
      <c r="B2583" s="17"/>
      <c r="C2583" s="18"/>
      <c r="D2583" s="18"/>
      <c r="E2583" s="18"/>
      <c r="F2583" s="18"/>
      <c r="G2583" s="18"/>
      <c r="H2583" s="18"/>
    </row>
    <row r="2584" spans="1:8" x14ac:dyDescent="0.2">
      <c r="A2584" s="17"/>
      <c r="B2584" s="17"/>
      <c r="C2584" s="18"/>
      <c r="D2584" s="18"/>
      <c r="E2584" s="18"/>
      <c r="F2584" s="18"/>
      <c r="G2584" s="18"/>
      <c r="H2584" s="18"/>
    </row>
    <row r="2585" spans="1:8" x14ac:dyDescent="0.2">
      <c r="A2585" s="17"/>
      <c r="B2585" s="17"/>
      <c r="C2585" s="18"/>
      <c r="D2585" s="18"/>
      <c r="E2585" s="18"/>
      <c r="F2585" s="18"/>
      <c r="G2585" s="18"/>
      <c r="H2585" s="18"/>
    </row>
    <row r="2586" spans="1:8" x14ac:dyDescent="0.2">
      <c r="A2586" s="17"/>
      <c r="B2586" s="17"/>
      <c r="C2586" s="18"/>
      <c r="D2586" s="18"/>
      <c r="E2586" s="18"/>
      <c r="F2586" s="18"/>
      <c r="G2586" s="18"/>
      <c r="H2586" s="18"/>
    </row>
    <row r="2587" spans="1:8" x14ac:dyDescent="0.2">
      <c r="A2587" s="17"/>
      <c r="B2587" s="17"/>
      <c r="C2587" s="18"/>
      <c r="D2587" s="18"/>
      <c r="E2587" s="18"/>
      <c r="F2587" s="18"/>
      <c r="G2587" s="18"/>
      <c r="H2587" s="18"/>
    </row>
    <row r="2588" spans="1:8" x14ac:dyDescent="0.2">
      <c r="A2588" s="17"/>
      <c r="B2588" s="17"/>
      <c r="C2588" s="18"/>
      <c r="D2588" s="18"/>
      <c r="E2588" s="18"/>
      <c r="F2588" s="18"/>
      <c r="G2588" s="18"/>
      <c r="H2588" s="18"/>
    </row>
    <row r="2589" spans="1:8" x14ac:dyDescent="0.2">
      <c r="A2589" s="17"/>
      <c r="B2589" s="17"/>
      <c r="C2589" s="18"/>
      <c r="D2589" s="18"/>
      <c r="E2589" s="18"/>
      <c r="F2589" s="18"/>
      <c r="G2589" s="18"/>
      <c r="H2589" s="18"/>
    </row>
    <row r="2590" spans="1:8" x14ac:dyDescent="0.2">
      <c r="A2590" s="17"/>
      <c r="B2590" s="17"/>
      <c r="C2590" s="18"/>
      <c r="D2590" s="18"/>
      <c r="E2590" s="18"/>
      <c r="F2590" s="18"/>
      <c r="G2590" s="18"/>
      <c r="H2590" s="18"/>
    </row>
    <row r="2591" spans="1:8" x14ac:dyDescent="0.2">
      <c r="A2591" s="17"/>
      <c r="B2591" s="17"/>
      <c r="C2591" s="18"/>
      <c r="D2591" s="18"/>
      <c r="E2591" s="18"/>
      <c r="F2591" s="18"/>
      <c r="G2591" s="18"/>
      <c r="H2591" s="18"/>
    </row>
    <row r="2592" spans="1:8" x14ac:dyDescent="0.2">
      <c r="A2592" s="17"/>
      <c r="B2592" s="17"/>
      <c r="C2592" s="18"/>
      <c r="D2592" s="18"/>
      <c r="E2592" s="18"/>
      <c r="F2592" s="18"/>
      <c r="G2592" s="18"/>
      <c r="H2592" s="18"/>
    </row>
    <row r="2593" spans="1:8" x14ac:dyDescent="0.2">
      <c r="A2593" s="17"/>
      <c r="B2593" s="17"/>
      <c r="C2593" s="18"/>
      <c r="D2593" s="18"/>
      <c r="E2593" s="18"/>
      <c r="F2593" s="18"/>
      <c r="G2593" s="18"/>
      <c r="H2593" s="18"/>
    </row>
    <row r="2594" spans="1:8" x14ac:dyDescent="0.2">
      <c r="A2594" s="17"/>
      <c r="B2594" s="17"/>
      <c r="C2594" s="18"/>
      <c r="D2594" s="18"/>
      <c r="E2594" s="18"/>
      <c r="F2594" s="18"/>
      <c r="G2594" s="18"/>
      <c r="H2594" s="18"/>
    </row>
    <row r="2595" spans="1:8" x14ac:dyDescent="0.2">
      <c r="A2595" s="17"/>
      <c r="B2595" s="17"/>
      <c r="C2595" s="18"/>
      <c r="D2595" s="18"/>
      <c r="E2595" s="18"/>
      <c r="F2595" s="18"/>
      <c r="G2595" s="18"/>
      <c r="H2595" s="18"/>
    </row>
    <row r="2596" spans="1:8" x14ac:dyDescent="0.2">
      <c r="A2596" s="17"/>
      <c r="B2596" s="17"/>
      <c r="C2596" s="18"/>
      <c r="D2596" s="18"/>
      <c r="E2596" s="18"/>
      <c r="F2596" s="18"/>
      <c r="G2596" s="18"/>
      <c r="H2596" s="18"/>
    </row>
    <row r="2597" spans="1:8" x14ac:dyDescent="0.2">
      <c r="A2597" s="17"/>
      <c r="B2597" s="17"/>
      <c r="C2597" s="18"/>
      <c r="D2597" s="18"/>
      <c r="E2597" s="18"/>
      <c r="F2597" s="18"/>
      <c r="G2597" s="18"/>
      <c r="H2597" s="18"/>
    </row>
    <row r="2598" spans="1:8" x14ac:dyDescent="0.2">
      <c r="A2598" s="17"/>
      <c r="B2598" s="17"/>
      <c r="C2598" s="18"/>
      <c r="D2598" s="18"/>
      <c r="E2598" s="18"/>
      <c r="F2598" s="18"/>
      <c r="G2598" s="18"/>
      <c r="H2598" s="18"/>
    </row>
    <row r="2599" spans="1:8" x14ac:dyDescent="0.2">
      <c r="A2599" s="17"/>
      <c r="B2599" s="17"/>
      <c r="C2599" s="18"/>
      <c r="D2599" s="18"/>
      <c r="E2599" s="18"/>
      <c r="F2599" s="18"/>
      <c r="G2599" s="18"/>
      <c r="H2599" s="18"/>
    </row>
    <row r="2600" spans="1:8" x14ac:dyDescent="0.2">
      <c r="A2600" s="17"/>
      <c r="B2600" s="17"/>
      <c r="C2600" s="18"/>
      <c r="D2600" s="18"/>
      <c r="E2600" s="18"/>
      <c r="F2600" s="18"/>
      <c r="G2600" s="18"/>
      <c r="H2600" s="18"/>
    </row>
    <row r="2601" spans="1:8" x14ac:dyDescent="0.2">
      <c r="A2601" s="17"/>
      <c r="B2601" s="17"/>
      <c r="C2601" s="18"/>
      <c r="D2601" s="18"/>
      <c r="E2601" s="18"/>
      <c r="F2601" s="18"/>
      <c r="G2601" s="18"/>
      <c r="H2601" s="18"/>
    </row>
    <row r="2602" spans="1:8" x14ac:dyDescent="0.2">
      <c r="A2602" s="17"/>
      <c r="B2602" s="17"/>
      <c r="C2602" s="18"/>
      <c r="D2602" s="18"/>
      <c r="E2602" s="18"/>
      <c r="F2602" s="18"/>
      <c r="G2602" s="18"/>
      <c r="H2602" s="18"/>
    </row>
    <row r="2603" spans="1:8" x14ac:dyDescent="0.2">
      <c r="A2603" s="17"/>
      <c r="B2603" s="17"/>
      <c r="C2603" s="18"/>
      <c r="D2603" s="18"/>
      <c r="E2603" s="18"/>
      <c r="F2603" s="18"/>
      <c r="G2603" s="18"/>
      <c r="H2603" s="18"/>
    </row>
    <row r="2604" spans="1:8" x14ac:dyDescent="0.2">
      <c r="A2604" s="17"/>
      <c r="B2604" s="17"/>
      <c r="C2604" s="18"/>
      <c r="D2604" s="18"/>
      <c r="E2604" s="18"/>
      <c r="F2604" s="18"/>
      <c r="G2604" s="18"/>
      <c r="H2604" s="18"/>
    </row>
    <row r="2605" spans="1:8" x14ac:dyDescent="0.2">
      <c r="A2605" s="17"/>
      <c r="B2605" s="17"/>
      <c r="C2605" s="18"/>
      <c r="D2605" s="18"/>
      <c r="E2605" s="18"/>
      <c r="F2605" s="18"/>
      <c r="G2605" s="18"/>
      <c r="H2605" s="18"/>
    </row>
    <row r="2606" spans="1:8" x14ac:dyDescent="0.2">
      <c r="A2606" s="17"/>
      <c r="B2606" s="17"/>
      <c r="C2606" s="18"/>
      <c r="D2606" s="18"/>
      <c r="E2606" s="18"/>
      <c r="F2606" s="18"/>
      <c r="G2606" s="18"/>
      <c r="H2606" s="18"/>
    </row>
    <row r="2607" spans="1:8" x14ac:dyDescent="0.2">
      <c r="A2607" s="17"/>
      <c r="B2607" s="17"/>
      <c r="C2607" s="18"/>
      <c r="D2607" s="18"/>
      <c r="E2607" s="18"/>
      <c r="F2607" s="18"/>
      <c r="G2607" s="18"/>
      <c r="H2607" s="18"/>
    </row>
    <row r="2608" spans="1:8" x14ac:dyDescent="0.2">
      <c r="A2608" s="17"/>
      <c r="B2608" s="17"/>
      <c r="C2608" s="18"/>
      <c r="D2608" s="18"/>
      <c r="E2608" s="18"/>
      <c r="F2608" s="18"/>
      <c r="G2608" s="18"/>
      <c r="H2608" s="18"/>
    </row>
    <row r="2609" spans="1:8" x14ac:dyDescent="0.2">
      <c r="A2609" s="17"/>
      <c r="B2609" s="17"/>
      <c r="C2609" s="18"/>
      <c r="D2609" s="18"/>
      <c r="E2609" s="18"/>
      <c r="F2609" s="18"/>
      <c r="G2609" s="18"/>
      <c r="H2609" s="18"/>
    </row>
    <row r="2610" spans="1:8" x14ac:dyDescent="0.2">
      <c r="A2610" s="17"/>
      <c r="B2610" s="17"/>
      <c r="C2610" s="18"/>
      <c r="D2610" s="18"/>
      <c r="E2610" s="18"/>
      <c r="F2610" s="18"/>
      <c r="G2610" s="18"/>
      <c r="H2610" s="18"/>
    </row>
    <row r="2611" spans="1:8" x14ac:dyDescent="0.2">
      <c r="A2611" s="17"/>
      <c r="B2611" s="17"/>
      <c r="C2611" s="18"/>
      <c r="D2611" s="18"/>
      <c r="E2611" s="18"/>
      <c r="F2611" s="18"/>
      <c r="G2611" s="18"/>
      <c r="H2611" s="18"/>
    </row>
    <row r="2612" spans="1:8" x14ac:dyDescent="0.2">
      <c r="A2612" s="17"/>
      <c r="B2612" s="17"/>
      <c r="C2612" s="18"/>
      <c r="D2612" s="18"/>
      <c r="E2612" s="18"/>
      <c r="F2612" s="18"/>
      <c r="G2612" s="18"/>
      <c r="H2612" s="18"/>
    </row>
    <row r="2613" spans="1:8" x14ac:dyDescent="0.2">
      <c r="A2613" s="17"/>
      <c r="B2613" s="17"/>
      <c r="C2613" s="18"/>
      <c r="D2613" s="18"/>
      <c r="E2613" s="18"/>
      <c r="F2613" s="18"/>
      <c r="G2613" s="18"/>
      <c r="H2613" s="18"/>
    </row>
    <row r="2614" spans="1:8" x14ac:dyDescent="0.2">
      <c r="A2614" s="17"/>
      <c r="B2614" s="17"/>
      <c r="C2614" s="18"/>
      <c r="D2614" s="18"/>
      <c r="E2614" s="18"/>
      <c r="F2614" s="18"/>
      <c r="G2614" s="18"/>
      <c r="H2614" s="18"/>
    </row>
    <row r="2615" spans="1:8" x14ac:dyDescent="0.2">
      <c r="A2615" s="17"/>
      <c r="B2615" s="17"/>
      <c r="C2615" s="18"/>
      <c r="D2615" s="18"/>
      <c r="E2615" s="18"/>
      <c r="F2615" s="18"/>
      <c r="G2615" s="18"/>
      <c r="H2615" s="18"/>
    </row>
    <row r="2616" spans="1:8" x14ac:dyDescent="0.2">
      <c r="A2616" s="17"/>
      <c r="B2616" s="17"/>
      <c r="C2616" s="18"/>
      <c r="D2616" s="18"/>
      <c r="E2616" s="18"/>
      <c r="F2616" s="18"/>
      <c r="G2616" s="18"/>
      <c r="H2616" s="18"/>
    </row>
    <row r="2617" spans="1:8" x14ac:dyDescent="0.2">
      <c r="A2617" s="17"/>
      <c r="B2617" s="17"/>
      <c r="C2617" s="18"/>
      <c r="D2617" s="18"/>
      <c r="E2617" s="18"/>
      <c r="F2617" s="18"/>
      <c r="G2617" s="18"/>
      <c r="H2617" s="18"/>
    </row>
    <row r="2618" spans="1:8" x14ac:dyDescent="0.2">
      <c r="A2618" s="17"/>
      <c r="B2618" s="17"/>
      <c r="C2618" s="18"/>
      <c r="D2618" s="18"/>
      <c r="E2618" s="18"/>
      <c r="F2618" s="18"/>
      <c r="G2618" s="18"/>
      <c r="H2618" s="18"/>
    </row>
    <row r="2619" spans="1:8" x14ac:dyDescent="0.2">
      <c r="A2619" s="17"/>
      <c r="B2619" s="17"/>
      <c r="C2619" s="18"/>
      <c r="D2619" s="18"/>
      <c r="E2619" s="18"/>
      <c r="F2619" s="18"/>
      <c r="G2619" s="18"/>
      <c r="H2619" s="18"/>
    </row>
    <row r="2620" spans="1:8" x14ac:dyDescent="0.2">
      <c r="A2620" s="17"/>
      <c r="B2620" s="17"/>
      <c r="C2620" s="18"/>
      <c r="D2620" s="18"/>
      <c r="E2620" s="18"/>
      <c r="F2620" s="18"/>
      <c r="G2620" s="18"/>
      <c r="H2620" s="18"/>
    </row>
    <row r="2621" spans="1:8" x14ac:dyDescent="0.2">
      <c r="A2621" s="17"/>
      <c r="B2621" s="17"/>
      <c r="C2621" s="18"/>
      <c r="D2621" s="18"/>
      <c r="E2621" s="18"/>
      <c r="F2621" s="18"/>
      <c r="G2621" s="18"/>
      <c r="H2621" s="18"/>
    </row>
    <row r="2622" spans="1:8" x14ac:dyDescent="0.2">
      <c r="A2622" s="17"/>
      <c r="B2622" s="17"/>
      <c r="C2622" s="18"/>
      <c r="D2622" s="18"/>
      <c r="E2622" s="18"/>
      <c r="F2622" s="18"/>
      <c r="G2622" s="18"/>
      <c r="H2622" s="18"/>
    </row>
    <row r="2623" spans="1:8" x14ac:dyDescent="0.2">
      <c r="A2623" s="17"/>
      <c r="B2623" s="17"/>
      <c r="C2623" s="18"/>
      <c r="D2623" s="18"/>
      <c r="E2623" s="18"/>
      <c r="F2623" s="18"/>
      <c r="G2623" s="18"/>
      <c r="H2623" s="18"/>
    </row>
    <row r="2624" spans="1:8" x14ac:dyDescent="0.2">
      <c r="A2624" s="17"/>
      <c r="B2624" s="17"/>
      <c r="C2624" s="18"/>
      <c r="D2624" s="18"/>
      <c r="E2624" s="18"/>
      <c r="F2624" s="18"/>
      <c r="G2624" s="18"/>
      <c r="H2624" s="18"/>
    </row>
    <row r="2625" spans="1:8" x14ac:dyDescent="0.2">
      <c r="A2625" s="17"/>
      <c r="B2625" s="17"/>
      <c r="C2625" s="18"/>
      <c r="D2625" s="18"/>
      <c r="E2625" s="18"/>
      <c r="F2625" s="18"/>
      <c r="G2625" s="18"/>
      <c r="H2625" s="18"/>
    </row>
    <row r="2626" spans="1:8" x14ac:dyDescent="0.2">
      <c r="A2626" s="17"/>
      <c r="B2626" s="17"/>
      <c r="C2626" s="18"/>
      <c r="D2626" s="18"/>
      <c r="E2626" s="18"/>
      <c r="F2626" s="18"/>
      <c r="G2626" s="18"/>
      <c r="H2626" s="18"/>
    </row>
    <row r="2627" spans="1:8" x14ac:dyDescent="0.2">
      <c r="A2627" s="17"/>
      <c r="B2627" s="17"/>
      <c r="C2627" s="18"/>
      <c r="D2627" s="18"/>
      <c r="E2627" s="18"/>
      <c r="F2627" s="18"/>
      <c r="G2627" s="18"/>
      <c r="H2627" s="18"/>
    </row>
    <row r="2628" spans="1:8" x14ac:dyDescent="0.2">
      <c r="A2628" s="17"/>
      <c r="B2628" s="17"/>
      <c r="C2628" s="18"/>
      <c r="D2628" s="18"/>
      <c r="E2628" s="18"/>
      <c r="F2628" s="18"/>
      <c r="G2628" s="18"/>
      <c r="H2628" s="18"/>
    </row>
    <row r="2629" spans="1:8" x14ac:dyDescent="0.2">
      <c r="A2629" s="17"/>
      <c r="B2629" s="17"/>
      <c r="C2629" s="18"/>
      <c r="D2629" s="18"/>
      <c r="E2629" s="18"/>
      <c r="F2629" s="18"/>
      <c r="G2629" s="18"/>
      <c r="H2629" s="18"/>
    </row>
    <row r="2630" spans="1:8" x14ac:dyDescent="0.2">
      <c r="A2630" s="17"/>
      <c r="B2630" s="17"/>
      <c r="C2630" s="18"/>
      <c r="D2630" s="18"/>
      <c r="E2630" s="18"/>
      <c r="F2630" s="18"/>
      <c r="G2630" s="18"/>
      <c r="H2630" s="18"/>
    </row>
    <row r="2631" spans="1:8" x14ac:dyDescent="0.2">
      <c r="A2631" s="17"/>
      <c r="B2631" s="17"/>
      <c r="C2631" s="18"/>
      <c r="D2631" s="18"/>
      <c r="E2631" s="18"/>
      <c r="F2631" s="18"/>
      <c r="G2631" s="18"/>
      <c r="H2631" s="18"/>
    </row>
    <row r="2632" spans="1:8" x14ac:dyDescent="0.2">
      <c r="A2632" s="17"/>
      <c r="B2632" s="17"/>
      <c r="C2632" s="18"/>
      <c r="D2632" s="18"/>
      <c r="E2632" s="18"/>
      <c r="F2632" s="18"/>
      <c r="G2632" s="18"/>
      <c r="H2632" s="18"/>
    </row>
    <row r="2633" spans="1:8" x14ac:dyDescent="0.2">
      <c r="A2633" s="17"/>
      <c r="B2633" s="17"/>
      <c r="C2633" s="18"/>
      <c r="D2633" s="18"/>
      <c r="E2633" s="18"/>
      <c r="F2633" s="18"/>
      <c r="G2633" s="18"/>
      <c r="H2633" s="18"/>
    </row>
    <row r="2634" spans="1:8" x14ac:dyDescent="0.2">
      <c r="A2634" s="17"/>
      <c r="B2634" s="17"/>
      <c r="C2634" s="18"/>
      <c r="D2634" s="18"/>
      <c r="E2634" s="18"/>
      <c r="F2634" s="18"/>
      <c r="G2634" s="18"/>
      <c r="H2634" s="18"/>
    </row>
    <row r="2635" spans="1:8" x14ac:dyDescent="0.2">
      <c r="A2635" s="17"/>
      <c r="B2635" s="17"/>
      <c r="C2635" s="18"/>
      <c r="D2635" s="18"/>
      <c r="E2635" s="18"/>
      <c r="F2635" s="18"/>
      <c r="G2635" s="18"/>
      <c r="H2635" s="18"/>
    </row>
    <row r="2636" spans="1:8" x14ac:dyDescent="0.2">
      <c r="A2636" s="17"/>
      <c r="B2636" s="17"/>
      <c r="C2636" s="18"/>
      <c r="D2636" s="18"/>
      <c r="E2636" s="18"/>
      <c r="F2636" s="18"/>
      <c r="G2636" s="18"/>
      <c r="H2636" s="18"/>
    </row>
    <row r="2637" spans="1:8" x14ac:dyDescent="0.2">
      <c r="A2637" s="17"/>
      <c r="B2637" s="17"/>
      <c r="C2637" s="18"/>
      <c r="D2637" s="18"/>
      <c r="E2637" s="18"/>
      <c r="F2637" s="18"/>
      <c r="G2637" s="18"/>
      <c r="H2637" s="18"/>
    </row>
    <row r="2638" spans="1:8" x14ac:dyDescent="0.2">
      <c r="A2638" s="17"/>
      <c r="B2638" s="17"/>
      <c r="C2638" s="18"/>
      <c r="D2638" s="18"/>
      <c r="E2638" s="18"/>
      <c r="F2638" s="18"/>
      <c r="G2638" s="18"/>
      <c r="H2638" s="18"/>
    </row>
    <row r="2639" spans="1:8" x14ac:dyDescent="0.2">
      <c r="A2639" s="17"/>
      <c r="B2639" s="17"/>
      <c r="C2639" s="18"/>
      <c r="D2639" s="18"/>
      <c r="E2639" s="18"/>
      <c r="F2639" s="18"/>
      <c r="G2639" s="18"/>
      <c r="H2639" s="18"/>
    </row>
    <row r="2640" spans="1:8" x14ac:dyDescent="0.2">
      <c r="A2640" s="17"/>
      <c r="B2640" s="17"/>
      <c r="C2640" s="18"/>
      <c r="D2640" s="18"/>
      <c r="E2640" s="18"/>
      <c r="F2640" s="18"/>
      <c r="G2640" s="18"/>
      <c r="H2640" s="18"/>
    </row>
    <row r="2641" spans="1:8" x14ac:dyDescent="0.2">
      <c r="A2641" s="17"/>
      <c r="B2641" s="17"/>
      <c r="C2641" s="18"/>
      <c r="D2641" s="18"/>
      <c r="E2641" s="18"/>
      <c r="F2641" s="18"/>
      <c r="G2641" s="18"/>
      <c r="H2641" s="18"/>
    </row>
    <row r="2642" spans="1:8" x14ac:dyDescent="0.2">
      <c r="A2642" s="17"/>
      <c r="B2642" s="17"/>
      <c r="C2642" s="18"/>
      <c r="D2642" s="18"/>
      <c r="E2642" s="18"/>
      <c r="F2642" s="18"/>
      <c r="G2642" s="18"/>
      <c r="H2642" s="18"/>
    </row>
    <row r="2643" spans="1:8" x14ac:dyDescent="0.2">
      <c r="A2643" s="17"/>
      <c r="B2643" s="17"/>
      <c r="C2643" s="18"/>
      <c r="D2643" s="18"/>
      <c r="E2643" s="18"/>
      <c r="F2643" s="18"/>
      <c r="G2643" s="18"/>
      <c r="H2643" s="18"/>
    </row>
    <row r="2644" spans="1:8" x14ac:dyDescent="0.2">
      <c r="A2644" s="17"/>
      <c r="B2644" s="17"/>
      <c r="C2644" s="18"/>
      <c r="D2644" s="18"/>
      <c r="E2644" s="18"/>
      <c r="F2644" s="18"/>
      <c r="G2644" s="18"/>
      <c r="H2644" s="18"/>
    </row>
    <row r="2645" spans="1:8" x14ac:dyDescent="0.2">
      <c r="A2645" s="17"/>
      <c r="B2645" s="17"/>
      <c r="C2645" s="18"/>
      <c r="D2645" s="18"/>
      <c r="E2645" s="18"/>
      <c r="F2645" s="18"/>
      <c r="G2645" s="18"/>
      <c r="H2645" s="18"/>
    </row>
    <row r="2646" spans="1:8" x14ac:dyDescent="0.2">
      <c r="A2646" s="17"/>
      <c r="B2646" s="17"/>
      <c r="C2646" s="18"/>
      <c r="D2646" s="18"/>
      <c r="E2646" s="18"/>
      <c r="F2646" s="18"/>
      <c r="G2646" s="18"/>
      <c r="H2646" s="18"/>
    </row>
    <row r="2647" spans="1:8" x14ac:dyDescent="0.2">
      <c r="A2647" s="17"/>
      <c r="B2647" s="17"/>
      <c r="C2647" s="18"/>
      <c r="D2647" s="18"/>
      <c r="E2647" s="18"/>
      <c r="F2647" s="18"/>
      <c r="G2647" s="18"/>
      <c r="H2647" s="18"/>
    </row>
    <row r="2648" spans="1:8" x14ac:dyDescent="0.2">
      <c r="A2648" s="17"/>
      <c r="B2648" s="17"/>
      <c r="C2648" s="18"/>
      <c r="D2648" s="18"/>
      <c r="E2648" s="18"/>
      <c r="F2648" s="18"/>
      <c r="G2648" s="18"/>
      <c r="H2648" s="18"/>
    </row>
    <row r="2649" spans="1:8" x14ac:dyDescent="0.2">
      <c r="A2649" s="17"/>
      <c r="B2649" s="17"/>
      <c r="C2649" s="18"/>
      <c r="D2649" s="18"/>
      <c r="E2649" s="18"/>
      <c r="F2649" s="18"/>
      <c r="G2649" s="18"/>
      <c r="H2649" s="18"/>
    </row>
    <row r="2650" spans="1:8" x14ac:dyDescent="0.2">
      <c r="A2650" s="17"/>
      <c r="B2650" s="17"/>
      <c r="C2650" s="18"/>
      <c r="D2650" s="18"/>
      <c r="E2650" s="18"/>
      <c r="F2650" s="18"/>
      <c r="G2650" s="18"/>
      <c r="H2650" s="18"/>
    </row>
    <row r="2651" spans="1:8" x14ac:dyDescent="0.2">
      <c r="A2651" s="17"/>
      <c r="B2651" s="17"/>
      <c r="C2651" s="18"/>
      <c r="D2651" s="18"/>
      <c r="E2651" s="18"/>
      <c r="F2651" s="18"/>
      <c r="G2651" s="18"/>
      <c r="H2651" s="18"/>
    </row>
    <row r="2652" spans="1:8" x14ac:dyDescent="0.2">
      <c r="A2652" s="17"/>
      <c r="B2652" s="17"/>
      <c r="C2652" s="18"/>
      <c r="D2652" s="18"/>
      <c r="E2652" s="18"/>
      <c r="F2652" s="18"/>
      <c r="G2652" s="18"/>
      <c r="H2652" s="18"/>
    </row>
    <row r="2653" spans="1:8" x14ac:dyDescent="0.2">
      <c r="A2653" s="17"/>
      <c r="B2653" s="17"/>
      <c r="C2653" s="18"/>
      <c r="D2653" s="18"/>
      <c r="E2653" s="18"/>
      <c r="F2653" s="18"/>
      <c r="G2653" s="18"/>
      <c r="H2653" s="18"/>
    </row>
    <row r="2654" spans="1:8" x14ac:dyDescent="0.2">
      <c r="A2654" s="17"/>
      <c r="B2654" s="17"/>
      <c r="C2654" s="18"/>
      <c r="D2654" s="18"/>
      <c r="E2654" s="18"/>
      <c r="F2654" s="18"/>
      <c r="G2654" s="18"/>
      <c r="H2654" s="18"/>
    </row>
    <row r="2655" spans="1:8" x14ac:dyDescent="0.2">
      <c r="A2655" s="17"/>
      <c r="B2655" s="17"/>
      <c r="C2655" s="18"/>
      <c r="D2655" s="18"/>
      <c r="E2655" s="18"/>
      <c r="F2655" s="18"/>
      <c r="G2655" s="18"/>
      <c r="H2655" s="18"/>
    </row>
    <row r="2656" spans="1:8" x14ac:dyDescent="0.2">
      <c r="A2656" s="17"/>
      <c r="B2656" s="17"/>
      <c r="C2656" s="18"/>
      <c r="D2656" s="18"/>
      <c r="E2656" s="18"/>
      <c r="F2656" s="18"/>
      <c r="G2656" s="18"/>
      <c r="H2656" s="18"/>
    </row>
    <row r="2657" spans="1:8" x14ac:dyDescent="0.2">
      <c r="A2657" s="17"/>
      <c r="B2657" s="17"/>
      <c r="C2657" s="18"/>
      <c r="D2657" s="18"/>
      <c r="E2657" s="18"/>
      <c r="F2657" s="18"/>
      <c r="G2657" s="18"/>
      <c r="H2657" s="18"/>
    </row>
    <row r="2658" spans="1:8" x14ac:dyDescent="0.2">
      <c r="A2658" s="17"/>
      <c r="B2658" s="17"/>
      <c r="C2658" s="18"/>
      <c r="D2658" s="18"/>
      <c r="E2658" s="18"/>
      <c r="F2658" s="18"/>
      <c r="G2658" s="18"/>
      <c r="H2658" s="18"/>
    </row>
    <row r="2659" spans="1:8" x14ac:dyDescent="0.2">
      <c r="A2659" s="17"/>
      <c r="B2659" s="17"/>
      <c r="C2659" s="18"/>
      <c r="D2659" s="18"/>
      <c r="E2659" s="18"/>
      <c r="F2659" s="18"/>
      <c r="G2659" s="18"/>
      <c r="H2659" s="18"/>
    </row>
    <row r="2660" spans="1:8" x14ac:dyDescent="0.2">
      <c r="A2660" s="17"/>
      <c r="B2660" s="17"/>
      <c r="C2660" s="18"/>
      <c r="D2660" s="18"/>
      <c r="E2660" s="18"/>
      <c r="F2660" s="18"/>
      <c r="G2660" s="18"/>
      <c r="H2660" s="18"/>
    </row>
    <row r="2661" spans="1:8" x14ac:dyDescent="0.2">
      <c r="A2661" s="17"/>
      <c r="B2661" s="17"/>
      <c r="C2661" s="18"/>
      <c r="D2661" s="18"/>
      <c r="E2661" s="18"/>
      <c r="F2661" s="18"/>
      <c r="G2661" s="18"/>
      <c r="H2661" s="18"/>
    </row>
    <row r="2662" spans="1:8" x14ac:dyDescent="0.2">
      <c r="A2662" s="17"/>
      <c r="B2662" s="17"/>
      <c r="C2662" s="18"/>
      <c r="D2662" s="18"/>
      <c r="E2662" s="18"/>
      <c r="F2662" s="18"/>
      <c r="G2662" s="18"/>
      <c r="H2662" s="18"/>
    </row>
    <row r="2663" spans="1:8" x14ac:dyDescent="0.2">
      <c r="A2663" s="17"/>
      <c r="B2663" s="17"/>
      <c r="C2663" s="18"/>
      <c r="D2663" s="18"/>
      <c r="E2663" s="18"/>
      <c r="F2663" s="18"/>
      <c r="G2663" s="18"/>
      <c r="H2663" s="18"/>
    </row>
    <row r="2664" spans="1:8" x14ac:dyDescent="0.2">
      <c r="A2664" s="17"/>
      <c r="B2664" s="17"/>
      <c r="C2664" s="18"/>
      <c r="D2664" s="18"/>
      <c r="E2664" s="18"/>
      <c r="F2664" s="18"/>
      <c r="G2664" s="18"/>
      <c r="H2664" s="18"/>
    </row>
    <row r="2665" spans="1:8" x14ac:dyDescent="0.2">
      <c r="A2665" s="17"/>
      <c r="B2665" s="17"/>
      <c r="C2665" s="18"/>
      <c r="D2665" s="18"/>
      <c r="E2665" s="18"/>
      <c r="F2665" s="18"/>
      <c r="G2665" s="18"/>
      <c r="H2665" s="18"/>
    </row>
    <row r="2666" spans="1:8" x14ac:dyDescent="0.2">
      <c r="A2666" s="17"/>
      <c r="B2666" s="17"/>
      <c r="C2666" s="18"/>
      <c r="D2666" s="18"/>
      <c r="E2666" s="18"/>
      <c r="F2666" s="18"/>
      <c r="G2666" s="18"/>
      <c r="H2666" s="18"/>
    </row>
    <row r="2667" spans="1:8" x14ac:dyDescent="0.2">
      <c r="A2667" s="17"/>
      <c r="B2667" s="17"/>
      <c r="C2667" s="18"/>
      <c r="D2667" s="18"/>
      <c r="E2667" s="18"/>
      <c r="F2667" s="18"/>
      <c r="G2667" s="18"/>
      <c r="H2667" s="18"/>
    </row>
    <row r="2668" spans="1:8" x14ac:dyDescent="0.2">
      <c r="A2668" s="17"/>
      <c r="B2668" s="17"/>
      <c r="C2668" s="18"/>
      <c r="D2668" s="18"/>
      <c r="E2668" s="18"/>
      <c r="F2668" s="18"/>
      <c r="G2668" s="18"/>
      <c r="H2668" s="18"/>
    </row>
    <row r="2669" spans="1:8" x14ac:dyDescent="0.2">
      <c r="A2669" s="17"/>
      <c r="B2669" s="17"/>
      <c r="C2669" s="18"/>
      <c r="D2669" s="18"/>
      <c r="E2669" s="18"/>
      <c r="F2669" s="18"/>
      <c r="G2669" s="18"/>
      <c r="H2669" s="18"/>
    </row>
    <row r="2670" spans="1:8" x14ac:dyDescent="0.2">
      <c r="A2670" s="17"/>
      <c r="B2670" s="17"/>
      <c r="C2670" s="18"/>
      <c r="D2670" s="18"/>
      <c r="E2670" s="18"/>
      <c r="F2670" s="18"/>
      <c r="G2670" s="18"/>
      <c r="H2670" s="18"/>
    </row>
    <row r="2671" spans="1:8" x14ac:dyDescent="0.2">
      <c r="A2671" s="17"/>
      <c r="B2671" s="17"/>
      <c r="C2671" s="18"/>
      <c r="D2671" s="18"/>
      <c r="E2671" s="18"/>
      <c r="F2671" s="18"/>
      <c r="G2671" s="18"/>
      <c r="H2671" s="18"/>
    </row>
    <row r="2672" spans="1:8" x14ac:dyDescent="0.2">
      <c r="A2672" s="17"/>
      <c r="B2672" s="17"/>
      <c r="C2672" s="18"/>
      <c r="D2672" s="18"/>
      <c r="E2672" s="18"/>
      <c r="F2672" s="18"/>
      <c r="G2672" s="18"/>
      <c r="H2672" s="18"/>
    </row>
    <row r="2673" spans="1:8" x14ac:dyDescent="0.2">
      <c r="A2673" s="17"/>
      <c r="B2673" s="17"/>
      <c r="C2673" s="18"/>
      <c r="D2673" s="18"/>
      <c r="E2673" s="18"/>
      <c r="F2673" s="18"/>
      <c r="G2673" s="18"/>
      <c r="H2673" s="18"/>
    </row>
    <row r="2674" spans="1:8" x14ac:dyDescent="0.2">
      <c r="A2674" s="17"/>
      <c r="B2674" s="17"/>
      <c r="C2674" s="18"/>
      <c r="D2674" s="18"/>
      <c r="E2674" s="18"/>
      <c r="F2674" s="18"/>
      <c r="G2674" s="18"/>
      <c r="H2674" s="18"/>
    </row>
    <row r="2675" spans="1:8" x14ac:dyDescent="0.2">
      <c r="A2675" s="17"/>
      <c r="B2675" s="17"/>
      <c r="C2675" s="18"/>
      <c r="D2675" s="18"/>
      <c r="E2675" s="18"/>
      <c r="F2675" s="18"/>
      <c r="G2675" s="18"/>
      <c r="H2675" s="18"/>
    </row>
    <row r="2676" spans="1:8" x14ac:dyDescent="0.2">
      <c r="A2676" s="17"/>
      <c r="B2676" s="17"/>
      <c r="C2676" s="18"/>
      <c r="D2676" s="18"/>
      <c r="E2676" s="18"/>
      <c r="F2676" s="18"/>
      <c r="G2676" s="18"/>
      <c r="H2676" s="18"/>
    </row>
    <row r="2677" spans="1:8" x14ac:dyDescent="0.2">
      <c r="A2677" s="17"/>
      <c r="B2677" s="17"/>
      <c r="C2677" s="18"/>
      <c r="D2677" s="18"/>
      <c r="E2677" s="18"/>
      <c r="F2677" s="18"/>
      <c r="G2677" s="18"/>
      <c r="H2677" s="18"/>
    </row>
    <row r="2678" spans="1:8" x14ac:dyDescent="0.2">
      <c r="A2678" s="17"/>
      <c r="B2678" s="17"/>
      <c r="C2678" s="18"/>
      <c r="D2678" s="18"/>
      <c r="E2678" s="18"/>
      <c r="F2678" s="18"/>
      <c r="G2678" s="18"/>
      <c r="H2678" s="18"/>
    </row>
    <row r="2679" spans="1:8" x14ac:dyDescent="0.2">
      <c r="A2679" s="17"/>
      <c r="B2679" s="17"/>
      <c r="C2679" s="18"/>
      <c r="D2679" s="18"/>
      <c r="E2679" s="18"/>
      <c r="F2679" s="18"/>
      <c r="G2679" s="18"/>
      <c r="H2679" s="18"/>
    </row>
    <row r="2680" spans="1:8" x14ac:dyDescent="0.2">
      <c r="A2680" s="17"/>
      <c r="B2680" s="17"/>
      <c r="C2680" s="18"/>
      <c r="D2680" s="18"/>
      <c r="E2680" s="18"/>
      <c r="F2680" s="18"/>
      <c r="G2680" s="18"/>
      <c r="H2680" s="18"/>
    </row>
    <row r="2681" spans="1:8" x14ac:dyDescent="0.2">
      <c r="A2681" s="17"/>
      <c r="B2681" s="17"/>
      <c r="C2681" s="18"/>
      <c r="D2681" s="18"/>
      <c r="E2681" s="18"/>
      <c r="F2681" s="18"/>
      <c r="G2681" s="18"/>
      <c r="H2681" s="18"/>
    </row>
    <row r="2682" spans="1:8" x14ac:dyDescent="0.2">
      <c r="A2682" s="17"/>
      <c r="B2682" s="17"/>
      <c r="C2682" s="18"/>
      <c r="D2682" s="18"/>
      <c r="E2682" s="18"/>
      <c r="F2682" s="18"/>
      <c r="G2682" s="18"/>
      <c r="H2682" s="18"/>
    </row>
    <row r="2683" spans="1:8" x14ac:dyDescent="0.2">
      <c r="A2683" s="17"/>
      <c r="B2683" s="17"/>
      <c r="C2683" s="18"/>
      <c r="D2683" s="18"/>
      <c r="E2683" s="18"/>
      <c r="F2683" s="18"/>
      <c r="G2683" s="18"/>
      <c r="H2683" s="18"/>
    </row>
    <row r="2684" spans="1:8" x14ac:dyDescent="0.2">
      <c r="A2684" s="17"/>
      <c r="B2684" s="17"/>
      <c r="C2684" s="18"/>
      <c r="D2684" s="18"/>
      <c r="E2684" s="18"/>
      <c r="F2684" s="18"/>
      <c r="G2684" s="18"/>
      <c r="H2684" s="18"/>
    </row>
    <row r="2685" spans="1:8" x14ac:dyDescent="0.2">
      <c r="A2685" s="17"/>
      <c r="B2685" s="17"/>
      <c r="C2685" s="18"/>
      <c r="D2685" s="18"/>
      <c r="E2685" s="18"/>
      <c r="F2685" s="18"/>
      <c r="G2685" s="18"/>
      <c r="H2685" s="18"/>
    </row>
    <row r="2686" spans="1:8" x14ac:dyDescent="0.2">
      <c r="A2686" s="17"/>
      <c r="B2686" s="17"/>
      <c r="C2686" s="18"/>
      <c r="D2686" s="18"/>
      <c r="E2686" s="18"/>
      <c r="F2686" s="18"/>
      <c r="G2686" s="18"/>
      <c r="H2686" s="18"/>
    </row>
    <row r="2687" spans="1:8" x14ac:dyDescent="0.2">
      <c r="A2687" s="17"/>
      <c r="B2687" s="17"/>
      <c r="C2687" s="18"/>
      <c r="D2687" s="18"/>
      <c r="E2687" s="18"/>
      <c r="F2687" s="18"/>
      <c r="G2687" s="18"/>
      <c r="H2687" s="18"/>
    </row>
    <row r="2688" spans="1:8" x14ac:dyDescent="0.2">
      <c r="A2688" s="17"/>
      <c r="B2688" s="17"/>
      <c r="C2688" s="18"/>
      <c r="D2688" s="18"/>
      <c r="E2688" s="18"/>
      <c r="F2688" s="18"/>
      <c r="G2688" s="18"/>
      <c r="H2688" s="18"/>
    </row>
    <row r="2689" spans="1:8" x14ac:dyDescent="0.2">
      <c r="A2689" s="17"/>
      <c r="B2689" s="17"/>
      <c r="C2689" s="18"/>
      <c r="D2689" s="18"/>
      <c r="E2689" s="18"/>
      <c r="F2689" s="18"/>
      <c r="G2689" s="18"/>
      <c r="H2689" s="18"/>
    </row>
    <row r="2690" spans="1:8" x14ac:dyDescent="0.2">
      <c r="A2690" s="17"/>
      <c r="B2690" s="17"/>
      <c r="C2690" s="18"/>
      <c r="D2690" s="18"/>
      <c r="E2690" s="18"/>
      <c r="F2690" s="18"/>
      <c r="G2690" s="18"/>
      <c r="H2690" s="18"/>
    </row>
    <row r="2691" spans="1:8" x14ac:dyDescent="0.2">
      <c r="A2691" s="17"/>
      <c r="B2691" s="17"/>
      <c r="C2691" s="18"/>
      <c r="D2691" s="18"/>
      <c r="E2691" s="18"/>
      <c r="F2691" s="18"/>
      <c r="G2691" s="18"/>
      <c r="H2691" s="18"/>
    </row>
    <row r="2692" spans="1:8" x14ac:dyDescent="0.2">
      <c r="A2692" s="17"/>
      <c r="B2692" s="17"/>
      <c r="C2692" s="18"/>
      <c r="D2692" s="18"/>
      <c r="E2692" s="18"/>
      <c r="F2692" s="18"/>
      <c r="G2692" s="18"/>
      <c r="H2692" s="18"/>
    </row>
    <row r="2693" spans="1:8" x14ac:dyDescent="0.2">
      <c r="A2693" s="17"/>
      <c r="B2693" s="17"/>
      <c r="C2693" s="18"/>
      <c r="D2693" s="18"/>
      <c r="E2693" s="18"/>
      <c r="F2693" s="18"/>
      <c r="G2693" s="18"/>
      <c r="H2693" s="18"/>
    </row>
    <row r="2694" spans="1:8" x14ac:dyDescent="0.2">
      <c r="A2694" s="17"/>
      <c r="B2694" s="17"/>
      <c r="C2694" s="18"/>
      <c r="D2694" s="18"/>
      <c r="E2694" s="18"/>
      <c r="F2694" s="18"/>
      <c r="G2694" s="18"/>
      <c r="H2694" s="18"/>
    </row>
    <row r="2695" spans="1:8" x14ac:dyDescent="0.2">
      <c r="A2695" s="17"/>
      <c r="B2695" s="17"/>
      <c r="C2695" s="18"/>
      <c r="D2695" s="18"/>
      <c r="E2695" s="18"/>
      <c r="F2695" s="18"/>
      <c r="G2695" s="18"/>
      <c r="H2695" s="18"/>
    </row>
    <row r="2696" spans="1:8" x14ac:dyDescent="0.2">
      <c r="A2696" s="17"/>
      <c r="B2696" s="17"/>
      <c r="C2696" s="18"/>
      <c r="D2696" s="18"/>
      <c r="E2696" s="18"/>
      <c r="F2696" s="18"/>
      <c r="G2696" s="18"/>
      <c r="H2696" s="18"/>
    </row>
    <row r="2697" spans="1:8" x14ac:dyDescent="0.2">
      <c r="A2697" s="17"/>
      <c r="B2697" s="17"/>
      <c r="C2697" s="18"/>
      <c r="D2697" s="18"/>
      <c r="E2697" s="18"/>
      <c r="F2697" s="18"/>
      <c r="G2697" s="18"/>
      <c r="H2697" s="18"/>
    </row>
    <row r="2698" spans="1:8" x14ac:dyDescent="0.2">
      <c r="A2698" s="17"/>
      <c r="B2698" s="17"/>
      <c r="C2698" s="18"/>
      <c r="D2698" s="18"/>
      <c r="E2698" s="18"/>
      <c r="F2698" s="18"/>
      <c r="G2698" s="18"/>
      <c r="H2698" s="18"/>
    </row>
    <row r="2699" spans="1:8" x14ac:dyDescent="0.2">
      <c r="A2699" s="17"/>
      <c r="B2699" s="17"/>
      <c r="C2699" s="18"/>
      <c r="D2699" s="18"/>
      <c r="E2699" s="18"/>
      <c r="F2699" s="18"/>
      <c r="G2699" s="18"/>
      <c r="H2699" s="18"/>
    </row>
    <row r="2700" spans="1:8" x14ac:dyDescent="0.2">
      <c r="A2700" s="17"/>
      <c r="B2700" s="17"/>
      <c r="C2700" s="18"/>
      <c r="D2700" s="18"/>
      <c r="E2700" s="18"/>
      <c r="F2700" s="18"/>
      <c r="G2700" s="18"/>
      <c r="H2700" s="18"/>
    </row>
    <row r="2701" spans="1:8" x14ac:dyDescent="0.2">
      <c r="A2701" s="17"/>
      <c r="B2701" s="17"/>
      <c r="C2701" s="18"/>
      <c r="D2701" s="18"/>
      <c r="E2701" s="18"/>
      <c r="F2701" s="18"/>
      <c r="G2701" s="18"/>
      <c r="H2701" s="18"/>
    </row>
    <row r="2702" spans="1:8" x14ac:dyDescent="0.2">
      <c r="A2702" s="17"/>
      <c r="B2702" s="17"/>
      <c r="C2702" s="18"/>
      <c r="D2702" s="18"/>
      <c r="E2702" s="18"/>
      <c r="F2702" s="18"/>
      <c r="G2702" s="18"/>
      <c r="H2702" s="18"/>
    </row>
    <row r="2703" spans="1:8" x14ac:dyDescent="0.2">
      <c r="A2703" s="17"/>
      <c r="B2703" s="17"/>
      <c r="C2703" s="18"/>
      <c r="D2703" s="18"/>
      <c r="E2703" s="18"/>
      <c r="F2703" s="18"/>
      <c r="G2703" s="18"/>
      <c r="H2703" s="18"/>
    </row>
    <row r="2704" spans="1:8" x14ac:dyDescent="0.2">
      <c r="A2704" s="17"/>
      <c r="B2704" s="17"/>
      <c r="C2704" s="18"/>
      <c r="D2704" s="18"/>
      <c r="E2704" s="18"/>
      <c r="F2704" s="18"/>
      <c r="G2704" s="18"/>
      <c r="H2704" s="18"/>
    </row>
    <row r="2705" spans="1:8" x14ac:dyDescent="0.2">
      <c r="A2705" s="17"/>
      <c r="B2705" s="17"/>
      <c r="C2705" s="18"/>
      <c r="D2705" s="18"/>
      <c r="E2705" s="18"/>
      <c r="F2705" s="18"/>
      <c r="G2705" s="18"/>
      <c r="H2705" s="18"/>
    </row>
    <row r="2706" spans="1:8" x14ac:dyDescent="0.2">
      <c r="A2706" s="17"/>
      <c r="B2706" s="17"/>
      <c r="C2706" s="18"/>
      <c r="D2706" s="18"/>
      <c r="E2706" s="18"/>
      <c r="F2706" s="18"/>
      <c r="G2706" s="18"/>
      <c r="H2706" s="18"/>
    </row>
    <row r="2707" spans="1:8" x14ac:dyDescent="0.2">
      <c r="A2707" s="17"/>
      <c r="B2707" s="17"/>
      <c r="C2707" s="18"/>
      <c r="D2707" s="18"/>
      <c r="E2707" s="18"/>
      <c r="F2707" s="18"/>
      <c r="G2707" s="18"/>
      <c r="H2707" s="18"/>
    </row>
    <row r="2708" spans="1:8" x14ac:dyDescent="0.2">
      <c r="A2708" s="17"/>
      <c r="B2708" s="17"/>
      <c r="C2708" s="18"/>
      <c r="D2708" s="18"/>
      <c r="E2708" s="18"/>
      <c r="F2708" s="18"/>
      <c r="G2708" s="18"/>
      <c r="H2708" s="18"/>
    </row>
    <row r="2709" spans="1:8" x14ac:dyDescent="0.2">
      <c r="A2709" s="17"/>
      <c r="B2709" s="17"/>
      <c r="C2709" s="18"/>
      <c r="D2709" s="18"/>
      <c r="E2709" s="18"/>
      <c r="F2709" s="18"/>
      <c r="G2709" s="18"/>
      <c r="H2709" s="18"/>
    </row>
    <row r="2710" spans="1:8" x14ac:dyDescent="0.2">
      <c r="A2710" s="17"/>
      <c r="B2710" s="17"/>
      <c r="C2710" s="18"/>
      <c r="D2710" s="18"/>
      <c r="E2710" s="18"/>
      <c r="F2710" s="18"/>
      <c r="G2710" s="18"/>
      <c r="H2710" s="18"/>
    </row>
    <row r="2711" spans="1:8" x14ac:dyDescent="0.2">
      <c r="A2711" s="17"/>
      <c r="B2711" s="17"/>
      <c r="C2711" s="18"/>
      <c r="D2711" s="18"/>
      <c r="E2711" s="18"/>
      <c r="F2711" s="18"/>
      <c r="G2711" s="18"/>
      <c r="H2711" s="18"/>
    </row>
    <row r="2712" spans="1:8" x14ac:dyDescent="0.2">
      <c r="A2712" s="17"/>
      <c r="B2712" s="17"/>
      <c r="C2712" s="18"/>
      <c r="D2712" s="18"/>
      <c r="E2712" s="18"/>
      <c r="F2712" s="18"/>
      <c r="G2712" s="18"/>
      <c r="H2712" s="18"/>
    </row>
    <row r="2713" spans="1:8" x14ac:dyDescent="0.2">
      <c r="A2713" s="17"/>
      <c r="B2713" s="17"/>
      <c r="C2713" s="18"/>
      <c r="D2713" s="18"/>
      <c r="E2713" s="18"/>
      <c r="F2713" s="18"/>
      <c r="G2713" s="18"/>
      <c r="H2713" s="18"/>
    </row>
    <row r="2714" spans="1:8" x14ac:dyDescent="0.2">
      <c r="A2714" s="17"/>
      <c r="B2714" s="17"/>
      <c r="C2714" s="18"/>
      <c r="D2714" s="18"/>
      <c r="E2714" s="18"/>
      <c r="F2714" s="18"/>
      <c r="G2714" s="18"/>
      <c r="H2714" s="18"/>
    </row>
    <row r="2715" spans="1:8" x14ac:dyDescent="0.2">
      <c r="A2715" s="17"/>
      <c r="B2715" s="17"/>
      <c r="C2715" s="18"/>
      <c r="D2715" s="18"/>
      <c r="E2715" s="18"/>
      <c r="F2715" s="18"/>
      <c r="G2715" s="18"/>
      <c r="H2715" s="18"/>
    </row>
    <row r="2716" spans="1:8" x14ac:dyDescent="0.2">
      <c r="A2716" s="17"/>
      <c r="B2716" s="17"/>
      <c r="C2716" s="18"/>
      <c r="D2716" s="18"/>
      <c r="E2716" s="18"/>
      <c r="F2716" s="18"/>
      <c r="G2716" s="18"/>
      <c r="H2716" s="18"/>
    </row>
    <row r="2717" spans="1:8" x14ac:dyDescent="0.2">
      <c r="A2717" s="17"/>
      <c r="B2717" s="17"/>
      <c r="C2717" s="18"/>
      <c r="D2717" s="18"/>
      <c r="E2717" s="18"/>
      <c r="F2717" s="18"/>
      <c r="G2717" s="18"/>
      <c r="H2717" s="18"/>
    </row>
    <row r="2718" spans="1:8" x14ac:dyDescent="0.2">
      <c r="A2718" s="17"/>
      <c r="B2718" s="17"/>
      <c r="C2718" s="18"/>
      <c r="D2718" s="18"/>
      <c r="E2718" s="18"/>
      <c r="F2718" s="18"/>
      <c r="G2718" s="18"/>
      <c r="H2718" s="18"/>
    </row>
    <row r="2719" spans="1:8" x14ac:dyDescent="0.2">
      <c r="A2719" s="17"/>
      <c r="B2719" s="17"/>
      <c r="C2719" s="18"/>
      <c r="D2719" s="18"/>
      <c r="E2719" s="18"/>
      <c r="F2719" s="18"/>
      <c r="G2719" s="18"/>
      <c r="H2719" s="18"/>
    </row>
    <row r="2720" spans="1:8" x14ac:dyDescent="0.2">
      <c r="A2720" s="17"/>
      <c r="B2720" s="17"/>
      <c r="C2720" s="18"/>
      <c r="D2720" s="18"/>
      <c r="E2720" s="18"/>
      <c r="F2720" s="18"/>
      <c r="G2720" s="18"/>
      <c r="H2720" s="18"/>
    </row>
    <row r="2721" spans="1:8" x14ac:dyDescent="0.2">
      <c r="A2721" s="17"/>
      <c r="B2721" s="17"/>
      <c r="C2721" s="18"/>
      <c r="D2721" s="18"/>
      <c r="E2721" s="18"/>
      <c r="F2721" s="18"/>
      <c r="G2721" s="18"/>
      <c r="H2721" s="18"/>
    </row>
    <row r="2722" spans="1:8" x14ac:dyDescent="0.2">
      <c r="A2722" s="17"/>
      <c r="B2722" s="17"/>
      <c r="C2722" s="18"/>
      <c r="D2722" s="18"/>
      <c r="E2722" s="18"/>
      <c r="F2722" s="18"/>
      <c r="G2722" s="18"/>
      <c r="H2722" s="18"/>
    </row>
    <row r="2723" spans="1:8" x14ac:dyDescent="0.2">
      <c r="A2723" s="17"/>
      <c r="B2723" s="17"/>
      <c r="C2723" s="18"/>
      <c r="D2723" s="18"/>
      <c r="E2723" s="18"/>
      <c r="F2723" s="18"/>
      <c r="G2723" s="18"/>
      <c r="H2723" s="18"/>
    </row>
    <row r="2724" spans="1:8" x14ac:dyDescent="0.2">
      <c r="A2724" s="17"/>
      <c r="B2724" s="17"/>
      <c r="C2724" s="18"/>
      <c r="D2724" s="18"/>
      <c r="E2724" s="18"/>
      <c r="F2724" s="18"/>
      <c r="G2724" s="18"/>
      <c r="H2724" s="18"/>
    </row>
    <row r="2725" spans="1:8" x14ac:dyDescent="0.2">
      <c r="A2725" s="17"/>
      <c r="B2725" s="17"/>
      <c r="C2725" s="18"/>
      <c r="D2725" s="18"/>
      <c r="E2725" s="18"/>
      <c r="F2725" s="18"/>
      <c r="G2725" s="18"/>
      <c r="H2725" s="18"/>
    </row>
    <row r="2726" spans="1:8" x14ac:dyDescent="0.2">
      <c r="A2726" s="17"/>
      <c r="B2726" s="17"/>
      <c r="C2726" s="18"/>
      <c r="D2726" s="18"/>
      <c r="E2726" s="18"/>
      <c r="F2726" s="18"/>
      <c r="G2726" s="18"/>
      <c r="H2726" s="18"/>
    </row>
    <row r="2727" spans="1:8" x14ac:dyDescent="0.2">
      <c r="A2727" s="17"/>
      <c r="B2727" s="17"/>
      <c r="C2727" s="18"/>
      <c r="D2727" s="18"/>
      <c r="E2727" s="18"/>
      <c r="F2727" s="18"/>
      <c r="G2727" s="18"/>
      <c r="H2727" s="18"/>
    </row>
    <row r="2728" spans="1:8" x14ac:dyDescent="0.2">
      <c r="A2728" s="17"/>
      <c r="B2728" s="17"/>
      <c r="C2728" s="18"/>
      <c r="D2728" s="18"/>
      <c r="E2728" s="18"/>
      <c r="F2728" s="18"/>
      <c r="G2728" s="18"/>
      <c r="H2728" s="18"/>
    </row>
    <row r="2729" spans="1:8" x14ac:dyDescent="0.2">
      <c r="A2729" s="17"/>
      <c r="B2729" s="17"/>
      <c r="C2729" s="18"/>
      <c r="D2729" s="18"/>
      <c r="E2729" s="18"/>
      <c r="F2729" s="18"/>
      <c r="G2729" s="18"/>
      <c r="H2729" s="18"/>
    </row>
    <row r="2730" spans="1:8" x14ac:dyDescent="0.2">
      <c r="A2730" s="17"/>
      <c r="B2730" s="17"/>
      <c r="C2730" s="18"/>
      <c r="D2730" s="18"/>
      <c r="E2730" s="18"/>
      <c r="F2730" s="18"/>
      <c r="G2730" s="18"/>
      <c r="H2730" s="18"/>
    </row>
    <row r="2731" spans="1:8" x14ac:dyDescent="0.2">
      <c r="A2731" s="17"/>
      <c r="B2731" s="17"/>
      <c r="C2731" s="18"/>
      <c r="D2731" s="18"/>
      <c r="E2731" s="18"/>
      <c r="F2731" s="18"/>
      <c r="G2731" s="18"/>
      <c r="H2731" s="18"/>
    </row>
    <row r="2732" spans="1:8" x14ac:dyDescent="0.2">
      <c r="A2732" s="17"/>
      <c r="B2732" s="17"/>
      <c r="C2732" s="18"/>
      <c r="D2732" s="18"/>
      <c r="E2732" s="18"/>
      <c r="F2732" s="18"/>
      <c r="G2732" s="18"/>
      <c r="H2732" s="18"/>
    </row>
    <row r="2733" spans="1:8" x14ac:dyDescent="0.2">
      <c r="A2733" s="17"/>
      <c r="B2733" s="17"/>
      <c r="C2733" s="18"/>
      <c r="D2733" s="18"/>
      <c r="E2733" s="18"/>
      <c r="F2733" s="18"/>
      <c r="G2733" s="18"/>
      <c r="H2733" s="18"/>
    </row>
    <row r="2734" spans="1:8" x14ac:dyDescent="0.2">
      <c r="A2734" s="17"/>
      <c r="B2734" s="17"/>
      <c r="C2734" s="18"/>
      <c r="D2734" s="18"/>
      <c r="E2734" s="18"/>
      <c r="F2734" s="18"/>
      <c r="G2734" s="18"/>
      <c r="H2734" s="18"/>
    </row>
    <row r="2735" spans="1:8" x14ac:dyDescent="0.2">
      <c r="A2735" s="17"/>
      <c r="B2735" s="17"/>
      <c r="C2735" s="18"/>
      <c r="D2735" s="18"/>
      <c r="E2735" s="18"/>
      <c r="F2735" s="18"/>
      <c r="G2735" s="18"/>
      <c r="H2735" s="18"/>
    </row>
    <row r="2736" spans="1:8" x14ac:dyDescent="0.2">
      <c r="A2736" s="17"/>
      <c r="B2736" s="17"/>
      <c r="C2736" s="18"/>
      <c r="D2736" s="18"/>
      <c r="E2736" s="18"/>
      <c r="F2736" s="18"/>
      <c r="G2736" s="18"/>
      <c r="H2736" s="18"/>
    </row>
    <row r="2737" spans="1:8" x14ac:dyDescent="0.2">
      <c r="A2737" s="17"/>
      <c r="B2737" s="17"/>
      <c r="C2737" s="18"/>
      <c r="D2737" s="18"/>
      <c r="E2737" s="18"/>
      <c r="F2737" s="18"/>
      <c r="G2737" s="18"/>
      <c r="H2737" s="18"/>
    </row>
    <row r="2738" spans="1:8" x14ac:dyDescent="0.2">
      <c r="A2738" s="17"/>
      <c r="B2738" s="17"/>
      <c r="C2738" s="18"/>
      <c r="D2738" s="18"/>
      <c r="E2738" s="18"/>
      <c r="F2738" s="18"/>
      <c r="G2738" s="18"/>
      <c r="H2738" s="18"/>
    </row>
    <row r="2739" spans="1:8" x14ac:dyDescent="0.2">
      <c r="A2739" s="17"/>
      <c r="B2739" s="17"/>
      <c r="C2739" s="18"/>
      <c r="D2739" s="18"/>
      <c r="E2739" s="18"/>
      <c r="F2739" s="18"/>
      <c r="G2739" s="18"/>
      <c r="H2739" s="18"/>
    </row>
    <row r="2740" spans="1:8" x14ac:dyDescent="0.2">
      <c r="A2740" s="17"/>
      <c r="B2740" s="17"/>
      <c r="C2740" s="18"/>
      <c r="D2740" s="18"/>
      <c r="E2740" s="18"/>
      <c r="F2740" s="18"/>
      <c r="G2740" s="18"/>
      <c r="H2740" s="18"/>
    </row>
    <row r="2741" spans="1:8" x14ac:dyDescent="0.2">
      <c r="A2741" s="17"/>
      <c r="B2741" s="17"/>
      <c r="C2741" s="18"/>
      <c r="D2741" s="18"/>
      <c r="E2741" s="18"/>
      <c r="F2741" s="18"/>
      <c r="G2741" s="18"/>
      <c r="H2741" s="18"/>
    </row>
    <row r="2742" spans="1:8" x14ac:dyDescent="0.2">
      <c r="A2742" s="17"/>
      <c r="B2742" s="17"/>
      <c r="C2742" s="18"/>
      <c r="D2742" s="18"/>
      <c r="E2742" s="18"/>
      <c r="F2742" s="18"/>
      <c r="G2742" s="18"/>
      <c r="H2742" s="18"/>
    </row>
    <row r="2743" spans="1:8" x14ac:dyDescent="0.2">
      <c r="A2743" s="17"/>
      <c r="B2743" s="17"/>
      <c r="C2743" s="18"/>
      <c r="D2743" s="18"/>
      <c r="E2743" s="18"/>
      <c r="F2743" s="18"/>
      <c r="G2743" s="18"/>
      <c r="H2743" s="18"/>
    </row>
    <row r="2744" spans="1:8" x14ac:dyDescent="0.2">
      <c r="A2744" s="17"/>
      <c r="B2744" s="17"/>
      <c r="C2744" s="18"/>
      <c r="D2744" s="18"/>
      <c r="E2744" s="18"/>
      <c r="F2744" s="18"/>
      <c r="G2744" s="18"/>
      <c r="H2744" s="18"/>
    </row>
    <row r="2745" spans="1:8" x14ac:dyDescent="0.2">
      <c r="A2745" s="17"/>
      <c r="B2745" s="17"/>
      <c r="C2745" s="18"/>
      <c r="D2745" s="18"/>
      <c r="E2745" s="18"/>
      <c r="F2745" s="18"/>
      <c r="G2745" s="18"/>
      <c r="H2745" s="18"/>
    </row>
    <row r="2746" spans="1:8" x14ac:dyDescent="0.2">
      <c r="A2746" s="17"/>
      <c r="B2746" s="17"/>
      <c r="C2746" s="18"/>
      <c r="D2746" s="18"/>
      <c r="E2746" s="18"/>
      <c r="F2746" s="18"/>
      <c r="G2746" s="18"/>
      <c r="H2746" s="18"/>
    </row>
    <row r="2747" spans="1:8" x14ac:dyDescent="0.2">
      <c r="A2747" s="17"/>
      <c r="B2747" s="17"/>
      <c r="C2747" s="18"/>
      <c r="D2747" s="18"/>
      <c r="E2747" s="18"/>
      <c r="F2747" s="18"/>
      <c r="G2747" s="18"/>
      <c r="H2747" s="18"/>
    </row>
    <row r="2748" spans="1:8" x14ac:dyDescent="0.2">
      <c r="A2748" s="17"/>
      <c r="B2748" s="17"/>
      <c r="C2748" s="18"/>
      <c r="D2748" s="18"/>
      <c r="E2748" s="18"/>
      <c r="F2748" s="18"/>
      <c r="G2748" s="18"/>
      <c r="H2748" s="18"/>
    </row>
    <row r="2749" spans="1:8" x14ac:dyDescent="0.2">
      <c r="A2749" s="17"/>
      <c r="B2749" s="17"/>
      <c r="C2749" s="18"/>
      <c r="D2749" s="18"/>
      <c r="E2749" s="18"/>
      <c r="F2749" s="18"/>
      <c r="G2749" s="18"/>
      <c r="H2749" s="18"/>
    </row>
    <row r="2750" spans="1:8" x14ac:dyDescent="0.2">
      <c r="A2750" s="17"/>
      <c r="B2750" s="17"/>
      <c r="C2750" s="18"/>
      <c r="D2750" s="18"/>
      <c r="E2750" s="18"/>
      <c r="F2750" s="18"/>
      <c r="G2750" s="18"/>
      <c r="H2750" s="18"/>
    </row>
    <row r="2751" spans="1:8" x14ac:dyDescent="0.2">
      <c r="A2751" s="17"/>
      <c r="B2751" s="17"/>
      <c r="C2751" s="18"/>
      <c r="D2751" s="18"/>
      <c r="E2751" s="18"/>
      <c r="F2751" s="18"/>
      <c r="G2751" s="18"/>
      <c r="H2751" s="18"/>
    </row>
    <row r="2752" spans="1:8" x14ac:dyDescent="0.2">
      <c r="A2752" s="17"/>
      <c r="B2752" s="17"/>
      <c r="C2752" s="18"/>
      <c r="D2752" s="18"/>
      <c r="E2752" s="18"/>
      <c r="F2752" s="18"/>
      <c r="G2752" s="18"/>
      <c r="H2752" s="18"/>
    </row>
    <row r="2753" spans="1:8" x14ac:dyDescent="0.2">
      <c r="A2753" s="17"/>
      <c r="B2753" s="17"/>
      <c r="C2753" s="18"/>
      <c r="D2753" s="18"/>
      <c r="E2753" s="18"/>
      <c r="F2753" s="18"/>
      <c r="G2753" s="18"/>
      <c r="H2753" s="18"/>
    </row>
    <row r="2754" spans="1:8" x14ac:dyDescent="0.2">
      <c r="A2754" s="17"/>
      <c r="B2754" s="17"/>
      <c r="C2754" s="18"/>
      <c r="D2754" s="18"/>
      <c r="E2754" s="18"/>
      <c r="F2754" s="18"/>
      <c r="G2754" s="18"/>
      <c r="H2754" s="18"/>
    </row>
    <row r="2755" spans="1:8" x14ac:dyDescent="0.2">
      <c r="A2755" s="17"/>
      <c r="B2755" s="17"/>
      <c r="C2755" s="18"/>
      <c r="D2755" s="18"/>
      <c r="E2755" s="18"/>
      <c r="F2755" s="18"/>
      <c r="G2755" s="18"/>
      <c r="H2755" s="18"/>
    </row>
    <row r="2756" spans="1:8" x14ac:dyDescent="0.2">
      <c r="A2756" s="17"/>
      <c r="B2756" s="17"/>
      <c r="C2756" s="18"/>
      <c r="D2756" s="18"/>
      <c r="E2756" s="18"/>
      <c r="F2756" s="18"/>
      <c r="G2756" s="18"/>
      <c r="H2756" s="18"/>
    </row>
    <row r="2757" spans="1:8" x14ac:dyDescent="0.2">
      <c r="A2757" s="17"/>
      <c r="B2757" s="17"/>
      <c r="C2757" s="18"/>
      <c r="D2757" s="18"/>
      <c r="E2757" s="18"/>
      <c r="F2757" s="18"/>
      <c r="G2757" s="18"/>
      <c r="H2757" s="18"/>
    </row>
    <row r="2758" spans="1:8" x14ac:dyDescent="0.2">
      <c r="A2758" s="17"/>
      <c r="B2758" s="17"/>
      <c r="C2758" s="18"/>
      <c r="D2758" s="18"/>
      <c r="E2758" s="18"/>
      <c r="F2758" s="18"/>
      <c r="G2758" s="18"/>
      <c r="H2758" s="18"/>
    </row>
    <row r="2759" spans="1:8" x14ac:dyDescent="0.2">
      <c r="A2759" s="17"/>
      <c r="B2759" s="17"/>
      <c r="C2759" s="18"/>
      <c r="D2759" s="18"/>
      <c r="E2759" s="18"/>
      <c r="F2759" s="18"/>
      <c r="G2759" s="18"/>
      <c r="H2759" s="18"/>
    </row>
    <row r="2760" spans="1:8" x14ac:dyDescent="0.2">
      <c r="A2760" s="17"/>
      <c r="B2760" s="17"/>
      <c r="C2760" s="18"/>
      <c r="D2760" s="18"/>
      <c r="E2760" s="18"/>
      <c r="F2760" s="18"/>
      <c r="G2760" s="18"/>
      <c r="H2760" s="18"/>
    </row>
    <row r="2761" spans="1:8" x14ac:dyDescent="0.2">
      <c r="A2761" s="17"/>
      <c r="B2761" s="17"/>
      <c r="C2761" s="18"/>
      <c r="D2761" s="18"/>
      <c r="E2761" s="18"/>
      <c r="F2761" s="18"/>
      <c r="G2761" s="18"/>
      <c r="H2761" s="18"/>
    </row>
    <row r="2762" spans="1:8" x14ac:dyDescent="0.2">
      <c r="A2762" s="17"/>
      <c r="B2762" s="17"/>
      <c r="C2762" s="18"/>
      <c r="D2762" s="18"/>
      <c r="E2762" s="18"/>
      <c r="F2762" s="18"/>
      <c r="G2762" s="18"/>
      <c r="H2762" s="18"/>
    </row>
    <row r="2763" spans="1:8" x14ac:dyDescent="0.2">
      <c r="A2763" s="17"/>
      <c r="B2763" s="17"/>
      <c r="C2763" s="18"/>
      <c r="D2763" s="18"/>
      <c r="E2763" s="18"/>
      <c r="F2763" s="18"/>
      <c r="G2763" s="18"/>
      <c r="H2763" s="18"/>
    </row>
    <row r="2764" spans="1:8" x14ac:dyDescent="0.2">
      <c r="A2764" s="17"/>
      <c r="B2764" s="17"/>
      <c r="C2764" s="18"/>
      <c r="D2764" s="18"/>
      <c r="E2764" s="18"/>
      <c r="F2764" s="18"/>
      <c r="G2764" s="18"/>
      <c r="H2764" s="18"/>
    </row>
    <row r="2765" spans="1:8" x14ac:dyDescent="0.2">
      <c r="A2765" s="17"/>
      <c r="B2765" s="17"/>
      <c r="C2765" s="18"/>
      <c r="D2765" s="18"/>
      <c r="E2765" s="18"/>
      <c r="F2765" s="18"/>
      <c r="G2765" s="18"/>
      <c r="H2765" s="18"/>
    </row>
    <row r="2766" spans="1:8" x14ac:dyDescent="0.2">
      <c r="A2766" s="17"/>
      <c r="B2766" s="17"/>
      <c r="C2766" s="18"/>
      <c r="D2766" s="18"/>
      <c r="E2766" s="18"/>
      <c r="F2766" s="18"/>
      <c r="G2766" s="18"/>
      <c r="H2766" s="18"/>
    </row>
    <row r="2767" spans="1:8" x14ac:dyDescent="0.2">
      <c r="A2767" s="17"/>
      <c r="B2767" s="17"/>
      <c r="C2767" s="18"/>
      <c r="D2767" s="18"/>
      <c r="E2767" s="18"/>
      <c r="F2767" s="18"/>
      <c r="G2767" s="18"/>
      <c r="H2767" s="18"/>
    </row>
    <row r="2768" spans="1:8" x14ac:dyDescent="0.2">
      <c r="A2768" s="17"/>
      <c r="B2768" s="17"/>
      <c r="C2768" s="18"/>
      <c r="D2768" s="18"/>
      <c r="E2768" s="18"/>
      <c r="F2768" s="18"/>
      <c r="G2768" s="18"/>
      <c r="H2768" s="18"/>
    </row>
    <row r="2769" spans="1:8" x14ac:dyDescent="0.2">
      <c r="A2769" s="17"/>
      <c r="B2769" s="17"/>
      <c r="C2769" s="18"/>
      <c r="D2769" s="18"/>
      <c r="E2769" s="18"/>
      <c r="F2769" s="18"/>
      <c r="G2769" s="18"/>
      <c r="H2769" s="18"/>
    </row>
    <row r="2770" spans="1:8" x14ac:dyDescent="0.2">
      <c r="A2770" s="17"/>
      <c r="B2770" s="17"/>
      <c r="C2770" s="18"/>
      <c r="D2770" s="18"/>
      <c r="E2770" s="18"/>
      <c r="F2770" s="18"/>
      <c r="G2770" s="18"/>
      <c r="H2770" s="18"/>
    </row>
    <row r="2771" spans="1:8" x14ac:dyDescent="0.2">
      <c r="A2771" s="17"/>
      <c r="B2771" s="17"/>
      <c r="C2771" s="18"/>
      <c r="D2771" s="18"/>
      <c r="E2771" s="18"/>
      <c r="F2771" s="18"/>
      <c r="G2771" s="18"/>
      <c r="H2771" s="18"/>
    </row>
    <row r="2772" spans="1:8" x14ac:dyDescent="0.2">
      <c r="A2772" s="17"/>
      <c r="B2772" s="17"/>
      <c r="C2772" s="18"/>
      <c r="D2772" s="18"/>
      <c r="E2772" s="18"/>
      <c r="F2772" s="18"/>
      <c r="G2772" s="18"/>
      <c r="H2772" s="18"/>
    </row>
    <row r="2773" spans="1:8" x14ac:dyDescent="0.2">
      <c r="A2773" s="17"/>
      <c r="B2773" s="17"/>
      <c r="C2773" s="18"/>
      <c r="D2773" s="18"/>
      <c r="E2773" s="18"/>
      <c r="F2773" s="18"/>
      <c r="G2773" s="18"/>
      <c r="H2773" s="18"/>
    </row>
    <row r="2774" spans="1:8" x14ac:dyDescent="0.2">
      <c r="A2774" s="17"/>
      <c r="B2774" s="17"/>
      <c r="C2774" s="18"/>
      <c r="D2774" s="18"/>
      <c r="E2774" s="18"/>
      <c r="F2774" s="18"/>
      <c r="G2774" s="18"/>
      <c r="H2774" s="18"/>
    </row>
    <row r="2775" spans="1:8" x14ac:dyDescent="0.2">
      <c r="A2775" s="17"/>
      <c r="B2775" s="17"/>
      <c r="C2775" s="18"/>
      <c r="D2775" s="18"/>
      <c r="E2775" s="18"/>
      <c r="F2775" s="18"/>
      <c r="G2775" s="18"/>
      <c r="H2775" s="18"/>
    </row>
    <row r="2776" spans="1:8" x14ac:dyDescent="0.2">
      <c r="A2776" s="17"/>
      <c r="B2776" s="17"/>
      <c r="C2776" s="18"/>
      <c r="D2776" s="18"/>
      <c r="E2776" s="18"/>
      <c r="F2776" s="18"/>
      <c r="G2776" s="18"/>
      <c r="H2776" s="18"/>
    </row>
    <row r="2777" spans="1:8" x14ac:dyDescent="0.2">
      <c r="A2777" s="17"/>
      <c r="B2777" s="17"/>
      <c r="C2777" s="18"/>
      <c r="D2777" s="18"/>
      <c r="E2777" s="18"/>
      <c r="F2777" s="18"/>
      <c r="G2777" s="18"/>
      <c r="H2777" s="18"/>
    </row>
    <row r="2778" spans="1:8" x14ac:dyDescent="0.2">
      <c r="A2778" s="17"/>
      <c r="B2778" s="17"/>
      <c r="C2778" s="18"/>
      <c r="D2778" s="18"/>
      <c r="E2778" s="18"/>
      <c r="F2778" s="18"/>
      <c r="G2778" s="18"/>
      <c r="H2778" s="18"/>
    </row>
    <row r="2779" spans="1:8" x14ac:dyDescent="0.2">
      <c r="A2779" s="17"/>
      <c r="B2779" s="17"/>
      <c r="C2779" s="18"/>
      <c r="D2779" s="18"/>
      <c r="E2779" s="18"/>
      <c r="F2779" s="18"/>
      <c r="G2779" s="18"/>
      <c r="H2779" s="18"/>
    </row>
    <row r="2780" spans="1:8" x14ac:dyDescent="0.2">
      <c r="A2780" s="17"/>
      <c r="B2780" s="17"/>
      <c r="C2780" s="18"/>
      <c r="D2780" s="18"/>
      <c r="E2780" s="18"/>
      <c r="F2780" s="18"/>
      <c r="G2780" s="18"/>
      <c r="H2780" s="18"/>
    </row>
    <row r="2781" spans="1:8" x14ac:dyDescent="0.2">
      <c r="A2781" s="17"/>
      <c r="B2781" s="17"/>
      <c r="C2781" s="18"/>
      <c r="D2781" s="18"/>
      <c r="E2781" s="18"/>
      <c r="F2781" s="18"/>
      <c r="G2781" s="18"/>
      <c r="H2781" s="18"/>
    </row>
    <row r="2782" spans="1:8" x14ac:dyDescent="0.2">
      <c r="A2782" s="17"/>
      <c r="B2782" s="17"/>
      <c r="C2782" s="18"/>
      <c r="D2782" s="18"/>
      <c r="E2782" s="18"/>
      <c r="F2782" s="18"/>
      <c r="G2782" s="18"/>
      <c r="H2782" s="18"/>
    </row>
    <row r="2783" spans="1:8" x14ac:dyDescent="0.2">
      <c r="A2783" s="17"/>
      <c r="B2783" s="17"/>
      <c r="C2783" s="18"/>
      <c r="D2783" s="18"/>
      <c r="E2783" s="18"/>
      <c r="F2783" s="18"/>
      <c r="G2783" s="18"/>
      <c r="H2783" s="18"/>
    </row>
    <row r="2784" spans="1:8" x14ac:dyDescent="0.2">
      <c r="A2784" s="17"/>
      <c r="B2784" s="17"/>
      <c r="C2784" s="18"/>
      <c r="D2784" s="18"/>
      <c r="E2784" s="18"/>
      <c r="F2784" s="18"/>
      <c r="G2784" s="18"/>
      <c r="H2784" s="18"/>
    </row>
    <row r="2785" spans="1:8" x14ac:dyDescent="0.2">
      <c r="A2785" s="17"/>
      <c r="B2785" s="17"/>
      <c r="C2785" s="18"/>
      <c r="D2785" s="18"/>
      <c r="E2785" s="18"/>
      <c r="F2785" s="18"/>
      <c r="G2785" s="18"/>
      <c r="H2785" s="18"/>
    </row>
    <row r="2786" spans="1:8" x14ac:dyDescent="0.2">
      <c r="A2786" s="17"/>
      <c r="B2786" s="17"/>
      <c r="C2786" s="18"/>
      <c r="D2786" s="18"/>
      <c r="E2786" s="18"/>
      <c r="F2786" s="18"/>
      <c r="G2786" s="18"/>
      <c r="H2786" s="18"/>
    </row>
    <row r="2787" spans="1:8" x14ac:dyDescent="0.2">
      <c r="A2787" s="17"/>
      <c r="B2787" s="17"/>
      <c r="C2787" s="18"/>
      <c r="D2787" s="18"/>
      <c r="E2787" s="18"/>
      <c r="F2787" s="18"/>
      <c r="G2787" s="18"/>
      <c r="H2787" s="18"/>
    </row>
    <row r="2788" spans="1:8" x14ac:dyDescent="0.2">
      <c r="A2788" s="17"/>
      <c r="B2788" s="17"/>
      <c r="C2788" s="18"/>
      <c r="D2788" s="18"/>
      <c r="E2788" s="18"/>
      <c r="F2788" s="18"/>
      <c r="G2788" s="18"/>
      <c r="H2788" s="18"/>
    </row>
    <row r="2789" spans="1:8" x14ac:dyDescent="0.2">
      <c r="A2789" s="17"/>
      <c r="B2789" s="17"/>
      <c r="C2789" s="18"/>
      <c r="D2789" s="18"/>
      <c r="E2789" s="18"/>
      <c r="F2789" s="18"/>
      <c r="G2789" s="18"/>
      <c r="H2789" s="18"/>
    </row>
    <row r="2790" spans="1:8" x14ac:dyDescent="0.2">
      <c r="A2790" s="17"/>
      <c r="B2790" s="17"/>
      <c r="C2790" s="18"/>
      <c r="D2790" s="18"/>
      <c r="E2790" s="18"/>
      <c r="F2790" s="18"/>
      <c r="G2790" s="18"/>
      <c r="H2790" s="18"/>
    </row>
    <row r="2791" spans="1:8" x14ac:dyDescent="0.2">
      <c r="A2791" s="17"/>
      <c r="B2791" s="17"/>
      <c r="C2791" s="18"/>
      <c r="D2791" s="18"/>
      <c r="E2791" s="18"/>
      <c r="F2791" s="18"/>
      <c r="G2791" s="18"/>
      <c r="H2791" s="18"/>
    </row>
    <row r="2792" spans="1:8" x14ac:dyDescent="0.2">
      <c r="A2792" s="17"/>
      <c r="B2792" s="17"/>
      <c r="C2792" s="18"/>
      <c r="D2792" s="18"/>
      <c r="E2792" s="18"/>
      <c r="F2792" s="18"/>
      <c r="G2792" s="18"/>
      <c r="H2792" s="18"/>
    </row>
    <row r="2793" spans="1:8" x14ac:dyDescent="0.2">
      <c r="A2793" s="17"/>
      <c r="B2793" s="17"/>
      <c r="C2793" s="18"/>
      <c r="D2793" s="18"/>
      <c r="E2793" s="18"/>
      <c r="F2793" s="18"/>
      <c r="G2793" s="18"/>
      <c r="H2793" s="18"/>
    </row>
    <row r="2794" spans="1:8" x14ac:dyDescent="0.2">
      <c r="A2794" s="17"/>
      <c r="B2794" s="17"/>
      <c r="C2794" s="18"/>
      <c r="D2794" s="18"/>
      <c r="E2794" s="18"/>
      <c r="F2794" s="18"/>
      <c r="G2794" s="18"/>
      <c r="H2794" s="18"/>
    </row>
    <row r="2795" spans="1:8" x14ac:dyDescent="0.2">
      <c r="A2795" s="17"/>
      <c r="B2795" s="17"/>
      <c r="C2795" s="18"/>
      <c r="D2795" s="18"/>
      <c r="E2795" s="18"/>
      <c r="F2795" s="18"/>
      <c r="G2795" s="18"/>
      <c r="H2795" s="18"/>
    </row>
    <row r="2796" spans="1:8" x14ac:dyDescent="0.2">
      <c r="A2796" s="17"/>
      <c r="B2796" s="17"/>
      <c r="C2796" s="18"/>
      <c r="D2796" s="18"/>
      <c r="E2796" s="18"/>
      <c r="F2796" s="18"/>
      <c r="G2796" s="18"/>
      <c r="H2796" s="18"/>
    </row>
    <row r="2797" spans="1:8" x14ac:dyDescent="0.2">
      <c r="A2797" s="17"/>
      <c r="B2797" s="17"/>
      <c r="C2797" s="18"/>
      <c r="D2797" s="18"/>
      <c r="E2797" s="18"/>
      <c r="F2797" s="18"/>
      <c r="G2797" s="18"/>
      <c r="H2797" s="18"/>
    </row>
    <row r="2798" spans="1:8" x14ac:dyDescent="0.2">
      <c r="A2798" s="17"/>
      <c r="B2798" s="17"/>
      <c r="C2798" s="18"/>
      <c r="D2798" s="18"/>
      <c r="E2798" s="18"/>
      <c r="F2798" s="18"/>
      <c r="G2798" s="18"/>
      <c r="H2798" s="18"/>
    </row>
    <row r="2799" spans="1:8" x14ac:dyDescent="0.2">
      <c r="A2799" s="17"/>
      <c r="B2799" s="17"/>
      <c r="C2799" s="18"/>
      <c r="D2799" s="18"/>
      <c r="E2799" s="18"/>
      <c r="F2799" s="18"/>
      <c r="G2799" s="18"/>
      <c r="H2799" s="18"/>
    </row>
    <row r="2800" spans="1:8" x14ac:dyDescent="0.2">
      <c r="A2800" s="17"/>
      <c r="B2800" s="17"/>
      <c r="C2800" s="18"/>
      <c r="D2800" s="18"/>
      <c r="E2800" s="18"/>
      <c r="F2800" s="18"/>
      <c r="G2800" s="18"/>
      <c r="H2800" s="18"/>
    </row>
    <row r="2801" spans="1:8" x14ac:dyDescent="0.2">
      <c r="A2801" s="17"/>
      <c r="B2801" s="17"/>
      <c r="C2801" s="18"/>
      <c r="D2801" s="18"/>
      <c r="E2801" s="18"/>
      <c r="F2801" s="18"/>
      <c r="G2801" s="18"/>
      <c r="H2801" s="18"/>
    </row>
    <row r="2802" spans="1:8" x14ac:dyDescent="0.2">
      <c r="A2802" s="17"/>
      <c r="B2802" s="17"/>
      <c r="C2802" s="18"/>
      <c r="D2802" s="18"/>
      <c r="E2802" s="18"/>
      <c r="F2802" s="18"/>
      <c r="G2802" s="18"/>
      <c r="H2802" s="18"/>
    </row>
    <row r="2803" spans="1:8" x14ac:dyDescent="0.2">
      <c r="A2803" s="17"/>
      <c r="B2803" s="17"/>
      <c r="C2803" s="18"/>
      <c r="D2803" s="18"/>
      <c r="E2803" s="18"/>
      <c r="F2803" s="18"/>
      <c r="G2803" s="18"/>
      <c r="H2803" s="18"/>
    </row>
    <row r="2804" spans="1:8" x14ac:dyDescent="0.2">
      <c r="A2804" s="17"/>
      <c r="B2804" s="17"/>
      <c r="C2804" s="18"/>
      <c r="D2804" s="18"/>
      <c r="E2804" s="18"/>
      <c r="F2804" s="18"/>
      <c r="G2804" s="18"/>
      <c r="H2804" s="18"/>
    </row>
    <row r="2805" spans="1:8" x14ac:dyDescent="0.2">
      <c r="A2805" s="17"/>
      <c r="B2805" s="17"/>
      <c r="C2805" s="18"/>
      <c r="D2805" s="18"/>
      <c r="E2805" s="18"/>
      <c r="F2805" s="18"/>
      <c r="G2805" s="18"/>
      <c r="H2805" s="18"/>
    </row>
    <row r="2806" spans="1:8" x14ac:dyDescent="0.2">
      <c r="A2806" s="17"/>
      <c r="B2806" s="17"/>
      <c r="C2806" s="18"/>
      <c r="D2806" s="18"/>
      <c r="E2806" s="18"/>
      <c r="F2806" s="18"/>
      <c r="G2806" s="18"/>
      <c r="H2806" s="18"/>
    </row>
    <row r="2807" spans="1:8" x14ac:dyDescent="0.2">
      <c r="A2807" s="17"/>
      <c r="B2807" s="17"/>
      <c r="C2807" s="18"/>
      <c r="D2807" s="18"/>
      <c r="E2807" s="18"/>
      <c r="F2807" s="18"/>
      <c r="G2807" s="18"/>
      <c r="H2807" s="18"/>
    </row>
    <row r="2808" spans="1:8" x14ac:dyDescent="0.2">
      <c r="A2808" s="17"/>
      <c r="B2808" s="17"/>
      <c r="C2808" s="18"/>
      <c r="D2808" s="18"/>
      <c r="E2808" s="18"/>
      <c r="F2808" s="18"/>
      <c r="G2808" s="18"/>
      <c r="H2808" s="18"/>
    </row>
    <row r="2809" spans="1:8" x14ac:dyDescent="0.2">
      <c r="A2809" s="17"/>
      <c r="B2809" s="17"/>
      <c r="C2809" s="18"/>
      <c r="D2809" s="18"/>
      <c r="E2809" s="18"/>
      <c r="F2809" s="18"/>
      <c r="G2809" s="18"/>
      <c r="H2809" s="18"/>
    </row>
    <row r="2810" spans="1:8" x14ac:dyDescent="0.2">
      <c r="A2810" s="17"/>
      <c r="B2810" s="17"/>
      <c r="C2810" s="18"/>
      <c r="D2810" s="18"/>
      <c r="E2810" s="18"/>
      <c r="F2810" s="18"/>
      <c r="G2810" s="18"/>
      <c r="H2810" s="18"/>
    </row>
    <row r="2811" spans="1:8" x14ac:dyDescent="0.2">
      <c r="A2811" s="17"/>
      <c r="B2811" s="17"/>
      <c r="C2811" s="18"/>
      <c r="D2811" s="18"/>
      <c r="E2811" s="18"/>
      <c r="F2811" s="18"/>
      <c r="G2811" s="18"/>
      <c r="H2811" s="18"/>
    </row>
    <row r="2812" spans="1:8" x14ac:dyDescent="0.2">
      <c r="A2812" s="17"/>
      <c r="B2812" s="17"/>
      <c r="C2812" s="18"/>
      <c r="D2812" s="18"/>
      <c r="E2812" s="18"/>
      <c r="F2812" s="18"/>
      <c r="G2812" s="18"/>
      <c r="H2812" s="18"/>
    </row>
    <row r="2813" spans="1:8" x14ac:dyDescent="0.2">
      <c r="A2813" s="17"/>
      <c r="B2813" s="17"/>
      <c r="C2813" s="18"/>
      <c r="D2813" s="18"/>
      <c r="E2813" s="18"/>
      <c r="F2813" s="18"/>
      <c r="G2813" s="18"/>
      <c r="H2813" s="18"/>
    </row>
    <row r="2814" spans="1:8" x14ac:dyDescent="0.2">
      <c r="A2814" s="17"/>
      <c r="B2814" s="17"/>
      <c r="C2814" s="18"/>
      <c r="D2814" s="18"/>
      <c r="E2814" s="18"/>
      <c r="F2814" s="18"/>
      <c r="G2814" s="18"/>
      <c r="H2814" s="18"/>
    </row>
    <row r="2815" spans="1:8" x14ac:dyDescent="0.2">
      <c r="A2815" s="17"/>
      <c r="B2815" s="17"/>
      <c r="C2815" s="18"/>
      <c r="D2815" s="18"/>
      <c r="E2815" s="18"/>
      <c r="F2815" s="18"/>
      <c r="G2815" s="18"/>
      <c r="H2815" s="18"/>
    </row>
    <row r="2816" spans="1:8" x14ac:dyDescent="0.2">
      <c r="A2816" s="17"/>
      <c r="B2816" s="17"/>
      <c r="C2816" s="18"/>
      <c r="D2816" s="18"/>
      <c r="E2816" s="18"/>
      <c r="F2816" s="18"/>
      <c r="G2816" s="18"/>
      <c r="H2816" s="18"/>
    </row>
    <row r="2817" spans="1:8" x14ac:dyDescent="0.2">
      <c r="A2817" s="17"/>
      <c r="B2817" s="17"/>
      <c r="C2817" s="18"/>
      <c r="D2817" s="18"/>
      <c r="E2817" s="18"/>
      <c r="F2817" s="18"/>
      <c r="G2817" s="18"/>
      <c r="H2817" s="18"/>
    </row>
    <row r="2818" spans="1:8" x14ac:dyDescent="0.2">
      <c r="A2818" s="17"/>
      <c r="B2818" s="17"/>
      <c r="C2818" s="18"/>
      <c r="D2818" s="18"/>
      <c r="E2818" s="18"/>
      <c r="F2818" s="18"/>
      <c r="G2818" s="18"/>
      <c r="H2818" s="18"/>
    </row>
    <row r="2819" spans="1:8" x14ac:dyDescent="0.2">
      <c r="A2819" s="17"/>
      <c r="B2819" s="17"/>
      <c r="C2819" s="18"/>
      <c r="D2819" s="18"/>
      <c r="E2819" s="18"/>
      <c r="F2819" s="18"/>
      <c r="G2819" s="18"/>
      <c r="H2819" s="18"/>
    </row>
    <row r="2820" spans="1:8" x14ac:dyDescent="0.2">
      <c r="A2820" s="17"/>
      <c r="B2820" s="17"/>
      <c r="C2820" s="18"/>
      <c r="D2820" s="18"/>
      <c r="E2820" s="18"/>
      <c r="F2820" s="18"/>
      <c r="G2820" s="18"/>
      <c r="H2820" s="18"/>
    </row>
    <row r="2821" spans="1:8" x14ac:dyDescent="0.2">
      <c r="A2821" s="17"/>
      <c r="B2821" s="17"/>
      <c r="C2821" s="18"/>
      <c r="D2821" s="18"/>
      <c r="E2821" s="18"/>
      <c r="F2821" s="18"/>
      <c r="G2821" s="18"/>
      <c r="H2821" s="18"/>
    </row>
    <row r="2822" spans="1:8" x14ac:dyDescent="0.2">
      <c r="A2822" s="17"/>
      <c r="B2822" s="17"/>
      <c r="C2822" s="18"/>
      <c r="D2822" s="18"/>
      <c r="E2822" s="18"/>
      <c r="F2822" s="18"/>
      <c r="G2822" s="18"/>
      <c r="H2822" s="18"/>
    </row>
    <row r="2823" spans="1:8" x14ac:dyDescent="0.2">
      <c r="A2823" s="17"/>
      <c r="B2823" s="17"/>
      <c r="C2823" s="18"/>
      <c r="D2823" s="18"/>
      <c r="E2823" s="18"/>
      <c r="F2823" s="18"/>
      <c r="G2823" s="18"/>
      <c r="H2823" s="18"/>
    </row>
    <row r="2824" spans="1:8" x14ac:dyDescent="0.2">
      <c r="A2824" s="17"/>
      <c r="B2824" s="17"/>
      <c r="C2824" s="18"/>
      <c r="D2824" s="18"/>
      <c r="E2824" s="18"/>
      <c r="F2824" s="18"/>
      <c r="G2824" s="18"/>
      <c r="H2824" s="18"/>
    </row>
    <row r="2825" spans="1:8" x14ac:dyDescent="0.2">
      <c r="A2825" s="17"/>
      <c r="B2825" s="17"/>
      <c r="C2825" s="18"/>
      <c r="D2825" s="18"/>
      <c r="E2825" s="18"/>
      <c r="F2825" s="18"/>
      <c r="G2825" s="18"/>
      <c r="H2825" s="18"/>
    </row>
    <row r="2826" spans="1:8" x14ac:dyDescent="0.2">
      <c r="A2826" s="17"/>
      <c r="B2826" s="17"/>
      <c r="C2826" s="18"/>
      <c r="D2826" s="18"/>
      <c r="E2826" s="18"/>
      <c r="F2826" s="18"/>
      <c r="G2826" s="18"/>
      <c r="H2826" s="18"/>
    </row>
    <row r="2827" spans="1:8" x14ac:dyDescent="0.2">
      <c r="A2827" s="17"/>
      <c r="B2827" s="17"/>
      <c r="C2827" s="18"/>
      <c r="D2827" s="18"/>
      <c r="E2827" s="18"/>
      <c r="F2827" s="18"/>
      <c r="G2827" s="18"/>
      <c r="H2827" s="18"/>
    </row>
    <row r="2828" spans="1:8" x14ac:dyDescent="0.2">
      <c r="A2828" s="17"/>
      <c r="B2828" s="17"/>
      <c r="C2828" s="18"/>
      <c r="D2828" s="18"/>
      <c r="E2828" s="18"/>
      <c r="F2828" s="18"/>
      <c r="G2828" s="18"/>
      <c r="H2828" s="18"/>
    </row>
    <row r="2829" spans="1:8" x14ac:dyDescent="0.2">
      <c r="A2829" s="17"/>
      <c r="B2829" s="17"/>
      <c r="C2829" s="18"/>
      <c r="D2829" s="18"/>
      <c r="E2829" s="18"/>
      <c r="F2829" s="18"/>
      <c r="G2829" s="18"/>
      <c r="H2829" s="18"/>
    </row>
    <row r="2830" spans="1:8" x14ac:dyDescent="0.2">
      <c r="A2830" s="17"/>
      <c r="B2830" s="17"/>
      <c r="C2830" s="18"/>
      <c r="D2830" s="18"/>
      <c r="E2830" s="18"/>
      <c r="F2830" s="18"/>
      <c r="G2830" s="18"/>
      <c r="H2830" s="18"/>
    </row>
    <row r="2831" spans="1:8" x14ac:dyDescent="0.2">
      <c r="A2831" s="17"/>
      <c r="B2831" s="17"/>
      <c r="C2831" s="18"/>
      <c r="D2831" s="18"/>
      <c r="E2831" s="18"/>
      <c r="F2831" s="18"/>
      <c r="G2831" s="18"/>
      <c r="H2831" s="18"/>
    </row>
    <row r="2832" spans="1:8" x14ac:dyDescent="0.2">
      <c r="A2832" s="17"/>
      <c r="B2832" s="17"/>
      <c r="C2832" s="18"/>
      <c r="D2832" s="18"/>
      <c r="E2832" s="18"/>
      <c r="F2832" s="18"/>
      <c r="G2832" s="18"/>
      <c r="H2832" s="18"/>
    </row>
    <row r="2833" spans="1:8" x14ac:dyDescent="0.2">
      <c r="A2833" s="17"/>
      <c r="B2833" s="17"/>
      <c r="C2833" s="18"/>
      <c r="D2833" s="18"/>
      <c r="E2833" s="18"/>
      <c r="F2833" s="18"/>
      <c r="G2833" s="18"/>
      <c r="H2833" s="18"/>
    </row>
    <row r="2834" spans="1:8" x14ac:dyDescent="0.2">
      <c r="A2834" s="17"/>
      <c r="B2834" s="17"/>
      <c r="C2834" s="18"/>
      <c r="D2834" s="18"/>
      <c r="E2834" s="18"/>
      <c r="F2834" s="18"/>
      <c r="G2834" s="18"/>
      <c r="H2834" s="18"/>
    </row>
    <row r="2835" spans="1:8" x14ac:dyDescent="0.2">
      <c r="A2835" s="17"/>
      <c r="B2835" s="17"/>
      <c r="C2835" s="18"/>
      <c r="D2835" s="18"/>
      <c r="E2835" s="18"/>
      <c r="F2835" s="18"/>
      <c r="G2835" s="18"/>
      <c r="H2835" s="18"/>
    </row>
    <row r="2836" spans="1:8" x14ac:dyDescent="0.2">
      <c r="A2836" s="17"/>
      <c r="B2836" s="17"/>
      <c r="C2836" s="18"/>
      <c r="D2836" s="18"/>
      <c r="E2836" s="18"/>
      <c r="F2836" s="18"/>
      <c r="G2836" s="18"/>
      <c r="H2836" s="18"/>
    </row>
    <row r="2837" spans="1:8" x14ac:dyDescent="0.2">
      <c r="A2837" s="17"/>
      <c r="B2837" s="17"/>
      <c r="C2837" s="18"/>
      <c r="D2837" s="18"/>
      <c r="E2837" s="18"/>
      <c r="F2837" s="18"/>
      <c r="G2837" s="18"/>
      <c r="H2837" s="18"/>
    </row>
    <row r="2838" spans="1:8" x14ac:dyDescent="0.2">
      <c r="A2838" s="17"/>
      <c r="B2838" s="17"/>
      <c r="C2838" s="18"/>
      <c r="D2838" s="18"/>
      <c r="E2838" s="18"/>
      <c r="F2838" s="18"/>
      <c r="G2838" s="18"/>
      <c r="H2838" s="18"/>
    </row>
    <row r="2839" spans="1:8" x14ac:dyDescent="0.2">
      <c r="A2839" s="17"/>
      <c r="B2839" s="17"/>
      <c r="C2839" s="18"/>
      <c r="D2839" s="18"/>
      <c r="E2839" s="18"/>
      <c r="F2839" s="18"/>
      <c r="G2839" s="18"/>
      <c r="H2839" s="18"/>
    </row>
    <row r="2840" spans="1:8" x14ac:dyDescent="0.2">
      <c r="A2840" s="17"/>
      <c r="B2840" s="17"/>
      <c r="C2840" s="18"/>
      <c r="D2840" s="18"/>
      <c r="E2840" s="18"/>
      <c r="F2840" s="18"/>
      <c r="G2840" s="18"/>
      <c r="H2840" s="18"/>
    </row>
    <row r="2841" spans="1:8" x14ac:dyDescent="0.2">
      <c r="A2841" s="17"/>
      <c r="B2841" s="17"/>
      <c r="C2841" s="18"/>
      <c r="D2841" s="18"/>
      <c r="E2841" s="18"/>
      <c r="F2841" s="18"/>
      <c r="G2841" s="18"/>
      <c r="H2841" s="18"/>
    </row>
    <row r="2842" spans="1:8" x14ac:dyDescent="0.2">
      <c r="A2842" s="17"/>
      <c r="B2842" s="17"/>
      <c r="C2842" s="18"/>
      <c r="D2842" s="18"/>
      <c r="E2842" s="18"/>
      <c r="F2842" s="18"/>
      <c r="G2842" s="18"/>
      <c r="H2842" s="18"/>
    </row>
    <row r="2843" spans="1:8" x14ac:dyDescent="0.2">
      <c r="A2843" s="17"/>
      <c r="B2843" s="17"/>
      <c r="C2843" s="18"/>
      <c r="D2843" s="18"/>
      <c r="E2843" s="18"/>
      <c r="F2843" s="18"/>
      <c r="G2843" s="18"/>
      <c r="H2843" s="18"/>
    </row>
    <row r="2844" spans="1:8" x14ac:dyDescent="0.2">
      <c r="A2844" s="17"/>
      <c r="B2844" s="17"/>
      <c r="C2844" s="18"/>
      <c r="D2844" s="18"/>
      <c r="E2844" s="18"/>
      <c r="F2844" s="18"/>
      <c r="G2844" s="18"/>
      <c r="H2844" s="18"/>
    </row>
    <row r="2845" spans="1:8" x14ac:dyDescent="0.2">
      <c r="A2845" s="17"/>
      <c r="B2845" s="17"/>
      <c r="C2845" s="18"/>
      <c r="D2845" s="18"/>
      <c r="E2845" s="18"/>
      <c r="F2845" s="18"/>
      <c r="G2845" s="18"/>
      <c r="H2845" s="18"/>
    </row>
    <row r="2846" spans="1:8" x14ac:dyDescent="0.2">
      <c r="A2846" s="17"/>
      <c r="B2846" s="17"/>
      <c r="C2846" s="18"/>
      <c r="D2846" s="18"/>
      <c r="E2846" s="18"/>
      <c r="F2846" s="18"/>
      <c r="G2846" s="18"/>
      <c r="H2846" s="18"/>
    </row>
    <row r="2847" spans="1:8" x14ac:dyDescent="0.2">
      <c r="A2847" s="17"/>
      <c r="B2847" s="17"/>
      <c r="C2847" s="18"/>
      <c r="D2847" s="18"/>
      <c r="E2847" s="18"/>
      <c r="F2847" s="18"/>
      <c r="G2847" s="18"/>
      <c r="H2847" s="18"/>
    </row>
    <row r="2848" spans="1:8" x14ac:dyDescent="0.2">
      <c r="A2848" s="17"/>
      <c r="B2848" s="17"/>
      <c r="C2848" s="18"/>
      <c r="D2848" s="18"/>
      <c r="E2848" s="18"/>
      <c r="F2848" s="18"/>
      <c r="G2848" s="18"/>
      <c r="H2848" s="18"/>
    </row>
    <row r="2849" spans="1:8" x14ac:dyDescent="0.2">
      <c r="A2849" s="17"/>
      <c r="B2849" s="17"/>
      <c r="C2849" s="18"/>
      <c r="D2849" s="18"/>
      <c r="E2849" s="18"/>
      <c r="F2849" s="18"/>
      <c r="G2849" s="18"/>
      <c r="H2849" s="18"/>
    </row>
    <row r="2850" spans="1:8" x14ac:dyDescent="0.2">
      <c r="A2850" s="17"/>
      <c r="B2850" s="17"/>
      <c r="C2850" s="18"/>
      <c r="D2850" s="18"/>
      <c r="E2850" s="18"/>
      <c r="F2850" s="18"/>
      <c r="G2850" s="18"/>
      <c r="H2850" s="18"/>
    </row>
    <row r="2851" spans="1:8" x14ac:dyDescent="0.2">
      <c r="A2851" s="17"/>
      <c r="B2851" s="17"/>
      <c r="C2851" s="18"/>
      <c r="D2851" s="18"/>
      <c r="E2851" s="18"/>
      <c r="F2851" s="18"/>
      <c r="G2851" s="18"/>
      <c r="H2851" s="18"/>
    </row>
    <row r="2852" spans="1:8" x14ac:dyDescent="0.2">
      <c r="A2852" s="17"/>
      <c r="B2852" s="17"/>
      <c r="C2852" s="18"/>
      <c r="D2852" s="18"/>
      <c r="E2852" s="18"/>
      <c r="F2852" s="18"/>
      <c r="G2852" s="18"/>
      <c r="H2852" s="18"/>
    </row>
    <row r="2853" spans="1:8" x14ac:dyDescent="0.2">
      <c r="A2853" s="17"/>
      <c r="B2853" s="17"/>
      <c r="C2853" s="18"/>
      <c r="D2853" s="18"/>
      <c r="E2853" s="18"/>
      <c r="F2853" s="18"/>
      <c r="G2853" s="18"/>
      <c r="H2853" s="18"/>
    </row>
    <row r="2854" spans="1:8" x14ac:dyDescent="0.2">
      <c r="A2854" s="17"/>
      <c r="B2854" s="17"/>
      <c r="C2854" s="18"/>
      <c r="D2854" s="18"/>
      <c r="E2854" s="18"/>
      <c r="F2854" s="18"/>
      <c r="G2854" s="18"/>
      <c r="H2854" s="18"/>
    </row>
    <row r="2855" spans="1:8" x14ac:dyDescent="0.2">
      <c r="A2855" s="17"/>
      <c r="B2855" s="17"/>
      <c r="C2855" s="18"/>
      <c r="D2855" s="18"/>
      <c r="E2855" s="18"/>
      <c r="F2855" s="18"/>
      <c r="G2855" s="18"/>
      <c r="H2855" s="18"/>
    </row>
    <row r="2856" spans="1:8" x14ac:dyDescent="0.2">
      <c r="A2856" s="17"/>
      <c r="B2856" s="17"/>
      <c r="C2856" s="18"/>
      <c r="D2856" s="18"/>
      <c r="E2856" s="18"/>
      <c r="F2856" s="18"/>
      <c r="G2856" s="18"/>
      <c r="H2856" s="18"/>
    </row>
    <row r="2857" spans="1:8" x14ac:dyDescent="0.2">
      <c r="A2857" s="17"/>
      <c r="B2857" s="17"/>
      <c r="C2857" s="18"/>
      <c r="D2857" s="18"/>
      <c r="E2857" s="18"/>
      <c r="F2857" s="18"/>
      <c r="G2857" s="18"/>
      <c r="H2857" s="18"/>
    </row>
    <row r="2858" spans="1:8" x14ac:dyDescent="0.2">
      <c r="A2858" s="17"/>
      <c r="B2858" s="17"/>
      <c r="C2858" s="18"/>
      <c r="D2858" s="18"/>
      <c r="E2858" s="18"/>
      <c r="F2858" s="18"/>
      <c r="G2858" s="18"/>
      <c r="H2858" s="18"/>
    </row>
    <row r="2859" spans="1:8" x14ac:dyDescent="0.2">
      <c r="A2859" s="17"/>
      <c r="B2859" s="17"/>
      <c r="C2859" s="18"/>
      <c r="D2859" s="18"/>
      <c r="E2859" s="18"/>
      <c r="F2859" s="18"/>
      <c r="G2859" s="18"/>
      <c r="H2859" s="18"/>
    </row>
    <row r="2860" spans="1:8" x14ac:dyDescent="0.2">
      <c r="A2860" s="17"/>
      <c r="B2860" s="17"/>
      <c r="C2860" s="18"/>
      <c r="D2860" s="18"/>
      <c r="E2860" s="18"/>
      <c r="F2860" s="18"/>
      <c r="G2860" s="18"/>
      <c r="H2860" s="18"/>
    </row>
    <row r="2861" spans="1:8" x14ac:dyDescent="0.2">
      <c r="A2861" s="17"/>
      <c r="B2861" s="17"/>
      <c r="C2861" s="18"/>
      <c r="D2861" s="18"/>
      <c r="E2861" s="18"/>
      <c r="F2861" s="18"/>
      <c r="G2861" s="18"/>
      <c r="H2861" s="18"/>
    </row>
    <row r="2862" spans="1:8" x14ac:dyDescent="0.2">
      <c r="A2862" s="17"/>
      <c r="B2862" s="17"/>
      <c r="C2862" s="18"/>
      <c r="D2862" s="18"/>
      <c r="E2862" s="18"/>
      <c r="F2862" s="18"/>
      <c r="G2862" s="18"/>
      <c r="H2862" s="18"/>
    </row>
    <row r="2863" spans="1:8" x14ac:dyDescent="0.2">
      <c r="A2863" s="17"/>
      <c r="B2863" s="17"/>
      <c r="C2863" s="18"/>
      <c r="D2863" s="18"/>
      <c r="E2863" s="18"/>
      <c r="F2863" s="18"/>
      <c r="G2863" s="18"/>
      <c r="H2863" s="18"/>
    </row>
    <row r="2864" spans="1:8" x14ac:dyDescent="0.2">
      <c r="A2864" s="17"/>
      <c r="B2864" s="17"/>
      <c r="C2864" s="18"/>
      <c r="D2864" s="18"/>
      <c r="E2864" s="18"/>
      <c r="F2864" s="18"/>
      <c r="G2864" s="18"/>
      <c r="H2864" s="18"/>
    </row>
    <row r="2865" spans="1:8" x14ac:dyDescent="0.2">
      <c r="A2865" s="17"/>
      <c r="B2865" s="17"/>
      <c r="C2865" s="18"/>
      <c r="D2865" s="18"/>
      <c r="E2865" s="18"/>
      <c r="F2865" s="18"/>
      <c r="G2865" s="18"/>
      <c r="H2865" s="18"/>
    </row>
    <row r="2866" spans="1:8" x14ac:dyDescent="0.2">
      <c r="A2866" s="17"/>
      <c r="B2866" s="17"/>
      <c r="C2866" s="18"/>
      <c r="D2866" s="18"/>
      <c r="E2866" s="18"/>
      <c r="F2866" s="18"/>
      <c r="G2866" s="18"/>
      <c r="H2866" s="18"/>
    </row>
    <row r="2867" spans="1:8" x14ac:dyDescent="0.2">
      <c r="A2867" s="17"/>
      <c r="B2867" s="17"/>
      <c r="C2867" s="18"/>
      <c r="D2867" s="18"/>
      <c r="E2867" s="18"/>
      <c r="F2867" s="18"/>
      <c r="G2867" s="18"/>
      <c r="H2867" s="18"/>
    </row>
    <row r="2868" spans="1:8" x14ac:dyDescent="0.2">
      <c r="A2868" s="17"/>
      <c r="B2868" s="17"/>
      <c r="C2868" s="18"/>
      <c r="D2868" s="18"/>
      <c r="E2868" s="18"/>
      <c r="F2868" s="18"/>
      <c r="G2868" s="18"/>
      <c r="H2868" s="18"/>
    </row>
    <row r="2869" spans="1:8" x14ac:dyDescent="0.2">
      <c r="A2869" s="17"/>
      <c r="B2869" s="17"/>
      <c r="C2869" s="18"/>
      <c r="D2869" s="18"/>
      <c r="E2869" s="18"/>
      <c r="F2869" s="18"/>
      <c r="G2869" s="18"/>
      <c r="H2869" s="18"/>
    </row>
    <row r="2870" spans="1:8" x14ac:dyDescent="0.2">
      <c r="A2870" s="17"/>
      <c r="B2870" s="17"/>
      <c r="C2870" s="18"/>
      <c r="D2870" s="18"/>
      <c r="E2870" s="18"/>
      <c r="F2870" s="18"/>
      <c r="G2870" s="18"/>
      <c r="H2870" s="18"/>
    </row>
    <row r="2871" spans="1:8" x14ac:dyDescent="0.2">
      <c r="A2871" s="17"/>
      <c r="B2871" s="17"/>
      <c r="C2871" s="18"/>
      <c r="D2871" s="18"/>
      <c r="E2871" s="18"/>
      <c r="F2871" s="18"/>
      <c r="G2871" s="18"/>
      <c r="H2871" s="18"/>
    </row>
    <row r="2872" spans="1:8" x14ac:dyDescent="0.2">
      <c r="A2872" s="17"/>
      <c r="B2872" s="17"/>
      <c r="C2872" s="18"/>
      <c r="D2872" s="18"/>
      <c r="E2872" s="18"/>
      <c r="F2872" s="18"/>
      <c r="G2872" s="18"/>
      <c r="H2872" s="18"/>
    </row>
    <row r="2873" spans="1:8" x14ac:dyDescent="0.2">
      <c r="A2873" s="17"/>
      <c r="B2873" s="17"/>
      <c r="C2873" s="18"/>
      <c r="D2873" s="18"/>
      <c r="E2873" s="18"/>
      <c r="F2873" s="18"/>
      <c r="G2873" s="18"/>
      <c r="H2873" s="18"/>
    </row>
    <row r="2874" spans="1:8" x14ac:dyDescent="0.2">
      <c r="A2874" s="17"/>
      <c r="B2874" s="17"/>
      <c r="C2874" s="18"/>
      <c r="D2874" s="18"/>
      <c r="E2874" s="18"/>
      <c r="F2874" s="18"/>
      <c r="G2874" s="18"/>
      <c r="H2874" s="18"/>
    </row>
    <row r="2875" spans="1:8" x14ac:dyDescent="0.2">
      <c r="A2875" s="17"/>
      <c r="B2875" s="17"/>
      <c r="C2875" s="18"/>
      <c r="D2875" s="18"/>
      <c r="E2875" s="18"/>
      <c r="F2875" s="18"/>
      <c r="G2875" s="18"/>
      <c r="H2875" s="18"/>
    </row>
    <row r="2876" spans="1:8" x14ac:dyDescent="0.2">
      <c r="A2876" s="17"/>
      <c r="B2876" s="17"/>
      <c r="C2876" s="18"/>
      <c r="D2876" s="18"/>
      <c r="E2876" s="18"/>
      <c r="F2876" s="18"/>
      <c r="G2876" s="18"/>
      <c r="H2876" s="18"/>
    </row>
    <row r="2877" spans="1:8" x14ac:dyDescent="0.2">
      <c r="A2877" s="17"/>
      <c r="B2877" s="17"/>
      <c r="C2877" s="18"/>
      <c r="D2877" s="18"/>
      <c r="E2877" s="18"/>
      <c r="F2877" s="18"/>
      <c r="G2877" s="18"/>
      <c r="H2877" s="18"/>
    </row>
    <row r="2878" spans="1:8" x14ac:dyDescent="0.2">
      <c r="A2878" s="17"/>
      <c r="B2878" s="17"/>
      <c r="C2878" s="18"/>
      <c r="D2878" s="18"/>
      <c r="E2878" s="18"/>
      <c r="F2878" s="18"/>
      <c r="G2878" s="18"/>
      <c r="H2878" s="18"/>
    </row>
    <row r="2879" spans="1:8" x14ac:dyDescent="0.2">
      <c r="A2879" s="17"/>
      <c r="B2879" s="17"/>
      <c r="C2879" s="18"/>
      <c r="D2879" s="18"/>
      <c r="E2879" s="18"/>
      <c r="F2879" s="18"/>
      <c r="G2879" s="18"/>
      <c r="H2879" s="18"/>
    </row>
    <row r="2880" spans="1:8" x14ac:dyDescent="0.2">
      <c r="A2880" s="17"/>
      <c r="B2880" s="17"/>
      <c r="C2880" s="18"/>
      <c r="D2880" s="18"/>
      <c r="E2880" s="18"/>
      <c r="F2880" s="18"/>
      <c r="G2880" s="18"/>
      <c r="H2880" s="18"/>
    </row>
    <row r="2881" spans="1:8" x14ac:dyDescent="0.2">
      <c r="A2881" s="17"/>
      <c r="B2881" s="17"/>
      <c r="C2881" s="18"/>
      <c r="D2881" s="18"/>
      <c r="E2881" s="18"/>
      <c r="F2881" s="18"/>
      <c r="G2881" s="18"/>
      <c r="H2881" s="18"/>
    </row>
    <row r="2882" spans="1:8" x14ac:dyDescent="0.2">
      <c r="A2882" s="17"/>
      <c r="B2882" s="17"/>
      <c r="C2882" s="18"/>
      <c r="D2882" s="18"/>
      <c r="E2882" s="18"/>
      <c r="F2882" s="18"/>
      <c r="G2882" s="18"/>
      <c r="H2882" s="18"/>
    </row>
    <row r="2883" spans="1:8" x14ac:dyDescent="0.2">
      <c r="A2883" s="17"/>
      <c r="B2883" s="17"/>
      <c r="C2883" s="18"/>
      <c r="D2883" s="18"/>
      <c r="E2883" s="18"/>
      <c r="F2883" s="18"/>
      <c r="G2883" s="18"/>
      <c r="H2883" s="18"/>
    </row>
    <row r="2884" spans="1:8" x14ac:dyDescent="0.2">
      <c r="A2884" s="17"/>
      <c r="B2884" s="17"/>
      <c r="C2884" s="18"/>
      <c r="D2884" s="18"/>
      <c r="E2884" s="18"/>
      <c r="F2884" s="18"/>
      <c r="G2884" s="18"/>
      <c r="H2884" s="18"/>
    </row>
    <row r="2885" spans="1:8" x14ac:dyDescent="0.2">
      <c r="A2885" s="17"/>
      <c r="B2885" s="17"/>
      <c r="C2885" s="18"/>
      <c r="D2885" s="18"/>
      <c r="E2885" s="18"/>
      <c r="F2885" s="18"/>
      <c r="G2885" s="18"/>
      <c r="H2885" s="18"/>
    </row>
    <row r="2886" spans="1:8" x14ac:dyDescent="0.2">
      <c r="A2886" s="17"/>
      <c r="B2886" s="17"/>
      <c r="C2886" s="18"/>
      <c r="D2886" s="18"/>
      <c r="E2886" s="18"/>
      <c r="F2886" s="18"/>
      <c r="G2886" s="18"/>
      <c r="H2886" s="18"/>
    </row>
    <row r="2887" spans="1:8" x14ac:dyDescent="0.2">
      <c r="A2887" s="17"/>
      <c r="B2887" s="17"/>
      <c r="C2887" s="18"/>
      <c r="D2887" s="18"/>
      <c r="E2887" s="18"/>
      <c r="F2887" s="18"/>
      <c r="G2887" s="18"/>
      <c r="H2887" s="18"/>
    </row>
    <row r="2888" spans="1:8" x14ac:dyDescent="0.2">
      <c r="A2888" s="17"/>
      <c r="B2888" s="17"/>
      <c r="C2888" s="18"/>
      <c r="D2888" s="18"/>
      <c r="E2888" s="18"/>
      <c r="F2888" s="18"/>
      <c r="G2888" s="18"/>
      <c r="H2888" s="18"/>
    </row>
    <row r="2889" spans="1:8" x14ac:dyDescent="0.2">
      <c r="A2889" s="17"/>
      <c r="B2889" s="17"/>
      <c r="C2889" s="18"/>
      <c r="D2889" s="18"/>
      <c r="E2889" s="18"/>
      <c r="F2889" s="18"/>
      <c r="G2889" s="18"/>
      <c r="H2889" s="18"/>
    </row>
    <row r="2890" spans="1:8" x14ac:dyDescent="0.2">
      <c r="A2890" s="17"/>
      <c r="B2890" s="17"/>
      <c r="C2890" s="18"/>
      <c r="D2890" s="18"/>
      <c r="E2890" s="18"/>
      <c r="F2890" s="18"/>
      <c r="G2890" s="18"/>
      <c r="H2890" s="18"/>
    </row>
    <row r="2891" spans="1:8" x14ac:dyDescent="0.2">
      <c r="A2891" s="17"/>
      <c r="B2891" s="17"/>
      <c r="C2891" s="18"/>
      <c r="D2891" s="18"/>
      <c r="E2891" s="18"/>
      <c r="F2891" s="18"/>
      <c r="G2891" s="18"/>
      <c r="H2891" s="18"/>
    </row>
    <row r="2892" spans="1:8" x14ac:dyDescent="0.2">
      <c r="A2892" s="17"/>
      <c r="B2892" s="17"/>
      <c r="C2892" s="18"/>
      <c r="D2892" s="18"/>
      <c r="E2892" s="18"/>
      <c r="F2892" s="18"/>
      <c r="G2892" s="18"/>
      <c r="H2892" s="18"/>
    </row>
    <row r="2893" spans="1:8" x14ac:dyDescent="0.2">
      <c r="A2893" s="17"/>
      <c r="B2893" s="17"/>
      <c r="C2893" s="18"/>
      <c r="D2893" s="18"/>
      <c r="E2893" s="18"/>
      <c r="F2893" s="18"/>
      <c r="G2893" s="18"/>
      <c r="H2893" s="18"/>
    </row>
    <row r="2894" spans="1:8" x14ac:dyDescent="0.2">
      <c r="A2894" s="17"/>
      <c r="B2894" s="17"/>
      <c r="C2894" s="18"/>
      <c r="D2894" s="18"/>
      <c r="E2894" s="18"/>
      <c r="F2894" s="18"/>
      <c r="G2894" s="18"/>
      <c r="H2894" s="18"/>
    </row>
    <row r="2895" spans="1:8" x14ac:dyDescent="0.2">
      <c r="A2895" s="17"/>
      <c r="B2895" s="17"/>
      <c r="C2895" s="18"/>
      <c r="D2895" s="18"/>
      <c r="E2895" s="18"/>
      <c r="F2895" s="18"/>
      <c r="G2895" s="18"/>
      <c r="H2895" s="18"/>
    </row>
    <row r="2896" spans="1:8" x14ac:dyDescent="0.2">
      <c r="A2896" s="17"/>
      <c r="B2896" s="17"/>
      <c r="C2896" s="18"/>
      <c r="D2896" s="18"/>
      <c r="E2896" s="18"/>
      <c r="F2896" s="18"/>
      <c r="G2896" s="18"/>
      <c r="H2896" s="18"/>
    </row>
    <row r="2897" spans="1:8" x14ac:dyDescent="0.2">
      <c r="A2897" s="17"/>
      <c r="B2897" s="17"/>
      <c r="C2897" s="18"/>
      <c r="D2897" s="18"/>
      <c r="E2897" s="18"/>
      <c r="F2897" s="18"/>
      <c r="G2897" s="18"/>
      <c r="H2897" s="18"/>
    </row>
    <row r="2898" spans="1:8" x14ac:dyDescent="0.2">
      <c r="A2898" s="17"/>
      <c r="B2898" s="17"/>
      <c r="C2898" s="18"/>
      <c r="D2898" s="18"/>
      <c r="E2898" s="18"/>
      <c r="F2898" s="18"/>
      <c r="G2898" s="18"/>
      <c r="H2898" s="18"/>
    </row>
    <row r="2899" spans="1:8" x14ac:dyDescent="0.2">
      <c r="A2899" s="17"/>
      <c r="B2899" s="17"/>
      <c r="C2899" s="18"/>
      <c r="D2899" s="18"/>
      <c r="E2899" s="18"/>
      <c r="F2899" s="18"/>
      <c r="G2899" s="18"/>
      <c r="H2899" s="18"/>
    </row>
    <row r="2900" spans="1:8" x14ac:dyDescent="0.2">
      <c r="A2900" s="17"/>
      <c r="B2900" s="17"/>
      <c r="C2900" s="18"/>
      <c r="D2900" s="18"/>
      <c r="E2900" s="18"/>
      <c r="F2900" s="18"/>
      <c r="G2900" s="18"/>
      <c r="H2900" s="18"/>
    </row>
    <row r="2901" spans="1:8" x14ac:dyDescent="0.2">
      <c r="A2901" s="17"/>
      <c r="B2901" s="17"/>
      <c r="C2901" s="18"/>
      <c r="D2901" s="18"/>
      <c r="E2901" s="18"/>
      <c r="F2901" s="18"/>
      <c r="G2901" s="18"/>
      <c r="H2901" s="18"/>
    </row>
    <row r="2902" spans="1:8" x14ac:dyDescent="0.2">
      <c r="A2902" s="17"/>
      <c r="B2902" s="17"/>
      <c r="C2902" s="18"/>
      <c r="D2902" s="18"/>
      <c r="E2902" s="18"/>
      <c r="F2902" s="18"/>
      <c r="G2902" s="18"/>
      <c r="H2902" s="18"/>
    </row>
    <row r="2903" spans="1:8" x14ac:dyDescent="0.2">
      <c r="A2903" s="17"/>
      <c r="B2903" s="17"/>
      <c r="C2903" s="18"/>
      <c r="D2903" s="18"/>
      <c r="E2903" s="18"/>
      <c r="F2903" s="18"/>
      <c r="G2903" s="18"/>
      <c r="H2903" s="18"/>
    </row>
    <row r="2904" spans="1:8" x14ac:dyDescent="0.2">
      <c r="A2904" s="17"/>
      <c r="B2904" s="17"/>
      <c r="C2904" s="18"/>
      <c r="D2904" s="18"/>
      <c r="E2904" s="18"/>
      <c r="F2904" s="18"/>
      <c r="G2904" s="18"/>
      <c r="H2904" s="18"/>
    </row>
    <row r="2905" spans="1:8" x14ac:dyDescent="0.2">
      <c r="A2905" s="17"/>
      <c r="B2905" s="17"/>
      <c r="C2905" s="18"/>
      <c r="D2905" s="18"/>
      <c r="E2905" s="18"/>
      <c r="F2905" s="18"/>
      <c r="G2905" s="18"/>
      <c r="H2905" s="18"/>
    </row>
    <row r="2906" spans="1:8" x14ac:dyDescent="0.2">
      <c r="A2906" s="17"/>
      <c r="B2906" s="17"/>
      <c r="C2906" s="18"/>
      <c r="D2906" s="18"/>
      <c r="E2906" s="18"/>
      <c r="F2906" s="18"/>
      <c r="G2906" s="18"/>
      <c r="H2906" s="18"/>
    </row>
    <row r="2907" spans="1:8" x14ac:dyDescent="0.2">
      <c r="A2907" s="17"/>
      <c r="B2907" s="17"/>
      <c r="C2907" s="18"/>
      <c r="D2907" s="18"/>
      <c r="E2907" s="18"/>
      <c r="F2907" s="18"/>
      <c r="G2907" s="18"/>
      <c r="H2907" s="18"/>
    </row>
    <row r="2908" spans="1:8" x14ac:dyDescent="0.2">
      <c r="A2908" s="17"/>
      <c r="B2908" s="17"/>
      <c r="C2908" s="18"/>
      <c r="D2908" s="18"/>
      <c r="E2908" s="18"/>
      <c r="F2908" s="18"/>
      <c r="G2908" s="18"/>
      <c r="H2908" s="18"/>
    </row>
    <row r="2909" spans="1:8" x14ac:dyDescent="0.2">
      <c r="A2909" s="17"/>
      <c r="B2909" s="17"/>
      <c r="C2909" s="18"/>
      <c r="D2909" s="18"/>
      <c r="E2909" s="18"/>
      <c r="F2909" s="18"/>
      <c r="G2909" s="18"/>
      <c r="H2909" s="18"/>
    </row>
    <row r="2910" spans="1:8" x14ac:dyDescent="0.2">
      <c r="A2910" s="17"/>
      <c r="B2910" s="17"/>
      <c r="C2910" s="18"/>
      <c r="D2910" s="18"/>
      <c r="E2910" s="18"/>
      <c r="F2910" s="18"/>
      <c r="G2910" s="18"/>
      <c r="H2910" s="18"/>
    </row>
    <row r="2911" spans="1:8" x14ac:dyDescent="0.2">
      <c r="A2911" s="17"/>
      <c r="B2911" s="17"/>
      <c r="C2911" s="18"/>
      <c r="D2911" s="18"/>
      <c r="E2911" s="18"/>
      <c r="F2911" s="18"/>
      <c r="G2911" s="18"/>
      <c r="H2911" s="18"/>
    </row>
    <row r="2912" spans="1:8" x14ac:dyDescent="0.2">
      <c r="A2912" s="17"/>
      <c r="B2912" s="17"/>
      <c r="C2912" s="18"/>
      <c r="D2912" s="18"/>
      <c r="E2912" s="18"/>
      <c r="F2912" s="18"/>
      <c r="G2912" s="18"/>
      <c r="H2912" s="18"/>
    </row>
    <row r="2913" spans="1:8" x14ac:dyDescent="0.2">
      <c r="A2913" s="17"/>
      <c r="B2913" s="17"/>
      <c r="C2913" s="18"/>
      <c r="D2913" s="18"/>
      <c r="E2913" s="18"/>
      <c r="F2913" s="18"/>
      <c r="G2913" s="18"/>
      <c r="H2913" s="18"/>
    </row>
    <row r="2914" spans="1:8" x14ac:dyDescent="0.2">
      <c r="A2914" s="17"/>
      <c r="B2914" s="17"/>
      <c r="C2914" s="18"/>
      <c r="D2914" s="18"/>
      <c r="E2914" s="18"/>
      <c r="F2914" s="18"/>
      <c r="G2914" s="18"/>
      <c r="H2914" s="18"/>
    </row>
    <row r="2915" spans="1:8" x14ac:dyDescent="0.2">
      <c r="A2915" s="17"/>
      <c r="B2915" s="17"/>
      <c r="C2915" s="18"/>
      <c r="D2915" s="18"/>
      <c r="E2915" s="18"/>
      <c r="F2915" s="18"/>
      <c r="G2915" s="18"/>
      <c r="H2915" s="18"/>
    </row>
    <row r="2916" spans="1:8" x14ac:dyDescent="0.2">
      <c r="A2916" s="17"/>
      <c r="B2916" s="17"/>
      <c r="C2916" s="18"/>
      <c r="D2916" s="18"/>
      <c r="E2916" s="18"/>
      <c r="F2916" s="18"/>
      <c r="G2916" s="18"/>
      <c r="H2916" s="18"/>
    </row>
    <row r="2917" spans="1:8" x14ac:dyDescent="0.2">
      <c r="A2917" s="17"/>
      <c r="B2917" s="17"/>
      <c r="C2917" s="18"/>
      <c r="D2917" s="18"/>
      <c r="E2917" s="18"/>
      <c r="F2917" s="18"/>
      <c r="G2917" s="18"/>
      <c r="H2917" s="18"/>
    </row>
    <row r="2918" spans="1:8" x14ac:dyDescent="0.2">
      <c r="A2918" s="17"/>
      <c r="B2918" s="17"/>
      <c r="C2918" s="18"/>
      <c r="D2918" s="18"/>
      <c r="E2918" s="18"/>
      <c r="F2918" s="18"/>
      <c r="G2918" s="18"/>
      <c r="H2918" s="18"/>
    </row>
    <row r="2919" spans="1:8" x14ac:dyDescent="0.2">
      <c r="A2919" s="17"/>
      <c r="B2919" s="17"/>
      <c r="C2919" s="18"/>
      <c r="D2919" s="18"/>
      <c r="E2919" s="18"/>
      <c r="F2919" s="18"/>
      <c r="G2919" s="18"/>
      <c r="H2919" s="18"/>
    </row>
    <row r="2920" spans="1:8" x14ac:dyDescent="0.2">
      <c r="A2920" s="17"/>
      <c r="B2920" s="17"/>
      <c r="C2920" s="18"/>
      <c r="D2920" s="18"/>
      <c r="E2920" s="18"/>
      <c r="F2920" s="18"/>
      <c r="G2920" s="18"/>
      <c r="H2920" s="18"/>
    </row>
    <row r="2921" spans="1:8" x14ac:dyDescent="0.2">
      <c r="A2921" s="17"/>
      <c r="B2921" s="17"/>
      <c r="C2921" s="18"/>
      <c r="D2921" s="18"/>
      <c r="E2921" s="18"/>
      <c r="F2921" s="18"/>
      <c r="G2921" s="18"/>
      <c r="H2921" s="18"/>
    </row>
    <row r="2922" spans="1:8" x14ac:dyDescent="0.2">
      <c r="A2922" s="17"/>
      <c r="B2922" s="17"/>
      <c r="C2922" s="18"/>
      <c r="D2922" s="18"/>
      <c r="E2922" s="18"/>
      <c r="F2922" s="18"/>
      <c r="G2922" s="18"/>
      <c r="H2922" s="18"/>
    </row>
    <row r="2923" spans="1:8" x14ac:dyDescent="0.2">
      <c r="A2923" s="17"/>
      <c r="B2923" s="17"/>
      <c r="C2923" s="18"/>
      <c r="D2923" s="18"/>
      <c r="E2923" s="18"/>
      <c r="F2923" s="18"/>
      <c r="G2923" s="18"/>
      <c r="H2923" s="18"/>
    </row>
    <row r="2924" spans="1:8" x14ac:dyDescent="0.2">
      <c r="A2924" s="17"/>
      <c r="B2924" s="17"/>
      <c r="C2924" s="18"/>
      <c r="D2924" s="18"/>
      <c r="E2924" s="18"/>
      <c r="F2924" s="18"/>
      <c r="G2924" s="18"/>
      <c r="H2924" s="18"/>
    </row>
    <row r="2925" spans="1:8" x14ac:dyDescent="0.2">
      <c r="A2925" s="17"/>
      <c r="B2925" s="17"/>
      <c r="C2925" s="18"/>
      <c r="D2925" s="18"/>
      <c r="E2925" s="18"/>
      <c r="F2925" s="18"/>
      <c r="G2925" s="18"/>
      <c r="H2925" s="18"/>
    </row>
    <row r="2926" spans="1:8" x14ac:dyDescent="0.2">
      <c r="A2926" s="17"/>
      <c r="B2926" s="17"/>
      <c r="C2926" s="18"/>
      <c r="D2926" s="18"/>
      <c r="E2926" s="18"/>
      <c r="F2926" s="18"/>
      <c r="G2926" s="18"/>
      <c r="H2926" s="18"/>
    </row>
    <row r="2927" spans="1:8" x14ac:dyDescent="0.2">
      <c r="A2927" s="17"/>
      <c r="B2927" s="17"/>
      <c r="C2927" s="18"/>
      <c r="D2927" s="18"/>
      <c r="E2927" s="18"/>
      <c r="F2927" s="18"/>
      <c r="G2927" s="18"/>
      <c r="H2927" s="18"/>
    </row>
    <row r="2928" spans="1:8" x14ac:dyDescent="0.2">
      <c r="A2928" s="17"/>
      <c r="B2928" s="17"/>
      <c r="C2928" s="18"/>
      <c r="D2928" s="18"/>
      <c r="E2928" s="18"/>
      <c r="F2928" s="18"/>
      <c r="G2928" s="18"/>
      <c r="H2928" s="18"/>
    </row>
    <row r="2929" spans="1:8" x14ac:dyDescent="0.2">
      <c r="A2929" s="17"/>
      <c r="B2929" s="17"/>
      <c r="C2929" s="18"/>
      <c r="D2929" s="18"/>
      <c r="E2929" s="18"/>
      <c r="F2929" s="18"/>
      <c r="G2929" s="18"/>
      <c r="H2929" s="18"/>
    </row>
    <row r="2930" spans="1:8" x14ac:dyDescent="0.2">
      <c r="A2930" s="17"/>
      <c r="B2930" s="17"/>
      <c r="C2930" s="18"/>
      <c r="D2930" s="18"/>
      <c r="E2930" s="18"/>
      <c r="F2930" s="18"/>
      <c r="G2930" s="18"/>
      <c r="H2930" s="18"/>
    </row>
    <row r="2931" spans="1:8" x14ac:dyDescent="0.2">
      <c r="A2931" s="17"/>
      <c r="B2931" s="17"/>
      <c r="C2931" s="18"/>
      <c r="D2931" s="18"/>
      <c r="E2931" s="18"/>
      <c r="F2931" s="18"/>
      <c r="G2931" s="18"/>
      <c r="H2931" s="18"/>
    </row>
    <row r="2932" spans="1:8" x14ac:dyDescent="0.2">
      <c r="A2932" s="17"/>
      <c r="B2932" s="17"/>
      <c r="C2932" s="18"/>
      <c r="D2932" s="18"/>
      <c r="E2932" s="18"/>
      <c r="F2932" s="18"/>
      <c r="G2932" s="18"/>
      <c r="H2932" s="18"/>
    </row>
    <row r="2933" spans="1:8" x14ac:dyDescent="0.2">
      <c r="A2933" s="17"/>
      <c r="B2933" s="17"/>
      <c r="C2933" s="18"/>
      <c r="D2933" s="18"/>
      <c r="E2933" s="18"/>
      <c r="F2933" s="18"/>
      <c r="G2933" s="18"/>
      <c r="H2933" s="18"/>
    </row>
    <row r="2934" spans="1:8" x14ac:dyDescent="0.2">
      <c r="A2934" s="17"/>
      <c r="B2934" s="17"/>
      <c r="C2934" s="18"/>
      <c r="D2934" s="18"/>
      <c r="E2934" s="18"/>
      <c r="F2934" s="18"/>
      <c r="G2934" s="18"/>
      <c r="H2934" s="18"/>
    </row>
    <row r="2935" spans="1:8" x14ac:dyDescent="0.2">
      <c r="A2935" s="17"/>
      <c r="B2935" s="17"/>
      <c r="C2935" s="18"/>
      <c r="D2935" s="18"/>
      <c r="E2935" s="18"/>
      <c r="F2935" s="18"/>
      <c r="G2935" s="18"/>
      <c r="H2935" s="18"/>
    </row>
    <row r="2936" spans="1:8" x14ac:dyDescent="0.2">
      <c r="A2936" s="17"/>
      <c r="B2936" s="17"/>
      <c r="C2936" s="18"/>
      <c r="D2936" s="18"/>
      <c r="E2936" s="18"/>
      <c r="F2936" s="18"/>
      <c r="G2936" s="18"/>
      <c r="H2936" s="18"/>
    </row>
    <row r="2937" spans="1:8" x14ac:dyDescent="0.2">
      <c r="A2937" s="17"/>
      <c r="B2937" s="17"/>
      <c r="C2937" s="18"/>
      <c r="D2937" s="18"/>
      <c r="E2937" s="18"/>
      <c r="F2937" s="18"/>
      <c r="G2937" s="18"/>
      <c r="H2937" s="18"/>
    </row>
    <row r="2938" spans="1:8" x14ac:dyDescent="0.2">
      <c r="A2938" s="17"/>
      <c r="B2938" s="17"/>
      <c r="C2938" s="18"/>
      <c r="D2938" s="18"/>
      <c r="E2938" s="18"/>
      <c r="F2938" s="18"/>
      <c r="G2938" s="18"/>
      <c r="H2938" s="18"/>
    </row>
    <row r="2939" spans="1:8" x14ac:dyDescent="0.2">
      <c r="A2939" s="17"/>
      <c r="B2939" s="17"/>
      <c r="C2939" s="18"/>
      <c r="D2939" s="18"/>
      <c r="E2939" s="18"/>
      <c r="F2939" s="18"/>
      <c r="G2939" s="18"/>
      <c r="H2939" s="18"/>
    </row>
    <row r="2940" spans="1:8" x14ac:dyDescent="0.2">
      <c r="A2940" s="17"/>
      <c r="B2940" s="17"/>
      <c r="C2940" s="18"/>
      <c r="D2940" s="18"/>
      <c r="E2940" s="18"/>
      <c r="F2940" s="18"/>
      <c r="G2940" s="18"/>
      <c r="H2940" s="18"/>
    </row>
    <row r="2941" spans="1:8" x14ac:dyDescent="0.2">
      <c r="A2941" s="17"/>
      <c r="B2941" s="17"/>
      <c r="C2941" s="18"/>
      <c r="D2941" s="18"/>
      <c r="E2941" s="18"/>
      <c r="F2941" s="18"/>
      <c r="G2941" s="18"/>
      <c r="H2941" s="18"/>
    </row>
    <row r="2942" spans="1:8" x14ac:dyDescent="0.2">
      <c r="A2942" s="17"/>
      <c r="B2942" s="17"/>
      <c r="C2942" s="18"/>
      <c r="D2942" s="18"/>
      <c r="E2942" s="18"/>
      <c r="F2942" s="18"/>
      <c r="G2942" s="18"/>
      <c r="H2942" s="18"/>
    </row>
    <row r="2943" spans="1:8" x14ac:dyDescent="0.2">
      <c r="A2943" s="17"/>
      <c r="B2943" s="17"/>
      <c r="C2943" s="18"/>
      <c r="D2943" s="18"/>
      <c r="E2943" s="18"/>
      <c r="F2943" s="18"/>
      <c r="G2943" s="18"/>
      <c r="H2943" s="18"/>
    </row>
    <row r="2944" spans="1:8" x14ac:dyDescent="0.2">
      <c r="A2944" s="17"/>
      <c r="B2944" s="17"/>
      <c r="C2944" s="18"/>
      <c r="D2944" s="18"/>
      <c r="E2944" s="18"/>
      <c r="F2944" s="18"/>
      <c r="G2944" s="18"/>
      <c r="H2944" s="18"/>
    </row>
    <row r="2945" spans="1:8" x14ac:dyDescent="0.2">
      <c r="A2945" s="17"/>
      <c r="B2945" s="17"/>
      <c r="C2945" s="18"/>
      <c r="D2945" s="18"/>
      <c r="E2945" s="18"/>
      <c r="F2945" s="18"/>
      <c r="G2945" s="18"/>
      <c r="H2945" s="18"/>
    </row>
    <row r="2946" spans="1:8" x14ac:dyDescent="0.2">
      <c r="A2946" s="17"/>
      <c r="B2946" s="17"/>
      <c r="C2946" s="18"/>
      <c r="D2946" s="18"/>
      <c r="E2946" s="18"/>
      <c r="F2946" s="18"/>
      <c r="G2946" s="18"/>
      <c r="H2946" s="18"/>
    </row>
    <row r="2947" spans="1:8" x14ac:dyDescent="0.2">
      <c r="A2947" s="17"/>
      <c r="B2947" s="17"/>
      <c r="C2947" s="18"/>
      <c r="D2947" s="18"/>
      <c r="E2947" s="18"/>
      <c r="F2947" s="18"/>
      <c r="G2947" s="18"/>
      <c r="H2947" s="18"/>
    </row>
    <row r="2948" spans="1:8" x14ac:dyDescent="0.2">
      <c r="A2948" s="17"/>
      <c r="B2948" s="17"/>
      <c r="C2948" s="18"/>
      <c r="D2948" s="18"/>
      <c r="E2948" s="18"/>
      <c r="F2948" s="18"/>
      <c r="G2948" s="18"/>
      <c r="H2948" s="18"/>
    </row>
    <row r="2949" spans="1:8" x14ac:dyDescent="0.2">
      <c r="A2949" s="17"/>
      <c r="B2949" s="17"/>
      <c r="C2949" s="18"/>
      <c r="D2949" s="18"/>
      <c r="E2949" s="18"/>
      <c r="F2949" s="18"/>
      <c r="G2949" s="18"/>
      <c r="H2949" s="18"/>
    </row>
    <row r="2950" spans="1:8" x14ac:dyDescent="0.2">
      <c r="A2950" s="17"/>
      <c r="B2950" s="17"/>
      <c r="C2950" s="18"/>
      <c r="D2950" s="18"/>
      <c r="E2950" s="18"/>
      <c r="F2950" s="18"/>
      <c r="G2950" s="18"/>
      <c r="H2950" s="18"/>
    </row>
    <row r="2951" spans="1:8" x14ac:dyDescent="0.2">
      <c r="A2951" s="17"/>
      <c r="B2951" s="17"/>
      <c r="C2951" s="18"/>
      <c r="D2951" s="18"/>
      <c r="E2951" s="18"/>
      <c r="F2951" s="18"/>
      <c r="G2951" s="18"/>
      <c r="H2951" s="18"/>
    </row>
    <row r="2952" spans="1:8" x14ac:dyDescent="0.2">
      <c r="A2952" s="17"/>
      <c r="B2952" s="17"/>
      <c r="C2952" s="18"/>
      <c r="D2952" s="18"/>
      <c r="E2952" s="18"/>
      <c r="F2952" s="18"/>
      <c r="G2952" s="18"/>
      <c r="H2952" s="18"/>
    </row>
    <row r="2953" spans="1:8" x14ac:dyDescent="0.2">
      <c r="A2953" s="17"/>
      <c r="B2953" s="17"/>
      <c r="C2953" s="18"/>
      <c r="D2953" s="18"/>
      <c r="E2953" s="18"/>
      <c r="F2953" s="18"/>
      <c r="G2953" s="18"/>
      <c r="H2953" s="18"/>
    </row>
    <row r="2954" spans="1:8" x14ac:dyDescent="0.2">
      <c r="A2954" s="17"/>
      <c r="B2954" s="17"/>
      <c r="C2954" s="18"/>
      <c r="D2954" s="18"/>
      <c r="E2954" s="18"/>
      <c r="F2954" s="18"/>
      <c r="G2954" s="18"/>
      <c r="H2954" s="18"/>
    </row>
    <row r="2955" spans="1:8" x14ac:dyDescent="0.2">
      <c r="A2955" s="17"/>
      <c r="B2955" s="17"/>
      <c r="C2955" s="18"/>
      <c r="D2955" s="18"/>
      <c r="E2955" s="18"/>
      <c r="F2955" s="18"/>
      <c r="G2955" s="18"/>
      <c r="H2955" s="18"/>
    </row>
    <row r="2956" spans="1:8" x14ac:dyDescent="0.2">
      <c r="A2956" s="17"/>
      <c r="B2956" s="17"/>
      <c r="C2956" s="18"/>
      <c r="D2956" s="18"/>
      <c r="E2956" s="18"/>
      <c r="F2956" s="18"/>
      <c r="G2956" s="18"/>
      <c r="H2956" s="18"/>
    </row>
    <row r="2957" spans="1:8" x14ac:dyDescent="0.2">
      <c r="A2957" s="17"/>
      <c r="B2957" s="17"/>
      <c r="C2957" s="18"/>
      <c r="D2957" s="18"/>
      <c r="E2957" s="18"/>
      <c r="F2957" s="18"/>
      <c r="G2957" s="18"/>
      <c r="H2957" s="18"/>
    </row>
    <row r="2958" spans="1:8" x14ac:dyDescent="0.2">
      <c r="A2958" s="17"/>
      <c r="B2958" s="17"/>
      <c r="C2958" s="18"/>
      <c r="D2958" s="18"/>
      <c r="E2958" s="18"/>
      <c r="F2958" s="18"/>
      <c r="G2958" s="18"/>
      <c r="H2958" s="18"/>
    </row>
    <row r="2959" spans="1:8" x14ac:dyDescent="0.2">
      <c r="A2959" s="17"/>
      <c r="B2959" s="17"/>
      <c r="C2959" s="18"/>
      <c r="D2959" s="18"/>
      <c r="E2959" s="18"/>
      <c r="F2959" s="18"/>
      <c r="G2959" s="18"/>
      <c r="H2959" s="18"/>
    </row>
    <row r="2960" spans="1:8" x14ac:dyDescent="0.2">
      <c r="A2960" s="17"/>
      <c r="B2960" s="17"/>
      <c r="C2960" s="18"/>
      <c r="D2960" s="18"/>
      <c r="E2960" s="18"/>
      <c r="F2960" s="18"/>
      <c r="G2960" s="18"/>
      <c r="H2960" s="18"/>
    </row>
    <row r="2961" spans="1:8" x14ac:dyDescent="0.2">
      <c r="A2961" s="17"/>
      <c r="B2961" s="17"/>
      <c r="C2961" s="18"/>
      <c r="D2961" s="18"/>
      <c r="E2961" s="18"/>
      <c r="F2961" s="18"/>
      <c r="G2961" s="18"/>
      <c r="H2961" s="18"/>
    </row>
    <row r="2962" spans="1:8" x14ac:dyDescent="0.2">
      <c r="A2962" s="17"/>
      <c r="B2962" s="17"/>
      <c r="C2962" s="18"/>
      <c r="D2962" s="18"/>
      <c r="E2962" s="18"/>
      <c r="F2962" s="18"/>
      <c r="G2962" s="18"/>
      <c r="H2962" s="18"/>
    </row>
    <row r="2963" spans="1:8" x14ac:dyDescent="0.2">
      <c r="A2963" s="17"/>
      <c r="B2963" s="17"/>
      <c r="C2963" s="18"/>
      <c r="D2963" s="18"/>
      <c r="E2963" s="18"/>
      <c r="F2963" s="18"/>
      <c r="G2963" s="18"/>
      <c r="H2963" s="18"/>
    </row>
    <row r="2964" spans="1:8" x14ac:dyDescent="0.2">
      <c r="A2964" s="17"/>
      <c r="B2964" s="17"/>
      <c r="C2964" s="18"/>
      <c r="D2964" s="18"/>
      <c r="E2964" s="18"/>
      <c r="F2964" s="18"/>
      <c r="G2964" s="18"/>
      <c r="H2964" s="18"/>
    </row>
    <row r="2965" spans="1:8" x14ac:dyDescent="0.2">
      <c r="A2965" s="17"/>
      <c r="B2965" s="17"/>
      <c r="C2965" s="18"/>
      <c r="D2965" s="18"/>
      <c r="E2965" s="18"/>
      <c r="F2965" s="18"/>
      <c r="G2965" s="18"/>
      <c r="H2965" s="18"/>
    </row>
    <row r="2966" spans="1:8" x14ac:dyDescent="0.2">
      <c r="A2966" s="17"/>
      <c r="B2966" s="17"/>
      <c r="C2966" s="18"/>
      <c r="D2966" s="18"/>
      <c r="E2966" s="18"/>
      <c r="F2966" s="18"/>
      <c r="G2966" s="18"/>
      <c r="H2966" s="18"/>
    </row>
    <row r="2967" spans="1:8" x14ac:dyDescent="0.2">
      <c r="A2967" s="17"/>
      <c r="B2967" s="17"/>
      <c r="C2967" s="18"/>
      <c r="D2967" s="18"/>
      <c r="E2967" s="18"/>
      <c r="F2967" s="18"/>
      <c r="G2967" s="18"/>
      <c r="H2967" s="18"/>
    </row>
    <row r="2968" spans="1:8" x14ac:dyDescent="0.2">
      <c r="A2968" s="17"/>
      <c r="B2968" s="17"/>
      <c r="C2968" s="18"/>
      <c r="D2968" s="18"/>
      <c r="E2968" s="18"/>
      <c r="F2968" s="18"/>
      <c r="G2968" s="18"/>
      <c r="H2968" s="18"/>
    </row>
    <row r="2969" spans="1:8" x14ac:dyDescent="0.2">
      <c r="A2969" s="17"/>
      <c r="B2969" s="17"/>
      <c r="C2969" s="18"/>
      <c r="D2969" s="18"/>
      <c r="E2969" s="18"/>
      <c r="F2969" s="18"/>
      <c r="G2969" s="18"/>
      <c r="H2969" s="18"/>
    </row>
    <row r="2970" spans="1:8" x14ac:dyDescent="0.2">
      <c r="A2970" s="17"/>
      <c r="B2970" s="17"/>
      <c r="C2970" s="18"/>
      <c r="D2970" s="18"/>
      <c r="E2970" s="18"/>
      <c r="F2970" s="18"/>
      <c r="G2970" s="18"/>
      <c r="H2970" s="18"/>
    </row>
    <row r="2971" spans="1:8" x14ac:dyDescent="0.2">
      <c r="A2971" s="17"/>
      <c r="B2971" s="17"/>
      <c r="C2971" s="18"/>
      <c r="D2971" s="18"/>
      <c r="E2971" s="18"/>
      <c r="F2971" s="18"/>
      <c r="G2971" s="18"/>
      <c r="H2971" s="18"/>
    </row>
    <row r="2972" spans="1:8" x14ac:dyDescent="0.2">
      <c r="A2972" s="17"/>
      <c r="B2972" s="17"/>
      <c r="C2972" s="18"/>
      <c r="D2972" s="18"/>
      <c r="E2972" s="18"/>
      <c r="F2972" s="18"/>
      <c r="G2972" s="18"/>
      <c r="H2972" s="18"/>
    </row>
    <row r="2973" spans="1:8" x14ac:dyDescent="0.2">
      <c r="A2973" s="17"/>
      <c r="B2973" s="17"/>
      <c r="C2973" s="18"/>
      <c r="D2973" s="18"/>
      <c r="E2973" s="18"/>
      <c r="F2973" s="18"/>
      <c r="G2973" s="18"/>
      <c r="H2973" s="18"/>
    </row>
    <row r="2974" spans="1:8" x14ac:dyDescent="0.2">
      <c r="A2974" s="17"/>
      <c r="B2974" s="17"/>
      <c r="C2974" s="18"/>
      <c r="D2974" s="18"/>
      <c r="E2974" s="18"/>
      <c r="F2974" s="18"/>
      <c r="G2974" s="18"/>
      <c r="H2974" s="18"/>
    </row>
    <row r="2975" spans="1:8" x14ac:dyDescent="0.2">
      <c r="A2975" s="17"/>
      <c r="B2975" s="17"/>
      <c r="C2975" s="18"/>
      <c r="D2975" s="18"/>
      <c r="E2975" s="18"/>
      <c r="F2975" s="18"/>
      <c r="G2975" s="18"/>
      <c r="H2975" s="18"/>
    </row>
    <row r="2976" spans="1:8" x14ac:dyDescent="0.2">
      <c r="A2976" s="17"/>
      <c r="B2976" s="17"/>
      <c r="C2976" s="18"/>
      <c r="D2976" s="18"/>
      <c r="E2976" s="18"/>
      <c r="F2976" s="18"/>
      <c r="G2976" s="18"/>
      <c r="H2976" s="18"/>
    </row>
    <row r="2977" spans="1:8" x14ac:dyDescent="0.2">
      <c r="A2977" s="17"/>
      <c r="B2977" s="17"/>
      <c r="C2977" s="18"/>
      <c r="D2977" s="18"/>
      <c r="E2977" s="18"/>
      <c r="F2977" s="18"/>
      <c r="G2977" s="18"/>
      <c r="H2977" s="18"/>
    </row>
    <row r="2978" spans="1:8" x14ac:dyDescent="0.2">
      <c r="A2978" s="17"/>
      <c r="B2978" s="17"/>
      <c r="C2978" s="18"/>
      <c r="D2978" s="18"/>
      <c r="E2978" s="18"/>
      <c r="F2978" s="18"/>
      <c r="G2978" s="18"/>
      <c r="H2978" s="18"/>
    </row>
    <row r="2979" spans="1:8" x14ac:dyDescent="0.2">
      <c r="A2979" s="17"/>
      <c r="B2979" s="17"/>
      <c r="C2979" s="18"/>
      <c r="D2979" s="18"/>
      <c r="E2979" s="18"/>
      <c r="F2979" s="18"/>
      <c r="G2979" s="18"/>
      <c r="H2979" s="18"/>
    </row>
    <row r="2980" spans="1:8" x14ac:dyDescent="0.2">
      <c r="A2980" s="17"/>
      <c r="B2980" s="17"/>
      <c r="C2980" s="18"/>
      <c r="D2980" s="18"/>
      <c r="E2980" s="18"/>
      <c r="F2980" s="18"/>
      <c r="G2980" s="18"/>
      <c r="H2980" s="18"/>
    </row>
    <row r="2981" spans="1:8" x14ac:dyDescent="0.2">
      <c r="A2981" s="17"/>
      <c r="B2981" s="17"/>
      <c r="C2981" s="18"/>
      <c r="D2981" s="18"/>
      <c r="E2981" s="18"/>
      <c r="F2981" s="18"/>
      <c r="G2981" s="18"/>
      <c r="H2981" s="18"/>
    </row>
    <row r="2982" spans="1:8" x14ac:dyDescent="0.2">
      <c r="A2982" s="17"/>
      <c r="B2982" s="17"/>
      <c r="C2982" s="18"/>
      <c r="D2982" s="18"/>
      <c r="E2982" s="18"/>
      <c r="F2982" s="18"/>
      <c r="G2982" s="18"/>
      <c r="H2982" s="18"/>
    </row>
    <row r="2983" spans="1:8" x14ac:dyDescent="0.2">
      <c r="A2983" s="17"/>
      <c r="B2983" s="17"/>
      <c r="C2983" s="18"/>
      <c r="D2983" s="18"/>
      <c r="E2983" s="18"/>
      <c r="F2983" s="18"/>
      <c r="G2983" s="18"/>
      <c r="H2983" s="18"/>
    </row>
    <row r="2984" spans="1:8" x14ac:dyDescent="0.2">
      <c r="A2984" s="17"/>
      <c r="B2984" s="17"/>
      <c r="C2984" s="18"/>
      <c r="D2984" s="18"/>
      <c r="E2984" s="18"/>
      <c r="F2984" s="18"/>
      <c r="G2984" s="18"/>
      <c r="H2984" s="18"/>
    </row>
    <row r="2985" spans="1:8" x14ac:dyDescent="0.2">
      <c r="A2985" s="17"/>
      <c r="B2985" s="17"/>
      <c r="C2985" s="18"/>
      <c r="D2985" s="18"/>
      <c r="E2985" s="18"/>
      <c r="F2985" s="18"/>
      <c r="G2985" s="18"/>
      <c r="H2985" s="18"/>
    </row>
    <row r="2986" spans="1:8" x14ac:dyDescent="0.2">
      <c r="A2986" s="17"/>
      <c r="B2986" s="17"/>
      <c r="C2986" s="18"/>
      <c r="D2986" s="18"/>
      <c r="E2986" s="18"/>
      <c r="F2986" s="18"/>
      <c r="G2986" s="18"/>
      <c r="H2986" s="18"/>
    </row>
    <row r="2987" spans="1:8" x14ac:dyDescent="0.2">
      <c r="A2987" s="17"/>
      <c r="B2987" s="17"/>
      <c r="C2987" s="18"/>
      <c r="D2987" s="18"/>
      <c r="E2987" s="18"/>
      <c r="F2987" s="18"/>
      <c r="G2987" s="18"/>
      <c r="H2987" s="18"/>
    </row>
    <row r="2988" spans="1:8" x14ac:dyDescent="0.2">
      <c r="A2988" s="17"/>
      <c r="B2988" s="17"/>
      <c r="C2988" s="18"/>
      <c r="D2988" s="18"/>
      <c r="E2988" s="18"/>
      <c r="F2988" s="18"/>
      <c r="G2988" s="18"/>
      <c r="H2988" s="18"/>
    </row>
    <row r="2989" spans="1:8" x14ac:dyDescent="0.2">
      <c r="A2989" s="17"/>
      <c r="B2989" s="17"/>
      <c r="C2989" s="18"/>
      <c r="D2989" s="18"/>
      <c r="E2989" s="18"/>
      <c r="F2989" s="18"/>
      <c r="G2989" s="18"/>
      <c r="H2989" s="18"/>
    </row>
    <row r="2990" spans="1:8" x14ac:dyDescent="0.2">
      <c r="A2990" s="17"/>
      <c r="B2990" s="17"/>
      <c r="C2990" s="18"/>
      <c r="D2990" s="18"/>
      <c r="E2990" s="18"/>
      <c r="F2990" s="18"/>
      <c r="G2990" s="18"/>
      <c r="H2990" s="18"/>
    </row>
    <row r="2991" spans="1:8" x14ac:dyDescent="0.2">
      <c r="A2991" s="17"/>
      <c r="B2991" s="17"/>
      <c r="C2991" s="18"/>
      <c r="D2991" s="18"/>
      <c r="E2991" s="18"/>
      <c r="F2991" s="18"/>
      <c r="G2991" s="18"/>
      <c r="H2991" s="18"/>
    </row>
    <row r="2992" spans="1:8" x14ac:dyDescent="0.2">
      <c r="A2992" s="17"/>
      <c r="B2992" s="17"/>
      <c r="C2992" s="18"/>
      <c r="D2992" s="18"/>
      <c r="E2992" s="18"/>
      <c r="F2992" s="18"/>
      <c r="G2992" s="18"/>
      <c r="H2992" s="18"/>
    </row>
    <row r="2993" spans="1:8" x14ac:dyDescent="0.2">
      <c r="A2993" s="17"/>
      <c r="B2993" s="17"/>
      <c r="C2993" s="18"/>
      <c r="D2993" s="18"/>
      <c r="E2993" s="18"/>
      <c r="F2993" s="18"/>
      <c r="G2993" s="18"/>
      <c r="H2993" s="18"/>
    </row>
    <row r="2994" spans="1:8" x14ac:dyDescent="0.2">
      <c r="A2994" s="17"/>
      <c r="B2994" s="17"/>
      <c r="C2994" s="18"/>
      <c r="D2994" s="18"/>
      <c r="E2994" s="18"/>
      <c r="F2994" s="18"/>
      <c r="G2994" s="18"/>
      <c r="H2994" s="18"/>
    </row>
    <row r="2995" spans="1:8" x14ac:dyDescent="0.2">
      <c r="A2995" s="17"/>
      <c r="B2995" s="17"/>
      <c r="C2995" s="18"/>
      <c r="D2995" s="18"/>
      <c r="E2995" s="18"/>
      <c r="F2995" s="18"/>
      <c r="G2995" s="18"/>
      <c r="H2995" s="18"/>
    </row>
    <row r="2996" spans="1:8" x14ac:dyDescent="0.2">
      <c r="A2996" s="17"/>
      <c r="B2996" s="17"/>
      <c r="C2996" s="18"/>
      <c r="D2996" s="18"/>
      <c r="E2996" s="18"/>
      <c r="F2996" s="18"/>
      <c r="G2996" s="18"/>
      <c r="H2996" s="18"/>
    </row>
    <row r="2997" spans="1:8" x14ac:dyDescent="0.2">
      <c r="A2997" s="17"/>
      <c r="B2997" s="17"/>
      <c r="C2997" s="18"/>
      <c r="D2997" s="18"/>
      <c r="E2997" s="18"/>
      <c r="F2997" s="18"/>
      <c r="G2997" s="18"/>
      <c r="H2997" s="18"/>
    </row>
    <row r="2998" spans="1:8" x14ac:dyDescent="0.2">
      <c r="A2998" s="17"/>
      <c r="B2998" s="17"/>
      <c r="C2998" s="18"/>
      <c r="D2998" s="18"/>
      <c r="E2998" s="18"/>
      <c r="F2998" s="18"/>
      <c r="G2998" s="18"/>
      <c r="H2998" s="18"/>
    </row>
    <row r="2999" spans="1:8" x14ac:dyDescent="0.2">
      <c r="A2999" s="17"/>
      <c r="B2999" s="17"/>
      <c r="C2999" s="18"/>
      <c r="D2999" s="18"/>
      <c r="E2999" s="18"/>
      <c r="F2999" s="18"/>
      <c r="G2999" s="18"/>
      <c r="H2999" s="18"/>
    </row>
    <row r="3000" spans="1:8" x14ac:dyDescent="0.2">
      <c r="A3000" s="17"/>
      <c r="B3000" s="17"/>
      <c r="C3000" s="18"/>
      <c r="D3000" s="18"/>
      <c r="E3000" s="18"/>
      <c r="F3000" s="18"/>
      <c r="G3000" s="18"/>
      <c r="H3000" s="18"/>
    </row>
    <row r="3001" spans="1:8" x14ac:dyDescent="0.2">
      <c r="A3001" s="17"/>
      <c r="B3001" s="17"/>
      <c r="C3001" s="18"/>
      <c r="D3001" s="18"/>
      <c r="E3001" s="18"/>
      <c r="F3001" s="18"/>
      <c r="G3001" s="18"/>
      <c r="H3001" s="18"/>
    </row>
    <row r="3002" spans="1:8" x14ac:dyDescent="0.2">
      <c r="A3002" s="17"/>
      <c r="B3002" s="17"/>
      <c r="C3002" s="18"/>
      <c r="D3002" s="18"/>
      <c r="E3002" s="18"/>
      <c r="F3002" s="18"/>
      <c r="G3002" s="18"/>
      <c r="H3002" s="18"/>
    </row>
    <row r="3003" spans="1:8" x14ac:dyDescent="0.2">
      <c r="A3003" s="17"/>
      <c r="B3003" s="17"/>
      <c r="C3003" s="18"/>
      <c r="D3003" s="18"/>
      <c r="E3003" s="18"/>
      <c r="F3003" s="18"/>
      <c r="G3003" s="18"/>
      <c r="H3003" s="18"/>
    </row>
    <row r="3004" spans="1:8" x14ac:dyDescent="0.2">
      <c r="A3004" s="17"/>
      <c r="B3004" s="17"/>
      <c r="C3004" s="18"/>
      <c r="D3004" s="18"/>
      <c r="E3004" s="18"/>
      <c r="F3004" s="18"/>
      <c r="G3004" s="18"/>
      <c r="H3004" s="18"/>
    </row>
    <row r="3005" spans="1:8" x14ac:dyDescent="0.2">
      <c r="A3005" s="17"/>
      <c r="B3005" s="17"/>
      <c r="C3005" s="18"/>
      <c r="D3005" s="18"/>
      <c r="E3005" s="18"/>
      <c r="F3005" s="18"/>
      <c r="G3005" s="18"/>
      <c r="H3005" s="18"/>
    </row>
    <row r="3006" spans="1:8" x14ac:dyDescent="0.2">
      <c r="A3006" s="17"/>
      <c r="B3006" s="17"/>
      <c r="C3006" s="18"/>
      <c r="D3006" s="18"/>
      <c r="E3006" s="18"/>
      <c r="F3006" s="18"/>
      <c r="G3006" s="18"/>
      <c r="H3006" s="18"/>
    </row>
    <row r="3007" spans="1:8" x14ac:dyDescent="0.2">
      <c r="A3007" s="17"/>
      <c r="B3007" s="17"/>
      <c r="C3007" s="18"/>
      <c r="D3007" s="18"/>
      <c r="E3007" s="18"/>
      <c r="F3007" s="18"/>
      <c r="G3007" s="18"/>
      <c r="H3007" s="18"/>
    </row>
    <row r="3008" spans="1:8" x14ac:dyDescent="0.2">
      <c r="A3008" s="17"/>
      <c r="B3008" s="17"/>
      <c r="C3008" s="18"/>
      <c r="D3008" s="18"/>
      <c r="E3008" s="18"/>
      <c r="F3008" s="18"/>
      <c r="G3008" s="18"/>
      <c r="H3008" s="18"/>
    </row>
    <row r="3009" spans="1:8" x14ac:dyDescent="0.2">
      <c r="A3009" s="17"/>
      <c r="B3009" s="17"/>
      <c r="C3009" s="18"/>
      <c r="D3009" s="18"/>
      <c r="E3009" s="18"/>
      <c r="F3009" s="18"/>
      <c r="G3009" s="18"/>
      <c r="H3009" s="18"/>
    </row>
    <row r="3010" spans="1:8" x14ac:dyDescent="0.2">
      <c r="A3010" s="17"/>
      <c r="B3010" s="17"/>
      <c r="C3010" s="18"/>
      <c r="D3010" s="18"/>
      <c r="E3010" s="18"/>
      <c r="F3010" s="18"/>
      <c r="G3010" s="18"/>
      <c r="H3010" s="18"/>
    </row>
    <row r="3011" spans="1:8" x14ac:dyDescent="0.2">
      <c r="A3011" s="17"/>
      <c r="B3011" s="17"/>
      <c r="C3011" s="18"/>
      <c r="D3011" s="18"/>
      <c r="E3011" s="18"/>
      <c r="F3011" s="18"/>
      <c r="G3011" s="18"/>
      <c r="H3011" s="18"/>
    </row>
    <row r="3012" spans="1:8" x14ac:dyDescent="0.2">
      <c r="A3012" s="17"/>
      <c r="B3012" s="17"/>
      <c r="C3012" s="18"/>
      <c r="D3012" s="18"/>
      <c r="E3012" s="18"/>
      <c r="F3012" s="18"/>
      <c r="G3012" s="18"/>
      <c r="H3012" s="18"/>
    </row>
    <row r="3013" spans="1:8" x14ac:dyDescent="0.2">
      <c r="A3013" s="17"/>
      <c r="B3013" s="17"/>
      <c r="C3013" s="18"/>
      <c r="D3013" s="18"/>
      <c r="E3013" s="18"/>
      <c r="F3013" s="18"/>
      <c r="G3013" s="18"/>
      <c r="H3013" s="18"/>
    </row>
    <row r="3014" spans="1:8" x14ac:dyDescent="0.2">
      <c r="A3014" s="17"/>
      <c r="B3014" s="17"/>
      <c r="C3014" s="18"/>
      <c r="D3014" s="18"/>
      <c r="E3014" s="18"/>
      <c r="F3014" s="18"/>
      <c r="G3014" s="18"/>
      <c r="H3014" s="18"/>
    </row>
    <row r="3015" spans="1:8" x14ac:dyDescent="0.2">
      <c r="A3015" s="17"/>
      <c r="B3015" s="17"/>
      <c r="C3015" s="18"/>
      <c r="D3015" s="18"/>
      <c r="E3015" s="18"/>
      <c r="F3015" s="18"/>
      <c r="G3015" s="18"/>
      <c r="H3015" s="18"/>
    </row>
    <row r="3016" spans="1:8" x14ac:dyDescent="0.2">
      <c r="A3016" s="17"/>
      <c r="B3016" s="17"/>
      <c r="C3016" s="18"/>
      <c r="D3016" s="18"/>
      <c r="E3016" s="18"/>
      <c r="F3016" s="18"/>
      <c r="G3016" s="18"/>
      <c r="H3016" s="18"/>
    </row>
    <row r="3017" spans="1:8" x14ac:dyDescent="0.2">
      <c r="A3017" s="17"/>
      <c r="B3017" s="17"/>
      <c r="C3017" s="18"/>
      <c r="D3017" s="18"/>
      <c r="E3017" s="18"/>
      <c r="F3017" s="18"/>
      <c r="G3017" s="18"/>
      <c r="H3017" s="18"/>
    </row>
    <row r="3018" spans="1:8" x14ac:dyDescent="0.2">
      <c r="A3018" s="17"/>
      <c r="B3018" s="17"/>
      <c r="C3018" s="18"/>
      <c r="D3018" s="18"/>
      <c r="E3018" s="18"/>
      <c r="F3018" s="18"/>
      <c r="G3018" s="18"/>
      <c r="H3018" s="18"/>
    </row>
    <row r="3019" spans="1:8" x14ac:dyDescent="0.2">
      <c r="A3019" s="17"/>
      <c r="B3019" s="17"/>
      <c r="C3019" s="18"/>
      <c r="D3019" s="18"/>
      <c r="E3019" s="18"/>
      <c r="F3019" s="18"/>
      <c r="G3019" s="18"/>
      <c r="H3019" s="18"/>
    </row>
    <row r="3020" spans="1:8" x14ac:dyDescent="0.2">
      <c r="A3020" s="17"/>
      <c r="B3020" s="17"/>
      <c r="C3020" s="18"/>
      <c r="D3020" s="18"/>
      <c r="E3020" s="18"/>
      <c r="F3020" s="18"/>
      <c r="G3020" s="18"/>
      <c r="H3020" s="18"/>
    </row>
    <row r="3021" spans="1:8" x14ac:dyDescent="0.2">
      <c r="A3021" s="17"/>
      <c r="B3021" s="17"/>
      <c r="C3021" s="18"/>
      <c r="D3021" s="18"/>
      <c r="E3021" s="18"/>
      <c r="F3021" s="18"/>
      <c r="G3021" s="18"/>
      <c r="H3021" s="18"/>
    </row>
    <row r="3022" spans="1:8" x14ac:dyDescent="0.2">
      <c r="A3022" s="17"/>
      <c r="B3022" s="17"/>
      <c r="C3022" s="18"/>
      <c r="D3022" s="18"/>
      <c r="E3022" s="18"/>
      <c r="F3022" s="18"/>
      <c r="G3022" s="18"/>
      <c r="H3022" s="18"/>
    </row>
    <row r="3023" spans="1:8" x14ac:dyDescent="0.2">
      <c r="A3023" s="17"/>
      <c r="B3023" s="17"/>
      <c r="C3023" s="18"/>
      <c r="D3023" s="18"/>
      <c r="E3023" s="18"/>
      <c r="F3023" s="18"/>
      <c r="G3023" s="18"/>
      <c r="H3023" s="18"/>
    </row>
    <row r="3024" spans="1:8" x14ac:dyDescent="0.2">
      <c r="A3024" s="17"/>
      <c r="B3024" s="17"/>
      <c r="C3024" s="18"/>
      <c r="D3024" s="18"/>
      <c r="E3024" s="18"/>
      <c r="F3024" s="18"/>
      <c r="G3024" s="18"/>
      <c r="H3024" s="18"/>
    </row>
    <row r="3025" spans="1:8" x14ac:dyDescent="0.2">
      <c r="A3025" s="17"/>
      <c r="B3025" s="17"/>
      <c r="C3025" s="18"/>
      <c r="D3025" s="18"/>
      <c r="E3025" s="18"/>
      <c r="F3025" s="18"/>
      <c r="G3025" s="18"/>
      <c r="H3025" s="18"/>
    </row>
    <row r="3026" spans="1:8" x14ac:dyDescent="0.2">
      <c r="A3026" s="17"/>
      <c r="B3026" s="17"/>
      <c r="C3026" s="18"/>
      <c r="D3026" s="18"/>
      <c r="E3026" s="18"/>
      <c r="F3026" s="18"/>
      <c r="G3026" s="18"/>
      <c r="H3026" s="18"/>
    </row>
    <row r="3027" spans="1:8" x14ac:dyDescent="0.2">
      <c r="A3027" s="17"/>
      <c r="B3027" s="17"/>
      <c r="C3027" s="18"/>
      <c r="D3027" s="18"/>
      <c r="E3027" s="18"/>
      <c r="F3027" s="18"/>
      <c r="G3027" s="18"/>
      <c r="H3027" s="18"/>
    </row>
    <row r="3028" spans="1:8" x14ac:dyDescent="0.2">
      <c r="A3028" s="17"/>
      <c r="B3028" s="17"/>
      <c r="C3028" s="18"/>
      <c r="D3028" s="18"/>
      <c r="E3028" s="18"/>
      <c r="F3028" s="18"/>
      <c r="G3028" s="18"/>
      <c r="H3028" s="18"/>
    </row>
    <row r="3029" spans="1:8" x14ac:dyDescent="0.2">
      <c r="A3029" s="17"/>
      <c r="B3029" s="17"/>
      <c r="C3029" s="18"/>
      <c r="D3029" s="18"/>
      <c r="E3029" s="18"/>
      <c r="F3029" s="18"/>
      <c r="G3029" s="18"/>
      <c r="H3029" s="18"/>
    </row>
    <row r="3030" spans="1:8" x14ac:dyDescent="0.2">
      <c r="A3030" s="17"/>
      <c r="B3030" s="17"/>
      <c r="C3030" s="18"/>
      <c r="D3030" s="18"/>
      <c r="E3030" s="18"/>
      <c r="F3030" s="18"/>
      <c r="G3030" s="18"/>
      <c r="H3030" s="18"/>
    </row>
    <row r="3031" spans="1:8" x14ac:dyDescent="0.2">
      <c r="A3031" s="17"/>
      <c r="B3031" s="17"/>
      <c r="C3031" s="18"/>
      <c r="D3031" s="18"/>
      <c r="E3031" s="18"/>
      <c r="F3031" s="18"/>
      <c r="G3031" s="18"/>
      <c r="H3031" s="18"/>
    </row>
    <row r="3032" spans="1:8" x14ac:dyDescent="0.2">
      <c r="A3032" s="17"/>
      <c r="B3032" s="17"/>
      <c r="C3032" s="18"/>
      <c r="D3032" s="18"/>
      <c r="E3032" s="18"/>
      <c r="F3032" s="18"/>
      <c r="G3032" s="18"/>
      <c r="H3032" s="18"/>
    </row>
    <row r="3033" spans="1:8" x14ac:dyDescent="0.2">
      <c r="A3033" s="17"/>
      <c r="B3033" s="17"/>
      <c r="C3033" s="18"/>
      <c r="D3033" s="18"/>
      <c r="E3033" s="18"/>
      <c r="F3033" s="18"/>
      <c r="G3033" s="18"/>
      <c r="H3033" s="18"/>
    </row>
    <row r="3034" spans="1:8" x14ac:dyDescent="0.2">
      <c r="A3034" s="17"/>
      <c r="B3034" s="17"/>
      <c r="C3034" s="18"/>
      <c r="D3034" s="18"/>
      <c r="E3034" s="18"/>
      <c r="F3034" s="18"/>
      <c r="G3034" s="18"/>
      <c r="H3034" s="18"/>
    </row>
    <row r="3035" spans="1:8" x14ac:dyDescent="0.2">
      <c r="A3035" s="17"/>
      <c r="B3035" s="17"/>
      <c r="C3035" s="18"/>
      <c r="D3035" s="18"/>
      <c r="E3035" s="18"/>
      <c r="F3035" s="18"/>
      <c r="G3035" s="18"/>
      <c r="H3035" s="18"/>
    </row>
    <row r="3036" spans="1:8" x14ac:dyDescent="0.2">
      <c r="A3036" s="17"/>
      <c r="B3036" s="17"/>
      <c r="C3036" s="18"/>
      <c r="D3036" s="18"/>
      <c r="E3036" s="18"/>
      <c r="F3036" s="18"/>
      <c r="G3036" s="18"/>
      <c r="H3036" s="18"/>
    </row>
    <row r="3037" spans="1:8" x14ac:dyDescent="0.2">
      <c r="A3037" s="17"/>
      <c r="B3037" s="17"/>
      <c r="C3037" s="18"/>
      <c r="D3037" s="18"/>
      <c r="E3037" s="18"/>
      <c r="F3037" s="18"/>
      <c r="G3037" s="18"/>
      <c r="H3037" s="18"/>
    </row>
    <row r="3038" spans="1:8" x14ac:dyDescent="0.2">
      <c r="A3038" s="17"/>
      <c r="B3038" s="17"/>
      <c r="C3038" s="18"/>
      <c r="D3038" s="18"/>
      <c r="E3038" s="18"/>
      <c r="F3038" s="18"/>
      <c r="G3038" s="18"/>
      <c r="H3038" s="18"/>
    </row>
    <row r="3039" spans="1:8" x14ac:dyDescent="0.2">
      <c r="A3039" s="17"/>
      <c r="B3039" s="17"/>
      <c r="C3039" s="18"/>
      <c r="D3039" s="18"/>
      <c r="E3039" s="18"/>
      <c r="F3039" s="18"/>
      <c r="G3039" s="18"/>
      <c r="H3039" s="18"/>
    </row>
    <row r="3040" spans="1:8" x14ac:dyDescent="0.2">
      <c r="A3040" s="17"/>
      <c r="B3040" s="17"/>
      <c r="C3040" s="18"/>
      <c r="D3040" s="18"/>
      <c r="E3040" s="18"/>
      <c r="F3040" s="18"/>
      <c r="G3040" s="18"/>
      <c r="H3040" s="18"/>
    </row>
    <row r="3041" spans="1:8" x14ac:dyDescent="0.2">
      <c r="A3041" s="17"/>
      <c r="B3041" s="17"/>
      <c r="C3041" s="18"/>
      <c r="D3041" s="18"/>
      <c r="E3041" s="18"/>
      <c r="F3041" s="18"/>
      <c r="G3041" s="18"/>
      <c r="H3041" s="18"/>
    </row>
    <row r="3042" spans="1:8" x14ac:dyDescent="0.2">
      <c r="A3042" s="17"/>
      <c r="B3042" s="17"/>
      <c r="C3042" s="18"/>
      <c r="D3042" s="18"/>
      <c r="E3042" s="18"/>
      <c r="F3042" s="18"/>
      <c r="G3042" s="18"/>
      <c r="H3042" s="18"/>
    </row>
    <row r="3043" spans="1:8" x14ac:dyDescent="0.2">
      <c r="A3043" s="17"/>
      <c r="B3043" s="17"/>
      <c r="C3043" s="18"/>
      <c r="D3043" s="18"/>
      <c r="E3043" s="18"/>
      <c r="F3043" s="18"/>
      <c r="G3043" s="18"/>
      <c r="H3043" s="18"/>
    </row>
    <row r="3044" spans="1:8" x14ac:dyDescent="0.2">
      <c r="A3044" s="17"/>
      <c r="B3044" s="17"/>
      <c r="C3044" s="18"/>
      <c r="D3044" s="18"/>
      <c r="E3044" s="18"/>
      <c r="F3044" s="18"/>
      <c r="G3044" s="18"/>
      <c r="H3044" s="18"/>
    </row>
    <row r="3045" spans="1:8" x14ac:dyDescent="0.2">
      <c r="A3045" s="17"/>
      <c r="B3045" s="17"/>
      <c r="C3045" s="18"/>
      <c r="D3045" s="18"/>
      <c r="E3045" s="18"/>
      <c r="F3045" s="18"/>
      <c r="G3045" s="18"/>
      <c r="H3045" s="18"/>
    </row>
    <row r="3046" spans="1:8" x14ac:dyDescent="0.2">
      <c r="A3046" s="17"/>
      <c r="B3046" s="17"/>
      <c r="C3046" s="18"/>
      <c r="D3046" s="18"/>
      <c r="E3046" s="18"/>
      <c r="F3046" s="18"/>
      <c r="G3046" s="18"/>
      <c r="H3046" s="18"/>
    </row>
    <row r="3047" spans="1:8" x14ac:dyDescent="0.2">
      <c r="A3047" s="17"/>
      <c r="B3047" s="17"/>
      <c r="C3047" s="18"/>
      <c r="D3047" s="18"/>
      <c r="E3047" s="18"/>
      <c r="F3047" s="18"/>
      <c r="G3047" s="18"/>
      <c r="H3047" s="18"/>
    </row>
    <row r="3048" spans="1:8" x14ac:dyDescent="0.2">
      <c r="A3048" s="17"/>
      <c r="B3048" s="17"/>
      <c r="C3048" s="18"/>
      <c r="D3048" s="18"/>
      <c r="E3048" s="18"/>
      <c r="F3048" s="18"/>
      <c r="G3048" s="18"/>
      <c r="H3048" s="18"/>
    </row>
    <row r="3049" spans="1:8" x14ac:dyDescent="0.2">
      <c r="A3049" s="17"/>
      <c r="B3049" s="17"/>
      <c r="C3049" s="18"/>
      <c r="D3049" s="18"/>
      <c r="E3049" s="18"/>
      <c r="F3049" s="18"/>
      <c r="G3049" s="18"/>
      <c r="H3049" s="18"/>
    </row>
    <row r="3050" spans="1:8" x14ac:dyDescent="0.2">
      <c r="A3050" s="17"/>
      <c r="B3050" s="17"/>
      <c r="C3050" s="18"/>
      <c r="D3050" s="18"/>
      <c r="E3050" s="18"/>
      <c r="F3050" s="18"/>
      <c r="G3050" s="18"/>
      <c r="H3050" s="18"/>
    </row>
    <row r="3051" spans="1:8" x14ac:dyDescent="0.2">
      <c r="A3051" s="17"/>
      <c r="B3051" s="17"/>
      <c r="C3051" s="18"/>
      <c r="D3051" s="18"/>
      <c r="E3051" s="18"/>
      <c r="F3051" s="18"/>
      <c r="G3051" s="18"/>
      <c r="H3051" s="18"/>
    </row>
    <row r="3052" spans="1:8" x14ac:dyDescent="0.2">
      <c r="A3052" s="17"/>
      <c r="B3052" s="17"/>
      <c r="C3052" s="18"/>
      <c r="D3052" s="18"/>
      <c r="E3052" s="18"/>
      <c r="F3052" s="18"/>
      <c r="G3052" s="18"/>
      <c r="H3052" s="18"/>
    </row>
    <row r="3053" spans="1:8" x14ac:dyDescent="0.2">
      <c r="A3053" s="17"/>
      <c r="B3053" s="17"/>
      <c r="C3053" s="18"/>
      <c r="D3053" s="18"/>
      <c r="E3053" s="18"/>
      <c r="F3053" s="18"/>
      <c r="G3053" s="18"/>
      <c r="H3053" s="18"/>
    </row>
    <row r="3054" spans="1:8" x14ac:dyDescent="0.2">
      <c r="A3054" s="17"/>
      <c r="B3054" s="17"/>
      <c r="C3054" s="18"/>
      <c r="D3054" s="18"/>
      <c r="E3054" s="18"/>
      <c r="F3054" s="18"/>
      <c r="G3054" s="18"/>
      <c r="H3054" s="18"/>
    </row>
    <row r="3055" spans="1:8" x14ac:dyDescent="0.2">
      <c r="A3055" s="17"/>
      <c r="B3055" s="17"/>
      <c r="C3055" s="18"/>
      <c r="D3055" s="18"/>
      <c r="E3055" s="18"/>
      <c r="F3055" s="18"/>
      <c r="G3055" s="18"/>
      <c r="H3055" s="18"/>
    </row>
    <row r="3056" spans="1:8" x14ac:dyDescent="0.2">
      <c r="A3056" s="17"/>
      <c r="B3056" s="17"/>
      <c r="C3056" s="18"/>
      <c r="D3056" s="18"/>
      <c r="E3056" s="18"/>
      <c r="F3056" s="18"/>
      <c r="G3056" s="18"/>
      <c r="H3056" s="18"/>
    </row>
    <row r="3057" spans="1:8" x14ac:dyDescent="0.2">
      <c r="A3057" s="17"/>
      <c r="B3057" s="17"/>
      <c r="C3057" s="18"/>
      <c r="D3057" s="18"/>
      <c r="E3057" s="18"/>
      <c r="F3057" s="18"/>
      <c r="G3057" s="18"/>
      <c r="H3057" s="18"/>
    </row>
    <row r="3058" spans="1:8" x14ac:dyDescent="0.2">
      <c r="A3058" s="17"/>
      <c r="B3058" s="17"/>
      <c r="C3058" s="18"/>
      <c r="D3058" s="18"/>
      <c r="E3058" s="18"/>
      <c r="F3058" s="18"/>
      <c r="G3058" s="18"/>
      <c r="H3058" s="18"/>
    </row>
    <row r="3059" spans="1:8" x14ac:dyDescent="0.2">
      <c r="A3059" s="17"/>
      <c r="B3059" s="17"/>
      <c r="C3059" s="18"/>
      <c r="D3059" s="18"/>
      <c r="E3059" s="18"/>
      <c r="F3059" s="18"/>
      <c r="G3059" s="18"/>
      <c r="H3059" s="18"/>
    </row>
    <row r="3060" spans="1:8" x14ac:dyDescent="0.2">
      <c r="A3060" s="17"/>
      <c r="B3060" s="17"/>
      <c r="C3060" s="18"/>
      <c r="D3060" s="18"/>
      <c r="E3060" s="18"/>
      <c r="F3060" s="18"/>
      <c r="G3060" s="18"/>
      <c r="H3060" s="18"/>
    </row>
    <row r="3061" spans="1:8" x14ac:dyDescent="0.2">
      <c r="A3061" s="17"/>
      <c r="B3061" s="17"/>
      <c r="C3061" s="18"/>
      <c r="D3061" s="18"/>
      <c r="E3061" s="18"/>
      <c r="F3061" s="18"/>
      <c r="G3061" s="18"/>
      <c r="H3061" s="18"/>
    </row>
    <row r="3062" spans="1:8" x14ac:dyDescent="0.2">
      <c r="A3062" s="17"/>
      <c r="B3062" s="17"/>
      <c r="C3062" s="18"/>
      <c r="D3062" s="18"/>
      <c r="E3062" s="18"/>
      <c r="F3062" s="18"/>
      <c r="G3062" s="18"/>
      <c r="H3062" s="18"/>
    </row>
    <row r="3063" spans="1:8" x14ac:dyDescent="0.2">
      <c r="A3063" s="17"/>
      <c r="B3063" s="17"/>
      <c r="C3063" s="18"/>
      <c r="D3063" s="18"/>
      <c r="E3063" s="18"/>
      <c r="F3063" s="18"/>
      <c r="G3063" s="18"/>
      <c r="H3063" s="18"/>
    </row>
    <row r="3064" spans="1:8" x14ac:dyDescent="0.2">
      <c r="A3064" s="17"/>
      <c r="B3064" s="17"/>
      <c r="C3064" s="18"/>
      <c r="D3064" s="18"/>
      <c r="E3064" s="18"/>
      <c r="F3064" s="18"/>
      <c r="G3064" s="18"/>
      <c r="H3064" s="18"/>
    </row>
    <row r="3065" spans="1:8" x14ac:dyDescent="0.2">
      <c r="A3065" s="17"/>
      <c r="B3065" s="17"/>
      <c r="C3065" s="18"/>
      <c r="D3065" s="18"/>
      <c r="E3065" s="18"/>
      <c r="F3065" s="18"/>
      <c r="G3065" s="18"/>
      <c r="H3065" s="18"/>
    </row>
    <row r="3066" spans="1:8" x14ac:dyDescent="0.2">
      <c r="A3066" s="17"/>
      <c r="B3066" s="17"/>
      <c r="C3066" s="18"/>
      <c r="D3066" s="18"/>
      <c r="E3066" s="18"/>
      <c r="F3066" s="18"/>
      <c r="G3066" s="18"/>
      <c r="H3066" s="18"/>
    </row>
    <row r="3067" spans="1:8" x14ac:dyDescent="0.2">
      <c r="A3067" s="17"/>
      <c r="B3067" s="17"/>
      <c r="C3067" s="18"/>
      <c r="D3067" s="18"/>
      <c r="E3067" s="18"/>
      <c r="F3067" s="18"/>
      <c r="G3067" s="18"/>
      <c r="H3067" s="18"/>
    </row>
    <row r="3068" spans="1:8" x14ac:dyDescent="0.2">
      <c r="A3068" s="17"/>
      <c r="B3068" s="17"/>
      <c r="C3068" s="18"/>
      <c r="D3068" s="18"/>
      <c r="E3068" s="18"/>
      <c r="F3068" s="18"/>
      <c r="G3068" s="18"/>
      <c r="H3068" s="18"/>
    </row>
    <row r="3069" spans="1:8" x14ac:dyDescent="0.2">
      <c r="A3069" s="17"/>
      <c r="B3069" s="17"/>
      <c r="C3069" s="18"/>
      <c r="D3069" s="18"/>
      <c r="E3069" s="18"/>
      <c r="F3069" s="18"/>
      <c r="G3069" s="18"/>
      <c r="H3069" s="18"/>
    </row>
    <row r="3070" spans="1:8" x14ac:dyDescent="0.2">
      <c r="A3070" s="17"/>
      <c r="B3070" s="17"/>
      <c r="C3070" s="18"/>
      <c r="D3070" s="18"/>
      <c r="E3070" s="18"/>
      <c r="F3070" s="18"/>
      <c r="G3070" s="18"/>
      <c r="H3070" s="18"/>
    </row>
    <row r="3071" spans="1:8" x14ac:dyDescent="0.2">
      <c r="A3071" s="17"/>
      <c r="B3071" s="17"/>
      <c r="C3071" s="18"/>
      <c r="D3071" s="18"/>
      <c r="E3071" s="18"/>
      <c r="F3071" s="18"/>
      <c r="G3071" s="18"/>
      <c r="H3071" s="18"/>
    </row>
    <row r="3072" spans="1:8" x14ac:dyDescent="0.2">
      <c r="A3072" s="17"/>
      <c r="B3072" s="17"/>
      <c r="C3072" s="18"/>
      <c r="D3072" s="18"/>
      <c r="E3072" s="18"/>
      <c r="F3072" s="18"/>
      <c r="G3072" s="18"/>
      <c r="H3072" s="18"/>
    </row>
    <row r="3073" spans="1:8" x14ac:dyDescent="0.2">
      <c r="A3073" s="17"/>
      <c r="B3073" s="17"/>
      <c r="C3073" s="18"/>
      <c r="D3073" s="18"/>
      <c r="E3073" s="18"/>
      <c r="F3073" s="18"/>
      <c r="G3073" s="18"/>
      <c r="H3073" s="18"/>
    </row>
    <row r="3074" spans="1:8" x14ac:dyDescent="0.2">
      <c r="A3074" s="17"/>
      <c r="B3074" s="17"/>
      <c r="C3074" s="18"/>
      <c r="D3074" s="18"/>
      <c r="E3074" s="18"/>
      <c r="F3074" s="18"/>
      <c r="G3074" s="18"/>
      <c r="H3074" s="18"/>
    </row>
    <row r="3075" spans="1:8" x14ac:dyDescent="0.2">
      <c r="A3075" s="17"/>
      <c r="B3075" s="17"/>
      <c r="C3075" s="18"/>
      <c r="D3075" s="18"/>
      <c r="E3075" s="18"/>
      <c r="F3075" s="18"/>
      <c r="G3075" s="18"/>
      <c r="H3075" s="18"/>
    </row>
    <row r="3076" spans="1:8" x14ac:dyDescent="0.2">
      <c r="A3076" s="17"/>
      <c r="B3076" s="17"/>
      <c r="C3076" s="18"/>
      <c r="D3076" s="18"/>
      <c r="E3076" s="18"/>
      <c r="F3076" s="18"/>
      <c r="G3076" s="18"/>
      <c r="H3076" s="18"/>
    </row>
    <row r="3077" spans="1:8" x14ac:dyDescent="0.2">
      <c r="A3077" s="17"/>
      <c r="B3077" s="17"/>
      <c r="C3077" s="18"/>
      <c r="D3077" s="18"/>
      <c r="E3077" s="18"/>
      <c r="F3077" s="18"/>
      <c r="G3077" s="18"/>
      <c r="H3077" s="18"/>
    </row>
    <row r="3078" spans="1:8" x14ac:dyDescent="0.2">
      <c r="A3078" s="17"/>
      <c r="B3078" s="17"/>
      <c r="C3078" s="18"/>
      <c r="D3078" s="18"/>
      <c r="E3078" s="18"/>
      <c r="F3078" s="18"/>
      <c r="G3078" s="18"/>
      <c r="H3078" s="18"/>
    </row>
    <row r="3079" spans="1:8" x14ac:dyDescent="0.2">
      <c r="A3079" s="17"/>
      <c r="B3079" s="17"/>
      <c r="C3079" s="18"/>
      <c r="D3079" s="18"/>
      <c r="E3079" s="18"/>
      <c r="F3079" s="18"/>
      <c r="G3079" s="18"/>
      <c r="H3079" s="18"/>
    </row>
    <row r="3080" spans="1:8" x14ac:dyDescent="0.2">
      <c r="A3080" s="17"/>
      <c r="B3080" s="17"/>
      <c r="C3080" s="18"/>
      <c r="D3080" s="18"/>
      <c r="E3080" s="18"/>
      <c r="F3080" s="18"/>
      <c r="G3080" s="18"/>
      <c r="H3080" s="18"/>
    </row>
    <row r="3081" spans="1:8" x14ac:dyDescent="0.2">
      <c r="A3081" s="17"/>
      <c r="B3081" s="17"/>
      <c r="C3081" s="18"/>
      <c r="D3081" s="18"/>
      <c r="E3081" s="18"/>
      <c r="F3081" s="18"/>
      <c r="G3081" s="18"/>
      <c r="H3081" s="18"/>
    </row>
    <row r="3082" spans="1:8" x14ac:dyDescent="0.2">
      <c r="A3082" s="17"/>
      <c r="B3082" s="17"/>
      <c r="C3082" s="18"/>
      <c r="D3082" s="18"/>
      <c r="E3082" s="18"/>
      <c r="F3082" s="18"/>
      <c r="G3082" s="18"/>
      <c r="H3082" s="18"/>
    </row>
    <row r="3083" spans="1:8" x14ac:dyDescent="0.2">
      <c r="A3083" s="17"/>
      <c r="B3083" s="17"/>
      <c r="C3083" s="18"/>
      <c r="D3083" s="18"/>
      <c r="E3083" s="18"/>
      <c r="F3083" s="18"/>
      <c r="G3083" s="18"/>
      <c r="H3083" s="18"/>
    </row>
    <row r="3084" spans="1:8" x14ac:dyDescent="0.2">
      <c r="A3084" s="17"/>
      <c r="B3084" s="17"/>
      <c r="C3084" s="18"/>
      <c r="D3084" s="18"/>
      <c r="E3084" s="18"/>
      <c r="F3084" s="18"/>
      <c r="G3084" s="18"/>
      <c r="H3084" s="18"/>
    </row>
    <row r="3085" spans="1:8" x14ac:dyDescent="0.2">
      <c r="A3085" s="17"/>
      <c r="B3085" s="17"/>
      <c r="C3085" s="18"/>
      <c r="D3085" s="18"/>
      <c r="E3085" s="18"/>
      <c r="F3085" s="18"/>
      <c r="G3085" s="18"/>
      <c r="H3085" s="18"/>
    </row>
    <row r="3086" spans="1:8" x14ac:dyDescent="0.2">
      <c r="A3086" s="17"/>
      <c r="B3086" s="17"/>
      <c r="C3086" s="18"/>
      <c r="D3086" s="18"/>
      <c r="E3086" s="18"/>
      <c r="F3086" s="18"/>
      <c r="G3086" s="18"/>
      <c r="H3086" s="18"/>
    </row>
    <row r="3087" spans="1:8" x14ac:dyDescent="0.2">
      <c r="A3087" s="17"/>
      <c r="B3087" s="17"/>
      <c r="C3087" s="18"/>
      <c r="D3087" s="18"/>
      <c r="E3087" s="18"/>
      <c r="F3087" s="18"/>
      <c r="G3087" s="18"/>
      <c r="H3087" s="18"/>
    </row>
    <row r="3088" spans="1:8" x14ac:dyDescent="0.2">
      <c r="A3088" s="17"/>
      <c r="B3088" s="17"/>
      <c r="C3088" s="18"/>
      <c r="D3088" s="18"/>
      <c r="E3088" s="18"/>
      <c r="F3088" s="18"/>
      <c r="G3088" s="18"/>
      <c r="H3088" s="18"/>
    </row>
    <row r="3089" spans="1:8" x14ac:dyDescent="0.2">
      <c r="A3089" s="17"/>
      <c r="B3089" s="17"/>
      <c r="C3089" s="18"/>
      <c r="D3089" s="18"/>
      <c r="E3089" s="18"/>
      <c r="F3089" s="18"/>
      <c r="G3089" s="18"/>
      <c r="H3089" s="18"/>
    </row>
    <row r="3090" spans="1:8" x14ac:dyDescent="0.2">
      <c r="A3090" s="17"/>
      <c r="B3090" s="17"/>
      <c r="C3090" s="18"/>
      <c r="D3090" s="18"/>
      <c r="E3090" s="18"/>
      <c r="F3090" s="18"/>
      <c r="G3090" s="18"/>
      <c r="H3090" s="18"/>
    </row>
    <row r="3091" spans="1:8" x14ac:dyDescent="0.2">
      <c r="A3091" s="17"/>
      <c r="B3091" s="17"/>
      <c r="C3091" s="18"/>
      <c r="D3091" s="18"/>
      <c r="E3091" s="18"/>
      <c r="F3091" s="18"/>
      <c r="G3091" s="18"/>
      <c r="H3091" s="18"/>
    </row>
    <row r="3092" spans="1:8" x14ac:dyDescent="0.2">
      <c r="A3092" s="17"/>
      <c r="B3092" s="17"/>
      <c r="C3092" s="18"/>
      <c r="D3092" s="18"/>
      <c r="E3092" s="18"/>
      <c r="F3092" s="18"/>
      <c r="G3092" s="18"/>
      <c r="H3092" s="18"/>
    </row>
    <row r="3093" spans="1:8" x14ac:dyDescent="0.2">
      <c r="A3093" s="17"/>
      <c r="B3093" s="17"/>
      <c r="C3093" s="18"/>
      <c r="D3093" s="18"/>
      <c r="E3093" s="18"/>
      <c r="F3093" s="18"/>
      <c r="G3093" s="18"/>
      <c r="H3093" s="18"/>
    </row>
    <row r="3094" spans="1:8" x14ac:dyDescent="0.2">
      <c r="A3094" s="17"/>
      <c r="B3094" s="17"/>
      <c r="C3094" s="18"/>
      <c r="D3094" s="18"/>
      <c r="E3094" s="18"/>
      <c r="F3094" s="18"/>
      <c r="G3094" s="18"/>
      <c r="H3094" s="18"/>
    </row>
    <row r="3095" spans="1:8" x14ac:dyDescent="0.2">
      <c r="A3095" s="17"/>
      <c r="B3095" s="17"/>
      <c r="C3095" s="18"/>
      <c r="D3095" s="18"/>
      <c r="E3095" s="18"/>
      <c r="F3095" s="18"/>
      <c r="G3095" s="18"/>
      <c r="H3095" s="18"/>
    </row>
    <row r="3096" spans="1:8" x14ac:dyDescent="0.2">
      <c r="A3096" s="17"/>
      <c r="B3096" s="17"/>
      <c r="C3096" s="18"/>
      <c r="D3096" s="18"/>
      <c r="E3096" s="18"/>
      <c r="F3096" s="18"/>
      <c r="G3096" s="18"/>
      <c r="H3096" s="18"/>
    </row>
    <row r="3097" spans="1:8" x14ac:dyDescent="0.2">
      <c r="A3097" s="17"/>
      <c r="B3097" s="17"/>
      <c r="C3097" s="18"/>
      <c r="D3097" s="18"/>
      <c r="E3097" s="18"/>
      <c r="F3097" s="18"/>
      <c r="G3097" s="18"/>
      <c r="H3097" s="18"/>
    </row>
    <row r="3098" spans="1:8" x14ac:dyDescent="0.2">
      <c r="A3098" s="17"/>
      <c r="B3098" s="17"/>
      <c r="C3098" s="18"/>
      <c r="D3098" s="18"/>
      <c r="E3098" s="18"/>
      <c r="F3098" s="18"/>
      <c r="G3098" s="18"/>
      <c r="H3098" s="18"/>
    </row>
    <row r="3099" spans="1:8" x14ac:dyDescent="0.2">
      <c r="A3099" s="17"/>
      <c r="B3099" s="17"/>
      <c r="C3099" s="18"/>
      <c r="D3099" s="18"/>
      <c r="E3099" s="18"/>
      <c r="F3099" s="18"/>
      <c r="G3099" s="18"/>
      <c r="H3099" s="18"/>
    </row>
    <row r="3100" spans="1:8" x14ac:dyDescent="0.2">
      <c r="A3100" s="17"/>
      <c r="B3100" s="17"/>
      <c r="C3100" s="18"/>
      <c r="D3100" s="18"/>
      <c r="E3100" s="18"/>
      <c r="F3100" s="18"/>
      <c r="G3100" s="18"/>
      <c r="H3100" s="18"/>
    </row>
    <row r="3101" spans="1:8" x14ac:dyDescent="0.2">
      <c r="A3101" s="17"/>
      <c r="B3101" s="17"/>
      <c r="C3101" s="18"/>
      <c r="D3101" s="18"/>
      <c r="E3101" s="18"/>
      <c r="F3101" s="18"/>
      <c r="G3101" s="18"/>
      <c r="H3101" s="18"/>
    </row>
    <row r="3102" spans="1:8" x14ac:dyDescent="0.2">
      <c r="A3102" s="17"/>
      <c r="B3102" s="17"/>
      <c r="C3102" s="18"/>
      <c r="D3102" s="18"/>
      <c r="E3102" s="18"/>
      <c r="F3102" s="18"/>
      <c r="G3102" s="18"/>
      <c r="H3102" s="18"/>
    </row>
    <row r="3103" spans="1:8" x14ac:dyDescent="0.2">
      <c r="A3103" s="17"/>
      <c r="B3103" s="17"/>
      <c r="C3103" s="18"/>
      <c r="D3103" s="18"/>
      <c r="E3103" s="18"/>
      <c r="F3103" s="18"/>
      <c r="G3103" s="18"/>
      <c r="H3103" s="18"/>
    </row>
    <row r="3104" spans="1:8" x14ac:dyDescent="0.2">
      <c r="A3104" s="17"/>
      <c r="B3104" s="17"/>
      <c r="C3104" s="18"/>
      <c r="D3104" s="18"/>
      <c r="E3104" s="18"/>
      <c r="F3104" s="18"/>
      <c r="G3104" s="18"/>
      <c r="H3104" s="18"/>
    </row>
    <row r="3105" spans="1:8" x14ac:dyDescent="0.2">
      <c r="A3105" s="17"/>
      <c r="B3105" s="17"/>
      <c r="C3105" s="18"/>
      <c r="D3105" s="18"/>
      <c r="E3105" s="18"/>
      <c r="F3105" s="18"/>
      <c r="G3105" s="18"/>
      <c r="H3105" s="18"/>
    </row>
    <row r="3106" spans="1:8" x14ac:dyDescent="0.2">
      <c r="A3106" s="17"/>
      <c r="B3106" s="17"/>
      <c r="C3106" s="18"/>
      <c r="D3106" s="18"/>
      <c r="E3106" s="18"/>
      <c r="F3106" s="18"/>
      <c r="G3106" s="18"/>
      <c r="H3106" s="18"/>
    </row>
    <row r="3107" spans="1:8" x14ac:dyDescent="0.2">
      <c r="A3107" s="17"/>
      <c r="B3107" s="17"/>
      <c r="C3107" s="18"/>
      <c r="D3107" s="18"/>
      <c r="E3107" s="18"/>
      <c r="F3107" s="18"/>
      <c r="G3107" s="18"/>
      <c r="H3107" s="18"/>
    </row>
    <row r="3108" spans="1:8" x14ac:dyDescent="0.2">
      <c r="A3108" s="17"/>
      <c r="B3108" s="17"/>
      <c r="C3108" s="18"/>
      <c r="D3108" s="18"/>
      <c r="E3108" s="18"/>
      <c r="F3108" s="18"/>
      <c r="G3108" s="18"/>
      <c r="H3108" s="18"/>
    </row>
    <row r="3109" spans="1:8" x14ac:dyDescent="0.2">
      <c r="A3109" s="17"/>
      <c r="B3109" s="17"/>
      <c r="C3109" s="18"/>
      <c r="D3109" s="18"/>
      <c r="E3109" s="18"/>
      <c r="F3109" s="18"/>
      <c r="G3109" s="18"/>
      <c r="H3109" s="18"/>
    </row>
    <row r="3110" spans="1:8" x14ac:dyDescent="0.2">
      <c r="A3110" s="17"/>
      <c r="B3110" s="17"/>
      <c r="C3110" s="18"/>
      <c r="D3110" s="18"/>
      <c r="E3110" s="18"/>
      <c r="F3110" s="18"/>
      <c r="G3110" s="18"/>
      <c r="H3110" s="18"/>
    </row>
    <row r="3111" spans="1:8" x14ac:dyDescent="0.2">
      <c r="A3111" s="17"/>
      <c r="B3111" s="17"/>
      <c r="C3111" s="18"/>
      <c r="D3111" s="18"/>
      <c r="E3111" s="18"/>
      <c r="F3111" s="18"/>
      <c r="G3111" s="18"/>
      <c r="H3111" s="18"/>
    </row>
    <row r="3112" spans="1:8" x14ac:dyDescent="0.2">
      <c r="A3112" s="17"/>
      <c r="B3112" s="17"/>
      <c r="C3112" s="18"/>
      <c r="D3112" s="18"/>
      <c r="E3112" s="18"/>
      <c r="F3112" s="18"/>
      <c r="G3112" s="18"/>
      <c r="H3112" s="18"/>
    </row>
    <row r="3113" spans="1:8" x14ac:dyDescent="0.2">
      <c r="A3113" s="17"/>
      <c r="B3113" s="17"/>
      <c r="C3113" s="18"/>
      <c r="D3113" s="18"/>
      <c r="E3113" s="18"/>
      <c r="F3113" s="18"/>
      <c r="G3113" s="18"/>
      <c r="H3113" s="18"/>
    </row>
    <row r="3114" spans="1:8" x14ac:dyDescent="0.2">
      <c r="A3114" s="17"/>
      <c r="B3114" s="17"/>
      <c r="C3114" s="18"/>
      <c r="D3114" s="18"/>
      <c r="E3114" s="18"/>
      <c r="F3114" s="18"/>
      <c r="G3114" s="18"/>
      <c r="H3114" s="18"/>
    </row>
    <row r="3115" spans="1:8" x14ac:dyDescent="0.2">
      <c r="A3115" s="17"/>
      <c r="B3115" s="17"/>
      <c r="C3115" s="18"/>
      <c r="D3115" s="18"/>
      <c r="E3115" s="18"/>
      <c r="F3115" s="18"/>
      <c r="G3115" s="18"/>
      <c r="H3115" s="18"/>
    </row>
    <row r="3116" spans="1:8" x14ac:dyDescent="0.2">
      <c r="A3116" s="17"/>
      <c r="B3116" s="17"/>
      <c r="C3116" s="18"/>
      <c r="D3116" s="18"/>
      <c r="E3116" s="18"/>
      <c r="F3116" s="18"/>
      <c r="G3116" s="18"/>
      <c r="H3116" s="18"/>
    </row>
    <row r="3117" spans="1:8" x14ac:dyDescent="0.2">
      <c r="A3117" s="17"/>
      <c r="B3117" s="17"/>
      <c r="C3117" s="18"/>
      <c r="D3117" s="18"/>
      <c r="E3117" s="18"/>
      <c r="F3117" s="18"/>
      <c r="G3117" s="18"/>
      <c r="H3117" s="18"/>
    </row>
    <row r="3118" spans="1:8" x14ac:dyDescent="0.2">
      <c r="A3118" s="17"/>
      <c r="B3118" s="17"/>
      <c r="C3118" s="18"/>
      <c r="D3118" s="18"/>
      <c r="E3118" s="18"/>
      <c r="F3118" s="18"/>
      <c r="G3118" s="18"/>
      <c r="H3118" s="18"/>
    </row>
    <row r="3119" spans="1:8" x14ac:dyDescent="0.2">
      <c r="A3119" s="17"/>
      <c r="B3119" s="17"/>
      <c r="C3119" s="18"/>
      <c r="D3119" s="18"/>
      <c r="E3119" s="18"/>
      <c r="F3119" s="18"/>
      <c r="G3119" s="18"/>
      <c r="H3119" s="18"/>
    </row>
    <row r="3120" spans="1:8" x14ac:dyDescent="0.2">
      <c r="A3120" s="17"/>
      <c r="B3120" s="17"/>
      <c r="C3120" s="18"/>
      <c r="D3120" s="18"/>
      <c r="E3120" s="18"/>
      <c r="F3120" s="18"/>
      <c r="G3120" s="18"/>
      <c r="H3120" s="18"/>
    </row>
    <row r="3121" spans="1:8" x14ac:dyDescent="0.2">
      <c r="A3121" s="17"/>
      <c r="B3121" s="17"/>
      <c r="C3121" s="18"/>
      <c r="D3121" s="18"/>
      <c r="E3121" s="18"/>
      <c r="F3121" s="18"/>
      <c r="G3121" s="18"/>
      <c r="H3121" s="18"/>
    </row>
    <row r="3122" spans="1:8" x14ac:dyDescent="0.2">
      <c r="A3122" s="17"/>
      <c r="B3122" s="17"/>
      <c r="C3122" s="18"/>
      <c r="D3122" s="18"/>
      <c r="E3122" s="18"/>
      <c r="F3122" s="18"/>
      <c r="G3122" s="18"/>
      <c r="H3122" s="18"/>
    </row>
    <row r="3123" spans="1:8" x14ac:dyDescent="0.2">
      <c r="A3123" s="17"/>
      <c r="B3123" s="17"/>
      <c r="C3123" s="18"/>
      <c r="D3123" s="18"/>
      <c r="E3123" s="18"/>
      <c r="F3123" s="18"/>
      <c r="G3123" s="18"/>
      <c r="H3123" s="18"/>
    </row>
    <row r="3124" spans="1:8" x14ac:dyDescent="0.2">
      <c r="A3124" s="17"/>
      <c r="B3124" s="17"/>
      <c r="C3124" s="18"/>
      <c r="D3124" s="18"/>
      <c r="E3124" s="18"/>
      <c r="F3124" s="18"/>
      <c r="G3124" s="18"/>
      <c r="H3124" s="18"/>
    </row>
    <row r="3125" spans="1:8" x14ac:dyDescent="0.2">
      <c r="A3125" s="17"/>
      <c r="B3125" s="17"/>
      <c r="C3125" s="18"/>
      <c r="D3125" s="18"/>
      <c r="E3125" s="18"/>
      <c r="F3125" s="18"/>
      <c r="G3125" s="18"/>
      <c r="H3125" s="18"/>
    </row>
    <row r="3126" spans="1:8" x14ac:dyDescent="0.2">
      <c r="A3126" s="17"/>
      <c r="B3126" s="17"/>
      <c r="C3126" s="18"/>
      <c r="D3126" s="18"/>
      <c r="E3126" s="18"/>
      <c r="F3126" s="18"/>
      <c r="G3126" s="18"/>
      <c r="H3126" s="18"/>
    </row>
    <row r="3127" spans="1:8" x14ac:dyDescent="0.2">
      <c r="A3127" s="17"/>
      <c r="B3127" s="17"/>
      <c r="C3127" s="18"/>
      <c r="D3127" s="18"/>
      <c r="E3127" s="18"/>
      <c r="F3127" s="18"/>
      <c r="G3127" s="18"/>
      <c r="H3127" s="18"/>
    </row>
    <row r="3128" spans="1:8" x14ac:dyDescent="0.2">
      <c r="A3128" s="17"/>
      <c r="B3128" s="17"/>
      <c r="C3128" s="18"/>
      <c r="D3128" s="18"/>
      <c r="E3128" s="18"/>
      <c r="F3128" s="18"/>
      <c r="G3128" s="18"/>
      <c r="H3128" s="18"/>
    </row>
    <row r="3129" spans="1:8" x14ac:dyDescent="0.2">
      <c r="A3129" s="17"/>
      <c r="B3129" s="17"/>
      <c r="C3129" s="18"/>
      <c r="D3129" s="18"/>
      <c r="E3129" s="18"/>
      <c r="F3129" s="18"/>
      <c r="G3129" s="18"/>
      <c r="H3129" s="18"/>
    </row>
    <row r="3130" spans="1:8" x14ac:dyDescent="0.2">
      <c r="A3130" s="17"/>
      <c r="B3130" s="17"/>
      <c r="C3130" s="18"/>
      <c r="D3130" s="18"/>
      <c r="E3130" s="18"/>
      <c r="F3130" s="18"/>
      <c r="G3130" s="18"/>
      <c r="H3130" s="18"/>
    </row>
    <row r="3131" spans="1:8" x14ac:dyDescent="0.2">
      <c r="A3131" s="17"/>
      <c r="B3131" s="17"/>
      <c r="C3131" s="18"/>
      <c r="D3131" s="18"/>
      <c r="E3131" s="18"/>
      <c r="F3131" s="18"/>
      <c r="G3131" s="18"/>
      <c r="H3131" s="18"/>
    </row>
    <row r="3132" spans="1:8" x14ac:dyDescent="0.2">
      <c r="A3132" s="17"/>
      <c r="B3132" s="17"/>
      <c r="C3132" s="18"/>
      <c r="D3132" s="18"/>
      <c r="E3132" s="18"/>
      <c r="F3132" s="18"/>
      <c r="G3132" s="18"/>
      <c r="H3132" s="18"/>
    </row>
    <row r="3133" spans="1:8" x14ac:dyDescent="0.2">
      <c r="A3133" s="17"/>
      <c r="B3133" s="17"/>
      <c r="C3133" s="18"/>
      <c r="D3133" s="18"/>
      <c r="E3133" s="18"/>
      <c r="F3133" s="18"/>
      <c r="G3133" s="18"/>
      <c r="H3133" s="18"/>
    </row>
    <row r="3134" spans="1:8" x14ac:dyDescent="0.2">
      <c r="A3134" s="17"/>
      <c r="B3134" s="17"/>
      <c r="C3134" s="18"/>
      <c r="D3134" s="18"/>
      <c r="E3134" s="18"/>
      <c r="F3134" s="18"/>
      <c r="G3134" s="18"/>
      <c r="H3134" s="18"/>
    </row>
    <row r="3135" spans="1:8" x14ac:dyDescent="0.2">
      <c r="A3135" s="17"/>
      <c r="B3135" s="17"/>
      <c r="C3135" s="18"/>
      <c r="D3135" s="18"/>
      <c r="E3135" s="18"/>
      <c r="F3135" s="18"/>
      <c r="G3135" s="18"/>
      <c r="H3135" s="18"/>
    </row>
    <row r="3136" spans="1:8" x14ac:dyDescent="0.2">
      <c r="A3136" s="17"/>
      <c r="B3136" s="17"/>
      <c r="C3136" s="18"/>
      <c r="D3136" s="18"/>
      <c r="E3136" s="18"/>
      <c r="F3136" s="18"/>
      <c r="G3136" s="18"/>
      <c r="H3136" s="18"/>
    </row>
    <row r="3137" spans="1:8" x14ac:dyDescent="0.2">
      <c r="A3137" s="17"/>
      <c r="B3137" s="17"/>
      <c r="C3137" s="18"/>
      <c r="D3137" s="18"/>
      <c r="E3137" s="18"/>
      <c r="F3137" s="18"/>
      <c r="G3137" s="18"/>
      <c r="H3137" s="18"/>
    </row>
    <row r="3138" spans="1:8" x14ac:dyDescent="0.2">
      <c r="A3138" s="17"/>
      <c r="B3138" s="17"/>
      <c r="C3138" s="18"/>
      <c r="D3138" s="18"/>
      <c r="E3138" s="18"/>
      <c r="F3138" s="18"/>
      <c r="G3138" s="18"/>
      <c r="H3138" s="18"/>
    </row>
    <row r="3139" spans="1:8" x14ac:dyDescent="0.2">
      <c r="A3139" s="17"/>
      <c r="B3139" s="17"/>
      <c r="C3139" s="18"/>
      <c r="D3139" s="18"/>
      <c r="E3139" s="18"/>
      <c r="F3139" s="18"/>
      <c r="G3139" s="18"/>
      <c r="H3139" s="18"/>
    </row>
    <row r="3140" spans="1:8" x14ac:dyDescent="0.2">
      <c r="A3140" s="17"/>
      <c r="B3140" s="17"/>
      <c r="C3140" s="18"/>
      <c r="D3140" s="18"/>
      <c r="E3140" s="18"/>
      <c r="F3140" s="18"/>
      <c r="G3140" s="18"/>
      <c r="H3140" s="18"/>
    </row>
    <row r="3141" spans="1:8" x14ac:dyDescent="0.2">
      <c r="A3141" s="17"/>
      <c r="B3141" s="17"/>
      <c r="C3141" s="18"/>
      <c r="D3141" s="18"/>
      <c r="E3141" s="18"/>
      <c r="F3141" s="18"/>
      <c r="G3141" s="18"/>
      <c r="H3141" s="18"/>
    </row>
    <row r="3142" spans="1:8" x14ac:dyDescent="0.2">
      <c r="A3142" s="17"/>
      <c r="B3142" s="17"/>
      <c r="C3142" s="18"/>
      <c r="D3142" s="18"/>
      <c r="E3142" s="18"/>
      <c r="F3142" s="18"/>
      <c r="G3142" s="18"/>
      <c r="H3142" s="18"/>
    </row>
    <row r="3143" spans="1:8" x14ac:dyDescent="0.2">
      <c r="A3143" s="17"/>
      <c r="B3143" s="17"/>
      <c r="C3143" s="18"/>
      <c r="D3143" s="18"/>
      <c r="E3143" s="18"/>
      <c r="F3143" s="18"/>
      <c r="G3143" s="18"/>
      <c r="H3143" s="18"/>
    </row>
    <row r="3144" spans="1:8" x14ac:dyDescent="0.2">
      <c r="A3144" s="17"/>
      <c r="B3144" s="17"/>
      <c r="C3144" s="18"/>
      <c r="D3144" s="18"/>
      <c r="E3144" s="18"/>
      <c r="F3144" s="18"/>
      <c r="G3144" s="18"/>
      <c r="H3144" s="18"/>
    </row>
    <row r="3145" spans="1:8" x14ac:dyDescent="0.2">
      <c r="A3145" s="17"/>
      <c r="B3145" s="17"/>
      <c r="C3145" s="18"/>
      <c r="D3145" s="18"/>
      <c r="E3145" s="18"/>
      <c r="F3145" s="18"/>
      <c r="G3145" s="18"/>
      <c r="H3145" s="18"/>
    </row>
    <row r="3146" spans="1:8" x14ac:dyDescent="0.2">
      <c r="A3146" s="17"/>
      <c r="B3146" s="17"/>
      <c r="C3146" s="18"/>
      <c r="D3146" s="18"/>
      <c r="E3146" s="18"/>
      <c r="F3146" s="18"/>
      <c r="G3146" s="18"/>
      <c r="H3146" s="18"/>
    </row>
    <row r="3147" spans="1:8" x14ac:dyDescent="0.2">
      <c r="A3147" s="17"/>
      <c r="B3147" s="17"/>
      <c r="C3147" s="18"/>
      <c r="D3147" s="18"/>
      <c r="E3147" s="18"/>
      <c r="F3147" s="18"/>
      <c r="G3147" s="18"/>
      <c r="H3147" s="18"/>
    </row>
    <row r="3148" spans="1:8" x14ac:dyDescent="0.2">
      <c r="A3148" s="17"/>
      <c r="B3148" s="17"/>
      <c r="C3148" s="18"/>
      <c r="D3148" s="18"/>
      <c r="E3148" s="18"/>
      <c r="F3148" s="18"/>
      <c r="G3148" s="18"/>
      <c r="H3148" s="18"/>
    </row>
    <row r="3149" spans="1:8" x14ac:dyDescent="0.2">
      <c r="A3149" s="17"/>
      <c r="B3149" s="17"/>
      <c r="C3149" s="18"/>
      <c r="D3149" s="18"/>
      <c r="E3149" s="18"/>
      <c r="F3149" s="18"/>
      <c r="G3149" s="18"/>
      <c r="H3149" s="18"/>
    </row>
    <row r="3150" spans="1:8" x14ac:dyDescent="0.2">
      <c r="A3150" s="17"/>
      <c r="B3150" s="17"/>
      <c r="C3150" s="18"/>
      <c r="D3150" s="18"/>
      <c r="E3150" s="18"/>
      <c r="F3150" s="18"/>
      <c r="G3150" s="18"/>
      <c r="H3150" s="18"/>
    </row>
    <row r="3151" spans="1:8" x14ac:dyDescent="0.2">
      <c r="A3151" s="17"/>
      <c r="B3151" s="17"/>
      <c r="C3151" s="18"/>
      <c r="D3151" s="18"/>
      <c r="E3151" s="18"/>
      <c r="F3151" s="18"/>
      <c r="G3151" s="18"/>
      <c r="H3151" s="18"/>
    </row>
    <row r="3152" spans="1:8" x14ac:dyDescent="0.2">
      <c r="A3152" s="17"/>
      <c r="B3152" s="17"/>
      <c r="C3152" s="18"/>
      <c r="D3152" s="18"/>
      <c r="E3152" s="18"/>
      <c r="F3152" s="18"/>
      <c r="G3152" s="18"/>
      <c r="H3152" s="18"/>
    </row>
    <row r="3153" spans="1:8" x14ac:dyDescent="0.2">
      <c r="A3153" s="17"/>
      <c r="B3153" s="17"/>
      <c r="C3153" s="18"/>
      <c r="D3153" s="18"/>
      <c r="E3153" s="18"/>
      <c r="F3153" s="18"/>
      <c r="G3153" s="18"/>
      <c r="H3153" s="18"/>
    </row>
    <row r="3154" spans="1:8" x14ac:dyDescent="0.2">
      <c r="A3154" s="17"/>
      <c r="B3154" s="17"/>
      <c r="C3154" s="18"/>
      <c r="D3154" s="18"/>
      <c r="E3154" s="18"/>
      <c r="F3154" s="18"/>
      <c r="G3154" s="18"/>
      <c r="H3154" s="18"/>
    </row>
    <row r="3155" spans="1:8" x14ac:dyDescent="0.2">
      <c r="A3155" s="17"/>
      <c r="B3155" s="17"/>
      <c r="C3155" s="18"/>
      <c r="D3155" s="18"/>
      <c r="E3155" s="18"/>
      <c r="F3155" s="18"/>
      <c r="G3155" s="18"/>
      <c r="H3155" s="18"/>
    </row>
    <row r="3156" spans="1:8" x14ac:dyDescent="0.2">
      <c r="A3156" s="17"/>
      <c r="B3156" s="17"/>
      <c r="C3156" s="18"/>
      <c r="D3156" s="18"/>
      <c r="E3156" s="18"/>
      <c r="F3156" s="18"/>
      <c r="G3156" s="18"/>
      <c r="H3156" s="18"/>
    </row>
    <row r="3157" spans="1:8" x14ac:dyDescent="0.2">
      <c r="A3157" s="17"/>
      <c r="B3157" s="17"/>
      <c r="C3157" s="18"/>
      <c r="D3157" s="18"/>
      <c r="E3157" s="18"/>
      <c r="F3157" s="18"/>
      <c r="G3157" s="18"/>
      <c r="H3157" s="18"/>
    </row>
    <row r="3158" spans="1:8" x14ac:dyDescent="0.2">
      <c r="A3158" s="17"/>
      <c r="B3158" s="17"/>
      <c r="C3158" s="18"/>
      <c r="D3158" s="18"/>
      <c r="E3158" s="18"/>
      <c r="F3158" s="18"/>
      <c r="G3158" s="18"/>
      <c r="H3158" s="18"/>
    </row>
    <row r="3159" spans="1:8" x14ac:dyDescent="0.2">
      <c r="A3159" s="17"/>
      <c r="B3159" s="17"/>
      <c r="C3159" s="18"/>
      <c r="D3159" s="18"/>
      <c r="E3159" s="18"/>
      <c r="F3159" s="18"/>
      <c r="G3159" s="18"/>
      <c r="H3159" s="18"/>
    </row>
    <row r="3160" spans="1:8" x14ac:dyDescent="0.2">
      <c r="A3160" s="17"/>
      <c r="B3160" s="17"/>
      <c r="C3160" s="18"/>
      <c r="D3160" s="18"/>
      <c r="E3160" s="18"/>
      <c r="F3160" s="18"/>
      <c r="G3160" s="18"/>
      <c r="H3160" s="18"/>
    </row>
    <row r="3161" spans="1:8" x14ac:dyDescent="0.2">
      <c r="A3161" s="17"/>
      <c r="B3161" s="17"/>
      <c r="C3161" s="18"/>
      <c r="D3161" s="18"/>
      <c r="E3161" s="18"/>
      <c r="F3161" s="18"/>
      <c r="G3161" s="18"/>
      <c r="H3161" s="18"/>
    </row>
    <row r="3162" spans="1:8" x14ac:dyDescent="0.2">
      <c r="A3162" s="17"/>
      <c r="B3162" s="17"/>
      <c r="C3162" s="18"/>
      <c r="D3162" s="18"/>
      <c r="E3162" s="18"/>
      <c r="F3162" s="18"/>
      <c r="G3162" s="18"/>
      <c r="H3162" s="18"/>
    </row>
    <row r="3163" spans="1:8" x14ac:dyDescent="0.2">
      <c r="A3163" s="17"/>
      <c r="B3163" s="17"/>
      <c r="C3163" s="18"/>
      <c r="D3163" s="18"/>
      <c r="E3163" s="18"/>
      <c r="F3163" s="18"/>
      <c r="G3163" s="18"/>
      <c r="H3163" s="18"/>
    </row>
    <row r="3164" spans="1:8" x14ac:dyDescent="0.2">
      <c r="A3164" s="17"/>
      <c r="B3164" s="17"/>
      <c r="C3164" s="18"/>
      <c r="D3164" s="18"/>
      <c r="E3164" s="18"/>
      <c r="F3164" s="18"/>
      <c r="G3164" s="18"/>
      <c r="H3164" s="18"/>
    </row>
    <row r="3165" spans="1:8" x14ac:dyDescent="0.2">
      <c r="A3165" s="17"/>
      <c r="B3165" s="17"/>
      <c r="C3165" s="18"/>
      <c r="D3165" s="18"/>
      <c r="E3165" s="18"/>
      <c r="F3165" s="18"/>
      <c r="G3165" s="18"/>
      <c r="H3165" s="18"/>
    </row>
    <row r="3166" spans="1:8" x14ac:dyDescent="0.2">
      <c r="A3166" s="17"/>
      <c r="B3166" s="17"/>
      <c r="C3166" s="18"/>
      <c r="D3166" s="18"/>
      <c r="E3166" s="18"/>
      <c r="F3166" s="18"/>
      <c r="G3166" s="18"/>
      <c r="H3166" s="18"/>
    </row>
    <row r="3167" spans="1:8" x14ac:dyDescent="0.2">
      <c r="A3167" s="17"/>
      <c r="B3167" s="17"/>
      <c r="C3167" s="18"/>
      <c r="D3167" s="18"/>
      <c r="E3167" s="18"/>
      <c r="F3167" s="18"/>
      <c r="G3167" s="18"/>
      <c r="H3167" s="18"/>
    </row>
    <row r="3168" spans="1:8" x14ac:dyDescent="0.2">
      <c r="A3168" s="17"/>
      <c r="B3168" s="17"/>
      <c r="C3168" s="18"/>
      <c r="D3168" s="18"/>
      <c r="E3168" s="18"/>
      <c r="F3168" s="18"/>
      <c r="G3168" s="18"/>
      <c r="H3168" s="18"/>
    </row>
    <row r="3169" spans="1:8" x14ac:dyDescent="0.2">
      <c r="A3169" s="17"/>
      <c r="B3169" s="17"/>
      <c r="C3169" s="18"/>
      <c r="D3169" s="18"/>
      <c r="E3169" s="18"/>
      <c r="F3169" s="18"/>
      <c r="G3169" s="18"/>
      <c r="H3169" s="18"/>
    </row>
    <row r="3170" spans="1:8" x14ac:dyDescent="0.2">
      <c r="A3170" s="17"/>
      <c r="B3170" s="17"/>
      <c r="C3170" s="18"/>
      <c r="D3170" s="18"/>
      <c r="E3170" s="18"/>
      <c r="F3170" s="18"/>
      <c r="G3170" s="18"/>
      <c r="H3170" s="18"/>
    </row>
    <row r="3171" spans="1:8" x14ac:dyDescent="0.2">
      <c r="A3171" s="17"/>
      <c r="B3171" s="17"/>
      <c r="C3171" s="18"/>
      <c r="D3171" s="18"/>
      <c r="E3171" s="18"/>
      <c r="F3171" s="18"/>
      <c r="G3171" s="18"/>
      <c r="H3171" s="18"/>
    </row>
    <row r="3172" spans="1:8" x14ac:dyDescent="0.2">
      <c r="A3172" s="17"/>
      <c r="B3172" s="17"/>
      <c r="C3172" s="18"/>
      <c r="D3172" s="18"/>
      <c r="E3172" s="18"/>
      <c r="F3172" s="18"/>
      <c r="G3172" s="18"/>
      <c r="H3172" s="18"/>
    </row>
    <row r="3173" spans="1:8" x14ac:dyDescent="0.2">
      <c r="A3173" s="17"/>
      <c r="B3173" s="17"/>
      <c r="C3173" s="18"/>
      <c r="D3173" s="18"/>
      <c r="E3173" s="18"/>
      <c r="F3173" s="18"/>
      <c r="G3173" s="18"/>
      <c r="H3173" s="18"/>
    </row>
    <row r="3174" spans="1:8" x14ac:dyDescent="0.2">
      <c r="A3174" s="17"/>
      <c r="B3174" s="17"/>
      <c r="C3174" s="18"/>
      <c r="D3174" s="18"/>
      <c r="E3174" s="18"/>
      <c r="F3174" s="18"/>
      <c r="G3174" s="18"/>
      <c r="H3174" s="18"/>
    </row>
    <row r="3175" spans="1:8" x14ac:dyDescent="0.2">
      <c r="A3175" s="17"/>
      <c r="B3175" s="17"/>
      <c r="C3175" s="18"/>
      <c r="D3175" s="18"/>
      <c r="E3175" s="18"/>
      <c r="F3175" s="18"/>
      <c r="G3175" s="18"/>
      <c r="H3175" s="18"/>
    </row>
    <row r="3176" spans="1:8" x14ac:dyDescent="0.2">
      <c r="A3176" s="17"/>
      <c r="B3176" s="17"/>
      <c r="C3176" s="18"/>
      <c r="D3176" s="18"/>
      <c r="E3176" s="18"/>
      <c r="F3176" s="18"/>
      <c r="G3176" s="18"/>
      <c r="H3176" s="18"/>
    </row>
    <row r="3177" spans="1:8" x14ac:dyDescent="0.2">
      <c r="A3177" s="17"/>
      <c r="B3177" s="17"/>
      <c r="C3177" s="18"/>
      <c r="D3177" s="18"/>
      <c r="E3177" s="18"/>
      <c r="F3177" s="18"/>
      <c r="G3177" s="18"/>
      <c r="H3177" s="18"/>
    </row>
    <row r="3178" spans="1:8" x14ac:dyDescent="0.2">
      <c r="A3178" s="17"/>
      <c r="B3178" s="17"/>
      <c r="C3178" s="18"/>
      <c r="D3178" s="18"/>
      <c r="E3178" s="18"/>
      <c r="F3178" s="18"/>
      <c r="G3178" s="18"/>
      <c r="H3178" s="18"/>
    </row>
    <row r="3179" spans="1:8" x14ac:dyDescent="0.2">
      <c r="A3179" s="17"/>
      <c r="B3179" s="17"/>
      <c r="C3179" s="18"/>
      <c r="D3179" s="18"/>
      <c r="E3179" s="18"/>
      <c r="F3179" s="18"/>
      <c r="G3179" s="18"/>
      <c r="H3179" s="18"/>
    </row>
    <row r="3180" spans="1:8" x14ac:dyDescent="0.2">
      <c r="A3180" s="17"/>
      <c r="B3180" s="17"/>
      <c r="C3180" s="18"/>
      <c r="D3180" s="18"/>
      <c r="E3180" s="18"/>
      <c r="F3180" s="18"/>
      <c r="G3180" s="18"/>
      <c r="H3180" s="18"/>
    </row>
    <row r="3181" spans="1:8" x14ac:dyDescent="0.2">
      <c r="A3181" s="17"/>
      <c r="B3181" s="17"/>
      <c r="C3181" s="18"/>
      <c r="D3181" s="18"/>
      <c r="E3181" s="18"/>
      <c r="F3181" s="18"/>
      <c r="G3181" s="18"/>
      <c r="H3181" s="18"/>
    </row>
    <row r="3182" spans="1:8" x14ac:dyDescent="0.2">
      <c r="A3182" s="17"/>
      <c r="B3182" s="17"/>
      <c r="C3182" s="18"/>
      <c r="D3182" s="18"/>
      <c r="E3182" s="18"/>
      <c r="F3182" s="18"/>
      <c r="G3182" s="18"/>
      <c r="H3182" s="18"/>
    </row>
    <row r="3183" spans="1:8" x14ac:dyDescent="0.2">
      <c r="A3183" s="17"/>
      <c r="B3183" s="17"/>
      <c r="C3183" s="18"/>
      <c r="D3183" s="18"/>
      <c r="E3183" s="18"/>
      <c r="F3183" s="18"/>
      <c r="G3183" s="18"/>
      <c r="H3183" s="18"/>
    </row>
    <row r="3184" spans="1:8" x14ac:dyDescent="0.2">
      <c r="A3184" s="17"/>
      <c r="B3184" s="17"/>
      <c r="C3184" s="18"/>
      <c r="D3184" s="18"/>
      <c r="E3184" s="18"/>
      <c r="F3184" s="18"/>
      <c r="G3184" s="18"/>
      <c r="H3184" s="18"/>
    </row>
    <row r="3185" spans="1:8" x14ac:dyDescent="0.2">
      <c r="A3185" s="17"/>
      <c r="B3185" s="17"/>
      <c r="C3185" s="18"/>
      <c r="D3185" s="18"/>
      <c r="E3185" s="18"/>
      <c r="F3185" s="18"/>
      <c r="G3185" s="18"/>
      <c r="H3185" s="18"/>
    </row>
    <row r="3186" spans="1:8" x14ac:dyDescent="0.2">
      <c r="A3186" s="17"/>
      <c r="B3186" s="17"/>
      <c r="C3186" s="18"/>
      <c r="D3186" s="18"/>
      <c r="E3186" s="18"/>
      <c r="F3186" s="18"/>
      <c r="G3186" s="18"/>
      <c r="H3186" s="18"/>
    </row>
    <row r="3187" spans="1:8" x14ac:dyDescent="0.2">
      <c r="A3187" s="17"/>
      <c r="B3187" s="17"/>
      <c r="C3187" s="18"/>
      <c r="D3187" s="18"/>
      <c r="E3187" s="18"/>
      <c r="F3187" s="18"/>
      <c r="G3187" s="18"/>
      <c r="H3187" s="18"/>
    </row>
    <row r="3188" spans="1:8" x14ac:dyDescent="0.2">
      <c r="A3188" s="17"/>
      <c r="B3188" s="17"/>
      <c r="C3188" s="18"/>
      <c r="D3188" s="18"/>
      <c r="E3188" s="18"/>
      <c r="F3188" s="18"/>
      <c r="G3188" s="18"/>
      <c r="H3188" s="18"/>
    </row>
    <row r="3189" spans="1:8" x14ac:dyDescent="0.2">
      <c r="A3189" s="17"/>
      <c r="B3189" s="17"/>
      <c r="C3189" s="18"/>
      <c r="D3189" s="18"/>
      <c r="E3189" s="18"/>
      <c r="F3189" s="18"/>
      <c r="G3189" s="18"/>
      <c r="H3189" s="18"/>
    </row>
    <row r="3190" spans="1:8" x14ac:dyDescent="0.2">
      <c r="A3190" s="17"/>
      <c r="B3190" s="17"/>
      <c r="C3190" s="18"/>
      <c r="D3190" s="18"/>
      <c r="E3190" s="18"/>
      <c r="F3190" s="18"/>
      <c r="G3190" s="18"/>
      <c r="H3190" s="18"/>
    </row>
    <row r="3191" spans="1:8" x14ac:dyDescent="0.2">
      <c r="A3191" s="17"/>
      <c r="B3191" s="17"/>
      <c r="C3191" s="18"/>
      <c r="D3191" s="18"/>
      <c r="E3191" s="18"/>
      <c r="F3191" s="18"/>
      <c r="G3191" s="18"/>
      <c r="H3191" s="18"/>
    </row>
    <row r="3192" spans="1:8" x14ac:dyDescent="0.2">
      <c r="A3192" s="17"/>
      <c r="B3192" s="17"/>
      <c r="C3192" s="18"/>
      <c r="D3192" s="18"/>
      <c r="E3192" s="18"/>
      <c r="F3192" s="18"/>
      <c r="G3192" s="18"/>
      <c r="H3192" s="18"/>
    </row>
    <row r="3193" spans="1:8" x14ac:dyDescent="0.2">
      <c r="A3193" s="17"/>
      <c r="B3193" s="17"/>
      <c r="C3193" s="18"/>
      <c r="D3193" s="18"/>
      <c r="E3193" s="18"/>
      <c r="F3193" s="18"/>
      <c r="G3193" s="18"/>
      <c r="H3193" s="18"/>
    </row>
    <row r="3194" spans="1:8" x14ac:dyDescent="0.2">
      <c r="A3194" s="17"/>
      <c r="B3194" s="17"/>
      <c r="C3194" s="18"/>
      <c r="D3194" s="18"/>
      <c r="E3194" s="18"/>
      <c r="F3194" s="18"/>
      <c r="G3194" s="18"/>
      <c r="H3194" s="18"/>
    </row>
    <row r="3195" spans="1:8" x14ac:dyDescent="0.2">
      <c r="A3195" s="17"/>
      <c r="B3195" s="17"/>
      <c r="C3195" s="18"/>
      <c r="D3195" s="18"/>
      <c r="E3195" s="18"/>
      <c r="F3195" s="18"/>
      <c r="G3195" s="18"/>
      <c r="H3195" s="18"/>
    </row>
    <row r="3196" spans="1:8" x14ac:dyDescent="0.2">
      <c r="A3196" s="17"/>
      <c r="B3196" s="17"/>
      <c r="C3196" s="18"/>
      <c r="D3196" s="18"/>
      <c r="E3196" s="18"/>
      <c r="F3196" s="18"/>
      <c r="G3196" s="18"/>
      <c r="H3196" s="18"/>
    </row>
    <row r="3197" spans="1:8" x14ac:dyDescent="0.2">
      <c r="A3197" s="17"/>
      <c r="B3197" s="17"/>
      <c r="C3197" s="18"/>
      <c r="D3197" s="18"/>
      <c r="E3197" s="18"/>
      <c r="F3197" s="18"/>
      <c r="G3197" s="18"/>
      <c r="H3197" s="18"/>
    </row>
    <row r="3198" spans="1:8" x14ac:dyDescent="0.2">
      <c r="A3198" s="17"/>
      <c r="B3198" s="17"/>
      <c r="C3198" s="18"/>
      <c r="D3198" s="18"/>
      <c r="E3198" s="18"/>
      <c r="F3198" s="18"/>
      <c r="G3198" s="18"/>
      <c r="H3198" s="18"/>
    </row>
    <row r="3199" spans="1:8" x14ac:dyDescent="0.2">
      <c r="A3199" s="17"/>
      <c r="B3199" s="17"/>
      <c r="C3199" s="18"/>
      <c r="D3199" s="18"/>
      <c r="E3199" s="18"/>
      <c r="F3199" s="18"/>
      <c r="G3199" s="18"/>
      <c r="H3199" s="18"/>
    </row>
    <row r="3200" spans="1:8" x14ac:dyDescent="0.2">
      <c r="A3200" s="17"/>
      <c r="B3200" s="17"/>
      <c r="C3200" s="18"/>
      <c r="D3200" s="18"/>
      <c r="E3200" s="18"/>
      <c r="F3200" s="18"/>
      <c r="G3200" s="18"/>
      <c r="H3200" s="18"/>
    </row>
    <row r="3201" spans="1:8" x14ac:dyDescent="0.2">
      <c r="A3201" s="17"/>
      <c r="B3201" s="17"/>
      <c r="C3201" s="18"/>
      <c r="D3201" s="18"/>
      <c r="E3201" s="18"/>
      <c r="F3201" s="18"/>
      <c r="G3201" s="18"/>
      <c r="H3201" s="18"/>
    </row>
    <row r="3202" spans="1:8" x14ac:dyDescent="0.2">
      <c r="A3202" s="17"/>
      <c r="B3202" s="17"/>
      <c r="C3202" s="18"/>
      <c r="D3202" s="18"/>
      <c r="E3202" s="18"/>
      <c r="F3202" s="18"/>
      <c r="G3202" s="18"/>
      <c r="H3202" s="18"/>
    </row>
    <row r="3203" spans="1:8" x14ac:dyDescent="0.2">
      <c r="A3203" s="17"/>
      <c r="B3203" s="17"/>
      <c r="C3203" s="18"/>
      <c r="D3203" s="18"/>
      <c r="E3203" s="18"/>
      <c r="F3203" s="18"/>
      <c r="G3203" s="18"/>
      <c r="H3203" s="18"/>
    </row>
    <row r="3204" spans="1:8" x14ac:dyDescent="0.2">
      <c r="A3204" s="17"/>
      <c r="B3204" s="17"/>
      <c r="C3204" s="18"/>
      <c r="D3204" s="18"/>
      <c r="E3204" s="18"/>
      <c r="F3204" s="18"/>
      <c r="G3204" s="18"/>
      <c r="H3204" s="18"/>
    </row>
    <row r="3205" spans="1:8" x14ac:dyDescent="0.2">
      <c r="A3205" s="17"/>
      <c r="B3205" s="17"/>
      <c r="C3205" s="18"/>
      <c r="D3205" s="18"/>
      <c r="E3205" s="18"/>
      <c r="F3205" s="18"/>
      <c r="G3205" s="18"/>
      <c r="H3205" s="18"/>
    </row>
    <row r="3206" spans="1:8" x14ac:dyDescent="0.2">
      <c r="A3206" s="17"/>
      <c r="B3206" s="17"/>
      <c r="C3206" s="18"/>
      <c r="D3206" s="18"/>
      <c r="E3206" s="18"/>
      <c r="F3206" s="18"/>
      <c r="G3206" s="18"/>
      <c r="H3206" s="18"/>
    </row>
    <row r="3207" spans="1:8" x14ac:dyDescent="0.2">
      <c r="A3207" s="17"/>
      <c r="B3207" s="17"/>
      <c r="C3207" s="18"/>
      <c r="D3207" s="18"/>
      <c r="E3207" s="18"/>
      <c r="F3207" s="18"/>
      <c r="G3207" s="18"/>
      <c r="H3207" s="18"/>
    </row>
    <row r="3208" spans="1:8" x14ac:dyDescent="0.2">
      <c r="A3208" s="17"/>
      <c r="B3208" s="17"/>
      <c r="C3208" s="18"/>
      <c r="D3208" s="18"/>
      <c r="E3208" s="18"/>
      <c r="F3208" s="18"/>
      <c r="G3208" s="18"/>
      <c r="H3208" s="18"/>
    </row>
    <row r="3209" spans="1:8" x14ac:dyDescent="0.2">
      <c r="A3209" s="17"/>
      <c r="B3209" s="17"/>
      <c r="C3209" s="18"/>
      <c r="D3209" s="18"/>
      <c r="E3209" s="18"/>
      <c r="F3209" s="18"/>
      <c r="G3209" s="18"/>
      <c r="H3209" s="18"/>
    </row>
    <row r="3210" spans="1:8" x14ac:dyDescent="0.2">
      <c r="A3210" s="17"/>
      <c r="B3210" s="17"/>
      <c r="C3210" s="18"/>
      <c r="D3210" s="18"/>
      <c r="E3210" s="18"/>
      <c r="F3210" s="18"/>
      <c r="G3210" s="18"/>
      <c r="H3210" s="18"/>
    </row>
    <row r="3211" spans="1:8" x14ac:dyDescent="0.2">
      <c r="A3211" s="17"/>
      <c r="B3211" s="17"/>
      <c r="C3211" s="18"/>
      <c r="D3211" s="18"/>
      <c r="E3211" s="18"/>
      <c r="F3211" s="18"/>
      <c r="G3211" s="18"/>
      <c r="H3211" s="18"/>
    </row>
    <row r="3212" spans="1:8" x14ac:dyDescent="0.2">
      <c r="A3212" s="17"/>
      <c r="B3212" s="17"/>
      <c r="C3212" s="18"/>
      <c r="D3212" s="18"/>
      <c r="E3212" s="18"/>
      <c r="F3212" s="18"/>
      <c r="G3212" s="18"/>
      <c r="H3212" s="18"/>
    </row>
    <row r="3213" spans="1:8" x14ac:dyDescent="0.2">
      <c r="A3213" s="17"/>
      <c r="B3213" s="17"/>
      <c r="C3213" s="18"/>
      <c r="D3213" s="18"/>
      <c r="E3213" s="18"/>
      <c r="F3213" s="18"/>
      <c r="G3213" s="18"/>
      <c r="H3213" s="18"/>
    </row>
    <row r="3214" spans="1:8" x14ac:dyDescent="0.2">
      <c r="A3214" s="17"/>
      <c r="B3214" s="17"/>
      <c r="C3214" s="18"/>
      <c r="D3214" s="18"/>
      <c r="E3214" s="18"/>
      <c r="F3214" s="18"/>
      <c r="G3214" s="18"/>
      <c r="H3214" s="18"/>
    </row>
    <row r="3215" spans="1:8" x14ac:dyDescent="0.2">
      <c r="A3215" s="17"/>
      <c r="B3215" s="17"/>
      <c r="C3215" s="18"/>
      <c r="D3215" s="18"/>
      <c r="E3215" s="18"/>
      <c r="F3215" s="18"/>
      <c r="G3215" s="18"/>
      <c r="H3215" s="18"/>
    </row>
    <row r="3216" spans="1:8" x14ac:dyDescent="0.2">
      <c r="A3216" s="17"/>
      <c r="B3216" s="17"/>
      <c r="C3216" s="18"/>
      <c r="D3216" s="18"/>
      <c r="E3216" s="18"/>
      <c r="F3216" s="18"/>
      <c r="G3216" s="18"/>
      <c r="H3216" s="18"/>
    </row>
    <row r="3217" spans="1:8" x14ac:dyDescent="0.2">
      <c r="A3217" s="17"/>
      <c r="B3217" s="17"/>
      <c r="C3217" s="18"/>
      <c r="D3217" s="18"/>
      <c r="E3217" s="18"/>
      <c r="F3217" s="18"/>
      <c r="G3217" s="18"/>
      <c r="H3217" s="18"/>
    </row>
    <row r="3218" spans="1:8" x14ac:dyDescent="0.2">
      <c r="A3218" s="17"/>
      <c r="B3218" s="17"/>
      <c r="C3218" s="18"/>
      <c r="D3218" s="18"/>
      <c r="E3218" s="18"/>
      <c r="F3218" s="18"/>
      <c r="G3218" s="18"/>
      <c r="H3218" s="18"/>
    </row>
    <row r="3219" spans="1:8" x14ac:dyDescent="0.2">
      <c r="A3219" s="17"/>
      <c r="B3219" s="17"/>
      <c r="C3219" s="18"/>
      <c r="D3219" s="18"/>
      <c r="E3219" s="18"/>
      <c r="F3219" s="18"/>
      <c r="G3219" s="18"/>
      <c r="H3219" s="18"/>
    </row>
    <row r="3220" spans="1:8" x14ac:dyDescent="0.2">
      <c r="A3220" s="17"/>
      <c r="B3220" s="17"/>
      <c r="C3220" s="18"/>
      <c r="D3220" s="18"/>
      <c r="E3220" s="18"/>
      <c r="F3220" s="18"/>
      <c r="G3220" s="18"/>
      <c r="H3220" s="18"/>
    </row>
    <row r="3221" spans="1:8" x14ac:dyDescent="0.2">
      <c r="A3221" s="17"/>
      <c r="B3221" s="17"/>
      <c r="C3221" s="18"/>
      <c r="D3221" s="18"/>
      <c r="E3221" s="18"/>
      <c r="F3221" s="18"/>
      <c r="G3221" s="18"/>
      <c r="H3221" s="18"/>
    </row>
    <row r="3222" spans="1:8" x14ac:dyDescent="0.2">
      <c r="A3222" s="17"/>
      <c r="B3222" s="17"/>
      <c r="C3222" s="18"/>
      <c r="D3222" s="18"/>
      <c r="E3222" s="18"/>
      <c r="F3222" s="18"/>
      <c r="G3222" s="18"/>
      <c r="H3222" s="18"/>
    </row>
    <row r="3223" spans="1:8" x14ac:dyDescent="0.2">
      <c r="A3223" s="17"/>
      <c r="B3223" s="17"/>
      <c r="C3223" s="18"/>
      <c r="D3223" s="18"/>
      <c r="E3223" s="18"/>
      <c r="F3223" s="18"/>
      <c r="G3223" s="18"/>
      <c r="H3223" s="18"/>
    </row>
    <row r="3224" spans="1:8" x14ac:dyDescent="0.2">
      <c r="A3224" s="17"/>
      <c r="B3224" s="17"/>
      <c r="C3224" s="18"/>
      <c r="D3224" s="18"/>
      <c r="E3224" s="18"/>
      <c r="F3224" s="18"/>
      <c r="G3224" s="18"/>
      <c r="H3224" s="18"/>
    </row>
    <row r="3225" spans="1:8" x14ac:dyDescent="0.2">
      <c r="A3225" s="17"/>
      <c r="B3225" s="17"/>
      <c r="C3225" s="18"/>
      <c r="D3225" s="18"/>
      <c r="E3225" s="18"/>
      <c r="F3225" s="18"/>
      <c r="G3225" s="18"/>
      <c r="H3225" s="18"/>
    </row>
    <row r="3226" spans="1:8" x14ac:dyDescent="0.2">
      <c r="A3226" s="17"/>
      <c r="B3226" s="17"/>
      <c r="C3226" s="18"/>
      <c r="D3226" s="18"/>
      <c r="E3226" s="18"/>
      <c r="F3226" s="18"/>
      <c r="G3226" s="18"/>
      <c r="H3226" s="18"/>
    </row>
    <row r="3227" spans="1:8" x14ac:dyDescent="0.2">
      <c r="A3227" s="17"/>
      <c r="B3227" s="17"/>
      <c r="C3227" s="18"/>
      <c r="D3227" s="18"/>
      <c r="E3227" s="18"/>
      <c r="F3227" s="18"/>
      <c r="G3227" s="18"/>
      <c r="H3227" s="18"/>
    </row>
    <row r="3228" spans="1:8" x14ac:dyDescent="0.2">
      <c r="A3228" s="17"/>
      <c r="B3228" s="17"/>
      <c r="C3228" s="18"/>
      <c r="D3228" s="18"/>
      <c r="E3228" s="18"/>
      <c r="F3228" s="18"/>
      <c r="G3228" s="18"/>
      <c r="H3228" s="18"/>
    </row>
    <row r="3229" spans="1:8" x14ac:dyDescent="0.2">
      <c r="A3229" s="17"/>
      <c r="B3229" s="17"/>
      <c r="C3229" s="18"/>
      <c r="D3229" s="18"/>
      <c r="E3229" s="18"/>
      <c r="F3229" s="18"/>
      <c r="G3229" s="18"/>
      <c r="H3229" s="18"/>
    </row>
    <row r="3230" spans="1:8" x14ac:dyDescent="0.2">
      <c r="A3230" s="17"/>
      <c r="B3230" s="17"/>
      <c r="C3230" s="18"/>
      <c r="D3230" s="18"/>
      <c r="E3230" s="18"/>
      <c r="F3230" s="18"/>
      <c r="G3230" s="18"/>
      <c r="H3230" s="18"/>
    </row>
    <row r="3231" spans="1:8" x14ac:dyDescent="0.2">
      <c r="A3231" s="17"/>
      <c r="B3231" s="17"/>
      <c r="C3231" s="18"/>
      <c r="D3231" s="18"/>
      <c r="E3231" s="18"/>
      <c r="F3231" s="18"/>
      <c r="G3231" s="18"/>
      <c r="H3231" s="18"/>
    </row>
    <row r="3232" spans="1:8" x14ac:dyDescent="0.2">
      <c r="A3232" s="17"/>
      <c r="B3232" s="17"/>
      <c r="C3232" s="18"/>
      <c r="D3232" s="18"/>
      <c r="E3232" s="18"/>
      <c r="F3232" s="18"/>
      <c r="G3232" s="18"/>
      <c r="H3232" s="18"/>
    </row>
    <row r="3233" spans="1:8" x14ac:dyDescent="0.2">
      <c r="A3233" s="17"/>
      <c r="B3233" s="17"/>
      <c r="C3233" s="18"/>
      <c r="D3233" s="18"/>
      <c r="E3233" s="18"/>
      <c r="F3233" s="18"/>
      <c r="G3233" s="18"/>
      <c r="H3233" s="18"/>
    </row>
    <row r="3234" spans="1:8" x14ac:dyDescent="0.2">
      <c r="A3234" s="17"/>
      <c r="B3234" s="17"/>
      <c r="C3234" s="18"/>
      <c r="D3234" s="18"/>
      <c r="E3234" s="18"/>
      <c r="F3234" s="18"/>
      <c r="G3234" s="18"/>
      <c r="H3234" s="18"/>
    </row>
    <row r="3235" spans="1:8" x14ac:dyDescent="0.2">
      <c r="A3235" s="17"/>
      <c r="B3235" s="17"/>
      <c r="C3235" s="18"/>
      <c r="D3235" s="18"/>
      <c r="E3235" s="18"/>
      <c r="F3235" s="18"/>
      <c r="G3235" s="18"/>
      <c r="H3235" s="18"/>
    </row>
    <row r="3236" spans="1:8" x14ac:dyDescent="0.2">
      <c r="A3236" s="17"/>
      <c r="B3236" s="17"/>
      <c r="C3236" s="18"/>
      <c r="D3236" s="18"/>
      <c r="E3236" s="18"/>
      <c r="F3236" s="18"/>
      <c r="G3236" s="18"/>
      <c r="H3236" s="18"/>
    </row>
    <row r="3237" spans="1:8" x14ac:dyDescent="0.2">
      <c r="A3237" s="17"/>
      <c r="B3237" s="17"/>
      <c r="C3237" s="18"/>
      <c r="D3237" s="18"/>
      <c r="E3237" s="18"/>
      <c r="F3237" s="18"/>
      <c r="G3237" s="18"/>
      <c r="H3237" s="18"/>
    </row>
    <row r="3238" spans="1:8" x14ac:dyDescent="0.2">
      <c r="A3238" s="17"/>
      <c r="B3238" s="17"/>
      <c r="C3238" s="18"/>
      <c r="D3238" s="18"/>
      <c r="E3238" s="18"/>
      <c r="F3238" s="18"/>
      <c r="G3238" s="18"/>
      <c r="H3238" s="18"/>
    </row>
    <row r="3239" spans="1:8" x14ac:dyDescent="0.2">
      <c r="A3239" s="17"/>
      <c r="B3239" s="17"/>
      <c r="C3239" s="18"/>
      <c r="D3239" s="18"/>
      <c r="E3239" s="18"/>
      <c r="F3239" s="18"/>
      <c r="G3239" s="18"/>
      <c r="H3239" s="18"/>
    </row>
    <row r="3240" spans="1:8" x14ac:dyDescent="0.2">
      <c r="A3240" s="17"/>
      <c r="B3240" s="17"/>
      <c r="C3240" s="18"/>
      <c r="D3240" s="18"/>
      <c r="E3240" s="18"/>
      <c r="F3240" s="18"/>
      <c r="G3240" s="18"/>
      <c r="H3240" s="18"/>
    </row>
    <row r="3241" spans="1:8" x14ac:dyDescent="0.2">
      <c r="A3241" s="17"/>
      <c r="B3241" s="17"/>
      <c r="C3241" s="18"/>
      <c r="D3241" s="18"/>
      <c r="E3241" s="18"/>
      <c r="F3241" s="18"/>
      <c r="G3241" s="18"/>
      <c r="H3241" s="18"/>
    </row>
    <row r="3242" spans="1:8" x14ac:dyDescent="0.2">
      <c r="A3242" s="17"/>
      <c r="B3242" s="17"/>
      <c r="C3242" s="18"/>
      <c r="D3242" s="18"/>
      <c r="E3242" s="18"/>
      <c r="F3242" s="18"/>
      <c r="G3242" s="18"/>
      <c r="H3242" s="18"/>
    </row>
    <row r="3243" spans="1:8" x14ac:dyDescent="0.2">
      <c r="A3243" s="17"/>
      <c r="B3243" s="17"/>
      <c r="C3243" s="18"/>
      <c r="D3243" s="18"/>
      <c r="E3243" s="18"/>
      <c r="F3243" s="18"/>
      <c r="G3243" s="18"/>
      <c r="H3243" s="18"/>
    </row>
    <row r="3244" spans="1:8" x14ac:dyDescent="0.2">
      <c r="A3244" s="17"/>
      <c r="B3244" s="17"/>
      <c r="C3244" s="18"/>
      <c r="D3244" s="18"/>
      <c r="E3244" s="18"/>
      <c r="F3244" s="18"/>
      <c r="G3244" s="18"/>
      <c r="H3244" s="18"/>
    </row>
    <row r="3245" spans="1:8" x14ac:dyDescent="0.2">
      <c r="A3245" s="17"/>
      <c r="B3245" s="17"/>
      <c r="C3245" s="18"/>
      <c r="D3245" s="18"/>
      <c r="E3245" s="18"/>
      <c r="F3245" s="18"/>
      <c r="G3245" s="18"/>
      <c r="H3245" s="18"/>
    </row>
    <row r="3246" spans="1:8" x14ac:dyDescent="0.2">
      <c r="A3246" s="17"/>
      <c r="B3246" s="17"/>
      <c r="C3246" s="18"/>
      <c r="D3246" s="18"/>
      <c r="E3246" s="18"/>
      <c r="F3246" s="18"/>
      <c r="G3246" s="18"/>
      <c r="H3246" s="18"/>
    </row>
    <row r="3247" spans="1:8" x14ac:dyDescent="0.2">
      <c r="A3247" s="17"/>
      <c r="B3247" s="17"/>
      <c r="C3247" s="18"/>
      <c r="D3247" s="18"/>
      <c r="E3247" s="18"/>
      <c r="F3247" s="18"/>
      <c r="G3247" s="18"/>
      <c r="H3247" s="18"/>
    </row>
    <row r="3248" spans="1:8" x14ac:dyDescent="0.2">
      <c r="A3248" s="17"/>
      <c r="B3248" s="17"/>
      <c r="C3248" s="18"/>
      <c r="D3248" s="18"/>
      <c r="E3248" s="18"/>
      <c r="F3248" s="18"/>
      <c r="G3248" s="18"/>
      <c r="H3248" s="18"/>
    </row>
    <row r="3249" spans="1:8" x14ac:dyDescent="0.2">
      <c r="A3249" s="17"/>
      <c r="B3249" s="17"/>
      <c r="C3249" s="18"/>
      <c r="D3249" s="18"/>
      <c r="E3249" s="18"/>
      <c r="F3249" s="18"/>
      <c r="G3249" s="18"/>
      <c r="H3249" s="18"/>
    </row>
    <row r="3250" spans="1:8" x14ac:dyDescent="0.2">
      <c r="A3250" s="17"/>
      <c r="B3250" s="17"/>
      <c r="C3250" s="18"/>
      <c r="D3250" s="18"/>
      <c r="E3250" s="18"/>
      <c r="F3250" s="18"/>
      <c r="G3250" s="18"/>
      <c r="H3250" s="18"/>
    </row>
    <row r="3251" spans="1:8" x14ac:dyDescent="0.2">
      <c r="A3251" s="17"/>
      <c r="B3251" s="17"/>
      <c r="C3251" s="18"/>
      <c r="D3251" s="18"/>
      <c r="E3251" s="18"/>
      <c r="F3251" s="18"/>
      <c r="G3251" s="18"/>
      <c r="H3251" s="18"/>
    </row>
    <row r="3252" spans="1:8" x14ac:dyDescent="0.2">
      <c r="A3252" s="17"/>
      <c r="B3252" s="17"/>
      <c r="C3252" s="18"/>
      <c r="D3252" s="18"/>
      <c r="E3252" s="18"/>
      <c r="F3252" s="18"/>
      <c r="G3252" s="18"/>
      <c r="H3252" s="18"/>
    </row>
    <row r="3253" spans="1:8" x14ac:dyDescent="0.2">
      <c r="A3253" s="17"/>
      <c r="B3253" s="17"/>
      <c r="C3253" s="18"/>
      <c r="D3253" s="18"/>
      <c r="E3253" s="18"/>
      <c r="F3253" s="18"/>
      <c r="G3253" s="18"/>
      <c r="H3253" s="18"/>
    </row>
    <row r="3254" spans="1:8" x14ac:dyDescent="0.2">
      <c r="A3254" s="17"/>
      <c r="B3254" s="17"/>
      <c r="C3254" s="18"/>
      <c r="D3254" s="18"/>
      <c r="E3254" s="18"/>
      <c r="F3254" s="18"/>
      <c r="G3254" s="18"/>
      <c r="H3254" s="18"/>
    </row>
    <row r="3255" spans="1:8" x14ac:dyDescent="0.2">
      <c r="A3255" s="17"/>
      <c r="B3255" s="17"/>
      <c r="C3255" s="18"/>
      <c r="D3255" s="18"/>
      <c r="E3255" s="18"/>
      <c r="F3255" s="18"/>
      <c r="G3255" s="18"/>
      <c r="H3255" s="18"/>
    </row>
    <row r="3256" spans="1:8" x14ac:dyDescent="0.2">
      <c r="A3256" s="17"/>
      <c r="B3256" s="17"/>
      <c r="C3256" s="18"/>
      <c r="D3256" s="18"/>
      <c r="E3256" s="18"/>
      <c r="F3256" s="18"/>
      <c r="G3256" s="18"/>
      <c r="H3256" s="18"/>
    </row>
    <row r="3257" spans="1:8" x14ac:dyDescent="0.2">
      <c r="A3257" s="17"/>
      <c r="B3257" s="17"/>
      <c r="C3257" s="18"/>
      <c r="D3257" s="18"/>
      <c r="E3257" s="18"/>
      <c r="F3257" s="18"/>
      <c r="G3257" s="18"/>
      <c r="H3257" s="18"/>
    </row>
    <row r="3258" spans="1:8" x14ac:dyDescent="0.2">
      <c r="A3258" s="17"/>
      <c r="B3258" s="17"/>
      <c r="C3258" s="18"/>
      <c r="D3258" s="18"/>
      <c r="E3258" s="18"/>
      <c r="F3258" s="18"/>
      <c r="G3258" s="18"/>
      <c r="H3258" s="18"/>
    </row>
    <row r="3259" spans="1:8" x14ac:dyDescent="0.2">
      <c r="A3259" s="17"/>
      <c r="B3259" s="17"/>
      <c r="C3259" s="18"/>
      <c r="D3259" s="18"/>
      <c r="E3259" s="18"/>
      <c r="F3259" s="18"/>
      <c r="G3259" s="18"/>
      <c r="H3259" s="18"/>
    </row>
    <row r="3260" spans="1:8" x14ac:dyDescent="0.2">
      <c r="A3260" s="17"/>
      <c r="B3260" s="17"/>
      <c r="C3260" s="18"/>
      <c r="D3260" s="18"/>
      <c r="E3260" s="18"/>
      <c r="F3260" s="18"/>
      <c r="G3260" s="18"/>
      <c r="H3260" s="18"/>
    </row>
    <row r="3261" spans="1:8" x14ac:dyDescent="0.2">
      <c r="A3261" s="17"/>
      <c r="B3261" s="17"/>
      <c r="C3261" s="18"/>
      <c r="D3261" s="18"/>
      <c r="E3261" s="18"/>
      <c r="F3261" s="18"/>
      <c r="G3261" s="18"/>
      <c r="H3261" s="18"/>
    </row>
    <row r="3262" spans="1:8" x14ac:dyDescent="0.2">
      <c r="A3262" s="17"/>
      <c r="B3262" s="17"/>
      <c r="C3262" s="18"/>
      <c r="D3262" s="18"/>
      <c r="E3262" s="18"/>
      <c r="F3262" s="18"/>
      <c r="G3262" s="18"/>
      <c r="H3262" s="18"/>
    </row>
    <row r="3263" spans="1:8" x14ac:dyDescent="0.2">
      <c r="A3263" s="17"/>
      <c r="B3263" s="17"/>
      <c r="C3263" s="18"/>
      <c r="D3263" s="18"/>
      <c r="E3263" s="18"/>
      <c r="F3263" s="18"/>
      <c r="G3263" s="18"/>
      <c r="H3263" s="18"/>
    </row>
    <row r="3264" spans="1:8" x14ac:dyDescent="0.2">
      <c r="A3264" s="17"/>
      <c r="B3264" s="17"/>
      <c r="C3264" s="18"/>
      <c r="D3264" s="18"/>
      <c r="E3264" s="18"/>
      <c r="F3264" s="18"/>
      <c r="G3264" s="18"/>
      <c r="H3264" s="18"/>
    </row>
    <row r="3265" spans="1:8" x14ac:dyDescent="0.2">
      <c r="A3265" s="17"/>
      <c r="B3265" s="17"/>
      <c r="C3265" s="18"/>
      <c r="D3265" s="18"/>
      <c r="E3265" s="18"/>
      <c r="F3265" s="18"/>
      <c r="G3265" s="18"/>
      <c r="H3265" s="18"/>
    </row>
    <row r="3266" spans="1:8" x14ac:dyDescent="0.2">
      <c r="A3266" s="17"/>
      <c r="B3266" s="17"/>
      <c r="C3266" s="18"/>
      <c r="D3266" s="18"/>
      <c r="E3266" s="18"/>
      <c r="F3266" s="18"/>
      <c r="G3266" s="18"/>
      <c r="H3266" s="18"/>
    </row>
    <row r="3267" spans="1:8" x14ac:dyDescent="0.2">
      <c r="A3267" s="17"/>
      <c r="B3267" s="17"/>
      <c r="C3267" s="18"/>
      <c r="D3267" s="18"/>
      <c r="E3267" s="18"/>
      <c r="F3267" s="18"/>
      <c r="G3267" s="18"/>
      <c r="H3267" s="18"/>
    </row>
    <row r="3268" spans="1:8" x14ac:dyDescent="0.2">
      <c r="A3268" s="17"/>
      <c r="B3268" s="17"/>
      <c r="C3268" s="18"/>
      <c r="D3268" s="18"/>
      <c r="E3268" s="18"/>
      <c r="F3268" s="18"/>
      <c r="G3268" s="18"/>
      <c r="H3268" s="18"/>
    </row>
    <row r="3269" spans="1:8" x14ac:dyDescent="0.2">
      <c r="A3269" s="17"/>
      <c r="B3269" s="17"/>
      <c r="C3269" s="18"/>
      <c r="D3269" s="18"/>
      <c r="E3269" s="18"/>
      <c r="F3269" s="18"/>
      <c r="G3269" s="18"/>
      <c r="H3269" s="18"/>
    </row>
    <row r="3270" spans="1:8" x14ac:dyDescent="0.2">
      <c r="A3270" s="17"/>
      <c r="B3270" s="17"/>
      <c r="C3270" s="18"/>
      <c r="D3270" s="18"/>
      <c r="E3270" s="18"/>
      <c r="F3270" s="18"/>
      <c r="G3270" s="18"/>
      <c r="H3270" s="18"/>
    </row>
    <row r="3271" spans="1:8" x14ac:dyDescent="0.2">
      <c r="A3271" s="17"/>
      <c r="B3271" s="17"/>
      <c r="C3271" s="18"/>
      <c r="D3271" s="18"/>
      <c r="E3271" s="18"/>
      <c r="F3271" s="18"/>
      <c r="G3271" s="18"/>
      <c r="H3271" s="18"/>
    </row>
    <row r="3272" spans="1:8" x14ac:dyDescent="0.2">
      <c r="A3272" s="17"/>
      <c r="B3272" s="17"/>
      <c r="C3272" s="18"/>
      <c r="D3272" s="18"/>
      <c r="E3272" s="18"/>
      <c r="F3272" s="18"/>
      <c r="G3272" s="18"/>
      <c r="H3272" s="18"/>
    </row>
    <row r="3273" spans="1:8" x14ac:dyDescent="0.2">
      <c r="A3273" s="17"/>
      <c r="B3273" s="17"/>
      <c r="C3273" s="18"/>
      <c r="D3273" s="18"/>
      <c r="E3273" s="18"/>
      <c r="F3273" s="18"/>
      <c r="G3273" s="18"/>
      <c r="H3273" s="18"/>
    </row>
    <row r="3274" spans="1:8" x14ac:dyDescent="0.2">
      <c r="A3274" s="17"/>
      <c r="B3274" s="17"/>
      <c r="C3274" s="18"/>
      <c r="D3274" s="18"/>
      <c r="E3274" s="18"/>
      <c r="F3274" s="18"/>
      <c r="G3274" s="18"/>
      <c r="H3274" s="18"/>
    </row>
    <row r="3275" spans="1:8" x14ac:dyDescent="0.2">
      <c r="A3275" s="17"/>
      <c r="B3275" s="17"/>
      <c r="C3275" s="18"/>
      <c r="D3275" s="18"/>
      <c r="E3275" s="18"/>
      <c r="F3275" s="18"/>
      <c r="G3275" s="18"/>
      <c r="H3275" s="18"/>
    </row>
    <row r="3276" spans="1:8" x14ac:dyDescent="0.2">
      <c r="A3276" s="17"/>
      <c r="B3276" s="17"/>
      <c r="C3276" s="18"/>
      <c r="D3276" s="18"/>
      <c r="E3276" s="18"/>
      <c r="F3276" s="18"/>
      <c r="G3276" s="18"/>
      <c r="H3276" s="18"/>
    </row>
    <row r="3277" spans="1:8" x14ac:dyDescent="0.2">
      <c r="A3277" s="17"/>
      <c r="B3277" s="17"/>
      <c r="C3277" s="18"/>
      <c r="D3277" s="18"/>
      <c r="E3277" s="18"/>
      <c r="F3277" s="18"/>
      <c r="G3277" s="18"/>
      <c r="H3277" s="18"/>
    </row>
    <row r="3278" spans="1:8" x14ac:dyDescent="0.2">
      <c r="A3278" s="17"/>
      <c r="B3278" s="17"/>
      <c r="C3278" s="18"/>
      <c r="D3278" s="18"/>
      <c r="E3278" s="18"/>
      <c r="F3278" s="18"/>
      <c r="G3278" s="18"/>
      <c r="H3278" s="18"/>
    </row>
    <row r="3279" spans="1:8" x14ac:dyDescent="0.2">
      <c r="A3279" s="17"/>
      <c r="B3279" s="17"/>
      <c r="C3279" s="18"/>
      <c r="D3279" s="18"/>
      <c r="E3279" s="18"/>
      <c r="F3279" s="18"/>
      <c r="G3279" s="18"/>
      <c r="H3279" s="18"/>
    </row>
    <row r="3280" spans="1:8" x14ac:dyDescent="0.2">
      <c r="A3280" s="17"/>
      <c r="B3280" s="17"/>
      <c r="C3280" s="18"/>
      <c r="D3280" s="18"/>
      <c r="E3280" s="18"/>
      <c r="F3280" s="18"/>
      <c r="G3280" s="18"/>
      <c r="H3280" s="18"/>
    </row>
    <row r="3281" spans="1:8" x14ac:dyDescent="0.2">
      <c r="A3281" s="17"/>
      <c r="B3281" s="17"/>
      <c r="C3281" s="18"/>
      <c r="D3281" s="18"/>
      <c r="E3281" s="18"/>
      <c r="F3281" s="18"/>
      <c r="G3281" s="18"/>
      <c r="H3281" s="18"/>
    </row>
    <row r="3282" spans="1:8" x14ac:dyDescent="0.2">
      <c r="A3282" s="17"/>
      <c r="B3282" s="17"/>
      <c r="C3282" s="18"/>
      <c r="D3282" s="18"/>
      <c r="E3282" s="18"/>
      <c r="F3282" s="18"/>
      <c r="G3282" s="18"/>
      <c r="H3282" s="18"/>
    </row>
    <row r="3283" spans="1:8" x14ac:dyDescent="0.2">
      <c r="A3283" s="17"/>
      <c r="B3283" s="17"/>
      <c r="C3283" s="18"/>
      <c r="D3283" s="18"/>
      <c r="E3283" s="18"/>
      <c r="F3283" s="18"/>
      <c r="G3283" s="18"/>
      <c r="H3283" s="18"/>
    </row>
    <row r="3284" spans="1:8" x14ac:dyDescent="0.2">
      <c r="A3284" s="17"/>
      <c r="B3284" s="17"/>
      <c r="C3284" s="18"/>
      <c r="D3284" s="18"/>
      <c r="E3284" s="18"/>
      <c r="F3284" s="18"/>
      <c r="G3284" s="18"/>
      <c r="H3284" s="18"/>
    </row>
    <row r="3285" spans="1:8" x14ac:dyDescent="0.2">
      <c r="A3285" s="17"/>
      <c r="B3285" s="17"/>
      <c r="C3285" s="18"/>
      <c r="D3285" s="18"/>
      <c r="E3285" s="18"/>
      <c r="F3285" s="18"/>
      <c r="G3285" s="18"/>
      <c r="H3285" s="18"/>
    </row>
    <row r="3286" spans="1:8" x14ac:dyDescent="0.2">
      <c r="A3286" s="17"/>
      <c r="B3286" s="17"/>
      <c r="C3286" s="18"/>
      <c r="D3286" s="18"/>
      <c r="E3286" s="18"/>
      <c r="F3286" s="18"/>
      <c r="G3286" s="18"/>
      <c r="H3286" s="18"/>
    </row>
    <row r="3287" spans="1:8" x14ac:dyDescent="0.2">
      <c r="A3287" s="17"/>
      <c r="B3287" s="17"/>
      <c r="C3287" s="18"/>
      <c r="D3287" s="18"/>
      <c r="E3287" s="18"/>
      <c r="F3287" s="18"/>
      <c r="G3287" s="18"/>
      <c r="H3287" s="18"/>
    </row>
    <row r="3288" spans="1:8" x14ac:dyDescent="0.2">
      <c r="A3288" s="17"/>
      <c r="B3288" s="17"/>
      <c r="C3288" s="18"/>
      <c r="D3288" s="18"/>
      <c r="E3288" s="18"/>
      <c r="F3288" s="18"/>
      <c r="G3288" s="18"/>
      <c r="H3288" s="18"/>
    </row>
    <row r="3289" spans="1:8" x14ac:dyDescent="0.2">
      <c r="A3289" s="17"/>
      <c r="B3289" s="17"/>
      <c r="C3289" s="18"/>
      <c r="D3289" s="18"/>
      <c r="E3289" s="18"/>
      <c r="F3289" s="18"/>
      <c r="G3289" s="18"/>
      <c r="H3289" s="18"/>
    </row>
    <row r="3290" spans="1:8" x14ac:dyDescent="0.2">
      <c r="A3290" s="17"/>
      <c r="B3290" s="17"/>
      <c r="C3290" s="18"/>
      <c r="D3290" s="18"/>
      <c r="E3290" s="18"/>
      <c r="F3290" s="18"/>
      <c r="G3290" s="18"/>
      <c r="H3290" s="18"/>
    </row>
    <row r="3291" spans="1:8" x14ac:dyDescent="0.2">
      <c r="A3291" s="17"/>
      <c r="B3291" s="17"/>
      <c r="C3291" s="18"/>
      <c r="D3291" s="18"/>
      <c r="E3291" s="18"/>
      <c r="F3291" s="18"/>
      <c r="G3291" s="18"/>
      <c r="H3291" s="18"/>
    </row>
    <row r="3292" spans="1:8" x14ac:dyDescent="0.2">
      <c r="A3292" s="17"/>
      <c r="B3292" s="17"/>
      <c r="C3292" s="18"/>
      <c r="D3292" s="18"/>
      <c r="E3292" s="18"/>
      <c r="F3292" s="18"/>
      <c r="G3292" s="18"/>
      <c r="H3292" s="18"/>
    </row>
    <row r="3293" spans="1:8" x14ac:dyDescent="0.2">
      <c r="A3293" s="17"/>
      <c r="B3293" s="17"/>
      <c r="C3293" s="18"/>
      <c r="D3293" s="18"/>
      <c r="E3293" s="18"/>
      <c r="F3293" s="18"/>
      <c r="G3293" s="18"/>
      <c r="H3293" s="18"/>
    </row>
    <row r="3294" spans="1:8" x14ac:dyDescent="0.2">
      <c r="A3294" s="17"/>
      <c r="B3294" s="17"/>
      <c r="C3294" s="18"/>
      <c r="D3294" s="18"/>
      <c r="E3294" s="18"/>
      <c r="F3294" s="18"/>
      <c r="G3294" s="18"/>
      <c r="H3294" s="18"/>
    </row>
    <row r="3295" spans="1:8" x14ac:dyDescent="0.2">
      <c r="A3295" s="17"/>
      <c r="B3295" s="17"/>
      <c r="C3295" s="18"/>
      <c r="D3295" s="18"/>
      <c r="E3295" s="18"/>
      <c r="F3295" s="18"/>
      <c r="G3295" s="18"/>
      <c r="H3295" s="18"/>
    </row>
    <row r="3296" spans="1:8" x14ac:dyDescent="0.2">
      <c r="A3296" s="17"/>
      <c r="B3296" s="17"/>
      <c r="C3296" s="18"/>
      <c r="D3296" s="18"/>
      <c r="E3296" s="18"/>
      <c r="F3296" s="18"/>
      <c r="G3296" s="18"/>
      <c r="H3296" s="18"/>
    </row>
    <row r="3297" spans="1:8" x14ac:dyDescent="0.2">
      <c r="A3297" s="17"/>
      <c r="B3297" s="17"/>
      <c r="C3297" s="18"/>
      <c r="D3297" s="18"/>
      <c r="E3297" s="18"/>
      <c r="F3297" s="18"/>
      <c r="G3297" s="18"/>
      <c r="H3297" s="18"/>
    </row>
    <row r="3298" spans="1:8" x14ac:dyDescent="0.2">
      <c r="A3298" s="17"/>
      <c r="B3298" s="17"/>
      <c r="C3298" s="18"/>
      <c r="D3298" s="18"/>
      <c r="E3298" s="18"/>
      <c r="F3298" s="18"/>
      <c r="G3298" s="18"/>
      <c r="H3298" s="18"/>
    </row>
    <row r="3299" spans="1:8" x14ac:dyDescent="0.2">
      <c r="A3299" s="17"/>
      <c r="B3299" s="17"/>
      <c r="C3299" s="18"/>
      <c r="D3299" s="18"/>
      <c r="E3299" s="18"/>
      <c r="F3299" s="18"/>
      <c r="G3299" s="18"/>
      <c r="H3299" s="18"/>
    </row>
    <row r="3300" spans="1:8" x14ac:dyDescent="0.2">
      <c r="A3300" s="17"/>
      <c r="B3300" s="17"/>
      <c r="C3300" s="18"/>
      <c r="D3300" s="18"/>
      <c r="E3300" s="18"/>
      <c r="F3300" s="18"/>
      <c r="G3300" s="18"/>
      <c r="H3300" s="18"/>
    </row>
    <row r="3301" spans="1:8" x14ac:dyDescent="0.2">
      <c r="A3301" s="17"/>
      <c r="B3301" s="17"/>
      <c r="C3301" s="18"/>
      <c r="D3301" s="18"/>
      <c r="E3301" s="18"/>
      <c r="F3301" s="18"/>
      <c r="G3301" s="18"/>
      <c r="H3301" s="18"/>
    </row>
    <row r="3302" spans="1:8" x14ac:dyDescent="0.2">
      <c r="A3302" s="17"/>
      <c r="B3302" s="17"/>
      <c r="C3302" s="18"/>
      <c r="D3302" s="18"/>
      <c r="E3302" s="18"/>
      <c r="F3302" s="18"/>
      <c r="G3302" s="18"/>
      <c r="H3302" s="18"/>
    </row>
    <row r="3303" spans="1:8" x14ac:dyDescent="0.2">
      <c r="A3303" s="17"/>
      <c r="B3303" s="17"/>
      <c r="C3303" s="18"/>
      <c r="D3303" s="18"/>
      <c r="E3303" s="18"/>
      <c r="F3303" s="18"/>
      <c r="G3303" s="18"/>
      <c r="H3303" s="18"/>
    </row>
    <row r="3304" spans="1:8" x14ac:dyDescent="0.2">
      <c r="A3304" s="17"/>
      <c r="B3304" s="17"/>
      <c r="C3304" s="18"/>
      <c r="D3304" s="18"/>
      <c r="E3304" s="18"/>
      <c r="F3304" s="18"/>
      <c r="G3304" s="18"/>
      <c r="H3304" s="18"/>
    </row>
    <row r="3305" spans="1:8" x14ac:dyDescent="0.2">
      <c r="A3305" s="17"/>
      <c r="B3305" s="17"/>
      <c r="C3305" s="18"/>
      <c r="D3305" s="18"/>
      <c r="E3305" s="18"/>
      <c r="F3305" s="18"/>
      <c r="G3305" s="18"/>
      <c r="H3305" s="18"/>
    </row>
    <row r="3306" spans="1:8" x14ac:dyDescent="0.2">
      <c r="A3306" s="17"/>
      <c r="B3306" s="17"/>
      <c r="C3306" s="18"/>
      <c r="D3306" s="18"/>
      <c r="E3306" s="18"/>
      <c r="F3306" s="18"/>
      <c r="G3306" s="18"/>
      <c r="H3306" s="18"/>
    </row>
    <row r="3307" spans="1:8" x14ac:dyDescent="0.2">
      <c r="A3307" s="17"/>
      <c r="B3307" s="17"/>
      <c r="C3307" s="18"/>
      <c r="D3307" s="18"/>
      <c r="E3307" s="18"/>
      <c r="F3307" s="18"/>
      <c r="G3307" s="18"/>
      <c r="H3307" s="18"/>
    </row>
    <row r="3308" spans="1:8" x14ac:dyDescent="0.2">
      <c r="A3308" s="17"/>
      <c r="B3308" s="17"/>
      <c r="C3308" s="18"/>
      <c r="D3308" s="18"/>
      <c r="E3308" s="18"/>
      <c r="F3308" s="18"/>
      <c r="G3308" s="18"/>
      <c r="H3308" s="18"/>
    </row>
    <row r="3309" spans="1:8" x14ac:dyDescent="0.2">
      <c r="A3309" s="17"/>
      <c r="B3309" s="17"/>
      <c r="C3309" s="18"/>
      <c r="D3309" s="18"/>
      <c r="E3309" s="18"/>
      <c r="F3309" s="18"/>
      <c r="G3309" s="18"/>
      <c r="H3309" s="18"/>
    </row>
    <row r="3310" spans="1:8" x14ac:dyDescent="0.2">
      <c r="A3310" s="17"/>
      <c r="B3310" s="17"/>
      <c r="C3310" s="18"/>
      <c r="D3310" s="18"/>
      <c r="E3310" s="18"/>
      <c r="F3310" s="18"/>
      <c r="G3310" s="18"/>
      <c r="H3310" s="18"/>
    </row>
    <row r="3311" spans="1:8" x14ac:dyDescent="0.2">
      <c r="A3311" s="17"/>
      <c r="B3311" s="17"/>
      <c r="C3311" s="18"/>
      <c r="D3311" s="18"/>
      <c r="E3311" s="18"/>
      <c r="F3311" s="18"/>
      <c r="G3311" s="18"/>
      <c r="H3311" s="18"/>
    </row>
    <row r="3312" spans="1:8" x14ac:dyDescent="0.2">
      <c r="A3312" s="17"/>
      <c r="B3312" s="17"/>
      <c r="C3312" s="18"/>
      <c r="D3312" s="18"/>
      <c r="E3312" s="18"/>
      <c r="F3312" s="18"/>
      <c r="G3312" s="18"/>
      <c r="H3312" s="18"/>
    </row>
    <row r="3313" spans="1:8" x14ac:dyDescent="0.2">
      <c r="A3313" s="17"/>
      <c r="B3313" s="17"/>
      <c r="C3313" s="18"/>
      <c r="D3313" s="18"/>
      <c r="E3313" s="18"/>
      <c r="F3313" s="18"/>
      <c r="G3313" s="18"/>
      <c r="H3313" s="18"/>
    </row>
    <row r="3314" spans="1:8" x14ac:dyDescent="0.2">
      <c r="A3314" s="17"/>
      <c r="B3314" s="17"/>
      <c r="C3314" s="18"/>
      <c r="D3314" s="18"/>
      <c r="E3314" s="18"/>
      <c r="F3314" s="18"/>
      <c r="G3314" s="18"/>
      <c r="H3314" s="18"/>
    </row>
    <row r="3315" spans="1:8" x14ac:dyDescent="0.2">
      <c r="A3315" s="17"/>
      <c r="B3315" s="17"/>
      <c r="C3315" s="18"/>
      <c r="D3315" s="18"/>
      <c r="E3315" s="18"/>
      <c r="F3315" s="18"/>
      <c r="G3315" s="18"/>
      <c r="H3315" s="18"/>
    </row>
    <row r="3316" spans="1:8" x14ac:dyDescent="0.2">
      <c r="A3316" s="17"/>
      <c r="B3316" s="17"/>
      <c r="C3316" s="18"/>
      <c r="D3316" s="18"/>
      <c r="E3316" s="18"/>
      <c r="F3316" s="18"/>
      <c r="G3316" s="18"/>
      <c r="H3316" s="18"/>
    </row>
    <row r="3317" spans="1:8" x14ac:dyDescent="0.2">
      <c r="A3317" s="17"/>
      <c r="B3317" s="17"/>
      <c r="C3317" s="18"/>
      <c r="D3317" s="18"/>
      <c r="E3317" s="18"/>
      <c r="F3317" s="18"/>
      <c r="G3317" s="18"/>
      <c r="H3317" s="18"/>
    </row>
    <row r="3318" spans="1:8" x14ac:dyDescent="0.2">
      <c r="A3318" s="17"/>
      <c r="B3318" s="17"/>
      <c r="C3318" s="18"/>
      <c r="D3318" s="18"/>
      <c r="E3318" s="18"/>
      <c r="F3318" s="18"/>
      <c r="G3318" s="18"/>
      <c r="H3318" s="18"/>
    </row>
    <row r="3319" spans="1:8" x14ac:dyDescent="0.2">
      <c r="A3319" s="17"/>
      <c r="B3319" s="17"/>
      <c r="C3319" s="18"/>
      <c r="D3319" s="18"/>
      <c r="E3319" s="18"/>
      <c r="F3319" s="18"/>
      <c r="G3319" s="18"/>
      <c r="H3319" s="18"/>
    </row>
    <row r="3320" spans="1:8" x14ac:dyDescent="0.2">
      <c r="A3320" s="17"/>
      <c r="B3320" s="17"/>
      <c r="C3320" s="18"/>
      <c r="D3320" s="18"/>
      <c r="E3320" s="18"/>
      <c r="F3320" s="18"/>
      <c r="G3320" s="18"/>
      <c r="H3320" s="18"/>
    </row>
    <row r="3321" spans="1:8" x14ac:dyDescent="0.2">
      <c r="A3321" s="17"/>
      <c r="B3321" s="17"/>
      <c r="C3321" s="18"/>
      <c r="D3321" s="18"/>
      <c r="E3321" s="18"/>
      <c r="F3321" s="18"/>
      <c r="G3321" s="18"/>
      <c r="H3321" s="18"/>
    </row>
    <row r="3322" spans="1:8" x14ac:dyDescent="0.2">
      <c r="A3322" s="17"/>
      <c r="B3322" s="17"/>
      <c r="C3322" s="18"/>
      <c r="D3322" s="18"/>
      <c r="E3322" s="18"/>
      <c r="F3322" s="18"/>
      <c r="G3322" s="18"/>
      <c r="H3322" s="18"/>
    </row>
    <row r="3323" spans="1:8" x14ac:dyDescent="0.2">
      <c r="A3323" s="17"/>
      <c r="B3323" s="17"/>
      <c r="C3323" s="18"/>
      <c r="D3323" s="18"/>
      <c r="E3323" s="18"/>
      <c r="F3323" s="18"/>
      <c r="G3323" s="18"/>
      <c r="H3323" s="18"/>
    </row>
    <row r="3324" spans="1:8" x14ac:dyDescent="0.2">
      <c r="A3324" s="17"/>
      <c r="B3324" s="17"/>
      <c r="C3324" s="18"/>
      <c r="D3324" s="18"/>
      <c r="E3324" s="18"/>
      <c r="F3324" s="18"/>
      <c r="G3324" s="18"/>
      <c r="H3324" s="18"/>
    </row>
    <row r="3325" spans="1:8" x14ac:dyDescent="0.2">
      <c r="A3325" s="17"/>
      <c r="B3325" s="17"/>
      <c r="C3325" s="18"/>
      <c r="D3325" s="18"/>
      <c r="E3325" s="18"/>
      <c r="F3325" s="18"/>
      <c r="G3325" s="18"/>
      <c r="H3325" s="18"/>
    </row>
    <row r="3326" spans="1:8" x14ac:dyDescent="0.2">
      <c r="A3326" s="17"/>
      <c r="B3326" s="17"/>
      <c r="C3326" s="18"/>
      <c r="D3326" s="18"/>
      <c r="E3326" s="18"/>
      <c r="F3326" s="18"/>
      <c r="G3326" s="18"/>
      <c r="H3326" s="18"/>
    </row>
    <row r="3327" spans="1:8" x14ac:dyDescent="0.2">
      <c r="A3327" s="17"/>
      <c r="B3327" s="17"/>
      <c r="C3327" s="18"/>
      <c r="D3327" s="18"/>
      <c r="E3327" s="18"/>
      <c r="F3327" s="18"/>
      <c r="G3327" s="18"/>
      <c r="H3327" s="18"/>
    </row>
    <row r="3328" spans="1:8" x14ac:dyDescent="0.2">
      <c r="A3328" s="17"/>
      <c r="B3328" s="17"/>
      <c r="C3328" s="18"/>
      <c r="D3328" s="18"/>
      <c r="E3328" s="18"/>
      <c r="F3328" s="18"/>
      <c r="G3328" s="18"/>
      <c r="H3328" s="18"/>
    </row>
    <row r="3329" spans="1:8" x14ac:dyDescent="0.2">
      <c r="A3329" s="17"/>
      <c r="B3329" s="17"/>
      <c r="C3329" s="18"/>
      <c r="D3329" s="18"/>
      <c r="E3329" s="18"/>
      <c r="F3329" s="18"/>
      <c r="G3329" s="18"/>
      <c r="H3329" s="18"/>
    </row>
    <row r="3330" spans="1:8" x14ac:dyDescent="0.2">
      <c r="A3330" s="17"/>
      <c r="B3330" s="17"/>
      <c r="C3330" s="18"/>
      <c r="D3330" s="18"/>
      <c r="E3330" s="18"/>
      <c r="F3330" s="18"/>
      <c r="G3330" s="18"/>
      <c r="H3330" s="18"/>
    </row>
    <row r="3331" spans="1:8" x14ac:dyDescent="0.2">
      <c r="A3331" s="17"/>
      <c r="B3331" s="17"/>
      <c r="C3331" s="18"/>
      <c r="D3331" s="18"/>
      <c r="E3331" s="18"/>
      <c r="F3331" s="18"/>
      <c r="G3331" s="18"/>
      <c r="H3331" s="18"/>
    </row>
    <row r="3332" spans="1:8" x14ac:dyDescent="0.2">
      <c r="A3332" s="17"/>
      <c r="B3332" s="17"/>
      <c r="C3332" s="18"/>
      <c r="D3332" s="18"/>
      <c r="E3332" s="18"/>
      <c r="F3332" s="18"/>
      <c r="G3332" s="18"/>
      <c r="H3332" s="18"/>
    </row>
    <row r="3333" spans="1:8" x14ac:dyDescent="0.2">
      <c r="A3333" s="17"/>
      <c r="B3333" s="17"/>
      <c r="C3333" s="18"/>
      <c r="D3333" s="18"/>
      <c r="E3333" s="18"/>
      <c r="F3333" s="18"/>
      <c r="G3333" s="18"/>
      <c r="H3333" s="18"/>
    </row>
    <row r="3334" spans="1:8" x14ac:dyDescent="0.2">
      <c r="A3334" s="17"/>
      <c r="B3334" s="17"/>
      <c r="C3334" s="18"/>
      <c r="D3334" s="18"/>
      <c r="E3334" s="18"/>
      <c r="F3334" s="18"/>
      <c r="G3334" s="18"/>
      <c r="H3334" s="18"/>
    </row>
    <row r="3335" spans="1:8" x14ac:dyDescent="0.2">
      <c r="A3335" s="17"/>
      <c r="B3335" s="17"/>
      <c r="C3335" s="18"/>
      <c r="D3335" s="18"/>
      <c r="E3335" s="18"/>
      <c r="F3335" s="18"/>
      <c r="G3335" s="18"/>
      <c r="H3335" s="18"/>
    </row>
    <row r="3336" spans="1:8" x14ac:dyDescent="0.2">
      <c r="A3336" s="17"/>
      <c r="B3336" s="17"/>
      <c r="C3336" s="18"/>
      <c r="D3336" s="18"/>
      <c r="E3336" s="18"/>
      <c r="F3336" s="18"/>
      <c r="G3336" s="18"/>
      <c r="H3336" s="18"/>
    </row>
    <row r="3337" spans="1:8" x14ac:dyDescent="0.2">
      <c r="A3337" s="17"/>
      <c r="B3337" s="17"/>
      <c r="C3337" s="18"/>
      <c r="D3337" s="18"/>
      <c r="E3337" s="18"/>
      <c r="F3337" s="18"/>
      <c r="G3337" s="18"/>
      <c r="H3337" s="18"/>
    </row>
    <row r="3338" spans="1:8" x14ac:dyDescent="0.2">
      <c r="A3338" s="17"/>
      <c r="B3338" s="17"/>
      <c r="C3338" s="18"/>
      <c r="D3338" s="18"/>
      <c r="E3338" s="18"/>
      <c r="F3338" s="18"/>
      <c r="G3338" s="18"/>
      <c r="H3338" s="18"/>
    </row>
    <row r="3339" spans="1:8" x14ac:dyDescent="0.2">
      <c r="A3339" s="17"/>
      <c r="B3339" s="17"/>
      <c r="C3339" s="18"/>
      <c r="D3339" s="18"/>
      <c r="E3339" s="18"/>
      <c r="F3339" s="18"/>
      <c r="G3339" s="18"/>
      <c r="H3339" s="18"/>
    </row>
    <row r="3340" spans="1:8" x14ac:dyDescent="0.2">
      <c r="A3340" s="17"/>
      <c r="B3340" s="17"/>
      <c r="C3340" s="18"/>
      <c r="D3340" s="18"/>
      <c r="E3340" s="18"/>
      <c r="F3340" s="18"/>
      <c r="G3340" s="18"/>
      <c r="H3340" s="18"/>
    </row>
    <row r="3341" spans="1:8" x14ac:dyDescent="0.2">
      <c r="A3341" s="17"/>
      <c r="B3341" s="17"/>
      <c r="C3341" s="18"/>
      <c r="D3341" s="18"/>
      <c r="E3341" s="18"/>
      <c r="F3341" s="18"/>
      <c r="G3341" s="18"/>
      <c r="H3341" s="18"/>
    </row>
    <row r="3342" spans="1:8" x14ac:dyDescent="0.2">
      <c r="A3342" s="17"/>
      <c r="B3342" s="17"/>
      <c r="C3342" s="18"/>
      <c r="D3342" s="18"/>
      <c r="E3342" s="18"/>
      <c r="F3342" s="18"/>
      <c r="G3342" s="18"/>
      <c r="H3342" s="18"/>
    </row>
    <row r="3343" spans="1:8" x14ac:dyDescent="0.2">
      <c r="A3343" s="17"/>
      <c r="B3343" s="17"/>
      <c r="C3343" s="18"/>
      <c r="D3343" s="18"/>
      <c r="E3343" s="18"/>
      <c r="F3343" s="18"/>
      <c r="G3343" s="18"/>
      <c r="H3343" s="18"/>
    </row>
    <row r="3344" spans="1:8" x14ac:dyDescent="0.2">
      <c r="A3344" s="17"/>
      <c r="B3344" s="17"/>
      <c r="C3344" s="18"/>
      <c r="D3344" s="18"/>
      <c r="E3344" s="18"/>
      <c r="F3344" s="18"/>
      <c r="G3344" s="18"/>
      <c r="H3344" s="18"/>
    </row>
    <row r="3345" spans="1:8" x14ac:dyDescent="0.2">
      <c r="A3345" s="17"/>
      <c r="B3345" s="17"/>
      <c r="C3345" s="18"/>
      <c r="D3345" s="18"/>
      <c r="E3345" s="18"/>
      <c r="F3345" s="18"/>
      <c r="G3345" s="18"/>
      <c r="H3345" s="18"/>
    </row>
    <row r="3346" spans="1:8" x14ac:dyDescent="0.2">
      <c r="A3346" s="17"/>
      <c r="B3346" s="17"/>
      <c r="C3346" s="18"/>
      <c r="D3346" s="18"/>
      <c r="E3346" s="18"/>
      <c r="F3346" s="18"/>
      <c r="G3346" s="18"/>
      <c r="H3346" s="18"/>
    </row>
    <row r="3347" spans="1:8" x14ac:dyDescent="0.2">
      <c r="A3347" s="17"/>
      <c r="B3347" s="17"/>
      <c r="C3347" s="18"/>
      <c r="D3347" s="18"/>
      <c r="E3347" s="18"/>
      <c r="F3347" s="18"/>
      <c r="G3347" s="18"/>
      <c r="H3347" s="18"/>
    </row>
    <row r="3348" spans="1:8" x14ac:dyDescent="0.2">
      <c r="A3348" s="17"/>
      <c r="B3348" s="17"/>
      <c r="C3348" s="18"/>
      <c r="D3348" s="18"/>
      <c r="E3348" s="18"/>
      <c r="F3348" s="18"/>
      <c r="G3348" s="18"/>
      <c r="H3348" s="18"/>
    </row>
    <row r="3349" spans="1:8" x14ac:dyDescent="0.2">
      <c r="A3349" s="17"/>
      <c r="B3349" s="17"/>
      <c r="C3349" s="18"/>
      <c r="D3349" s="18"/>
      <c r="E3349" s="18"/>
      <c r="F3349" s="18"/>
      <c r="G3349" s="18"/>
      <c r="H3349" s="18"/>
    </row>
    <row r="3350" spans="1:8" x14ac:dyDescent="0.2">
      <c r="A3350" s="17"/>
      <c r="B3350" s="17"/>
      <c r="C3350" s="18"/>
      <c r="D3350" s="18"/>
      <c r="E3350" s="18"/>
      <c r="F3350" s="18"/>
      <c r="G3350" s="18"/>
      <c r="H3350" s="18"/>
    </row>
    <row r="3351" spans="1:8" x14ac:dyDescent="0.2">
      <c r="A3351" s="17"/>
      <c r="B3351" s="17"/>
      <c r="C3351" s="18"/>
      <c r="D3351" s="18"/>
      <c r="E3351" s="18"/>
      <c r="F3351" s="18"/>
      <c r="G3351" s="18"/>
      <c r="H3351" s="18"/>
    </row>
    <row r="3352" spans="1:8" x14ac:dyDescent="0.2">
      <c r="A3352" s="17"/>
      <c r="B3352" s="17"/>
      <c r="C3352" s="18"/>
      <c r="D3352" s="18"/>
      <c r="E3352" s="18"/>
      <c r="F3352" s="18"/>
      <c r="G3352" s="18"/>
      <c r="H3352" s="18"/>
    </row>
    <row r="3353" spans="1:8" x14ac:dyDescent="0.2">
      <c r="A3353" s="17"/>
      <c r="B3353" s="17"/>
      <c r="C3353" s="18"/>
      <c r="D3353" s="18"/>
      <c r="E3353" s="18"/>
      <c r="F3353" s="18"/>
      <c r="G3353" s="18"/>
      <c r="H3353" s="18"/>
    </row>
    <row r="3354" spans="1:8" x14ac:dyDescent="0.2">
      <c r="A3354" s="17"/>
      <c r="B3354" s="17"/>
      <c r="C3354" s="18"/>
      <c r="D3354" s="18"/>
      <c r="E3354" s="18"/>
      <c r="F3354" s="18"/>
      <c r="G3354" s="18"/>
      <c r="H3354" s="18"/>
    </row>
    <row r="3355" spans="1:8" x14ac:dyDescent="0.2">
      <c r="A3355" s="17"/>
      <c r="B3355" s="17"/>
      <c r="C3355" s="18"/>
      <c r="D3355" s="18"/>
      <c r="E3355" s="18"/>
      <c r="F3355" s="18"/>
      <c r="G3355" s="18"/>
      <c r="H3355" s="18"/>
    </row>
    <row r="3356" spans="1:8" x14ac:dyDescent="0.2">
      <c r="A3356" s="17"/>
      <c r="B3356" s="17"/>
      <c r="C3356" s="18"/>
      <c r="D3356" s="18"/>
      <c r="E3356" s="18"/>
      <c r="F3356" s="18"/>
      <c r="G3356" s="18"/>
      <c r="H3356" s="18"/>
    </row>
    <row r="3357" spans="1:8" x14ac:dyDescent="0.2">
      <c r="A3357" s="17"/>
      <c r="B3357" s="17"/>
      <c r="C3357" s="18"/>
      <c r="D3357" s="18"/>
      <c r="E3357" s="18"/>
      <c r="F3357" s="18"/>
      <c r="G3357" s="18"/>
      <c r="H3357" s="18"/>
    </row>
    <row r="3358" spans="1:8" x14ac:dyDescent="0.2">
      <c r="A3358" s="17"/>
      <c r="B3358" s="17"/>
      <c r="C3358" s="18"/>
      <c r="D3358" s="18"/>
      <c r="E3358" s="18"/>
      <c r="F3358" s="18"/>
      <c r="G3358" s="18"/>
      <c r="H3358" s="18"/>
    </row>
    <row r="3359" spans="1:8" x14ac:dyDescent="0.2">
      <c r="A3359" s="17"/>
      <c r="B3359" s="17"/>
      <c r="C3359" s="18"/>
      <c r="D3359" s="18"/>
      <c r="E3359" s="18"/>
      <c r="F3359" s="18"/>
      <c r="G3359" s="18"/>
      <c r="H3359" s="18"/>
    </row>
    <row r="3360" spans="1:8" x14ac:dyDescent="0.2">
      <c r="A3360" s="17"/>
      <c r="B3360" s="17"/>
      <c r="C3360" s="18"/>
      <c r="D3360" s="18"/>
      <c r="E3360" s="18"/>
      <c r="F3360" s="18"/>
      <c r="G3360" s="18"/>
      <c r="H3360" s="18"/>
    </row>
    <row r="3361" spans="1:8" x14ac:dyDescent="0.2">
      <c r="A3361" s="17"/>
      <c r="B3361" s="17"/>
      <c r="C3361" s="18"/>
      <c r="D3361" s="18"/>
      <c r="E3361" s="18"/>
      <c r="F3361" s="18"/>
      <c r="G3361" s="18"/>
      <c r="H3361" s="18"/>
    </row>
    <row r="3362" spans="1:8" x14ac:dyDescent="0.2">
      <c r="A3362" s="17"/>
      <c r="B3362" s="17"/>
      <c r="C3362" s="18"/>
      <c r="D3362" s="18"/>
      <c r="E3362" s="18"/>
      <c r="F3362" s="18"/>
      <c r="G3362" s="18"/>
      <c r="H3362" s="18"/>
    </row>
    <row r="3363" spans="1:8" x14ac:dyDescent="0.2">
      <c r="A3363" s="17"/>
      <c r="B3363" s="17"/>
      <c r="C3363" s="18"/>
      <c r="D3363" s="18"/>
      <c r="E3363" s="18"/>
      <c r="F3363" s="18"/>
      <c r="G3363" s="18"/>
      <c r="H3363" s="18"/>
    </row>
    <row r="3364" spans="1:8" x14ac:dyDescent="0.2">
      <c r="A3364" s="17"/>
      <c r="B3364" s="17"/>
      <c r="C3364" s="18"/>
      <c r="D3364" s="18"/>
      <c r="E3364" s="18"/>
      <c r="F3364" s="18"/>
      <c r="G3364" s="18"/>
      <c r="H3364" s="18"/>
    </row>
    <row r="3365" spans="1:8" x14ac:dyDescent="0.2">
      <c r="A3365" s="17"/>
      <c r="B3365" s="17"/>
      <c r="C3365" s="18"/>
      <c r="D3365" s="18"/>
      <c r="E3365" s="18"/>
      <c r="F3365" s="18"/>
      <c r="G3365" s="18"/>
      <c r="H3365" s="18"/>
    </row>
    <row r="3366" spans="1:8" x14ac:dyDescent="0.2">
      <c r="A3366" s="17"/>
      <c r="B3366" s="17"/>
      <c r="C3366" s="18"/>
      <c r="D3366" s="18"/>
      <c r="E3366" s="18"/>
      <c r="F3366" s="18"/>
      <c r="G3366" s="18"/>
      <c r="H3366" s="18"/>
    </row>
    <row r="3367" spans="1:8" x14ac:dyDescent="0.2">
      <c r="A3367" s="17"/>
      <c r="B3367" s="17"/>
      <c r="C3367" s="18"/>
      <c r="D3367" s="18"/>
      <c r="E3367" s="18"/>
      <c r="F3367" s="18"/>
      <c r="G3367" s="18"/>
      <c r="H3367" s="18"/>
    </row>
    <row r="3368" spans="1:8" x14ac:dyDescent="0.2">
      <c r="A3368" s="17"/>
      <c r="B3368" s="17"/>
      <c r="C3368" s="18"/>
      <c r="D3368" s="18"/>
      <c r="E3368" s="18"/>
      <c r="F3368" s="18"/>
      <c r="G3368" s="18"/>
      <c r="H3368" s="18"/>
    </row>
    <row r="3369" spans="1:8" x14ac:dyDescent="0.2">
      <c r="A3369" s="17"/>
      <c r="B3369" s="17"/>
      <c r="C3369" s="18"/>
      <c r="D3369" s="18"/>
      <c r="E3369" s="18"/>
      <c r="F3369" s="18"/>
      <c r="G3369" s="18"/>
      <c r="H3369" s="18"/>
    </row>
    <row r="3370" spans="1:8" x14ac:dyDescent="0.2">
      <c r="A3370" s="17"/>
      <c r="B3370" s="17"/>
      <c r="C3370" s="18"/>
      <c r="D3370" s="18"/>
      <c r="E3370" s="18"/>
      <c r="F3370" s="18"/>
      <c r="G3370" s="18"/>
      <c r="H3370" s="18"/>
    </row>
    <row r="3371" spans="1:8" x14ac:dyDescent="0.2">
      <c r="A3371" s="17"/>
      <c r="B3371" s="17"/>
      <c r="C3371" s="18"/>
      <c r="D3371" s="18"/>
      <c r="E3371" s="18"/>
      <c r="F3371" s="18"/>
      <c r="G3371" s="18"/>
      <c r="H3371" s="18"/>
    </row>
    <row r="3372" spans="1:8" x14ac:dyDescent="0.2">
      <c r="A3372" s="17"/>
      <c r="B3372" s="17"/>
      <c r="C3372" s="18"/>
      <c r="D3372" s="18"/>
      <c r="E3372" s="18"/>
      <c r="F3372" s="18"/>
      <c r="G3372" s="18"/>
      <c r="H3372" s="18"/>
    </row>
    <row r="3373" spans="1:8" x14ac:dyDescent="0.2">
      <c r="A3373" s="17"/>
      <c r="B3373" s="17"/>
      <c r="C3373" s="18"/>
      <c r="D3373" s="18"/>
      <c r="E3373" s="18"/>
      <c r="F3373" s="18"/>
      <c r="G3373" s="18"/>
      <c r="H3373" s="18"/>
    </row>
    <row r="3374" spans="1:8" x14ac:dyDescent="0.2">
      <c r="A3374" s="17"/>
      <c r="B3374" s="17"/>
      <c r="C3374" s="18"/>
      <c r="D3374" s="18"/>
      <c r="E3374" s="18"/>
      <c r="F3374" s="18"/>
      <c r="G3374" s="18"/>
      <c r="H3374" s="18"/>
    </row>
    <row r="3375" spans="1:8" x14ac:dyDescent="0.2">
      <c r="A3375" s="17"/>
      <c r="B3375" s="17"/>
      <c r="C3375" s="18"/>
      <c r="D3375" s="18"/>
      <c r="E3375" s="18"/>
      <c r="F3375" s="18"/>
      <c r="G3375" s="18"/>
      <c r="H3375" s="18"/>
    </row>
    <row r="3376" spans="1:8" x14ac:dyDescent="0.2">
      <c r="A3376" s="17"/>
      <c r="B3376" s="17"/>
      <c r="C3376" s="18"/>
      <c r="D3376" s="18"/>
      <c r="E3376" s="18"/>
      <c r="F3376" s="18"/>
      <c r="G3376" s="18"/>
      <c r="H3376" s="18"/>
    </row>
    <row r="3377" spans="1:8" x14ac:dyDescent="0.2">
      <c r="A3377" s="17"/>
      <c r="B3377" s="17"/>
      <c r="C3377" s="18"/>
      <c r="D3377" s="18"/>
      <c r="E3377" s="18"/>
      <c r="F3377" s="18"/>
      <c r="G3377" s="18"/>
      <c r="H3377" s="18"/>
    </row>
    <row r="3378" spans="1:8" x14ac:dyDescent="0.2">
      <c r="A3378" s="17"/>
      <c r="B3378" s="17"/>
      <c r="C3378" s="18"/>
      <c r="D3378" s="18"/>
      <c r="E3378" s="18"/>
      <c r="F3378" s="18"/>
      <c r="G3378" s="18"/>
      <c r="H3378" s="18"/>
    </row>
    <row r="3379" spans="1:8" x14ac:dyDescent="0.2">
      <c r="A3379" s="17"/>
      <c r="B3379" s="17"/>
      <c r="C3379" s="18"/>
      <c r="D3379" s="18"/>
      <c r="E3379" s="18"/>
      <c r="F3379" s="18"/>
      <c r="G3379" s="18"/>
      <c r="H3379" s="18"/>
    </row>
    <row r="3380" spans="1:8" x14ac:dyDescent="0.2">
      <c r="A3380" s="17"/>
      <c r="B3380" s="17"/>
      <c r="C3380" s="18"/>
      <c r="D3380" s="18"/>
      <c r="E3380" s="18"/>
      <c r="F3380" s="18"/>
      <c r="G3380" s="18"/>
      <c r="H3380" s="18"/>
    </row>
    <row r="3381" spans="1:8" x14ac:dyDescent="0.2">
      <c r="A3381" s="17"/>
      <c r="B3381" s="17"/>
      <c r="C3381" s="18"/>
      <c r="D3381" s="18"/>
      <c r="E3381" s="18"/>
      <c r="F3381" s="18"/>
      <c r="G3381" s="18"/>
      <c r="H3381" s="18"/>
    </row>
    <row r="3382" spans="1:8" x14ac:dyDescent="0.2">
      <c r="A3382" s="17"/>
      <c r="B3382" s="17"/>
      <c r="C3382" s="18"/>
      <c r="D3382" s="18"/>
      <c r="E3382" s="18"/>
      <c r="F3382" s="18"/>
      <c r="G3382" s="18"/>
      <c r="H3382" s="18"/>
    </row>
    <row r="3383" spans="1:8" x14ac:dyDescent="0.2">
      <c r="A3383" s="17"/>
      <c r="B3383" s="17"/>
      <c r="C3383" s="18"/>
      <c r="D3383" s="18"/>
      <c r="E3383" s="18"/>
      <c r="F3383" s="18"/>
      <c r="G3383" s="18"/>
      <c r="H3383" s="18"/>
    </row>
    <row r="3384" spans="1:8" x14ac:dyDescent="0.2">
      <c r="A3384" s="17"/>
      <c r="B3384" s="17"/>
      <c r="C3384" s="18"/>
      <c r="D3384" s="18"/>
      <c r="E3384" s="18"/>
      <c r="F3384" s="18"/>
      <c r="G3384" s="18"/>
      <c r="H3384" s="18"/>
    </row>
    <row r="3385" spans="1:8" x14ac:dyDescent="0.2">
      <c r="A3385" s="17"/>
      <c r="B3385" s="17"/>
      <c r="C3385" s="18"/>
      <c r="D3385" s="18"/>
      <c r="E3385" s="18"/>
      <c r="F3385" s="18"/>
      <c r="G3385" s="18"/>
      <c r="H3385" s="18"/>
    </row>
    <row r="3386" spans="1:8" x14ac:dyDescent="0.2">
      <c r="A3386" s="17"/>
      <c r="B3386" s="17"/>
      <c r="C3386" s="18"/>
      <c r="D3386" s="18"/>
      <c r="E3386" s="18"/>
      <c r="F3386" s="18"/>
      <c r="G3386" s="18"/>
      <c r="H3386" s="18"/>
    </row>
    <row r="3387" spans="1:8" x14ac:dyDescent="0.2">
      <c r="A3387" s="17"/>
      <c r="B3387" s="17"/>
      <c r="C3387" s="18"/>
      <c r="D3387" s="18"/>
      <c r="E3387" s="18"/>
      <c r="F3387" s="18"/>
      <c r="G3387" s="18"/>
      <c r="H3387" s="18"/>
    </row>
    <row r="3388" spans="1:8" x14ac:dyDescent="0.2">
      <c r="A3388" s="17"/>
      <c r="B3388" s="17"/>
      <c r="C3388" s="18"/>
      <c r="D3388" s="18"/>
      <c r="E3388" s="18"/>
      <c r="F3388" s="18"/>
      <c r="G3388" s="18"/>
      <c r="H3388" s="18"/>
    </row>
    <row r="3389" spans="1:8" x14ac:dyDescent="0.2">
      <c r="A3389" s="17"/>
      <c r="B3389" s="17"/>
      <c r="C3389" s="18"/>
      <c r="D3389" s="18"/>
      <c r="E3389" s="18"/>
      <c r="F3389" s="18"/>
      <c r="G3389" s="18"/>
      <c r="H3389" s="18"/>
    </row>
    <row r="3390" spans="1:8" x14ac:dyDescent="0.2">
      <c r="A3390" s="17"/>
      <c r="B3390" s="17"/>
      <c r="C3390" s="18"/>
      <c r="D3390" s="18"/>
      <c r="E3390" s="18"/>
      <c r="F3390" s="18"/>
      <c r="G3390" s="18"/>
      <c r="H3390" s="18"/>
    </row>
    <row r="3391" spans="1:8" x14ac:dyDescent="0.2">
      <c r="A3391" s="17"/>
      <c r="B3391" s="17"/>
      <c r="C3391" s="18"/>
      <c r="D3391" s="18"/>
      <c r="E3391" s="18"/>
      <c r="F3391" s="18"/>
      <c r="G3391" s="18"/>
      <c r="H3391" s="18"/>
    </row>
    <row r="3392" spans="1:8" x14ac:dyDescent="0.2">
      <c r="A3392" s="17"/>
      <c r="B3392" s="17"/>
      <c r="C3392" s="18"/>
      <c r="D3392" s="18"/>
      <c r="E3392" s="18"/>
      <c r="F3392" s="18"/>
      <c r="G3392" s="18"/>
      <c r="H3392" s="18"/>
    </row>
    <row r="3393" spans="1:8" x14ac:dyDescent="0.2">
      <c r="A3393" s="17"/>
      <c r="B3393" s="17"/>
      <c r="C3393" s="18"/>
      <c r="D3393" s="18"/>
      <c r="E3393" s="18"/>
      <c r="F3393" s="18"/>
      <c r="G3393" s="18"/>
      <c r="H3393" s="18"/>
    </row>
    <row r="3394" spans="1:8" x14ac:dyDescent="0.2">
      <c r="A3394" s="17"/>
      <c r="B3394" s="17"/>
      <c r="C3394" s="18"/>
      <c r="D3394" s="18"/>
      <c r="E3394" s="18"/>
      <c r="F3394" s="18"/>
      <c r="G3394" s="18"/>
      <c r="H3394" s="18"/>
    </row>
    <row r="3395" spans="1:8" x14ac:dyDescent="0.2">
      <c r="A3395" s="17"/>
      <c r="B3395" s="17"/>
      <c r="C3395" s="18"/>
      <c r="D3395" s="18"/>
      <c r="E3395" s="18"/>
      <c r="F3395" s="18"/>
      <c r="G3395" s="18"/>
      <c r="H3395" s="18"/>
    </row>
    <row r="3396" spans="1:8" x14ac:dyDescent="0.2">
      <c r="A3396" s="17"/>
      <c r="B3396" s="17"/>
      <c r="C3396" s="18"/>
      <c r="D3396" s="18"/>
      <c r="E3396" s="18"/>
      <c r="F3396" s="18"/>
      <c r="G3396" s="18"/>
      <c r="H3396" s="18"/>
    </row>
    <row r="3397" spans="1:8" x14ac:dyDescent="0.2">
      <c r="A3397" s="17"/>
      <c r="B3397" s="17"/>
      <c r="C3397" s="18"/>
      <c r="D3397" s="18"/>
      <c r="E3397" s="18"/>
      <c r="F3397" s="18"/>
      <c r="G3397" s="18"/>
      <c r="H3397" s="18"/>
    </row>
    <row r="3398" spans="1:8" x14ac:dyDescent="0.2">
      <c r="A3398" s="17"/>
      <c r="B3398" s="17"/>
      <c r="C3398" s="18"/>
      <c r="D3398" s="18"/>
      <c r="E3398" s="18"/>
      <c r="F3398" s="18"/>
      <c r="G3398" s="18"/>
      <c r="H3398" s="18"/>
    </row>
    <row r="3399" spans="1:8" x14ac:dyDescent="0.2">
      <c r="A3399" s="17"/>
      <c r="B3399" s="17"/>
      <c r="C3399" s="18"/>
      <c r="D3399" s="18"/>
      <c r="E3399" s="18"/>
      <c r="F3399" s="18"/>
      <c r="G3399" s="18"/>
      <c r="H3399" s="18"/>
    </row>
    <row r="3400" spans="1:8" x14ac:dyDescent="0.2">
      <c r="A3400" s="17"/>
      <c r="B3400" s="17"/>
      <c r="C3400" s="18"/>
      <c r="D3400" s="18"/>
      <c r="E3400" s="18"/>
      <c r="F3400" s="18"/>
      <c r="G3400" s="18"/>
      <c r="H3400" s="18"/>
    </row>
    <row r="3401" spans="1:8" x14ac:dyDescent="0.2">
      <c r="A3401" s="17"/>
      <c r="B3401" s="17"/>
      <c r="C3401" s="18"/>
      <c r="D3401" s="18"/>
      <c r="E3401" s="18"/>
      <c r="F3401" s="18"/>
      <c r="G3401" s="18"/>
      <c r="H3401" s="18"/>
    </row>
    <row r="3402" spans="1:8" x14ac:dyDescent="0.2">
      <c r="A3402" s="17"/>
      <c r="B3402" s="17"/>
      <c r="C3402" s="18"/>
      <c r="D3402" s="18"/>
      <c r="E3402" s="18"/>
      <c r="F3402" s="18"/>
      <c r="G3402" s="18"/>
      <c r="H3402" s="18"/>
    </row>
    <row r="3403" spans="1:8" x14ac:dyDescent="0.2">
      <c r="A3403" s="17"/>
      <c r="B3403" s="17"/>
      <c r="C3403" s="18"/>
      <c r="D3403" s="18"/>
      <c r="E3403" s="18"/>
      <c r="F3403" s="18"/>
      <c r="G3403" s="18"/>
      <c r="H3403" s="18"/>
    </row>
    <row r="3404" spans="1:8" x14ac:dyDescent="0.2">
      <c r="A3404" s="17"/>
      <c r="B3404" s="17"/>
      <c r="C3404" s="18"/>
      <c r="D3404" s="18"/>
      <c r="E3404" s="18"/>
      <c r="F3404" s="18"/>
      <c r="G3404" s="18"/>
      <c r="H3404" s="18"/>
    </row>
    <row r="3405" spans="1:8" x14ac:dyDescent="0.2">
      <c r="A3405" s="17"/>
      <c r="B3405" s="17"/>
      <c r="C3405" s="18"/>
      <c r="D3405" s="18"/>
      <c r="E3405" s="18"/>
      <c r="F3405" s="18"/>
      <c r="G3405" s="18"/>
      <c r="H3405" s="18"/>
    </row>
    <row r="3406" spans="1:8" x14ac:dyDescent="0.2">
      <c r="A3406" s="17"/>
      <c r="B3406" s="17"/>
      <c r="C3406" s="18"/>
      <c r="D3406" s="18"/>
      <c r="E3406" s="18"/>
      <c r="F3406" s="18"/>
      <c r="G3406" s="18"/>
      <c r="H3406" s="18"/>
    </row>
    <row r="3407" spans="1:8" x14ac:dyDescent="0.2">
      <c r="A3407" s="17"/>
      <c r="B3407" s="17"/>
      <c r="C3407" s="18"/>
      <c r="D3407" s="18"/>
      <c r="E3407" s="18"/>
      <c r="F3407" s="18"/>
      <c r="G3407" s="18"/>
      <c r="H3407" s="18"/>
    </row>
    <row r="3408" spans="1:8" x14ac:dyDescent="0.2">
      <c r="A3408" s="17"/>
      <c r="B3408" s="17"/>
      <c r="C3408" s="18"/>
      <c r="D3408" s="18"/>
      <c r="E3408" s="18"/>
      <c r="F3408" s="18"/>
      <c r="G3408" s="18"/>
      <c r="H3408" s="18"/>
    </row>
    <row r="3409" spans="1:8" x14ac:dyDescent="0.2">
      <c r="A3409" s="17"/>
      <c r="B3409" s="17"/>
      <c r="C3409" s="18"/>
      <c r="D3409" s="18"/>
      <c r="E3409" s="18"/>
      <c r="F3409" s="18"/>
      <c r="G3409" s="18"/>
      <c r="H3409" s="18"/>
    </row>
    <row r="3410" spans="1:8" x14ac:dyDescent="0.2">
      <c r="A3410" s="17"/>
      <c r="B3410" s="17"/>
      <c r="C3410" s="18"/>
      <c r="D3410" s="18"/>
      <c r="E3410" s="18"/>
      <c r="F3410" s="18"/>
      <c r="G3410" s="18"/>
      <c r="H3410" s="18"/>
    </row>
    <row r="3411" spans="1:8" x14ac:dyDescent="0.2">
      <c r="A3411" s="17"/>
      <c r="B3411" s="17"/>
      <c r="C3411" s="18"/>
      <c r="D3411" s="18"/>
      <c r="E3411" s="18"/>
      <c r="F3411" s="18"/>
      <c r="G3411" s="18"/>
      <c r="H3411" s="18"/>
    </row>
    <row r="3412" spans="1:8" x14ac:dyDescent="0.2">
      <c r="A3412" s="17"/>
      <c r="B3412" s="17"/>
      <c r="C3412" s="18"/>
      <c r="D3412" s="18"/>
      <c r="E3412" s="18"/>
      <c r="F3412" s="18"/>
      <c r="G3412" s="18"/>
      <c r="H3412" s="18"/>
    </row>
    <row r="3413" spans="1:8" x14ac:dyDescent="0.2">
      <c r="A3413" s="17"/>
      <c r="B3413" s="17"/>
      <c r="C3413" s="18"/>
      <c r="D3413" s="18"/>
      <c r="E3413" s="18"/>
      <c r="F3413" s="18"/>
      <c r="G3413" s="18"/>
      <c r="H3413" s="18"/>
    </row>
    <row r="3414" spans="1:8" x14ac:dyDescent="0.2">
      <c r="A3414" s="17"/>
      <c r="B3414" s="17"/>
      <c r="C3414" s="18"/>
      <c r="D3414" s="18"/>
      <c r="E3414" s="18"/>
      <c r="F3414" s="18"/>
      <c r="G3414" s="18"/>
      <c r="H3414" s="18"/>
    </row>
    <row r="3415" spans="1:8" x14ac:dyDescent="0.2">
      <c r="A3415" s="17"/>
      <c r="B3415" s="17"/>
      <c r="C3415" s="18"/>
      <c r="D3415" s="18"/>
      <c r="E3415" s="18"/>
      <c r="F3415" s="18"/>
      <c r="G3415" s="18"/>
      <c r="H3415" s="18"/>
    </row>
    <row r="3416" spans="1:8" x14ac:dyDescent="0.2">
      <c r="A3416" s="17"/>
      <c r="B3416" s="17"/>
      <c r="C3416" s="18"/>
      <c r="D3416" s="18"/>
      <c r="E3416" s="18"/>
      <c r="F3416" s="18"/>
      <c r="G3416" s="18"/>
      <c r="H3416" s="18"/>
    </row>
    <row r="3417" spans="1:8" x14ac:dyDescent="0.2">
      <c r="A3417" s="17"/>
      <c r="B3417" s="17"/>
      <c r="C3417" s="18"/>
      <c r="D3417" s="18"/>
      <c r="E3417" s="18"/>
      <c r="F3417" s="18"/>
      <c r="G3417" s="18"/>
      <c r="H3417" s="18"/>
    </row>
    <row r="3418" spans="1:8" x14ac:dyDescent="0.2">
      <c r="A3418" s="17"/>
      <c r="B3418" s="17"/>
      <c r="C3418" s="18"/>
      <c r="D3418" s="18"/>
      <c r="E3418" s="18"/>
      <c r="F3418" s="18"/>
      <c r="G3418" s="18"/>
      <c r="H3418" s="18"/>
    </row>
    <row r="3419" spans="1:8" x14ac:dyDescent="0.2">
      <c r="A3419" s="17"/>
      <c r="B3419" s="17"/>
      <c r="C3419" s="18"/>
      <c r="D3419" s="18"/>
      <c r="E3419" s="18"/>
      <c r="F3419" s="18"/>
      <c r="G3419" s="18"/>
      <c r="H3419" s="18"/>
    </row>
    <row r="3420" spans="1:8" x14ac:dyDescent="0.2">
      <c r="A3420" s="17"/>
      <c r="B3420" s="17"/>
      <c r="C3420" s="18"/>
      <c r="D3420" s="18"/>
      <c r="E3420" s="18"/>
      <c r="F3420" s="18"/>
      <c r="G3420" s="18"/>
      <c r="H3420" s="18"/>
    </row>
    <row r="3421" spans="1:8" x14ac:dyDescent="0.2">
      <c r="A3421" s="17"/>
      <c r="B3421" s="17"/>
      <c r="C3421" s="18"/>
      <c r="D3421" s="18"/>
      <c r="E3421" s="18"/>
      <c r="F3421" s="18"/>
      <c r="G3421" s="18"/>
      <c r="H3421" s="18"/>
    </row>
    <row r="3422" spans="1:8" x14ac:dyDescent="0.2">
      <c r="A3422" s="17"/>
      <c r="B3422" s="17"/>
      <c r="C3422" s="18"/>
      <c r="D3422" s="18"/>
      <c r="E3422" s="18"/>
      <c r="F3422" s="18"/>
      <c r="G3422" s="18"/>
      <c r="H3422" s="18"/>
    </row>
    <row r="3423" spans="1:8" x14ac:dyDescent="0.2">
      <c r="A3423" s="17"/>
      <c r="B3423" s="17"/>
      <c r="C3423" s="18"/>
      <c r="D3423" s="18"/>
      <c r="E3423" s="18"/>
      <c r="F3423" s="18"/>
      <c r="G3423" s="18"/>
      <c r="H3423" s="18"/>
    </row>
    <row r="3424" spans="1:8" x14ac:dyDescent="0.2">
      <c r="A3424" s="17"/>
      <c r="B3424" s="17"/>
      <c r="C3424" s="18"/>
      <c r="D3424" s="18"/>
      <c r="E3424" s="18"/>
      <c r="F3424" s="18"/>
      <c r="G3424" s="18"/>
      <c r="H3424" s="18"/>
    </row>
    <row r="3425" spans="1:8" x14ac:dyDescent="0.2">
      <c r="A3425" s="17"/>
      <c r="B3425" s="17"/>
      <c r="C3425" s="18"/>
      <c r="D3425" s="18"/>
      <c r="E3425" s="18"/>
      <c r="F3425" s="18"/>
      <c r="G3425" s="18"/>
      <c r="H3425" s="18"/>
    </row>
    <row r="3426" spans="1:8" x14ac:dyDescent="0.2">
      <c r="A3426" s="17"/>
      <c r="B3426" s="17"/>
      <c r="C3426" s="18"/>
      <c r="D3426" s="18"/>
      <c r="E3426" s="18"/>
      <c r="F3426" s="18"/>
      <c r="G3426" s="18"/>
      <c r="H3426" s="18"/>
    </row>
    <row r="3427" spans="1:8" x14ac:dyDescent="0.2">
      <c r="A3427" s="17"/>
      <c r="B3427" s="17"/>
      <c r="C3427" s="18"/>
      <c r="D3427" s="18"/>
      <c r="E3427" s="18"/>
      <c r="F3427" s="18"/>
      <c r="G3427" s="18"/>
      <c r="H3427" s="18"/>
    </row>
    <row r="3428" spans="1:8" x14ac:dyDescent="0.2">
      <c r="A3428" s="17"/>
      <c r="B3428" s="17"/>
      <c r="C3428" s="18"/>
      <c r="D3428" s="18"/>
      <c r="E3428" s="18"/>
      <c r="F3428" s="18"/>
      <c r="G3428" s="18"/>
      <c r="H3428" s="18"/>
    </row>
    <row r="3429" spans="1:8" x14ac:dyDescent="0.2">
      <c r="A3429" s="17"/>
      <c r="B3429" s="17"/>
      <c r="C3429" s="18"/>
      <c r="D3429" s="18"/>
      <c r="E3429" s="18"/>
      <c r="F3429" s="18"/>
      <c r="G3429" s="18"/>
      <c r="H3429" s="18"/>
    </row>
    <row r="3430" spans="1:8" x14ac:dyDescent="0.2">
      <c r="A3430" s="17"/>
      <c r="B3430" s="17"/>
      <c r="C3430" s="18"/>
      <c r="D3430" s="18"/>
      <c r="E3430" s="18"/>
      <c r="F3430" s="18"/>
      <c r="G3430" s="18"/>
      <c r="H3430" s="18"/>
    </row>
    <row r="3431" spans="1:8" x14ac:dyDescent="0.2">
      <c r="A3431" s="17"/>
      <c r="B3431" s="17"/>
      <c r="C3431" s="18"/>
      <c r="D3431" s="18"/>
      <c r="E3431" s="18"/>
      <c r="F3431" s="18"/>
      <c r="G3431" s="18"/>
      <c r="H3431" s="18"/>
    </row>
    <row r="3432" spans="1:8" x14ac:dyDescent="0.2">
      <c r="A3432" s="17"/>
      <c r="B3432" s="17"/>
      <c r="C3432" s="18"/>
      <c r="D3432" s="18"/>
      <c r="E3432" s="18"/>
      <c r="F3432" s="18"/>
      <c r="G3432" s="18"/>
      <c r="H3432" s="18"/>
    </row>
    <row r="3433" spans="1:8" x14ac:dyDescent="0.2">
      <c r="A3433" s="17"/>
      <c r="B3433" s="17"/>
      <c r="C3433" s="18"/>
      <c r="D3433" s="18"/>
      <c r="E3433" s="18"/>
      <c r="F3433" s="18"/>
      <c r="G3433" s="18"/>
      <c r="H3433" s="18"/>
    </row>
    <row r="3434" spans="1:8" x14ac:dyDescent="0.2">
      <c r="A3434" s="17"/>
      <c r="B3434" s="17"/>
      <c r="C3434" s="18"/>
      <c r="D3434" s="18"/>
      <c r="E3434" s="18"/>
      <c r="F3434" s="18"/>
      <c r="G3434" s="18"/>
      <c r="H3434" s="18"/>
    </row>
    <row r="3435" spans="1:8" x14ac:dyDescent="0.2">
      <c r="A3435" s="17"/>
      <c r="B3435" s="17"/>
      <c r="C3435" s="18"/>
      <c r="D3435" s="18"/>
      <c r="E3435" s="18"/>
      <c r="F3435" s="18"/>
      <c r="G3435" s="18"/>
      <c r="H3435" s="18"/>
    </row>
    <row r="3436" spans="1:8" x14ac:dyDescent="0.2">
      <c r="A3436" s="17"/>
      <c r="B3436" s="17"/>
      <c r="C3436" s="18"/>
      <c r="D3436" s="18"/>
      <c r="E3436" s="18"/>
      <c r="F3436" s="18"/>
      <c r="G3436" s="18"/>
      <c r="H3436" s="18"/>
    </row>
    <row r="3437" spans="1:8" x14ac:dyDescent="0.2">
      <c r="A3437" s="17"/>
      <c r="B3437" s="17"/>
      <c r="C3437" s="18"/>
      <c r="D3437" s="18"/>
      <c r="E3437" s="18"/>
      <c r="F3437" s="18"/>
      <c r="G3437" s="18"/>
      <c r="H3437" s="18"/>
    </row>
    <row r="3438" spans="1:8" x14ac:dyDescent="0.2">
      <c r="A3438" s="17"/>
      <c r="B3438" s="17"/>
      <c r="C3438" s="18"/>
      <c r="D3438" s="18"/>
      <c r="E3438" s="18"/>
      <c r="F3438" s="18"/>
      <c r="G3438" s="18"/>
      <c r="H3438" s="18"/>
    </row>
    <row r="3439" spans="1:8" x14ac:dyDescent="0.2">
      <c r="A3439" s="17"/>
      <c r="B3439" s="17"/>
      <c r="C3439" s="18"/>
      <c r="D3439" s="18"/>
      <c r="E3439" s="18"/>
      <c r="F3439" s="18"/>
      <c r="G3439" s="18"/>
      <c r="H3439" s="18"/>
    </row>
    <row r="3440" spans="1:8" x14ac:dyDescent="0.2">
      <c r="A3440" s="17"/>
      <c r="B3440" s="17"/>
      <c r="C3440" s="18"/>
      <c r="D3440" s="18"/>
      <c r="E3440" s="18"/>
      <c r="F3440" s="18"/>
      <c r="G3440" s="18"/>
      <c r="H3440" s="18"/>
    </row>
    <row r="3441" spans="1:8" x14ac:dyDescent="0.2">
      <c r="A3441" s="17"/>
      <c r="B3441" s="17"/>
      <c r="C3441" s="18"/>
      <c r="D3441" s="18"/>
      <c r="E3441" s="18"/>
      <c r="F3441" s="18"/>
      <c r="G3441" s="18"/>
      <c r="H3441" s="18"/>
    </row>
    <row r="3442" spans="1:8" x14ac:dyDescent="0.2">
      <c r="A3442" s="17"/>
      <c r="B3442" s="17"/>
      <c r="C3442" s="18"/>
      <c r="D3442" s="18"/>
      <c r="E3442" s="18"/>
      <c r="F3442" s="18"/>
      <c r="G3442" s="18"/>
      <c r="H3442" s="18"/>
    </row>
    <row r="3443" spans="1:8" x14ac:dyDescent="0.2">
      <c r="A3443" s="17"/>
      <c r="B3443" s="17"/>
      <c r="C3443" s="18"/>
      <c r="D3443" s="18"/>
      <c r="E3443" s="18"/>
      <c r="F3443" s="18"/>
      <c r="G3443" s="18"/>
      <c r="H3443" s="18"/>
    </row>
    <row r="3444" spans="1:8" x14ac:dyDescent="0.2">
      <c r="A3444" s="17"/>
      <c r="B3444" s="17"/>
      <c r="C3444" s="18"/>
      <c r="D3444" s="18"/>
      <c r="E3444" s="18"/>
      <c r="F3444" s="18"/>
      <c r="G3444" s="18"/>
      <c r="H3444" s="18"/>
    </row>
    <row r="3445" spans="1:8" x14ac:dyDescent="0.2">
      <c r="A3445" s="17"/>
      <c r="B3445" s="17"/>
      <c r="C3445" s="18"/>
      <c r="D3445" s="18"/>
      <c r="E3445" s="18"/>
      <c r="F3445" s="18"/>
      <c r="G3445" s="18"/>
      <c r="H3445" s="18"/>
    </row>
    <row r="3446" spans="1:8" x14ac:dyDescent="0.2">
      <c r="A3446" s="17"/>
      <c r="B3446" s="17"/>
      <c r="C3446" s="18"/>
      <c r="D3446" s="18"/>
      <c r="E3446" s="18"/>
      <c r="F3446" s="18"/>
      <c r="G3446" s="18"/>
      <c r="H3446" s="18"/>
    </row>
    <row r="3447" spans="1:8" x14ac:dyDescent="0.2">
      <c r="A3447" s="17"/>
      <c r="B3447" s="17"/>
      <c r="C3447" s="18"/>
      <c r="D3447" s="18"/>
      <c r="E3447" s="18"/>
      <c r="F3447" s="18"/>
      <c r="G3447" s="18"/>
      <c r="H3447" s="18"/>
    </row>
    <row r="3448" spans="1:8" x14ac:dyDescent="0.2">
      <c r="A3448" s="17"/>
      <c r="B3448" s="17"/>
      <c r="C3448" s="18"/>
      <c r="D3448" s="18"/>
      <c r="E3448" s="18"/>
      <c r="F3448" s="18"/>
      <c r="G3448" s="18"/>
      <c r="H3448" s="18"/>
    </row>
    <row r="3449" spans="1:8" x14ac:dyDescent="0.2">
      <c r="A3449" s="17"/>
      <c r="B3449" s="17"/>
      <c r="C3449" s="18"/>
      <c r="D3449" s="18"/>
      <c r="E3449" s="18"/>
      <c r="F3449" s="18"/>
      <c r="G3449" s="18"/>
      <c r="H3449" s="18"/>
    </row>
    <row r="3450" spans="1:8" x14ac:dyDescent="0.2">
      <c r="A3450" s="17"/>
      <c r="B3450" s="17"/>
      <c r="C3450" s="18"/>
      <c r="D3450" s="18"/>
      <c r="E3450" s="18"/>
      <c r="F3450" s="18"/>
      <c r="G3450" s="18"/>
      <c r="H3450" s="18"/>
    </row>
    <row r="3451" spans="1:8" x14ac:dyDescent="0.2">
      <c r="A3451" s="17"/>
      <c r="B3451" s="17"/>
      <c r="C3451" s="18"/>
      <c r="D3451" s="18"/>
      <c r="E3451" s="18"/>
      <c r="F3451" s="18"/>
      <c r="G3451" s="18"/>
      <c r="H3451" s="18"/>
    </row>
    <row r="3452" spans="1:8" x14ac:dyDescent="0.2">
      <c r="A3452" s="17"/>
      <c r="B3452" s="17"/>
      <c r="C3452" s="18"/>
      <c r="D3452" s="18"/>
      <c r="E3452" s="18"/>
      <c r="F3452" s="18"/>
      <c r="G3452" s="18"/>
      <c r="H3452" s="18"/>
    </row>
    <row r="3453" spans="1:8" x14ac:dyDescent="0.2">
      <c r="A3453" s="17"/>
      <c r="B3453" s="17"/>
      <c r="C3453" s="18"/>
      <c r="D3453" s="18"/>
      <c r="E3453" s="18"/>
      <c r="F3453" s="18"/>
      <c r="G3453" s="18"/>
      <c r="H3453" s="18"/>
    </row>
    <row r="3454" spans="1:8" x14ac:dyDescent="0.2">
      <c r="A3454" s="17"/>
      <c r="B3454" s="17"/>
      <c r="C3454" s="18"/>
      <c r="D3454" s="18"/>
      <c r="E3454" s="18"/>
      <c r="F3454" s="18"/>
      <c r="G3454" s="18"/>
      <c r="H3454" s="18"/>
    </row>
    <row r="3455" spans="1:8" x14ac:dyDescent="0.2">
      <c r="A3455" s="17"/>
      <c r="B3455" s="17"/>
      <c r="C3455" s="18"/>
      <c r="D3455" s="18"/>
      <c r="E3455" s="18"/>
      <c r="F3455" s="18"/>
      <c r="G3455" s="18"/>
      <c r="H3455" s="18"/>
    </row>
    <row r="3456" spans="1:8" x14ac:dyDescent="0.2">
      <c r="A3456" s="17"/>
      <c r="B3456" s="17"/>
      <c r="C3456" s="18"/>
      <c r="D3456" s="18"/>
      <c r="E3456" s="18"/>
      <c r="F3456" s="18"/>
      <c r="G3456" s="18"/>
      <c r="H3456" s="18"/>
    </row>
    <row r="3457" spans="1:8" x14ac:dyDescent="0.2">
      <c r="A3457" s="17"/>
      <c r="B3457" s="17"/>
      <c r="C3457" s="18"/>
      <c r="D3457" s="18"/>
      <c r="E3457" s="18"/>
      <c r="F3457" s="18"/>
      <c r="G3457" s="18"/>
      <c r="H3457" s="18"/>
    </row>
    <row r="3458" spans="1:8" x14ac:dyDescent="0.2">
      <c r="A3458" s="17"/>
      <c r="B3458" s="17"/>
      <c r="C3458" s="18"/>
      <c r="D3458" s="18"/>
      <c r="E3458" s="18"/>
      <c r="F3458" s="18"/>
      <c r="G3458" s="18"/>
      <c r="H3458" s="18"/>
    </row>
    <row r="3459" spans="1:8" x14ac:dyDescent="0.2">
      <c r="A3459" s="17"/>
      <c r="B3459" s="17"/>
      <c r="C3459" s="18"/>
      <c r="D3459" s="18"/>
      <c r="E3459" s="18"/>
      <c r="F3459" s="18"/>
      <c r="G3459" s="18"/>
      <c r="H3459" s="18"/>
    </row>
    <row r="3460" spans="1:8" x14ac:dyDescent="0.2">
      <c r="A3460" s="17"/>
      <c r="B3460" s="17"/>
      <c r="C3460" s="18"/>
      <c r="D3460" s="18"/>
      <c r="E3460" s="18"/>
      <c r="F3460" s="18"/>
      <c r="G3460" s="18"/>
      <c r="H3460" s="18"/>
    </row>
    <row r="3461" spans="1:8" x14ac:dyDescent="0.2">
      <c r="A3461" s="17"/>
      <c r="B3461" s="17"/>
      <c r="C3461" s="18"/>
      <c r="D3461" s="18"/>
      <c r="E3461" s="18"/>
      <c r="F3461" s="18"/>
      <c r="G3461" s="18"/>
      <c r="H3461" s="18"/>
    </row>
    <row r="3462" spans="1:8" x14ac:dyDescent="0.2">
      <c r="A3462" s="17"/>
      <c r="B3462" s="17"/>
      <c r="C3462" s="18"/>
      <c r="D3462" s="18"/>
      <c r="E3462" s="18"/>
      <c r="F3462" s="18"/>
      <c r="G3462" s="18"/>
      <c r="H3462" s="18"/>
    </row>
    <row r="3463" spans="1:8" x14ac:dyDescent="0.2">
      <c r="A3463" s="17"/>
      <c r="B3463" s="17"/>
      <c r="C3463" s="18"/>
      <c r="D3463" s="18"/>
      <c r="E3463" s="18"/>
      <c r="F3463" s="18"/>
      <c r="G3463" s="18"/>
      <c r="H3463" s="18"/>
    </row>
    <row r="3464" spans="1:8" x14ac:dyDescent="0.2">
      <c r="A3464" s="17"/>
      <c r="B3464" s="17"/>
      <c r="C3464" s="18"/>
      <c r="D3464" s="18"/>
      <c r="E3464" s="18"/>
      <c r="F3464" s="18"/>
      <c r="G3464" s="18"/>
      <c r="H3464" s="18"/>
    </row>
    <row r="3465" spans="1:8" x14ac:dyDescent="0.2">
      <c r="A3465" s="17"/>
      <c r="B3465" s="17"/>
      <c r="C3465" s="18"/>
      <c r="D3465" s="18"/>
      <c r="E3465" s="18"/>
      <c r="F3465" s="18"/>
      <c r="G3465" s="18"/>
      <c r="H3465" s="18"/>
    </row>
    <row r="3466" spans="1:8" x14ac:dyDescent="0.2">
      <c r="A3466" s="17"/>
      <c r="B3466" s="17"/>
      <c r="C3466" s="18"/>
      <c r="D3466" s="18"/>
      <c r="E3466" s="18"/>
      <c r="F3466" s="18"/>
      <c r="G3466" s="18"/>
      <c r="H3466" s="18"/>
    </row>
    <row r="3467" spans="1:8" x14ac:dyDescent="0.2">
      <c r="A3467" s="17"/>
      <c r="B3467" s="17"/>
      <c r="C3467" s="18"/>
      <c r="D3467" s="18"/>
      <c r="E3467" s="18"/>
      <c r="F3467" s="18"/>
      <c r="G3467" s="18"/>
      <c r="H3467" s="18"/>
    </row>
    <row r="3468" spans="1:8" x14ac:dyDescent="0.2">
      <c r="A3468" s="17"/>
      <c r="B3468" s="17"/>
      <c r="C3468" s="18"/>
      <c r="D3468" s="18"/>
      <c r="E3468" s="18"/>
      <c r="F3468" s="18"/>
      <c r="G3468" s="18"/>
      <c r="H3468" s="18"/>
    </row>
    <row r="3469" spans="1:8" x14ac:dyDescent="0.2">
      <c r="A3469" s="17"/>
      <c r="B3469" s="17"/>
      <c r="C3469" s="18"/>
      <c r="D3469" s="18"/>
      <c r="E3469" s="18"/>
      <c r="F3469" s="18"/>
      <c r="G3469" s="18"/>
      <c r="H3469" s="18"/>
    </row>
    <row r="3470" spans="1:8" x14ac:dyDescent="0.2">
      <c r="A3470" s="17"/>
      <c r="B3470" s="17"/>
      <c r="C3470" s="18"/>
      <c r="D3470" s="18"/>
      <c r="E3470" s="18"/>
      <c r="F3470" s="18"/>
      <c r="G3470" s="18"/>
      <c r="H3470" s="18"/>
    </row>
    <row r="3471" spans="1:8" x14ac:dyDescent="0.2">
      <c r="A3471" s="17"/>
      <c r="B3471" s="17"/>
      <c r="C3471" s="18"/>
      <c r="D3471" s="18"/>
      <c r="E3471" s="18"/>
      <c r="F3471" s="18"/>
      <c r="G3471" s="18"/>
      <c r="H3471" s="18"/>
    </row>
    <row r="3472" spans="1:8" x14ac:dyDescent="0.2">
      <c r="A3472" s="17"/>
      <c r="B3472" s="17"/>
      <c r="C3472" s="18"/>
      <c r="D3472" s="18"/>
      <c r="E3472" s="18"/>
      <c r="F3472" s="18"/>
      <c r="G3472" s="18"/>
      <c r="H3472" s="18"/>
    </row>
    <row r="3473" spans="1:8" x14ac:dyDescent="0.2">
      <c r="A3473" s="17"/>
      <c r="B3473" s="17"/>
      <c r="C3473" s="18"/>
      <c r="D3473" s="18"/>
      <c r="E3473" s="18"/>
      <c r="F3473" s="18"/>
      <c r="G3473" s="18"/>
      <c r="H3473" s="18"/>
    </row>
    <row r="3474" spans="1:8" x14ac:dyDescent="0.2">
      <c r="A3474" s="17"/>
      <c r="B3474" s="17"/>
      <c r="C3474" s="18"/>
      <c r="D3474" s="18"/>
      <c r="E3474" s="18"/>
      <c r="F3474" s="18"/>
      <c r="G3474" s="18"/>
      <c r="H3474" s="18"/>
    </row>
    <row r="3475" spans="1:8" x14ac:dyDescent="0.2">
      <c r="A3475" s="17"/>
      <c r="B3475" s="17"/>
      <c r="C3475" s="18"/>
      <c r="D3475" s="18"/>
      <c r="E3475" s="18"/>
      <c r="F3475" s="18"/>
      <c r="G3475" s="18"/>
      <c r="H3475" s="18"/>
    </row>
    <row r="3476" spans="1:8" x14ac:dyDescent="0.2">
      <c r="A3476" s="17"/>
      <c r="B3476" s="17"/>
      <c r="C3476" s="18"/>
      <c r="D3476" s="18"/>
      <c r="E3476" s="18"/>
      <c r="F3476" s="18"/>
      <c r="G3476" s="18"/>
      <c r="H3476" s="18"/>
    </row>
    <row r="3477" spans="1:8" x14ac:dyDescent="0.2">
      <c r="A3477" s="17"/>
      <c r="B3477" s="17"/>
      <c r="C3477" s="18"/>
      <c r="D3477" s="18"/>
      <c r="E3477" s="18"/>
      <c r="F3477" s="18"/>
      <c r="G3477" s="18"/>
      <c r="H3477" s="18"/>
    </row>
    <row r="3478" spans="1:8" x14ac:dyDescent="0.2">
      <c r="A3478" s="17"/>
      <c r="B3478" s="17"/>
      <c r="C3478" s="18"/>
      <c r="D3478" s="18"/>
      <c r="E3478" s="18"/>
      <c r="F3478" s="18"/>
      <c r="G3478" s="18"/>
      <c r="H3478" s="18"/>
    </row>
    <row r="3479" spans="1:8" x14ac:dyDescent="0.2">
      <c r="A3479" s="17"/>
      <c r="B3479" s="17"/>
      <c r="C3479" s="18"/>
      <c r="D3479" s="18"/>
      <c r="E3479" s="18"/>
      <c r="F3479" s="18"/>
      <c r="G3479" s="18"/>
      <c r="H3479" s="18"/>
    </row>
    <row r="3480" spans="1:8" x14ac:dyDescent="0.2">
      <c r="A3480" s="17"/>
      <c r="B3480" s="17"/>
      <c r="C3480" s="18"/>
      <c r="D3480" s="18"/>
      <c r="E3480" s="18"/>
      <c r="F3480" s="18"/>
      <c r="G3480" s="18"/>
      <c r="H3480" s="18"/>
    </row>
    <row r="3481" spans="1:8" x14ac:dyDescent="0.2">
      <c r="A3481" s="17"/>
      <c r="B3481" s="17"/>
      <c r="C3481" s="18"/>
      <c r="D3481" s="18"/>
      <c r="E3481" s="18"/>
      <c r="F3481" s="18"/>
      <c r="G3481" s="18"/>
      <c r="H3481" s="18"/>
    </row>
    <row r="3482" spans="1:8" x14ac:dyDescent="0.2">
      <c r="A3482" s="17"/>
      <c r="B3482" s="17"/>
      <c r="C3482" s="18"/>
      <c r="D3482" s="18"/>
      <c r="E3482" s="18"/>
      <c r="F3482" s="18"/>
      <c r="G3482" s="18"/>
      <c r="H3482" s="18"/>
    </row>
    <row r="3483" spans="1:8" x14ac:dyDescent="0.2">
      <c r="A3483" s="17"/>
      <c r="B3483" s="17"/>
      <c r="C3483" s="18"/>
      <c r="D3483" s="18"/>
      <c r="E3483" s="18"/>
      <c r="F3483" s="18"/>
      <c r="G3483" s="18"/>
      <c r="H3483" s="18"/>
    </row>
    <row r="3484" spans="1:8" x14ac:dyDescent="0.2">
      <c r="A3484" s="17"/>
      <c r="B3484" s="17"/>
      <c r="C3484" s="18"/>
      <c r="D3484" s="18"/>
      <c r="E3484" s="18"/>
      <c r="F3484" s="18"/>
      <c r="G3484" s="18"/>
      <c r="H3484" s="18"/>
    </row>
    <row r="3485" spans="1:8" x14ac:dyDescent="0.2">
      <c r="A3485" s="17"/>
      <c r="B3485" s="17"/>
      <c r="C3485" s="18"/>
      <c r="D3485" s="18"/>
      <c r="E3485" s="18"/>
      <c r="F3485" s="18"/>
      <c r="G3485" s="18"/>
      <c r="H3485" s="18"/>
    </row>
    <row r="3486" spans="1:8" x14ac:dyDescent="0.2">
      <c r="A3486" s="17"/>
      <c r="B3486" s="17"/>
      <c r="C3486" s="18"/>
      <c r="D3486" s="18"/>
      <c r="E3486" s="18"/>
      <c r="F3486" s="18"/>
      <c r="G3486" s="18"/>
      <c r="H3486" s="18"/>
    </row>
    <row r="3487" spans="1:8" x14ac:dyDescent="0.2">
      <c r="A3487" s="17"/>
      <c r="B3487" s="17"/>
      <c r="C3487" s="18"/>
      <c r="D3487" s="18"/>
      <c r="E3487" s="18"/>
      <c r="F3487" s="18"/>
      <c r="G3487" s="18"/>
      <c r="H3487" s="18"/>
    </row>
    <row r="3488" spans="1:8" x14ac:dyDescent="0.2">
      <c r="A3488" s="17"/>
      <c r="B3488" s="17"/>
      <c r="C3488" s="18"/>
      <c r="D3488" s="18"/>
      <c r="E3488" s="18"/>
      <c r="F3488" s="18"/>
      <c r="G3488" s="18"/>
      <c r="H3488" s="18"/>
    </row>
    <row r="3489" spans="1:8" x14ac:dyDescent="0.2">
      <c r="A3489" s="17"/>
      <c r="B3489" s="17"/>
      <c r="C3489" s="18"/>
      <c r="D3489" s="18"/>
      <c r="E3489" s="18"/>
      <c r="F3489" s="18"/>
      <c r="G3489" s="18"/>
      <c r="H3489" s="18"/>
    </row>
    <row r="3490" spans="1:8" x14ac:dyDescent="0.2">
      <c r="A3490" s="17"/>
      <c r="B3490" s="17"/>
      <c r="C3490" s="18"/>
      <c r="D3490" s="18"/>
      <c r="E3490" s="18"/>
      <c r="F3490" s="18"/>
      <c r="G3490" s="18"/>
      <c r="H3490" s="18"/>
    </row>
    <row r="3491" spans="1:8" x14ac:dyDescent="0.2">
      <c r="A3491" s="17"/>
      <c r="B3491" s="17"/>
      <c r="C3491" s="18"/>
      <c r="D3491" s="18"/>
      <c r="E3491" s="18"/>
      <c r="F3491" s="18"/>
      <c r="G3491" s="18"/>
      <c r="H3491" s="18"/>
    </row>
    <row r="3492" spans="1:8" x14ac:dyDescent="0.2">
      <c r="A3492" s="17"/>
      <c r="B3492" s="17"/>
      <c r="C3492" s="18"/>
      <c r="D3492" s="18"/>
      <c r="E3492" s="18"/>
      <c r="F3492" s="18"/>
      <c r="G3492" s="18"/>
      <c r="H3492" s="18"/>
    </row>
    <row r="3493" spans="1:8" x14ac:dyDescent="0.2">
      <c r="A3493" s="17"/>
      <c r="B3493" s="17"/>
      <c r="C3493" s="18"/>
      <c r="D3493" s="18"/>
      <c r="E3493" s="18"/>
      <c r="F3493" s="18"/>
      <c r="G3493" s="18"/>
      <c r="H3493" s="18"/>
    </row>
    <row r="3494" spans="1:8" x14ac:dyDescent="0.2">
      <c r="A3494" s="17"/>
      <c r="B3494" s="17"/>
      <c r="C3494" s="18"/>
      <c r="D3494" s="18"/>
      <c r="E3494" s="18"/>
      <c r="F3494" s="18"/>
      <c r="G3494" s="18"/>
      <c r="H3494" s="18"/>
    </row>
    <row r="3495" spans="1:8" x14ac:dyDescent="0.2">
      <c r="A3495" s="17"/>
      <c r="B3495" s="17"/>
      <c r="C3495" s="18"/>
      <c r="D3495" s="18"/>
      <c r="E3495" s="18"/>
      <c r="F3495" s="18"/>
      <c r="G3495" s="18"/>
      <c r="H3495" s="18"/>
    </row>
    <row r="3496" spans="1:8" x14ac:dyDescent="0.2">
      <c r="A3496" s="17"/>
      <c r="B3496" s="17"/>
      <c r="C3496" s="18"/>
      <c r="D3496" s="18"/>
      <c r="E3496" s="18"/>
      <c r="F3496" s="18"/>
      <c r="G3496" s="18"/>
      <c r="H3496" s="18"/>
    </row>
    <row r="3497" spans="1:8" x14ac:dyDescent="0.2">
      <c r="A3497" s="17"/>
      <c r="B3497" s="17"/>
      <c r="C3497" s="18"/>
      <c r="D3497" s="18"/>
      <c r="E3497" s="18"/>
      <c r="F3497" s="18"/>
      <c r="G3497" s="18"/>
      <c r="H3497" s="18"/>
    </row>
    <row r="3498" spans="1:8" x14ac:dyDescent="0.2">
      <c r="A3498" s="17"/>
      <c r="B3498" s="17"/>
      <c r="C3498" s="18"/>
      <c r="D3498" s="18"/>
      <c r="E3498" s="18"/>
      <c r="F3498" s="18"/>
      <c r="G3498" s="18"/>
      <c r="H3498" s="18"/>
    </row>
    <row r="3499" spans="1:8" x14ac:dyDescent="0.2">
      <c r="A3499" s="17"/>
      <c r="B3499" s="17"/>
      <c r="C3499" s="18"/>
      <c r="D3499" s="18"/>
      <c r="E3499" s="18"/>
      <c r="F3499" s="18"/>
      <c r="G3499" s="18"/>
      <c r="H3499" s="18"/>
    </row>
    <row r="3500" spans="1:8" x14ac:dyDescent="0.2">
      <c r="A3500" s="17"/>
      <c r="B3500" s="17"/>
      <c r="C3500" s="18"/>
      <c r="D3500" s="18"/>
      <c r="E3500" s="18"/>
      <c r="F3500" s="18"/>
      <c r="G3500" s="18"/>
      <c r="H3500" s="18"/>
    </row>
    <row r="3501" spans="1:8" x14ac:dyDescent="0.2">
      <c r="A3501" s="17"/>
      <c r="B3501" s="17"/>
      <c r="C3501" s="18"/>
      <c r="D3501" s="18"/>
      <c r="E3501" s="18"/>
      <c r="F3501" s="18"/>
      <c r="G3501" s="18"/>
      <c r="H3501" s="18"/>
    </row>
    <row r="3502" spans="1:8" x14ac:dyDescent="0.2">
      <c r="A3502" s="17"/>
      <c r="B3502" s="17"/>
      <c r="C3502" s="18"/>
      <c r="D3502" s="18"/>
      <c r="E3502" s="18"/>
      <c r="F3502" s="18"/>
      <c r="G3502" s="18"/>
      <c r="H3502" s="18"/>
    </row>
    <row r="3503" spans="1:8" x14ac:dyDescent="0.2">
      <c r="A3503" s="17"/>
      <c r="B3503" s="17"/>
      <c r="C3503" s="18"/>
      <c r="D3503" s="18"/>
      <c r="E3503" s="18"/>
      <c r="F3503" s="18"/>
      <c r="G3503" s="18"/>
      <c r="H3503" s="18"/>
    </row>
    <row r="3504" spans="1:8" x14ac:dyDescent="0.2">
      <c r="A3504" s="17"/>
      <c r="B3504" s="17"/>
      <c r="C3504" s="18"/>
      <c r="D3504" s="18"/>
      <c r="E3504" s="18"/>
      <c r="F3504" s="18"/>
      <c r="G3504" s="18"/>
      <c r="H3504" s="18"/>
    </row>
    <row r="3505" spans="1:8" x14ac:dyDescent="0.2">
      <c r="A3505" s="17"/>
      <c r="B3505" s="17"/>
      <c r="C3505" s="18"/>
      <c r="D3505" s="18"/>
      <c r="E3505" s="18"/>
      <c r="F3505" s="18"/>
      <c r="G3505" s="18"/>
      <c r="H3505" s="18"/>
    </row>
    <row r="3506" spans="1:8" x14ac:dyDescent="0.2">
      <c r="A3506" s="17"/>
      <c r="B3506" s="17"/>
      <c r="C3506" s="18"/>
      <c r="D3506" s="18"/>
      <c r="E3506" s="18"/>
      <c r="F3506" s="18"/>
      <c r="G3506" s="18"/>
      <c r="H3506" s="18"/>
    </row>
    <row r="3507" spans="1:8" x14ac:dyDescent="0.2">
      <c r="A3507" s="17"/>
      <c r="B3507" s="17"/>
      <c r="C3507" s="18"/>
      <c r="D3507" s="18"/>
      <c r="E3507" s="18"/>
      <c r="F3507" s="18"/>
      <c r="G3507" s="18"/>
      <c r="H3507" s="18"/>
    </row>
    <row r="3508" spans="1:8" x14ac:dyDescent="0.2">
      <c r="A3508" s="17"/>
      <c r="B3508" s="17"/>
      <c r="C3508" s="18"/>
      <c r="D3508" s="18"/>
      <c r="E3508" s="18"/>
      <c r="F3508" s="18"/>
      <c r="G3508" s="18"/>
      <c r="H3508" s="18"/>
    </row>
    <row r="3509" spans="1:8" x14ac:dyDescent="0.2">
      <c r="A3509" s="17"/>
      <c r="B3509" s="17"/>
      <c r="C3509" s="18"/>
      <c r="D3509" s="18"/>
      <c r="E3509" s="18"/>
      <c r="F3509" s="18"/>
      <c r="G3509" s="18"/>
      <c r="H3509" s="18"/>
    </row>
    <row r="3510" spans="1:8" x14ac:dyDescent="0.2">
      <c r="A3510" s="17"/>
      <c r="B3510" s="17"/>
      <c r="C3510" s="18"/>
      <c r="D3510" s="18"/>
      <c r="E3510" s="18"/>
      <c r="F3510" s="18"/>
      <c r="G3510" s="18"/>
      <c r="H3510" s="18"/>
    </row>
    <row r="3511" spans="1:8" x14ac:dyDescent="0.2">
      <c r="A3511" s="17"/>
      <c r="B3511" s="17"/>
      <c r="C3511" s="18"/>
      <c r="D3511" s="18"/>
      <c r="E3511" s="18"/>
      <c r="F3511" s="18"/>
      <c r="G3511" s="18"/>
      <c r="H3511" s="18"/>
    </row>
    <row r="3512" spans="1:8" x14ac:dyDescent="0.2">
      <c r="A3512" s="17"/>
      <c r="B3512" s="17"/>
      <c r="C3512" s="18"/>
      <c r="D3512" s="18"/>
      <c r="E3512" s="18"/>
      <c r="F3512" s="18"/>
      <c r="G3512" s="18"/>
      <c r="H3512" s="18"/>
    </row>
    <row r="3513" spans="1:8" x14ac:dyDescent="0.2">
      <c r="A3513" s="17"/>
      <c r="B3513" s="17"/>
      <c r="C3513" s="18"/>
      <c r="D3513" s="18"/>
      <c r="E3513" s="18"/>
      <c r="F3513" s="18"/>
      <c r="G3513" s="18"/>
      <c r="H3513" s="18"/>
    </row>
    <row r="3514" spans="1:8" x14ac:dyDescent="0.2">
      <c r="A3514" s="17"/>
      <c r="B3514" s="17"/>
      <c r="C3514" s="18"/>
      <c r="D3514" s="18"/>
      <c r="E3514" s="18"/>
      <c r="F3514" s="18"/>
      <c r="G3514" s="18"/>
      <c r="H3514" s="18"/>
    </row>
    <row r="3515" spans="1:8" x14ac:dyDescent="0.2">
      <c r="A3515" s="17"/>
      <c r="B3515" s="17"/>
      <c r="C3515" s="18"/>
      <c r="D3515" s="18"/>
      <c r="E3515" s="18"/>
      <c r="F3515" s="18"/>
      <c r="G3515" s="18"/>
      <c r="H3515" s="18"/>
    </row>
    <row r="3516" spans="1:8" x14ac:dyDescent="0.2">
      <c r="A3516" s="17"/>
      <c r="B3516" s="17"/>
      <c r="C3516" s="18"/>
      <c r="D3516" s="18"/>
      <c r="E3516" s="18"/>
      <c r="F3516" s="18"/>
      <c r="G3516" s="18"/>
      <c r="H3516" s="18"/>
    </row>
    <row r="3517" spans="1:8" x14ac:dyDescent="0.2">
      <c r="A3517" s="17"/>
      <c r="B3517" s="17"/>
      <c r="C3517" s="18"/>
      <c r="D3517" s="18"/>
      <c r="E3517" s="18"/>
      <c r="F3517" s="18"/>
      <c r="G3517" s="18"/>
      <c r="H3517" s="18"/>
    </row>
    <row r="3518" spans="1:8" x14ac:dyDescent="0.2">
      <c r="A3518" s="17"/>
      <c r="B3518" s="17"/>
      <c r="C3518" s="18"/>
      <c r="D3518" s="18"/>
      <c r="E3518" s="18"/>
      <c r="F3518" s="18"/>
      <c r="G3518" s="18"/>
      <c r="H3518" s="18"/>
    </row>
    <row r="3519" spans="1:8" x14ac:dyDescent="0.2">
      <c r="A3519" s="17"/>
      <c r="B3519" s="17"/>
      <c r="C3519" s="18"/>
      <c r="D3519" s="18"/>
      <c r="E3519" s="18"/>
      <c r="F3519" s="18"/>
      <c r="G3519" s="18"/>
      <c r="H3519" s="18"/>
    </row>
    <row r="3520" spans="1:8" x14ac:dyDescent="0.2">
      <c r="A3520" s="17"/>
      <c r="B3520" s="17"/>
      <c r="C3520" s="18"/>
      <c r="D3520" s="18"/>
      <c r="E3520" s="18"/>
      <c r="F3520" s="18"/>
      <c r="G3520" s="18"/>
      <c r="H3520" s="18"/>
    </row>
    <row r="3521" spans="1:8" x14ac:dyDescent="0.2">
      <c r="A3521" s="17"/>
      <c r="B3521" s="17"/>
      <c r="C3521" s="18"/>
      <c r="D3521" s="18"/>
      <c r="E3521" s="18"/>
      <c r="F3521" s="18"/>
      <c r="G3521" s="18"/>
      <c r="H3521" s="18"/>
    </row>
    <row r="3522" spans="1:8" x14ac:dyDescent="0.2">
      <c r="A3522" s="17"/>
      <c r="B3522" s="17"/>
      <c r="C3522" s="18"/>
      <c r="D3522" s="18"/>
      <c r="E3522" s="18"/>
      <c r="F3522" s="18"/>
      <c r="G3522" s="18"/>
      <c r="H3522" s="18"/>
    </row>
    <row r="3523" spans="1:8" x14ac:dyDescent="0.2">
      <c r="A3523" s="17"/>
      <c r="B3523" s="17"/>
      <c r="C3523" s="18"/>
      <c r="D3523" s="18"/>
      <c r="E3523" s="18"/>
      <c r="F3523" s="18"/>
      <c r="G3523" s="18"/>
      <c r="H3523" s="18"/>
    </row>
    <row r="3524" spans="1:8" x14ac:dyDescent="0.2">
      <c r="A3524" s="17"/>
      <c r="B3524" s="17"/>
      <c r="C3524" s="18"/>
      <c r="D3524" s="18"/>
      <c r="E3524" s="18"/>
      <c r="F3524" s="18"/>
      <c r="G3524" s="18"/>
      <c r="H3524" s="18"/>
    </row>
    <row r="3525" spans="1:8" x14ac:dyDescent="0.2">
      <c r="A3525" s="17"/>
      <c r="B3525" s="17"/>
      <c r="C3525" s="18"/>
      <c r="D3525" s="18"/>
      <c r="E3525" s="18"/>
      <c r="F3525" s="18"/>
      <c r="G3525" s="18"/>
      <c r="H3525" s="18"/>
    </row>
    <row r="3526" spans="1:8" x14ac:dyDescent="0.2">
      <c r="A3526" s="17"/>
      <c r="B3526" s="17"/>
      <c r="C3526" s="18"/>
      <c r="D3526" s="18"/>
      <c r="E3526" s="18"/>
      <c r="F3526" s="18"/>
      <c r="G3526" s="18"/>
      <c r="H3526" s="18"/>
    </row>
    <row r="3527" spans="1:8" x14ac:dyDescent="0.2">
      <c r="A3527" s="17"/>
      <c r="B3527" s="17"/>
      <c r="C3527" s="18"/>
      <c r="D3527" s="18"/>
      <c r="E3527" s="18"/>
      <c r="F3527" s="18"/>
      <c r="G3527" s="18"/>
      <c r="H3527" s="18"/>
    </row>
    <row r="3528" spans="1:8" x14ac:dyDescent="0.2">
      <c r="A3528" s="17"/>
      <c r="B3528" s="17"/>
      <c r="C3528" s="18"/>
      <c r="D3528" s="18"/>
      <c r="E3528" s="18"/>
      <c r="F3528" s="18"/>
      <c r="G3528" s="18"/>
      <c r="H3528" s="18"/>
    </row>
    <row r="3529" spans="1:8" x14ac:dyDescent="0.2">
      <c r="A3529" s="17"/>
      <c r="B3529" s="17"/>
      <c r="C3529" s="18"/>
      <c r="D3529" s="18"/>
      <c r="E3529" s="18"/>
      <c r="F3529" s="18"/>
      <c r="G3529" s="18"/>
      <c r="H3529" s="18"/>
    </row>
    <row r="3530" spans="1:8" x14ac:dyDescent="0.2">
      <c r="A3530" s="17"/>
      <c r="B3530" s="17"/>
      <c r="C3530" s="18"/>
      <c r="D3530" s="18"/>
      <c r="E3530" s="18"/>
      <c r="F3530" s="18"/>
      <c r="G3530" s="18"/>
      <c r="H3530" s="18"/>
    </row>
    <row r="3531" spans="1:8" x14ac:dyDescent="0.2">
      <c r="A3531" s="17"/>
      <c r="B3531" s="17"/>
      <c r="C3531" s="18"/>
      <c r="D3531" s="18"/>
      <c r="E3531" s="18"/>
      <c r="F3531" s="18"/>
      <c r="G3531" s="18"/>
      <c r="H3531" s="18"/>
    </row>
    <row r="3532" spans="1:8" x14ac:dyDescent="0.2">
      <c r="A3532" s="17"/>
      <c r="B3532" s="17"/>
      <c r="C3532" s="18"/>
      <c r="D3532" s="18"/>
      <c r="E3532" s="18"/>
      <c r="F3532" s="18"/>
      <c r="G3532" s="18"/>
      <c r="H3532" s="18"/>
    </row>
    <row r="3533" spans="1:8" x14ac:dyDescent="0.2">
      <c r="A3533" s="17"/>
      <c r="B3533" s="17"/>
      <c r="C3533" s="18"/>
      <c r="D3533" s="18"/>
      <c r="E3533" s="18"/>
      <c r="F3533" s="18"/>
      <c r="G3533" s="18"/>
      <c r="H3533" s="18"/>
    </row>
    <row r="3534" spans="1:8" x14ac:dyDescent="0.2">
      <c r="A3534" s="17"/>
      <c r="B3534" s="17"/>
      <c r="C3534" s="18"/>
      <c r="D3534" s="18"/>
      <c r="E3534" s="18"/>
      <c r="F3534" s="18"/>
      <c r="G3534" s="18"/>
      <c r="H3534" s="18"/>
    </row>
    <row r="3535" spans="1:8" x14ac:dyDescent="0.2">
      <c r="A3535" s="17"/>
      <c r="B3535" s="17"/>
      <c r="C3535" s="18"/>
      <c r="D3535" s="18"/>
      <c r="E3535" s="18"/>
      <c r="F3535" s="18"/>
      <c r="G3535" s="18"/>
      <c r="H3535" s="18"/>
    </row>
    <row r="3536" spans="1:8" x14ac:dyDescent="0.2">
      <c r="A3536" s="17"/>
      <c r="B3536" s="17"/>
      <c r="C3536" s="18"/>
      <c r="D3536" s="18"/>
      <c r="E3536" s="18"/>
      <c r="F3536" s="18"/>
      <c r="G3536" s="18"/>
      <c r="H3536" s="18"/>
    </row>
    <row r="3537" spans="1:8" x14ac:dyDescent="0.2">
      <c r="A3537" s="17"/>
      <c r="B3537" s="17"/>
      <c r="C3537" s="18"/>
      <c r="D3537" s="18"/>
      <c r="E3537" s="18"/>
      <c r="F3537" s="18"/>
      <c r="G3537" s="18"/>
      <c r="H3537" s="18"/>
    </row>
    <row r="3538" spans="1:8" x14ac:dyDescent="0.2">
      <c r="A3538" s="17"/>
      <c r="B3538" s="17"/>
      <c r="C3538" s="18"/>
      <c r="D3538" s="18"/>
      <c r="E3538" s="18"/>
      <c r="F3538" s="18"/>
      <c r="G3538" s="18"/>
      <c r="H3538" s="18"/>
    </row>
    <row r="3539" spans="1:8" x14ac:dyDescent="0.2">
      <c r="A3539" s="17"/>
      <c r="B3539" s="17"/>
      <c r="C3539" s="18"/>
      <c r="D3539" s="18"/>
      <c r="E3539" s="18"/>
      <c r="F3539" s="18"/>
      <c r="G3539" s="18"/>
      <c r="H3539" s="18"/>
    </row>
    <row r="3540" spans="1:8" x14ac:dyDescent="0.2">
      <c r="A3540" s="17"/>
      <c r="B3540" s="17"/>
      <c r="C3540" s="18"/>
      <c r="D3540" s="18"/>
      <c r="E3540" s="18"/>
      <c r="F3540" s="18"/>
      <c r="G3540" s="18"/>
      <c r="H3540" s="18"/>
    </row>
    <row r="3541" spans="1:8" x14ac:dyDescent="0.2">
      <c r="A3541" s="17"/>
      <c r="B3541" s="17"/>
      <c r="C3541" s="18"/>
      <c r="D3541" s="18"/>
      <c r="E3541" s="18"/>
      <c r="F3541" s="18"/>
      <c r="G3541" s="18"/>
      <c r="H3541" s="18"/>
    </row>
    <row r="3542" spans="1:8" x14ac:dyDescent="0.2">
      <c r="A3542" s="17"/>
      <c r="B3542" s="17"/>
      <c r="C3542" s="18"/>
      <c r="D3542" s="18"/>
      <c r="E3542" s="18"/>
      <c r="F3542" s="18"/>
      <c r="G3542" s="18"/>
      <c r="H3542" s="18"/>
    </row>
    <row r="3543" spans="1:8" x14ac:dyDescent="0.2">
      <c r="A3543" s="17"/>
      <c r="B3543" s="17"/>
      <c r="C3543" s="18"/>
      <c r="D3543" s="18"/>
      <c r="E3543" s="18"/>
      <c r="F3543" s="18"/>
      <c r="G3543" s="18"/>
      <c r="H3543" s="18"/>
    </row>
    <row r="3544" spans="1:8" x14ac:dyDescent="0.2">
      <c r="A3544" s="17"/>
      <c r="B3544" s="17"/>
      <c r="C3544" s="18"/>
      <c r="D3544" s="18"/>
      <c r="E3544" s="18"/>
      <c r="F3544" s="18"/>
      <c r="G3544" s="18"/>
      <c r="H3544" s="18"/>
    </row>
    <row r="3545" spans="1:8" x14ac:dyDescent="0.2">
      <c r="A3545" s="17"/>
      <c r="B3545" s="17"/>
      <c r="C3545" s="18"/>
      <c r="D3545" s="18"/>
      <c r="E3545" s="18"/>
      <c r="F3545" s="18"/>
      <c r="G3545" s="18"/>
      <c r="H3545" s="18"/>
    </row>
    <row r="3546" spans="1:8" x14ac:dyDescent="0.2">
      <c r="A3546" s="17"/>
      <c r="B3546" s="17"/>
      <c r="C3546" s="18"/>
      <c r="D3546" s="18"/>
      <c r="E3546" s="18"/>
      <c r="F3546" s="18"/>
      <c r="G3546" s="18"/>
      <c r="H3546" s="18"/>
    </row>
    <row r="3547" spans="1:8" x14ac:dyDescent="0.2">
      <c r="A3547" s="17"/>
      <c r="B3547" s="17"/>
      <c r="C3547" s="18"/>
      <c r="D3547" s="18"/>
      <c r="E3547" s="18"/>
      <c r="F3547" s="18"/>
      <c r="G3547" s="18"/>
      <c r="H3547" s="18"/>
    </row>
    <row r="3548" spans="1:8" x14ac:dyDescent="0.2">
      <c r="A3548" s="17"/>
      <c r="B3548" s="17"/>
      <c r="C3548" s="18"/>
      <c r="D3548" s="18"/>
      <c r="E3548" s="18"/>
      <c r="F3548" s="18"/>
      <c r="G3548" s="18"/>
      <c r="H3548" s="18"/>
    </row>
    <row r="3549" spans="1:8" x14ac:dyDescent="0.2">
      <c r="A3549" s="17"/>
      <c r="B3549" s="17"/>
      <c r="C3549" s="18"/>
      <c r="D3549" s="18"/>
      <c r="E3549" s="18"/>
      <c r="F3549" s="18"/>
      <c r="G3549" s="18"/>
      <c r="H3549" s="18"/>
    </row>
    <row r="3550" spans="1:8" x14ac:dyDescent="0.2">
      <c r="A3550" s="17"/>
      <c r="B3550" s="17"/>
      <c r="C3550" s="18"/>
      <c r="D3550" s="18"/>
      <c r="E3550" s="18"/>
      <c r="F3550" s="18"/>
      <c r="G3550" s="18"/>
      <c r="H3550" s="18"/>
    </row>
    <row r="3551" spans="1:8" x14ac:dyDescent="0.2">
      <c r="A3551" s="17"/>
      <c r="B3551" s="17"/>
      <c r="C3551" s="18"/>
      <c r="D3551" s="18"/>
      <c r="E3551" s="18"/>
      <c r="F3551" s="18"/>
      <c r="G3551" s="18"/>
      <c r="H3551" s="18"/>
    </row>
    <row r="3552" spans="1:8" x14ac:dyDescent="0.2">
      <c r="A3552" s="17"/>
      <c r="B3552" s="17"/>
      <c r="C3552" s="18"/>
      <c r="D3552" s="18"/>
      <c r="E3552" s="18"/>
      <c r="F3552" s="18"/>
      <c r="G3552" s="18"/>
      <c r="H3552" s="18"/>
    </row>
    <row r="3553" spans="1:8" x14ac:dyDescent="0.2">
      <c r="A3553" s="17"/>
      <c r="B3553" s="17"/>
      <c r="C3553" s="18"/>
      <c r="D3553" s="18"/>
      <c r="E3553" s="18"/>
      <c r="F3553" s="18"/>
      <c r="G3553" s="18"/>
      <c r="H3553" s="18"/>
    </row>
    <row r="3554" spans="1:8" x14ac:dyDescent="0.2">
      <c r="A3554" s="17"/>
      <c r="B3554" s="17"/>
      <c r="C3554" s="18"/>
      <c r="D3554" s="18"/>
      <c r="E3554" s="18"/>
      <c r="F3554" s="18"/>
      <c r="G3554" s="18"/>
      <c r="H3554" s="18"/>
    </row>
    <row r="3555" spans="1:8" x14ac:dyDescent="0.2">
      <c r="A3555" s="17"/>
      <c r="B3555" s="17"/>
      <c r="C3555" s="18"/>
      <c r="D3555" s="18"/>
      <c r="E3555" s="18"/>
      <c r="F3555" s="18"/>
      <c r="G3555" s="18"/>
      <c r="H3555" s="18"/>
    </row>
    <row r="3556" spans="1:8" x14ac:dyDescent="0.2">
      <c r="A3556" s="17"/>
      <c r="B3556" s="17"/>
      <c r="C3556" s="18"/>
      <c r="D3556" s="18"/>
      <c r="E3556" s="18"/>
      <c r="F3556" s="18"/>
      <c r="G3556" s="18"/>
      <c r="H3556" s="18"/>
    </row>
    <row r="3557" spans="1:8" x14ac:dyDescent="0.2">
      <c r="A3557" s="17"/>
      <c r="B3557" s="17"/>
      <c r="C3557" s="18"/>
      <c r="D3557" s="18"/>
      <c r="E3557" s="18"/>
      <c r="F3557" s="18"/>
      <c r="G3557" s="18"/>
      <c r="H3557" s="18"/>
    </row>
    <row r="3558" spans="1:8" x14ac:dyDescent="0.2">
      <c r="A3558" s="17"/>
      <c r="B3558" s="17"/>
      <c r="C3558" s="18"/>
      <c r="D3558" s="18"/>
      <c r="E3558" s="18"/>
      <c r="F3558" s="18"/>
      <c r="G3558" s="18"/>
      <c r="H3558" s="18"/>
    </row>
    <row r="3559" spans="1:8" x14ac:dyDescent="0.2">
      <c r="A3559" s="17"/>
      <c r="B3559" s="17"/>
      <c r="C3559" s="18"/>
      <c r="D3559" s="18"/>
      <c r="E3559" s="18"/>
      <c r="F3559" s="18"/>
      <c r="G3559" s="18"/>
      <c r="H3559" s="18"/>
    </row>
    <row r="3560" spans="1:8" x14ac:dyDescent="0.2">
      <c r="A3560" s="17"/>
      <c r="B3560" s="17"/>
      <c r="C3560" s="18"/>
      <c r="D3560" s="18"/>
      <c r="E3560" s="18"/>
      <c r="F3560" s="18"/>
      <c r="G3560" s="18"/>
      <c r="H3560" s="18"/>
    </row>
    <row r="3561" spans="1:8" x14ac:dyDescent="0.2">
      <c r="A3561" s="17"/>
      <c r="B3561" s="17"/>
      <c r="C3561" s="18"/>
      <c r="D3561" s="18"/>
      <c r="E3561" s="18"/>
      <c r="F3561" s="18"/>
      <c r="G3561" s="18"/>
      <c r="H3561" s="18"/>
    </row>
    <row r="3562" spans="1:8" x14ac:dyDescent="0.2">
      <c r="A3562" s="17"/>
      <c r="B3562" s="17"/>
      <c r="C3562" s="18"/>
      <c r="D3562" s="18"/>
      <c r="E3562" s="18"/>
      <c r="F3562" s="18"/>
      <c r="G3562" s="18"/>
      <c r="H3562" s="18"/>
    </row>
    <row r="3563" spans="1:8" x14ac:dyDescent="0.2">
      <c r="A3563" s="17"/>
      <c r="B3563" s="17"/>
      <c r="C3563" s="18"/>
      <c r="D3563" s="18"/>
      <c r="E3563" s="18"/>
      <c r="F3563" s="18"/>
      <c r="G3563" s="18"/>
      <c r="H3563" s="18"/>
    </row>
    <row r="3564" spans="1:8" x14ac:dyDescent="0.2">
      <c r="A3564" s="17"/>
      <c r="B3564" s="17"/>
      <c r="C3564" s="18"/>
      <c r="D3564" s="18"/>
      <c r="E3564" s="18"/>
      <c r="F3564" s="18"/>
      <c r="G3564" s="18"/>
      <c r="H3564" s="18"/>
    </row>
    <row r="3565" spans="1:8" x14ac:dyDescent="0.2">
      <c r="A3565" s="17"/>
      <c r="B3565" s="17"/>
      <c r="C3565" s="18"/>
      <c r="D3565" s="18"/>
      <c r="E3565" s="18"/>
      <c r="F3565" s="18"/>
      <c r="G3565" s="18"/>
      <c r="H3565" s="18"/>
    </row>
    <row r="3566" spans="1:8" x14ac:dyDescent="0.2">
      <c r="A3566" s="17"/>
      <c r="B3566" s="17"/>
      <c r="C3566" s="18"/>
      <c r="D3566" s="18"/>
      <c r="E3566" s="18"/>
      <c r="F3566" s="18"/>
      <c r="G3566" s="18"/>
      <c r="H3566" s="18"/>
    </row>
    <row r="3567" spans="1:8" x14ac:dyDescent="0.2">
      <c r="A3567" s="17"/>
      <c r="B3567" s="17"/>
      <c r="C3567" s="18"/>
      <c r="D3567" s="18"/>
      <c r="E3567" s="18"/>
      <c r="F3567" s="18"/>
      <c r="G3567" s="18"/>
      <c r="H3567" s="18"/>
    </row>
    <row r="3568" spans="1:8" x14ac:dyDescent="0.2">
      <c r="A3568" s="17"/>
      <c r="B3568" s="17"/>
      <c r="C3568" s="18"/>
      <c r="D3568" s="18"/>
      <c r="E3568" s="18"/>
      <c r="F3568" s="18"/>
      <c r="G3568" s="18"/>
      <c r="H3568" s="18"/>
    </row>
    <row r="3569" spans="1:8" x14ac:dyDescent="0.2">
      <c r="A3569" s="17"/>
      <c r="B3569" s="17"/>
      <c r="C3569" s="18"/>
      <c r="D3569" s="18"/>
      <c r="E3569" s="18"/>
      <c r="F3569" s="18"/>
      <c r="G3569" s="18"/>
      <c r="H3569" s="18"/>
    </row>
    <row r="3570" spans="1:8" x14ac:dyDescent="0.2">
      <c r="A3570" s="17"/>
      <c r="B3570" s="17"/>
      <c r="C3570" s="18"/>
      <c r="D3570" s="18"/>
      <c r="E3570" s="18"/>
      <c r="F3570" s="18"/>
      <c r="G3570" s="18"/>
      <c r="H3570" s="18"/>
    </row>
    <row r="3571" spans="1:8" x14ac:dyDescent="0.2">
      <c r="A3571" s="17"/>
      <c r="B3571" s="17"/>
      <c r="C3571" s="18"/>
      <c r="D3571" s="18"/>
      <c r="E3571" s="18"/>
      <c r="F3571" s="18"/>
      <c r="G3571" s="18"/>
      <c r="H3571" s="18"/>
    </row>
    <row r="3572" spans="1:8" x14ac:dyDescent="0.2">
      <c r="A3572" s="17"/>
      <c r="B3572" s="17"/>
      <c r="C3572" s="18"/>
      <c r="D3572" s="18"/>
      <c r="E3572" s="18"/>
      <c r="F3572" s="18"/>
      <c r="G3572" s="18"/>
      <c r="H3572" s="18"/>
    </row>
    <row r="3573" spans="1:8" x14ac:dyDescent="0.2">
      <c r="A3573" s="17"/>
      <c r="B3573" s="17"/>
      <c r="C3573" s="18"/>
      <c r="D3573" s="18"/>
      <c r="E3573" s="18"/>
      <c r="F3573" s="18"/>
      <c r="G3573" s="18"/>
      <c r="H3573" s="18"/>
    </row>
    <row r="3574" spans="1:8" x14ac:dyDescent="0.2">
      <c r="A3574" s="17"/>
      <c r="B3574" s="17"/>
      <c r="C3574" s="18"/>
      <c r="D3574" s="18"/>
      <c r="E3574" s="18"/>
      <c r="F3574" s="18"/>
      <c r="G3574" s="18"/>
      <c r="H3574" s="18"/>
    </row>
    <row r="3575" spans="1:8" x14ac:dyDescent="0.2">
      <c r="A3575" s="17"/>
      <c r="B3575" s="17"/>
      <c r="C3575" s="18"/>
      <c r="D3575" s="18"/>
      <c r="E3575" s="18"/>
      <c r="F3575" s="18"/>
      <c r="G3575" s="18"/>
      <c r="H3575" s="18"/>
    </row>
    <row r="3576" spans="1:8" x14ac:dyDescent="0.2">
      <c r="A3576" s="17"/>
      <c r="B3576" s="17"/>
      <c r="C3576" s="18"/>
      <c r="D3576" s="18"/>
      <c r="E3576" s="18"/>
      <c r="F3576" s="18"/>
      <c r="G3576" s="18"/>
      <c r="H3576" s="18"/>
    </row>
    <row r="3577" spans="1:8" x14ac:dyDescent="0.2">
      <c r="A3577" s="17"/>
      <c r="B3577" s="17"/>
      <c r="C3577" s="18"/>
      <c r="D3577" s="18"/>
      <c r="E3577" s="18"/>
      <c r="F3577" s="18"/>
      <c r="G3577" s="18"/>
      <c r="H3577" s="18"/>
    </row>
    <row r="3578" spans="1:8" x14ac:dyDescent="0.2">
      <c r="A3578" s="17"/>
      <c r="B3578" s="17"/>
      <c r="C3578" s="18"/>
      <c r="D3578" s="18"/>
      <c r="E3578" s="18"/>
      <c r="F3578" s="18"/>
      <c r="G3578" s="18"/>
      <c r="H3578" s="18"/>
    </row>
    <row r="3579" spans="1:8" x14ac:dyDescent="0.2">
      <c r="A3579" s="17"/>
      <c r="B3579" s="17"/>
      <c r="C3579" s="18"/>
      <c r="D3579" s="18"/>
      <c r="E3579" s="18"/>
      <c r="F3579" s="18"/>
      <c r="G3579" s="18"/>
      <c r="H3579" s="18"/>
    </row>
    <row r="3580" spans="1:8" x14ac:dyDescent="0.2">
      <c r="A3580" s="17"/>
      <c r="B3580" s="17"/>
      <c r="C3580" s="18"/>
      <c r="D3580" s="18"/>
      <c r="E3580" s="18"/>
      <c r="F3580" s="18"/>
      <c r="G3580" s="18"/>
      <c r="H3580" s="18"/>
    </row>
    <row r="3581" spans="1:8" x14ac:dyDescent="0.2">
      <c r="A3581" s="17"/>
      <c r="B3581" s="17"/>
      <c r="C3581" s="18"/>
      <c r="D3581" s="18"/>
      <c r="E3581" s="18"/>
      <c r="F3581" s="18"/>
      <c r="G3581" s="18"/>
      <c r="H3581" s="18"/>
    </row>
    <row r="3582" spans="1:8" x14ac:dyDescent="0.2">
      <c r="A3582" s="17"/>
      <c r="B3582" s="17"/>
      <c r="C3582" s="18"/>
      <c r="D3582" s="18"/>
      <c r="E3582" s="18"/>
      <c r="F3582" s="18"/>
      <c r="G3582" s="18"/>
      <c r="H3582" s="18"/>
    </row>
    <row r="3583" spans="1:8" x14ac:dyDescent="0.2">
      <c r="A3583" s="17"/>
      <c r="B3583" s="17"/>
      <c r="C3583" s="18"/>
      <c r="D3583" s="18"/>
      <c r="E3583" s="18"/>
      <c r="F3583" s="18"/>
      <c r="G3583" s="18"/>
      <c r="H3583" s="18"/>
    </row>
    <row r="3584" spans="1:8" x14ac:dyDescent="0.2">
      <c r="A3584" s="17"/>
      <c r="B3584" s="17"/>
      <c r="C3584" s="18"/>
      <c r="D3584" s="18"/>
      <c r="E3584" s="18"/>
      <c r="F3584" s="18"/>
      <c r="G3584" s="18"/>
      <c r="H3584" s="18"/>
    </row>
    <row r="3585" spans="1:8" x14ac:dyDescent="0.2">
      <c r="A3585" s="17"/>
      <c r="B3585" s="17"/>
      <c r="C3585" s="18"/>
      <c r="D3585" s="18"/>
      <c r="E3585" s="18"/>
      <c r="F3585" s="18"/>
      <c r="G3585" s="18"/>
      <c r="H3585" s="18"/>
    </row>
    <row r="3586" spans="1:8" x14ac:dyDescent="0.2">
      <c r="A3586" s="17"/>
      <c r="B3586" s="17"/>
      <c r="C3586" s="18"/>
      <c r="D3586" s="18"/>
      <c r="E3586" s="18"/>
      <c r="F3586" s="18"/>
      <c r="G3586" s="18"/>
      <c r="H3586" s="18"/>
    </row>
    <row r="3587" spans="1:8" x14ac:dyDescent="0.2">
      <c r="A3587" s="17"/>
      <c r="B3587" s="17"/>
      <c r="C3587" s="18"/>
      <c r="D3587" s="18"/>
      <c r="E3587" s="18"/>
      <c r="F3587" s="18"/>
      <c r="G3587" s="18"/>
      <c r="H3587" s="18"/>
    </row>
    <row r="3588" spans="1:8" x14ac:dyDescent="0.2">
      <c r="A3588" s="17"/>
      <c r="B3588" s="17"/>
      <c r="C3588" s="18"/>
      <c r="D3588" s="18"/>
      <c r="E3588" s="18"/>
      <c r="F3588" s="18"/>
      <c r="G3588" s="18"/>
      <c r="H3588" s="18"/>
    </row>
    <row r="3589" spans="1:8" x14ac:dyDescent="0.2">
      <c r="A3589" s="17"/>
      <c r="B3589" s="17"/>
      <c r="C3589" s="18"/>
      <c r="D3589" s="18"/>
      <c r="E3589" s="18"/>
      <c r="F3589" s="18"/>
      <c r="G3589" s="18"/>
      <c r="H3589" s="18"/>
    </row>
    <row r="3590" spans="1:8" x14ac:dyDescent="0.2">
      <c r="A3590" s="17"/>
      <c r="B3590" s="17"/>
      <c r="C3590" s="18"/>
      <c r="D3590" s="18"/>
      <c r="E3590" s="18"/>
      <c r="F3590" s="18"/>
      <c r="G3590" s="18"/>
      <c r="H3590" s="18"/>
    </row>
    <row r="3591" spans="1:8" x14ac:dyDescent="0.2">
      <c r="A3591" s="17"/>
      <c r="B3591" s="17"/>
      <c r="C3591" s="18"/>
      <c r="D3591" s="18"/>
      <c r="E3591" s="18"/>
      <c r="F3591" s="18"/>
      <c r="G3591" s="18"/>
      <c r="H3591" s="18"/>
    </row>
    <row r="3592" spans="1:8" x14ac:dyDescent="0.2">
      <c r="A3592" s="17"/>
      <c r="B3592" s="17"/>
      <c r="C3592" s="18"/>
      <c r="D3592" s="18"/>
      <c r="E3592" s="18"/>
      <c r="F3592" s="18"/>
      <c r="G3592" s="18"/>
      <c r="H3592" s="18"/>
    </row>
    <row r="3593" spans="1:8" x14ac:dyDescent="0.2">
      <c r="A3593" s="17"/>
      <c r="B3593" s="17"/>
      <c r="C3593" s="18"/>
      <c r="D3593" s="18"/>
      <c r="E3593" s="18"/>
      <c r="F3593" s="18"/>
      <c r="G3593" s="18"/>
      <c r="H3593" s="18"/>
    </row>
    <row r="3594" spans="1:8" x14ac:dyDescent="0.2">
      <c r="A3594" s="17"/>
      <c r="B3594" s="17"/>
      <c r="C3594" s="18"/>
      <c r="D3594" s="18"/>
      <c r="E3594" s="18"/>
      <c r="F3594" s="18"/>
      <c r="G3594" s="18"/>
      <c r="H3594" s="18"/>
    </row>
    <row r="3595" spans="1:8" x14ac:dyDescent="0.2">
      <c r="A3595" s="17"/>
      <c r="B3595" s="17"/>
      <c r="C3595" s="18"/>
      <c r="D3595" s="18"/>
      <c r="E3595" s="18"/>
      <c r="F3595" s="18"/>
      <c r="G3595" s="18"/>
      <c r="H3595" s="18"/>
    </row>
    <row r="3596" spans="1:8" x14ac:dyDescent="0.2">
      <c r="A3596" s="17"/>
      <c r="B3596" s="17"/>
      <c r="C3596" s="18"/>
      <c r="D3596" s="18"/>
      <c r="E3596" s="18"/>
      <c r="F3596" s="18"/>
      <c r="G3596" s="18"/>
      <c r="H3596" s="18"/>
    </row>
    <row r="3597" spans="1:8" x14ac:dyDescent="0.2">
      <c r="A3597" s="17"/>
      <c r="B3597" s="17"/>
      <c r="C3597" s="18"/>
      <c r="D3597" s="18"/>
      <c r="E3597" s="18"/>
      <c r="F3597" s="18"/>
      <c r="G3597" s="18"/>
      <c r="H3597" s="18"/>
    </row>
    <row r="3598" spans="1:8" x14ac:dyDescent="0.2">
      <c r="A3598" s="17"/>
      <c r="B3598" s="17"/>
      <c r="C3598" s="18"/>
      <c r="D3598" s="18"/>
      <c r="E3598" s="18"/>
      <c r="F3598" s="18"/>
      <c r="G3598" s="18"/>
      <c r="H3598" s="18"/>
    </row>
    <row r="3599" spans="1:8" x14ac:dyDescent="0.2">
      <c r="A3599" s="17"/>
      <c r="B3599" s="17"/>
      <c r="C3599" s="18"/>
      <c r="D3599" s="18"/>
      <c r="E3599" s="18"/>
      <c r="F3599" s="18"/>
      <c r="G3599" s="18"/>
      <c r="H3599" s="18"/>
    </row>
    <row r="3600" spans="1:8" x14ac:dyDescent="0.2">
      <c r="A3600" s="17"/>
      <c r="B3600" s="17"/>
      <c r="C3600" s="18"/>
      <c r="D3600" s="18"/>
      <c r="E3600" s="18"/>
      <c r="F3600" s="18"/>
      <c r="G3600" s="18"/>
      <c r="H3600" s="18"/>
    </row>
    <row r="3601" spans="1:8" x14ac:dyDescent="0.2">
      <c r="A3601" s="17"/>
      <c r="B3601" s="17"/>
      <c r="C3601" s="18"/>
      <c r="D3601" s="18"/>
      <c r="E3601" s="18"/>
      <c r="F3601" s="18"/>
      <c r="G3601" s="18"/>
      <c r="H3601" s="18"/>
    </row>
    <row r="3602" spans="1:8" x14ac:dyDescent="0.2">
      <c r="A3602" s="17"/>
      <c r="B3602" s="17"/>
      <c r="C3602" s="18"/>
      <c r="D3602" s="18"/>
      <c r="E3602" s="18"/>
      <c r="F3602" s="18"/>
      <c r="G3602" s="18"/>
      <c r="H3602" s="18"/>
    </row>
    <row r="3603" spans="1:8" x14ac:dyDescent="0.2">
      <c r="A3603" s="17"/>
      <c r="B3603" s="17"/>
      <c r="C3603" s="18"/>
      <c r="D3603" s="18"/>
      <c r="E3603" s="18"/>
      <c r="F3603" s="18"/>
      <c r="G3603" s="18"/>
      <c r="H3603" s="18"/>
    </row>
    <row r="3604" spans="1:8" x14ac:dyDescent="0.2">
      <c r="A3604" s="17"/>
      <c r="B3604" s="17"/>
      <c r="C3604" s="18"/>
      <c r="D3604" s="18"/>
      <c r="E3604" s="18"/>
      <c r="F3604" s="18"/>
      <c r="G3604" s="18"/>
      <c r="H3604" s="18"/>
    </row>
    <row r="3605" spans="1:8" x14ac:dyDescent="0.2">
      <c r="A3605" s="17"/>
      <c r="B3605" s="17"/>
      <c r="C3605" s="18"/>
      <c r="D3605" s="18"/>
      <c r="E3605" s="18"/>
      <c r="F3605" s="18"/>
      <c r="G3605" s="18"/>
      <c r="H3605" s="18"/>
    </row>
    <row r="3606" spans="1:8" x14ac:dyDescent="0.2">
      <c r="A3606" s="17"/>
      <c r="B3606" s="17"/>
      <c r="C3606" s="18"/>
      <c r="D3606" s="18"/>
      <c r="E3606" s="18"/>
      <c r="F3606" s="18"/>
      <c r="G3606" s="18"/>
      <c r="H3606" s="18"/>
    </row>
    <row r="3607" spans="1:8" x14ac:dyDescent="0.2">
      <c r="A3607" s="17"/>
      <c r="B3607" s="17"/>
      <c r="C3607" s="18"/>
      <c r="D3607" s="18"/>
      <c r="E3607" s="18"/>
      <c r="F3607" s="18"/>
      <c r="G3607" s="18"/>
      <c r="H3607" s="18"/>
    </row>
    <row r="3608" spans="1:8" x14ac:dyDescent="0.2">
      <c r="A3608" s="17"/>
      <c r="B3608" s="17"/>
      <c r="C3608" s="18"/>
      <c r="D3608" s="18"/>
      <c r="E3608" s="18"/>
      <c r="F3608" s="18"/>
      <c r="G3608" s="18"/>
      <c r="H3608" s="18"/>
    </row>
    <row r="3609" spans="1:8" x14ac:dyDescent="0.2">
      <c r="A3609" s="17"/>
      <c r="B3609" s="17"/>
      <c r="C3609" s="18"/>
      <c r="D3609" s="18"/>
      <c r="E3609" s="18"/>
      <c r="F3609" s="18"/>
      <c r="G3609" s="18"/>
      <c r="H3609" s="18"/>
    </row>
    <row r="3610" spans="1:8" x14ac:dyDescent="0.2">
      <c r="A3610" s="17"/>
      <c r="B3610" s="17"/>
      <c r="C3610" s="18"/>
      <c r="D3610" s="18"/>
      <c r="E3610" s="18"/>
      <c r="F3610" s="18"/>
      <c r="G3610" s="18"/>
      <c r="H3610" s="18"/>
    </row>
    <row r="3611" spans="1:8" x14ac:dyDescent="0.2">
      <c r="A3611" s="17"/>
      <c r="B3611" s="17"/>
      <c r="C3611" s="18"/>
      <c r="D3611" s="18"/>
      <c r="E3611" s="18"/>
      <c r="F3611" s="18"/>
      <c r="G3611" s="18"/>
      <c r="H3611" s="18"/>
    </row>
    <row r="3612" spans="1:8" x14ac:dyDescent="0.2">
      <c r="A3612" s="17"/>
      <c r="B3612" s="17"/>
      <c r="C3612" s="18"/>
      <c r="D3612" s="18"/>
      <c r="E3612" s="18"/>
      <c r="F3612" s="18"/>
      <c r="G3612" s="18"/>
      <c r="H3612" s="18"/>
    </row>
    <row r="3613" spans="1:8" x14ac:dyDescent="0.2">
      <c r="A3613" s="17"/>
      <c r="B3613" s="17"/>
      <c r="C3613" s="18"/>
      <c r="D3613" s="18"/>
      <c r="E3613" s="18"/>
      <c r="F3613" s="18"/>
      <c r="G3613" s="18"/>
      <c r="H3613" s="18"/>
    </row>
    <row r="3614" spans="1:8" x14ac:dyDescent="0.2">
      <c r="A3614" s="17"/>
      <c r="B3614" s="17"/>
      <c r="C3614" s="18"/>
      <c r="D3614" s="18"/>
      <c r="E3614" s="18"/>
      <c r="F3614" s="18"/>
      <c r="G3614" s="18"/>
      <c r="H3614" s="18"/>
    </row>
    <row r="3615" spans="1:8" x14ac:dyDescent="0.2">
      <c r="A3615" s="17"/>
      <c r="B3615" s="17"/>
      <c r="C3615" s="18"/>
      <c r="D3615" s="18"/>
      <c r="E3615" s="18"/>
      <c r="F3615" s="18"/>
      <c r="G3615" s="18"/>
      <c r="H3615" s="18"/>
    </row>
    <row r="3616" spans="1:8" x14ac:dyDescent="0.2">
      <c r="A3616" s="17"/>
      <c r="B3616" s="17"/>
      <c r="C3616" s="18"/>
      <c r="D3616" s="18"/>
      <c r="E3616" s="18"/>
      <c r="F3616" s="18"/>
      <c r="G3616" s="18"/>
      <c r="H3616" s="18"/>
    </row>
    <row r="3617" spans="1:8" x14ac:dyDescent="0.2">
      <c r="A3617" s="17"/>
      <c r="B3617" s="17"/>
      <c r="C3617" s="18"/>
      <c r="D3617" s="18"/>
      <c r="E3617" s="18"/>
      <c r="F3617" s="18"/>
      <c r="G3617" s="18"/>
      <c r="H3617" s="18"/>
    </row>
    <row r="3618" spans="1:8" x14ac:dyDescent="0.2">
      <c r="A3618" s="17"/>
      <c r="B3618" s="17"/>
      <c r="C3618" s="18"/>
      <c r="D3618" s="18"/>
      <c r="E3618" s="18"/>
      <c r="F3618" s="18"/>
      <c r="G3618" s="18"/>
      <c r="H3618" s="18"/>
    </row>
    <row r="3619" spans="1:8" x14ac:dyDescent="0.2">
      <c r="A3619" s="17"/>
      <c r="B3619" s="17"/>
      <c r="C3619" s="18"/>
      <c r="D3619" s="18"/>
      <c r="E3619" s="18"/>
      <c r="F3619" s="18"/>
      <c r="G3619" s="18"/>
      <c r="H3619" s="18"/>
    </row>
    <row r="3620" spans="1:8" x14ac:dyDescent="0.2">
      <c r="A3620" s="17"/>
      <c r="B3620" s="17"/>
      <c r="C3620" s="18"/>
      <c r="D3620" s="18"/>
      <c r="E3620" s="18"/>
      <c r="F3620" s="18"/>
      <c r="G3620" s="18"/>
      <c r="H3620" s="18"/>
    </row>
    <row r="3621" spans="1:8" x14ac:dyDescent="0.2">
      <c r="A3621" s="17"/>
      <c r="B3621" s="17"/>
      <c r="C3621" s="18"/>
      <c r="D3621" s="18"/>
      <c r="E3621" s="18"/>
      <c r="F3621" s="18"/>
      <c r="G3621" s="18"/>
      <c r="H3621" s="18"/>
    </row>
    <row r="3622" spans="1:8" x14ac:dyDescent="0.2">
      <c r="A3622" s="17"/>
      <c r="B3622" s="17"/>
      <c r="C3622" s="18"/>
      <c r="D3622" s="18"/>
      <c r="E3622" s="18"/>
      <c r="F3622" s="18"/>
      <c r="G3622" s="18"/>
      <c r="H3622" s="18"/>
    </row>
    <row r="3623" spans="1:8" x14ac:dyDescent="0.2">
      <c r="A3623" s="17"/>
      <c r="B3623" s="17"/>
      <c r="C3623" s="18"/>
      <c r="D3623" s="18"/>
      <c r="E3623" s="18"/>
      <c r="F3623" s="18"/>
      <c r="G3623" s="18"/>
      <c r="H3623" s="18"/>
    </row>
    <row r="3624" spans="1:8" x14ac:dyDescent="0.2">
      <c r="A3624" s="17"/>
      <c r="B3624" s="17"/>
      <c r="C3624" s="18"/>
      <c r="D3624" s="18"/>
      <c r="E3624" s="18"/>
      <c r="F3624" s="18"/>
      <c r="G3624" s="18"/>
      <c r="H3624" s="18"/>
    </row>
    <row r="3625" spans="1:8" x14ac:dyDescent="0.2">
      <c r="A3625" s="17"/>
      <c r="B3625" s="17"/>
      <c r="C3625" s="18"/>
      <c r="D3625" s="18"/>
      <c r="E3625" s="18"/>
      <c r="F3625" s="18"/>
      <c r="G3625" s="18"/>
      <c r="H3625" s="18"/>
    </row>
    <row r="3626" spans="1:8" x14ac:dyDescent="0.2">
      <c r="A3626" s="17"/>
      <c r="B3626" s="17"/>
      <c r="C3626" s="18"/>
      <c r="D3626" s="18"/>
      <c r="E3626" s="18"/>
      <c r="F3626" s="18"/>
      <c r="G3626" s="18"/>
      <c r="H3626" s="18"/>
    </row>
    <row r="3627" spans="1:8" x14ac:dyDescent="0.2">
      <c r="A3627" s="17"/>
      <c r="B3627" s="17"/>
      <c r="C3627" s="18"/>
      <c r="D3627" s="18"/>
      <c r="E3627" s="18"/>
      <c r="F3627" s="18"/>
      <c r="G3627" s="18"/>
      <c r="H3627" s="18"/>
    </row>
    <row r="3628" spans="1:8" x14ac:dyDescent="0.2">
      <c r="A3628" s="17"/>
      <c r="B3628" s="17"/>
      <c r="C3628" s="18"/>
      <c r="D3628" s="18"/>
      <c r="E3628" s="18"/>
      <c r="F3628" s="18"/>
      <c r="G3628" s="18"/>
      <c r="H3628" s="18"/>
    </row>
    <row r="3629" spans="1:8" x14ac:dyDescent="0.2">
      <c r="A3629" s="17"/>
      <c r="B3629" s="17"/>
      <c r="C3629" s="18"/>
      <c r="D3629" s="18"/>
      <c r="E3629" s="18"/>
      <c r="F3629" s="18"/>
      <c r="G3629" s="18"/>
      <c r="H3629" s="18"/>
    </row>
    <row r="3630" spans="1:8" x14ac:dyDescent="0.2">
      <c r="A3630" s="17"/>
      <c r="B3630" s="17"/>
      <c r="C3630" s="18"/>
      <c r="D3630" s="18"/>
      <c r="E3630" s="18"/>
      <c r="F3630" s="18"/>
      <c r="G3630" s="18"/>
      <c r="H3630" s="18"/>
    </row>
    <row r="3631" spans="1:8" x14ac:dyDescent="0.2">
      <c r="A3631" s="17"/>
      <c r="B3631" s="17"/>
      <c r="C3631" s="18"/>
      <c r="D3631" s="18"/>
      <c r="E3631" s="18"/>
      <c r="F3631" s="18"/>
      <c r="G3631" s="18"/>
      <c r="H3631" s="18"/>
    </row>
    <row r="3632" spans="1:8" x14ac:dyDescent="0.2">
      <c r="A3632" s="17"/>
      <c r="B3632" s="17"/>
      <c r="C3632" s="18"/>
      <c r="D3632" s="18"/>
      <c r="E3632" s="18"/>
      <c r="F3632" s="18"/>
      <c r="G3632" s="18"/>
      <c r="H3632" s="18"/>
    </row>
    <row r="3633" spans="1:8" x14ac:dyDescent="0.2">
      <c r="A3633" s="17"/>
      <c r="B3633" s="17"/>
      <c r="C3633" s="18"/>
      <c r="D3633" s="18"/>
      <c r="E3633" s="18"/>
      <c r="F3633" s="18"/>
      <c r="G3633" s="18"/>
      <c r="H3633" s="18"/>
    </row>
    <row r="3634" spans="1:8" x14ac:dyDescent="0.2">
      <c r="A3634" s="17"/>
      <c r="B3634" s="17"/>
      <c r="C3634" s="18"/>
      <c r="D3634" s="18"/>
      <c r="E3634" s="18"/>
      <c r="F3634" s="18"/>
      <c r="G3634" s="18"/>
      <c r="H3634" s="18"/>
    </row>
    <row r="3635" spans="1:8" x14ac:dyDescent="0.2">
      <c r="A3635" s="17"/>
      <c r="B3635" s="17"/>
      <c r="C3635" s="18"/>
      <c r="D3635" s="18"/>
      <c r="E3635" s="18"/>
      <c r="F3635" s="18"/>
      <c r="G3635" s="18"/>
      <c r="H3635" s="18"/>
    </row>
    <row r="3636" spans="1:8" x14ac:dyDescent="0.2">
      <c r="A3636" s="17"/>
      <c r="B3636" s="17"/>
      <c r="C3636" s="18"/>
      <c r="D3636" s="18"/>
      <c r="E3636" s="18"/>
      <c r="F3636" s="18"/>
      <c r="G3636" s="18"/>
      <c r="H3636" s="18"/>
    </row>
    <row r="3637" spans="1:8" x14ac:dyDescent="0.2">
      <c r="A3637" s="17"/>
      <c r="B3637" s="17"/>
      <c r="C3637" s="18"/>
      <c r="D3637" s="18"/>
      <c r="E3637" s="18"/>
      <c r="F3637" s="18"/>
      <c r="G3637" s="18"/>
      <c r="H3637" s="18"/>
    </row>
    <row r="3638" spans="1:8" x14ac:dyDescent="0.2">
      <c r="A3638" s="17"/>
      <c r="B3638" s="17"/>
      <c r="C3638" s="18"/>
      <c r="D3638" s="18"/>
      <c r="E3638" s="18"/>
      <c r="F3638" s="18"/>
      <c r="G3638" s="18"/>
      <c r="H3638" s="18"/>
    </row>
    <row r="3639" spans="1:8" x14ac:dyDescent="0.2">
      <c r="A3639" s="17"/>
      <c r="B3639" s="17"/>
      <c r="C3639" s="18"/>
      <c r="D3639" s="18"/>
      <c r="E3639" s="18"/>
      <c r="F3639" s="18"/>
      <c r="G3639" s="18"/>
      <c r="H3639" s="18"/>
    </row>
    <row r="3640" spans="1:8" x14ac:dyDescent="0.2">
      <c r="A3640" s="17"/>
      <c r="B3640" s="17"/>
      <c r="C3640" s="18"/>
      <c r="D3640" s="18"/>
      <c r="E3640" s="18"/>
      <c r="F3640" s="18"/>
      <c r="G3640" s="18"/>
      <c r="H3640" s="18"/>
    </row>
    <row r="3641" spans="1:8" x14ac:dyDescent="0.2">
      <c r="A3641" s="17"/>
      <c r="B3641" s="17"/>
      <c r="C3641" s="18"/>
      <c r="D3641" s="18"/>
      <c r="E3641" s="18"/>
      <c r="F3641" s="18"/>
      <c r="G3641" s="18"/>
      <c r="H3641" s="18"/>
    </row>
    <row r="3642" spans="1:8" x14ac:dyDescent="0.2">
      <c r="A3642" s="17"/>
      <c r="B3642" s="17"/>
      <c r="C3642" s="18"/>
      <c r="D3642" s="18"/>
      <c r="E3642" s="18"/>
      <c r="F3642" s="18"/>
      <c r="G3642" s="18"/>
      <c r="H3642" s="18"/>
    </row>
    <row r="3643" spans="1:8" x14ac:dyDescent="0.2">
      <c r="A3643" s="17"/>
      <c r="B3643" s="17"/>
      <c r="C3643" s="18"/>
      <c r="D3643" s="18"/>
      <c r="E3643" s="18"/>
      <c r="F3643" s="18"/>
      <c r="G3643" s="18"/>
      <c r="H3643" s="18"/>
    </row>
    <row r="3644" spans="1:8" x14ac:dyDescent="0.2">
      <c r="A3644" s="17"/>
      <c r="B3644" s="17"/>
      <c r="C3644" s="18"/>
      <c r="D3644" s="18"/>
      <c r="E3644" s="18"/>
      <c r="F3644" s="18"/>
      <c r="G3644" s="18"/>
      <c r="H3644" s="18"/>
    </row>
    <row r="3645" spans="1:8" x14ac:dyDescent="0.2">
      <c r="A3645" s="17"/>
      <c r="B3645" s="17"/>
      <c r="C3645" s="18"/>
      <c r="D3645" s="18"/>
      <c r="E3645" s="18"/>
      <c r="F3645" s="18"/>
      <c r="G3645" s="18"/>
      <c r="H3645" s="18"/>
    </row>
    <row r="3646" spans="1:8" x14ac:dyDescent="0.2">
      <c r="A3646" s="17"/>
      <c r="B3646" s="17"/>
      <c r="C3646" s="18"/>
      <c r="D3646" s="18"/>
      <c r="E3646" s="18"/>
      <c r="F3646" s="18"/>
      <c r="G3646" s="18"/>
      <c r="H3646" s="18"/>
    </row>
    <row r="3647" spans="1:8" x14ac:dyDescent="0.2">
      <c r="A3647" s="17"/>
      <c r="B3647" s="17"/>
      <c r="C3647" s="18"/>
      <c r="D3647" s="18"/>
      <c r="E3647" s="18"/>
      <c r="F3647" s="18"/>
      <c r="G3647" s="18"/>
      <c r="H3647" s="18"/>
    </row>
    <row r="3648" spans="1:8" x14ac:dyDescent="0.2">
      <c r="A3648" s="17"/>
      <c r="B3648" s="17"/>
      <c r="C3648" s="18"/>
      <c r="D3648" s="18"/>
      <c r="E3648" s="18"/>
      <c r="F3648" s="18"/>
      <c r="G3648" s="18"/>
      <c r="H3648" s="18"/>
    </row>
    <row r="3649" spans="1:8" x14ac:dyDescent="0.2">
      <c r="A3649" s="17"/>
      <c r="B3649" s="17"/>
      <c r="C3649" s="18"/>
      <c r="D3649" s="18"/>
      <c r="E3649" s="18"/>
      <c r="F3649" s="18"/>
      <c r="G3649" s="18"/>
      <c r="H3649" s="18"/>
    </row>
    <row r="3650" spans="1:8" x14ac:dyDescent="0.2">
      <c r="A3650" s="17"/>
      <c r="B3650" s="17"/>
      <c r="C3650" s="18"/>
      <c r="D3650" s="18"/>
      <c r="E3650" s="18"/>
      <c r="F3650" s="18"/>
      <c r="G3650" s="18"/>
      <c r="H3650" s="18"/>
    </row>
    <row r="3651" spans="1:8" x14ac:dyDescent="0.2">
      <c r="A3651" s="17"/>
      <c r="B3651" s="17"/>
      <c r="C3651" s="18"/>
      <c r="D3651" s="18"/>
      <c r="E3651" s="18"/>
      <c r="F3651" s="18"/>
      <c r="G3651" s="18"/>
      <c r="H3651" s="18"/>
    </row>
    <row r="3652" spans="1:8" x14ac:dyDescent="0.2">
      <c r="A3652" s="17"/>
      <c r="B3652" s="17"/>
      <c r="C3652" s="18"/>
      <c r="D3652" s="18"/>
      <c r="E3652" s="18"/>
      <c r="F3652" s="18"/>
      <c r="G3652" s="18"/>
      <c r="H3652" s="18"/>
    </row>
    <row r="3653" spans="1:8" x14ac:dyDescent="0.2">
      <c r="A3653" s="17"/>
      <c r="B3653" s="17"/>
      <c r="C3653" s="18"/>
      <c r="D3653" s="18"/>
      <c r="E3653" s="18"/>
      <c r="F3653" s="18"/>
      <c r="G3653" s="18"/>
      <c r="H3653" s="18"/>
    </row>
    <row r="3654" spans="1:8" x14ac:dyDescent="0.2">
      <c r="A3654" s="17"/>
      <c r="B3654" s="17"/>
      <c r="C3654" s="18"/>
      <c r="D3654" s="18"/>
      <c r="E3654" s="18"/>
      <c r="F3654" s="18"/>
      <c r="G3654" s="18"/>
      <c r="H3654" s="18"/>
    </row>
    <row r="3655" spans="1:8" x14ac:dyDescent="0.2">
      <c r="A3655" s="17"/>
      <c r="B3655" s="17"/>
      <c r="C3655" s="18"/>
      <c r="D3655" s="18"/>
      <c r="E3655" s="18"/>
      <c r="F3655" s="18"/>
      <c r="G3655" s="18"/>
      <c r="H3655" s="18"/>
    </row>
    <row r="3656" spans="1:8" x14ac:dyDescent="0.2">
      <c r="A3656" s="17"/>
      <c r="B3656" s="17"/>
      <c r="C3656" s="18"/>
      <c r="D3656" s="18"/>
      <c r="E3656" s="18"/>
      <c r="F3656" s="18"/>
      <c r="G3656" s="18"/>
      <c r="H3656" s="18"/>
    </row>
    <row r="3657" spans="1:8" x14ac:dyDescent="0.2">
      <c r="A3657" s="17"/>
      <c r="B3657" s="17"/>
      <c r="C3657" s="18"/>
      <c r="D3657" s="18"/>
      <c r="E3657" s="18"/>
      <c r="F3657" s="18"/>
      <c r="G3657" s="18"/>
      <c r="H3657" s="18"/>
    </row>
    <row r="3658" spans="1:8" x14ac:dyDescent="0.2">
      <c r="A3658" s="17"/>
      <c r="B3658" s="17"/>
      <c r="C3658" s="18"/>
      <c r="D3658" s="18"/>
      <c r="E3658" s="18"/>
      <c r="F3658" s="18"/>
      <c r="G3658" s="18"/>
      <c r="H3658" s="18"/>
    </row>
    <row r="3659" spans="1:8" x14ac:dyDescent="0.2">
      <c r="A3659" s="17"/>
      <c r="B3659" s="17"/>
      <c r="C3659" s="18"/>
      <c r="D3659" s="18"/>
      <c r="E3659" s="18"/>
      <c r="F3659" s="18"/>
      <c r="G3659" s="18"/>
      <c r="H3659" s="18"/>
    </row>
    <row r="3660" spans="1:8" x14ac:dyDescent="0.2">
      <c r="A3660" s="17"/>
      <c r="B3660" s="17"/>
      <c r="C3660" s="18"/>
      <c r="D3660" s="18"/>
      <c r="E3660" s="18"/>
      <c r="F3660" s="18"/>
      <c r="G3660" s="18"/>
      <c r="H3660" s="18"/>
    </row>
    <row r="3661" spans="1:8" x14ac:dyDescent="0.2">
      <c r="A3661" s="17"/>
      <c r="B3661" s="17"/>
      <c r="C3661" s="18"/>
      <c r="D3661" s="18"/>
      <c r="E3661" s="18"/>
      <c r="F3661" s="18"/>
      <c r="G3661" s="18"/>
      <c r="H3661" s="18"/>
    </row>
    <row r="3662" spans="1:8" x14ac:dyDescent="0.2">
      <c r="A3662" s="17"/>
      <c r="B3662" s="17"/>
      <c r="C3662" s="18"/>
      <c r="D3662" s="18"/>
      <c r="E3662" s="18"/>
      <c r="F3662" s="18"/>
      <c r="G3662" s="18"/>
      <c r="H3662" s="18"/>
    </row>
    <row r="3663" spans="1:8" x14ac:dyDescent="0.2">
      <c r="A3663" s="17"/>
      <c r="B3663" s="17"/>
      <c r="C3663" s="18"/>
      <c r="D3663" s="18"/>
      <c r="E3663" s="18"/>
      <c r="F3663" s="18"/>
      <c r="G3663" s="18"/>
      <c r="H3663" s="18"/>
    </row>
    <row r="3664" spans="1:8" x14ac:dyDescent="0.2">
      <c r="A3664" s="17"/>
      <c r="B3664" s="17"/>
      <c r="C3664" s="18"/>
      <c r="D3664" s="18"/>
      <c r="E3664" s="18"/>
      <c r="F3664" s="18"/>
      <c r="G3664" s="18"/>
      <c r="H3664" s="18"/>
    </row>
    <row r="3665" spans="1:8" x14ac:dyDescent="0.2">
      <c r="A3665" s="17"/>
      <c r="B3665" s="17"/>
      <c r="C3665" s="18"/>
      <c r="D3665" s="18"/>
      <c r="E3665" s="18"/>
      <c r="F3665" s="18"/>
      <c r="G3665" s="18"/>
      <c r="H3665" s="18"/>
    </row>
    <row r="3666" spans="1:8" x14ac:dyDescent="0.2">
      <c r="A3666" s="17"/>
      <c r="B3666" s="17"/>
      <c r="C3666" s="18"/>
      <c r="D3666" s="18"/>
      <c r="E3666" s="18"/>
      <c r="F3666" s="18"/>
      <c r="G3666" s="18"/>
      <c r="H3666" s="18"/>
    </row>
    <row r="3667" spans="1:8" x14ac:dyDescent="0.2">
      <c r="A3667" s="17"/>
      <c r="B3667" s="17"/>
      <c r="C3667" s="18"/>
      <c r="D3667" s="18"/>
      <c r="E3667" s="18"/>
      <c r="F3667" s="18"/>
      <c r="G3667" s="18"/>
      <c r="H3667" s="18"/>
    </row>
    <row r="3668" spans="1:8" x14ac:dyDescent="0.2">
      <c r="A3668" s="17"/>
      <c r="B3668" s="17"/>
      <c r="C3668" s="18"/>
      <c r="D3668" s="18"/>
      <c r="E3668" s="18"/>
      <c r="F3668" s="18"/>
      <c r="G3668" s="18"/>
      <c r="H3668" s="18"/>
    </row>
    <row r="3669" spans="1:8" x14ac:dyDescent="0.2">
      <c r="A3669" s="17"/>
      <c r="B3669" s="17"/>
      <c r="C3669" s="18"/>
      <c r="D3669" s="18"/>
      <c r="E3669" s="18"/>
      <c r="F3669" s="18"/>
      <c r="G3669" s="18"/>
      <c r="H3669" s="18"/>
    </row>
    <row r="3670" spans="1:8" x14ac:dyDescent="0.2">
      <c r="A3670" s="17"/>
      <c r="B3670" s="17"/>
      <c r="C3670" s="18"/>
      <c r="D3670" s="18"/>
      <c r="E3670" s="18"/>
      <c r="F3670" s="18"/>
      <c r="G3670" s="18"/>
      <c r="H3670" s="18"/>
    </row>
    <row r="3671" spans="1:8" x14ac:dyDescent="0.2">
      <c r="A3671" s="17"/>
      <c r="B3671" s="17"/>
      <c r="C3671" s="18"/>
      <c r="D3671" s="18"/>
      <c r="E3671" s="18"/>
      <c r="F3671" s="18"/>
      <c r="G3671" s="18"/>
      <c r="H3671" s="18"/>
    </row>
    <row r="3672" spans="1:8" x14ac:dyDescent="0.2">
      <c r="A3672" s="17"/>
      <c r="B3672" s="17"/>
      <c r="C3672" s="18"/>
      <c r="D3672" s="18"/>
      <c r="E3672" s="18"/>
      <c r="F3672" s="18"/>
      <c r="G3672" s="18"/>
      <c r="H3672" s="18"/>
    </row>
    <row r="3673" spans="1:8" x14ac:dyDescent="0.2">
      <c r="A3673" s="17"/>
      <c r="B3673" s="17"/>
      <c r="C3673" s="18"/>
      <c r="D3673" s="18"/>
      <c r="E3673" s="18"/>
      <c r="F3673" s="18"/>
      <c r="G3673" s="18"/>
      <c r="H3673" s="18"/>
    </row>
    <row r="3674" spans="1:8" x14ac:dyDescent="0.2">
      <c r="A3674" s="17"/>
      <c r="B3674" s="17"/>
      <c r="C3674" s="18"/>
      <c r="D3674" s="18"/>
      <c r="E3674" s="18"/>
      <c r="F3674" s="18"/>
      <c r="G3674" s="18"/>
      <c r="H3674" s="18"/>
    </row>
    <row r="3675" spans="1:8" x14ac:dyDescent="0.2">
      <c r="A3675" s="17"/>
      <c r="B3675" s="17"/>
      <c r="C3675" s="18"/>
      <c r="D3675" s="18"/>
      <c r="E3675" s="18"/>
      <c r="F3675" s="18"/>
      <c r="G3675" s="18"/>
      <c r="H3675" s="18"/>
    </row>
    <row r="3676" spans="1:8" x14ac:dyDescent="0.2">
      <c r="A3676" s="17"/>
      <c r="B3676" s="17"/>
      <c r="C3676" s="18"/>
      <c r="D3676" s="18"/>
      <c r="E3676" s="18"/>
      <c r="F3676" s="18"/>
      <c r="G3676" s="18"/>
      <c r="H3676" s="18"/>
    </row>
    <row r="3677" spans="1:8" x14ac:dyDescent="0.2">
      <c r="A3677" s="17"/>
      <c r="B3677" s="17"/>
      <c r="C3677" s="18"/>
      <c r="D3677" s="18"/>
      <c r="E3677" s="18"/>
      <c r="F3677" s="18"/>
      <c r="G3677" s="18"/>
      <c r="H3677" s="18"/>
    </row>
    <row r="3678" spans="1:8" x14ac:dyDescent="0.2">
      <c r="A3678" s="17"/>
      <c r="B3678" s="17"/>
      <c r="C3678" s="18"/>
      <c r="D3678" s="18"/>
      <c r="E3678" s="18"/>
      <c r="F3678" s="18"/>
      <c r="G3678" s="18"/>
      <c r="H3678" s="18"/>
    </row>
    <row r="3679" spans="1:8" x14ac:dyDescent="0.2">
      <c r="A3679" s="17"/>
      <c r="B3679" s="17"/>
      <c r="C3679" s="18"/>
      <c r="D3679" s="18"/>
      <c r="E3679" s="18"/>
      <c r="F3679" s="18"/>
      <c r="G3679" s="18"/>
      <c r="H3679" s="18"/>
    </row>
    <row r="3680" spans="1:8" x14ac:dyDescent="0.2">
      <c r="A3680" s="17"/>
      <c r="B3680" s="17"/>
      <c r="C3680" s="18"/>
      <c r="D3680" s="18"/>
      <c r="E3680" s="18"/>
      <c r="F3680" s="18"/>
      <c r="G3680" s="18"/>
      <c r="H3680" s="18"/>
    </row>
    <row r="3681" spans="1:8" x14ac:dyDescent="0.2">
      <c r="A3681" s="17"/>
      <c r="B3681" s="17"/>
      <c r="C3681" s="18"/>
      <c r="D3681" s="18"/>
      <c r="E3681" s="18"/>
      <c r="F3681" s="18"/>
      <c r="G3681" s="18"/>
      <c r="H3681" s="18"/>
    </row>
    <row r="3682" spans="1:8" x14ac:dyDescent="0.2">
      <c r="A3682" s="17"/>
      <c r="B3682" s="17"/>
      <c r="C3682" s="18"/>
      <c r="D3682" s="18"/>
      <c r="E3682" s="18"/>
      <c r="F3682" s="18"/>
      <c r="G3682" s="18"/>
      <c r="H3682" s="18"/>
    </row>
    <row r="3683" spans="1:8" x14ac:dyDescent="0.2">
      <c r="A3683" s="17"/>
      <c r="B3683" s="17"/>
      <c r="C3683" s="18"/>
      <c r="D3683" s="18"/>
      <c r="E3683" s="18"/>
      <c r="F3683" s="18"/>
      <c r="G3683" s="18"/>
      <c r="H3683" s="18"/>
    </row>
    <row r="3684" spans="1:8" x14ac:dyDescent="0.2">
      <c r="A3684" s="17"/>
      <c r="B3684" s="17"/>
      <c r="C3684" s="18"/>
      <c r="D3684" s="18"/>
      <c r="E3684" s="18"/>
      <c r="F3684" s="18"/>
      <c r="G3684" s="18"/>
      <c r="H3684" s="18"/>
    </row>
    <row r="3685" spans="1:8" x14ac:dyDescent="0.2">
      <c r="A3685" s="17"/>
      <c r="B3685" s="17"/>
      <c r="C3685" s="18"/>
      <c r="D3685" s="18"/>
      <c r="E3685" s="18"/>
      <c r="F3685" s="18"/>
      <c r="G3685" s="18"/>
      <c r="H3685" s="18"/>
    </row>
    <row r="3686" spans="1:8" x14ac:dyDescent="0.2">
      <c r="A3686" s="17"/>
      <c r="B3686" s="17"/>
      <c r="C3686" s="18"/>
      <c r="D3686" s="18"/>
      <c r="E3686" s="18"/>
      <c r="F3686" s="18"/>
      <c r="G3686" s="18"/>
      <c r="H3686" s="18"/>
    </row>
    <row r="3687" spans="1:8" x14ac:dyDescent="0.2">
      <c r="A3687" s="17"/>
      <c r="B3687" s="17"/>
      <c r="C3687" s="18"/>
      <c r="D3687" s="18"/>
      <c r="E3687" s="18"/>
      <c r="F3687" s="18"/>
      <c r="G3687" s="18"/>
      <c r="H3687" s="18"/>
    </row>
    <row r="3688" spans="1:8" x14ac:dyDescent="0.2">
      <c r="A3688" s="17"/>
      <c r="B3688" s="17"/>
      <c r="C3688" s="18"/>
      <c r="D3688" s="18"/>
      <c r="E3688" s="18"/>
      <c r="F3688" s="18"/>
      <c r="G3688" s="18"/>
      <c r="H3688" s="18"/>
    </row>
    <row r="3689" spans="1:8" x14ac:dyDescent="0.2">
      <c r="A3689" s="17"/>
      <c r="B3689" s="17"/>
      <c r="C3689" s="18"/>
      <c r="D3689" s="18"/>
      <c r="E3689" s="18"/>
      <c r="F3689" s="18"/>
      <c r="G3689" s="18"/>
      <c r="H3689" s="18"/>
    </row>
    <row r="3690" spans="1:8" x14ac:dyDescent="0.2">
      <c r="A3690" s="17"/>
      <c r="B3690" s="17"/>
      <c r="C3690" s="18"/>
      <c r="D3690" s="18"/>
      <c r="E3690" s="18"/>
      <c r="F3690" s="18"/>
      <c r="G3690" s="18"/>
      <c r="H3690" s="18"/>
    </row>
    <row r="3691" spans="1:8" x14ac:dyDescent="0.2">
      <c r="A3691" s="17"/>
      <c r="B3691" s="17"/>
      <c r="C3691" s="18"/>
      <c r="D3691" s="18"/>
      <c r="E3691" s="18"/>
      <c r="F3691" s="18"/>
      <c r="G3691" s="18"/>
      <c r="H3691" s="18"/>
    </row>
    <row r="3692" spans="1:8" x14ac:dyDescent="0.2">
      <c r="A3692" s="17"/>
      <c r="B3692" s="17"/>
      <c r="C3692" s="18"/>
      <c r="D3692" s="18"/>
      <c r="E3692" s="18"/>
      <c r="F3692" s="18"/>
      <c r="G3692" s="18"/>
      <c r="H3692" s="18"/>
    </row>
    <row r="3693" spans="1:8" x14ac:dyDescent="0.2">
      <c r="A3693" s="17"/>
      <c r="B3693" s="17"/>
      <c r="C3693" s="18"/>
      <c r="D3693" s="18"/>
      <c r="E3693" s="18"/>
      <c r="F3693" s="18"/>
      <c r="G3693" s="18"/>
      <c r="H3693" s="18"/>
    </row>
    <row r="3694" spans="1:8" x14ac:dyDescent="0.2">
      <c r="A3694" s="17"/>
      <c r="B3694" s="17"/>
      <c r="C3694" s="18"/>
      <c r="D3694" s="18"/>
      <c r="E3694" s="18"/>
      <c r="F3694" s="18"/>
      <c r="G3694" s="18"/>
      <c r="H3694" s="18"/>
    </row>
    <row r="3695" spans="1:8" x14ac:dyDescent="0.2">
      <c r="A3695" s="17"/>
      <c r="B3695" s="17"/>
      <c r="C3695" s="18"/>
      <c r="D3695" s="18"/>
      <c r="E3695" s="18"/>
      <c r="F3695" s="18"/>
      <c r="G3695" s="18"/>
      <c r="H3695" s="18"/>
    </row>
    <row r="3696" spans="1:8" x14ac:dyDescent="0.2">
      <c r="A3696" s="17"/>
      <c r="B3696" s="17"/>
      <c r="C3696" s="18"/>
      <c r="D3696" s="18"/>
      <c r="E3696" s="18"/>
      <c r="F3696" s="18"/>
      <c r="G3696" s="18"/>
      <c r="H3696" s="18"/>
    </row>
    <row r="3697" spans="1:8" x14ac:dyDescent="0.2">
      <c r="A3697" s="17"/>
      <c r="B3697" s="17"/>
      <c r="C3697" s="18"/>
      <c r="D3697" s="18"/>
      <c r="E3697" s="18"/>
      <c r="F3697" s="18"/>
      <c r="G3697" s="18"/>
      <c r="H3697" s="18"/>
    </row>
    <row r="3698" spans="1:8" x14ac:dyDescent="0.2">
      <c r="A3698" s="17"/>
      <c r="B3698" s="17"/>
      <c r="C3698" s="18"/>
      <c r="D3698" s="18"/>
      <c r="E3698" s="18"/>
      <c r="F3698" s="18"/>
      <c r="G3698" s="18"/>
      <c r="H3698" s="18"/>
    </row>
    <row r="3699" spans="1:8" x14ac:dyDescent="0.2">
      <c r="A3699" s="17"/>
      <c r="B3699" s="17"/>
      <c r="C3699" s="18"/>
      <c r="D3699" s="18"/>
      <c r="E3699" s="18"/>
      <c r="F3699" s="18"/>
      <c r="G3699" s="18"/>
      <c r="H3699" s="18"/>
    </row>
    <row r="3700" spans="1:8" x14ac:dyDescent="0.2">
      <c r="A3700" s="17"/>
      <c r="B3700" s="17"/>
      <c r="C3700" s="18"/>
      <c r="D3700" s="18"/>
      <c r="E3700" s="18"/>
      <c r="F3700" s="18"/>
      <c r="G3700" s="18"/>
      <c r="H3700" s="18"/>
    </row>
    <row r="3701" spans="1:8" x14ac:dyDescent="0.2">
      <c r="A3701" s="17"/>
      <c r="B3701" s="17"/>
      <c r="C3701" s="18"/>
      <c r="D3701" s="18"/>
      <c r="E3701" s="18"/>
      <c r="F3701" s="18"/>
      <c r="G3701" s="18"/>
      <c r="H3701" s="18"/>
    </row>
    <row r="3702" spans="1:8" x14ac:dyDescent="0.2">
      <c r="A3702" s="17"/>
      <c r="B3702" s="17"/>
      <c r="C3702" s="18"/>
      <c r="D3702" s="18"/>
      <c r="E3702" s="18"/>
      <c r="F3702" s="18"/>
      <c r="G3702" s="18"/>
      <c r="H3702" s="18"/>
    </row>
    <row r="3703" spans="1:8" x14ac:dyDescent="0.2">
      <c r="A3703" s="17"/>
      <c r="B3703" s="17"/>
      <c r="C3703" s="18"/>
      <c r="D3703" s="18"/>
      <c r="E3703" s="18"/>
      <c r="F3703" s="18"/>
      <c r="G3703" s="18"/>
      <c r="H3703" s="18"/>
    </row>
    <row r="3704" spans="1:8" x14ac:dyDescent="0.2">
      <c r="A3704" s="17"/>
      <c r="B3704" s="17"/>
      <c r="C3704" s="18"/>
      <c r="D3704" s="18"/>
      <c r="E3704" s="18"/>
      <c r="F3704" s="18"/>
      <c r="G3704" s="18"/>
      <c r="H3704" s="18"/>
    </row>
    <row r="3705" spans="1:8" x14ac:dyDescent="0.2">
      <c r="A3705" s="17"/>
      <c r="B3705" s="17"/>
      <c r="C3705" s="18"/>
      <c r="D3705" s="18"/>
      <c r="E3705" s="18"/>
      <c r="F3705" s="18"/>
      <c r="G3705" s="18"/>
      <c r="H3705" s="18"/>
    </row>
    <row r="3706" spans="1:8" x14ac:dyDescent="0.2">
      <c r="A3706" s="17"/>
      <c r="B3706" s="17"/>
      <c r="C3706" s="18"/>
      <c r="D3706" s="18"/>
      <c r="E3706" s="18"/>
      <c r="F3706" s="18"/>
      <c r="G3706" s="18"/>
      <c r="H3706" s="18"/>
    </row>
    <row r="3707" spans="1:8" x14ac:dyDescent="0.2">
      <c r="A3707" s="17"/>
      <c r="B3707" s="17"/>
      <c r="C3707" s="18"/>
      <c r="D3707" s="18"/>
      <c r="E3707" s="18"/>
      <c r="F3707" s="18"/>
      <c r="G3707" s="18"/>
      <c r="H3707" s="18"/>
    </row>
    <row r="3708" spans="1:8" x14ac:dyDescent="0.2">
      <c r="A3708" s="17"/>
      <c r="B3708" s="17"/>
      <c r="C3708" s="18"/>
      <c r="D3708" s="18"/>
      <c r="E3708" s="18"/>
      <c r="F3708" s="18"/>
      <c r="G3708" s="18"/>
      <c r="H3708" s="18"/>
    </row>
    <row r="3709" spans="1:8" x14ac:dyDescent="0.2">
      <c r="A3709" s="17"/>
      <c r="B3709" s="17"/>
      <c r="C3709" s="18"/>
      <c r="D3709" s="18"/>
      <c r="E3709" s="18"/>
      <c r="F3709" s="18"/>
      <c r="G3709" s="18"/>
      <c r="H3709" s="18"/>
    </row>
    <row r="3710" spans="1:8" x14ac:dyDescent="0.2">
      <c r="A3710" s="17"/>
      <c r="B3710" s="17"/>
      <c r="C3710" s="18"/>
      <c r="D3710" s="18"/>
      <c r="E3710" s="18"/>
      <c r="F3710" s="18"/>
      <c r="G3710" s="18"/>
      <c r="H3710" s="18"/>
    </row>
    <row r="3711" spans="1:8" x14ac:dyDescent="0.2">
      <c r="A3711" s="17"/>
      <c r="B3711" s="17"/>
      <c r="C3711" s="18"/>
      <c r="D3711" s="18"/>
      <c r="E3711" s="18"/>
      <c r="F3711" s="18"/>
      <c r="G3711" s="18"/>
      <c r="H3711" s="18"/>
    </row>
    <row r="3712" spans="1:8" x14ac:dyDescent="0.2">
      <c r="A3712" s="17"/>
      <c r="B3712" s="17"/>
      <c r="C3712" s="18"/>
      <c r="D3712" s="18"/>
      <c r="E3712" s="18"/>
      <c r="F3712" s="18"/>
      <c r="G3712" s="18"/>
      <c r="H3712" s="18"/>
    </row>
    <row r="3713" spans="1:8" x14ac:dyDescent="0.2">
      <c r="A3713" s="17"/>
      <c r="B3713" s="17"/>
      <c r="C3713" s="18"/>
      <c r="D3713" s="18"/>
      <c r="E3713" s="18"/>
      <c r="F3713" s="18"/>
      <c r="G3713" s="18"/>
      <c r="H3713" s="18"/>
    </row>
    <row r="3714" spans="1:8" x14ac:dyDescent="0.2">
      <c r="A3714" s="17"/>
      <c r="B3714" s="17"/>
      <c r="C3714" s="18"/>
      <c r="D3714" s="18"/>
      <c r="E3714" s="18"/>
      <c r="F3714" s="18"/>
      <c r="G3714" s="18"/>
      <c r="H3714" s="18"/>
    </row>
    <row r="3715" spans="1:8" x14ac:dyDescent="0.2">
      <c r="A3715" s="17"/>
      <c r="B3715" s="17"/>
      <c r="C3715" s="18"/>
      <c r="D3715" s="18"/>
      <c r="E3715" s="18"/>
      <c r="F3715" s="18"/>
      <c r="G3715" s="18"/>
      <c r="H3715" s="18"/>
    </row>
    <row r="3716" spans="1:8" x14ac:dyDescent="0.2">
      <c r="A3716" s="17"/>
      <c r="B3716" s="17"/>
      <c r="C3716" s="18"/>
      <c r="D3716" s="18"/>
      <c r="E3716" s="18"/>
      <c r="F3716" s="18"/>
      <c r="G3716" s="18"/>
      <c r="H3716" s="18"/>
    </row>
    <row r="3717" spans="1:8" x14ac:dyDescent="0.2">
      <c r="A3717" s="17"/>
      <c r="B3717" s="17"/>
      <c r="C3717" s="18"/>
      <c r="D3717" s="18"/>
      <c r="E3717" s="18"/>
      <c r="F3717" s="18"/>
      <c r="G3717" s="18"/>
      <c r="H3717" s="18"/>
    </row>
    <row r="3718" spans="1:8" x14ac:dyDescent="0.2">
      <c r="A3718" s="17"/>
      <c r="B3718" s="17"/>
      <c r="C3718" s="18"/>
      <c r="D3718" s="18"/>
      <c r="E3718" s="18"/>
      <c r="F3718" s="18"/>
      <c r="G3718" s="18"/>
      <c r="H3718" s="18"/>
    </row>
    <row r="3719" spans="1:8" x14ac:dyDescent="0.2">
      <c r="A3719" s="17"/>
      <c r="B3719" s="17"/>
      <c r="C3719" s="18"/>
      <c r="D3719" s="18"/>
      <c r="E3719" s="18"/>
      <c r="F3719" s="18"/>
      <c r="G3719" s="18"/>
      <c r="H3719" s="18"/>
    </row>
    <row r="3720" spans="1:8" x14ac:dyDescent="0.2">
      <c r="A3720" s="17"/>
      <c r="B3720" s="17"/>
      <c r="C3720" s="18"/>
      <c r="D3720" s="18"/>
      <c r="E3720" s="18"/>
      <c r="F3720" s="18"/>
      <c r="G3720" s="18"/>
      <c r="H3720" s="18"/>
    </row>
    <row r="3721" spans="1:8" x14ac:dyDescent="0.2">
      <c r="A3721" s="17"/>
      <c r="B3721" s="17"/>
      <c r="C3721" s="18"/>
      <c r="D3721" s="18"/>
      <c r="E3721" s="18"/>
      <c r="F3721" s="18"/>
      <c r="G3721" s="18"/>
      <c r="H3721" s="18"/>
    </row>
    <row r="3722" spans="1:8" x14ac:dyDescent="0.2">
      <c r="A3722" s="17"/>
      <c r="B3722" s="17"/>
      <c r="C3722" s="18"/>
      <c r="D3722" s="18"/>
      <c r="E3722" s="18"/>
      <c r="F3722" s="18"/>
      <c r="G3722" s="18"/>
      <c r="H3722" s="18"/>
    </row>
    <row r="3723" spans="1:8" x14ac:dyDescent="0.2">
      <c r="A3723" s="17"/>
      <c r="B3723" s="17"/>
      <c r="C3723" s="18"/>
      <c r="D3723" s="18"/>
      <c r="E3723" s="18"/>
      <c r="F3723" s="18"/>
      <c r="G3723" s="18"/>
      <c r="H3723" s="18"/>
    </row>
    <row r="3724" spans="1:8" x14ac:dyDescent="0.2">
      <c r="A3724" s="17"/>
      <c r="B3724" s="17"/>
      <c r="C3724" s="18"/>
      <c r="D3724" s="18"/>
      <c r="E3724" s="18"/>
      <c r="F3724" s="18"/>
      <c r="G3724" s="18"/>
      <c r="H3724" s="18"/>
    </row>
    <row r="3725" spans="1:8" x14ac:dyDescent="0.2">
      <c r="A3725" s="17"/>
      <c r="B3725" s="17"/>
      <c r="C3725" s="18"/>
      <c r="D3725" s="18"/>
      <c r="E3725" s="18"/>
      <c r="F3725" s="18"/>
      <c r="G3725" s="18"/>
      <c r="H3725" s="18"/>
    </row>
    <row r="3726" spans="1:8" x14ac:dyDescent="0.2">
      <c r="A3726" s="17"/>
      <c r="B3726" s="17"/>
      <c r="C3726" s="18"/>
      <c r="D3726" s="18"/>
      <c r="E3726" s="18"/>
      <c r="F3726" s="18"/>
      <c r="G3726" s="18"/>
      <c r="H3726" s="18"/>
    </row>
    <row r="3727" spans="1:8" x14ac:dyDescent="0.2">
      <c r="A3727" s="17"/>
      <c r="B3727" s="17"/>
      <c r="C3727" s="18"/>
      <c r="D3727" s="18"/>
      <c r="E3727" s="18"/>
      <c r="F3727" s="18"/>
      <c r="G3727" s="18"/>
      <c r="H3727" s="18"/>
    </row>
    <row r="3728" spans="1:8" x14ac:dyDescent="0.2">
      <c r="A3728" s="17"/>
      <c r="B3728" s="17"/>
      <c r="C3728" s="18"/>
      <c r="D3728" s="18"/>
      <c r="E3728" s="18"/>
      <c r="F3728" s="18"/>
      <c r="G3728" s="18"/>
      <c r="H3728" s="18"/>
    </row>
    <row r="3729" spans="1:8" x14ac:dyDescent="0.2">
      <c r="A3729" s="17"/>
      <c r="B3729" s="17"/>
      <c r="C3729" s="18"/>
      <c r="D3729" s="18"/>
      <c r="E3729" s="18"/>
      <c r="F3729" s="18"/>
      <c r="G3729" s="18"/>
      <c r="H3729" s="18"/>
    </row>
    <row r="3730" spans="1:8" x14ac:dyDescent="0.2">
      <c r="A3730" s="17"/>
      <c r="B3730" s="17"/>
      <c r="C3730" s="18"/>
      <c r="D3730" s="18"/>
      <c r="E3730" s="18"/>
      <c r="F3730" s="18"/>
      <c r="G3730" s="18"/>
      <c r="H3730" s="18"/>
    </row>
    <row r="3731" spans="1:8" x14ac:dyDescent="0.2">
      <c r="A3731" s="17"/>
      <c r="B3731" s="17"/>
      <c r="C3731" s="18"/>
      <c r="D3731" s="18"/>
      <c r="E3731" s="18"/>
      <c r="F3731" s="18"/>
      <c r="G3731" s="18"/>
      <c r="H3731" s="18"/>
    </row>
    <row r="3732" spans="1:8" x14ac:dyDescent="0.2">
      <c r="A3732" s="17"/>
      <c r="B3732" s="17"/>
      <c r="C3732" s="18"/>
      <c r="D3732" s="18"/>
      <c r="E3732" s="18"/>
      <c r="F3732" s="18"/>
      <c r="G3732" s="18"/>
      <c r="H3732" s="18"/>
    </row>
    <row r="3733" spans="1:8" x14ac:dyDescent="0.2">
      <c r="A3733" s="17"/>
      <c r="B3733" s="17"/>
      <c r="C3733" s="18"/>
      <c r="D3733" s="18"/>
      <c r="E3733" s="18"/>
      <c r="F3733" s="18"/>
      <c r="G3733" s="18"/>
      <c r="H3733" s="18"/>
    </row>
    <row r="3734" spans="1:8" x14ac:dyDescent="0.2">
      <c r="A3734" s="17"/>
      <c r="B3734" s="17"/>
      <c r="C3734" s="18"/>
      <c r="D3734" s="18"/>
      <c r="E3734" s="18"/>
      <c r="F3734" s="18"/>
      <c r="G3734" s="18"/>
      <c r="H3734" s="18"/>
    </row>
    <row r="3735" spans="1:8" x14ac:dyDescent="0.2">
      <c r="A3735" s="17"/>
      <c r="B3735" s="17"/>
      <c r="C3735" s="18"/>
      <c r="D3735" s="18"/>
      <c r="E3735" s="18"/>
      <c r="F3735" s="18"/>
      <c r="G3735" s="18"/>
      <c r="H3735" s="18"/>
    </row>
    <row r="3736" spans="1:8" x14ac:dyDescent="0.2">
      <c r="A3736" s="17"/>
      <c r="B3736" s="17"/>
      <c r="C3736" s="18"/>
      <c r="D3736" s="18"/>
      <c r="E3736" s="18"/>
      <c r="F3736" s="18"/>
      <c r="G3736" s="18"/>
      <c r="H3736" s="18"/>
    </row>
    <row r="3737" spans="1:8" x14ac:dyDescent="0.2">
      <c r="A3737" s="17"/>
      <c r="B3737" s="17"/>
      <c r="C3737" s="18"/>
      <c r="D3737" s="18"/>
      <c r="E3737" s="18"/>
      <c r="F3737" s="18"/>
      <c r="G3737" s="18"/>
      <c r="H3737" s="18"/>
    </row>
    <row r="3738" spans="1:8" x14ac:dyDescent="0.2">
      <c r="A3738" s="17"/>
      <c r="B3738" s="17"/>
      <c r="C3738" s="18"/>
      <c r="D3738" s="18"/>
      <c r="E3738" s="18"/>
      <c r="F3738" s="18"/>
      <c r="G3738" s="18"/>
      <c r="H3738" s="18"/>
    </row>
    <row r="3739" spans="1:8" x14ac:dyDescent="0.2">
      <c r="A3739" s="17"/>
      <c r="B3739" s="17"/>
      <c r="C3739" s="18"/>
      <c r="D3739" s="18"/>
      <c r="E3739" s="18"/>
      <c r="F3739" s="18"/>
      <c r="G3739" s="18"/>
      <c r="H3739" s="18"/>
    </row>
    <row r="3740" spans="1:8" x14ac:dyDescent="0.2">
      <c r="A3740" s="17"/>
      <c r="B3740" s="17"/>
      <c r="C3740" s="18"/>
      <c r="D3740" s="18"/>
      <c r="E3740" s="18"/>
      <c r="F3740" s="18"/>
      <c r="G3740" s="18"/>
      <c r="H3740" s="18"/>
    </row>
    <row r="3741" spans="1:8" x14ac:dyDescent="0.2">
      <c r="A3741" s="17"/>
      <c r="B3741" s="17"/>
      <c r="C3741" s="18"/>
      <c r="D3741" s="18"/>
      <c r="E3741" s="18"/>
      <c r="F3741" s="18"/>
      <c r="G3741" s="18"/>
      <c r="H3741" s="18"/>
    </row>
    <row r="3742" spans="1:8" x14ac:dyDescent="0.2">
      <c r="A3742" s="17"/>
      <c r="B3742" s="17"/>
      <c r="C3742" s="18"/>
      <c r="D3742" s="18"/>
      <c r="E3742" s="18"/>
      <c r="F3742" s="18"/>
      <c r="G3742" s="18"/>
      <c r="H3742" s="18"/>
    </row>
    <row r="3743" spans="1:8" x14ac:dyDescent="0.2">
      <c r="A3743" s="17"/>
      <c r="B3743" s="17"/>
      <c r="C3743" s="18"/>
      <c r="D3743" s="18"/>
      <c r="E3743" s="18"/>
      <c r="F3743" s="18"/>
      <c r="G3743" s="18"/>
      <c r="H3743" s="18"/>
    </row>
    <row r="3744" spans="1:8" x14ac:dyDescent="0.2">
      <c r="A3744" s="17"/>
      <c r="B3744" s="17"/>
      <c r="C3744" s="18"/>
      <c r="D3744" s="18"/>
      <c r="E3744" s="18"/>
      <c r="F3744" s="18"/>
      <c r="G3744" s="18"/>
      <c r="H3744" s="18"/>
    </row>
    <row r="3745" spans="1:8" x14ac:dyDescent="0.2">
      <c r="A3745" s="17"/>
      <c r="B3745" s="17"/>
      <c r="C3745" s="18"/>
      <c r="D3745" s="18"/>
      <c r="E3745" s="18"/>
      <c r="F3745" s="18"/>
      <c r="G3745" s="18"/>
      <c r="H3745" s="18"/>
    </row>
    <row r="3746" spans="1:8" x14ac:dyDescent="0.2">
      <c r="A3746" s="17"/>
      <c r="B3746" s="17"/>
      <c r="C3746" s="18"/>
      <c r="D3746" s="18"/>
      <c r="E3746" s="18"/>
      <c r="F3746" s="18"/>
      <c r="G3746" s="18"/>
      <c r="H3746" s="18"/>
    </row>
    <row r="3747" spans="1:8" x14ac:dyDescent="0.2">
      <c r="A3747" s="17"/>
      <c r="B3747" s="17"/>
      <c r="C3747" s="18"/>
      <c r="D3747" s="18"/>
      <c r="E3747" s="18"/>
      <c r="F3747" s="18"/>
      <c r="G3747" s="18"/>
      <c r="H3747" s="18"/>
    </row>
    <row r="3748" spans="1:8" x14ac:dyDescent="0.2">
      <c r="A3748" s="17"/>
      <c r="B3748" s="17"/>
      <c r="C3748" s="18"/>
      <c r="D3748" s="18"/>
      <c r="E3748" s="18"/>
      <c r="F3748" s="18"/>
      <c r="G3748" s="18"/>
      <c r="H3748" s="18"/>
    </row>
    <row r="3749" spans="1:8" x14ac:dyDescent="0.2">
      <c r="A3749" s="17"/>
      <c r="B3749" s="17"/>
      <c r="C3749" s="18"/>
      <c r="D3749" s="18"/>
      <c r="E3749" s="18"/>
      <c r="F3749" s="18"/>
      <c r="G3749" s="18"/>
      <c r="H3749" s="18"/>
    </row>
    <row r="3750" spans="1:8" x14ac:dyDescent="0.2">
      <c r="A3750" s="17"/>
      <c r="B3750" s="17"/>
      <c r="C3750" s="18"/>
      <c r="D3750" s="18"/>
      <c r="E3750" s="18"/>
      <c r="F3750" s="18"/>
      <c r="G3750" s="18"/>
      <c r="H3750" s="18"/>
    </row>
    <row r="3751" spans="1:8" x14ac:dyDescent="0.2">
      <c r="A3751" s="17"/>
      <c r="B3751" s="17"/>
      <c r="C3751" s="18"/>
      <c r="D3751" s="18"/>
      <c r="E3751" s="18"/>
      <c r="F3751" s="18"/>
      <c r="G3751" s="18"/>
      <c r="H3751" s="18"/>
    </row>
    <row r="3752" spans="1:8" x14ac:dyDescent="0.2">
      <c r="A3752" s="17"/>
      <c r="B3752" s="17"/>
      <c r="C3752" s="18"/>
      <c r="D3752" s="18"/>
      <c r="E3752" s="18"/>
      <c r="F3752" s="18"/>
      <c r="G3752" s="18"/>
      <c r="H3752" s="18"/>
    </row>
    <row r="3753" spans="1:8" x14ac:dyDescent="0.2">
      <c r="A3753" s="17"/>
      <c r="B3753" s="17"/>
      <c r="C3753" s="18"/>
      <c r="D3753" s="18"/>
      <c r="E3753" s="18"/>
      <c r="F3753" s="18"/>
      <c r="G3753" s="18"/>
      <c r="H3753" s="18"/>
    </row>
    <row r="3754" spans="1:8" x14ac:dyDescent="0.2">
      <c r="A3754" s="17"/>
      <c r="B3754" s="17"/>
      <c r="C3754" s="18"/>
      <c r="D3754" s="18"/>
      <c r="E3754" s="18"/>
      <c r="F3754" s="18"/>
      <c r="G3754" s="18"/>
      <c r="H3754" s="18"/>
    </row>
    <row r="3755" spans="1:8" x14ac:dyDescent="0.2">
      <c r="A3755" s="17"/>
      <c r="B3755" s="17"/>
      <c r="C3755" s="18"/>
      <c r="D3755" s="18"/>
      <c r="E3755" s="18"/>
      <c r="F3755" s="18"/>
      <c r="G3755" s="18"/>
      <c r="H3755" s="18"/>
    </row>
    <row r="3756" spans="1:8" x14ac:dyDescent="0.2">
      <c r="A3756" s="17"/>
      <c r="B3756" s="17"/>
      <c r="C3756" s="18"/>
      <c r="D3756" s="18"/>
      <c r="E3756" s="18"/>
      <c r="F3756" s="18"/>
      <c r="G3756" s="18"/>
      <c r="H3756" s="18"/>
    </row>
    <row r="3757" spans="1:8" x14ac:dyDescent="0.2">
      <c r="A3757" s="17"/>
      <c r="B3757" s="17"/>
      <c r="C3757" s="18"/>
      <c r="D3757" s="18"/>
      <c r="E3757" s="18"/>
      <c r="F3757" s="18"/>
      <c r="G3757" s="18"/>
      <c r="H3757" s="18"/>
    </row>
    <row r="3758" spans="1:8" x14ac:dyDescent="0.2">
      <c r="A3758" s="17"/>
      <c r="B3758" s="17"/>
      <c r="C3758" s="18"/>
      <c r="D3758" s="18"/>
      <c r="E3758" s="18"/>
      <c r="F3758" s="18"/>
      <c r="G3758" s="18"/>
      <c r="H3758" s="18"/>
    </row>
    <row r="3759" spans="1:8" x14ac:dyDescent="0.2">
      <c r="A3759" s="17"/>
      <c r="B3759" s="17"/>
      <c r="C3759" s="18"/>
      <c r="D3759" s="18"/>
      <c r="E3759" s="18"/>
      <c r="F3759" s="18"/>
      <c r="G3759" s="18"/>
      <c r="H3759" s="18"/>
    </row>
    <row r="3760" spans="1:8" x14ac:dyDescent="0.2">
      <c r="A3760" s="17"/>
      <c r="B3760" s="17"/>
      <c r="C3760" s="18"/>
      <c r="D3760" s="18"/>
      <c r="E3760" s="18"/>
      <c r="F3760" s="18"/>
      <c r="G3760" s="18"/>
      <c r="H3760" s="18"/>
    </row>
    <row r="3761" spans="1:8" x14ac:dyDescent="0.2">
      <c r="A3761" s="17"/>
      <c r="B3761" s="17"/>
      <c r="C3761" s="18"/>
      <c r="D3761" s="18"/>
      <c r="E3761" s="18"/>
      <c r="F3761" s="18"/>
      <c r="G3761" s="18"/>
      <c r="H3761" s="18"/>
    </row>
    <row r="3762" spans="1:8" x14ac:dyDescent="0.2">
      <c r="A3762" s="17"/>
      <c r="B3762" s="17"/>
      <c r="C3762" s="18"/>
      <c r="D3762" s="18"/>
      <c r="E3762" s="18"/>
      <c r="F3762" s="18"/>
      <c r="G3762" s="18"/>
      <c r="H3762" s="18"/>
    </row>
    <row r="3763" spans="1:8" x14ac:dyDescent="0.2">
      <c r="A3763" s="17"/>
      <c r="B3763" s="17"/>
      <c r="C3763" s="18"/>
      <c r="D3763" s="18"/>
      <c r="E3763" s="18"/>
      <c r="F3763" s="18"/>
      <c r="G3763" s="18"/>
      <c r="H3763" s="18"/>
    </row>
    <row r="3764" spans="1:8" x14ac:dyDescent="0.2">
      <c r="A3764" s="17"/>
      <c r="B3764" s="17"/>
      <c r="C3764" s="18"/>
      <c r="D3764" s="18"/>
      <c r="E3764" s="18"/>
      <c r="F3764" s="18"/>
      <c r="G3764" s="18"/>
      <c r="H3764" s="18"/>
    </row>
    <row r="3765" spans="1:8" x14ac:dyDescent="0.2">
      <c r="A3765" s="17"/>
      <c r="B3765" s="17"/>
      <c r="C3765" s="18"/>
      <c r="D3765" s="18"/>
      <c r="E3765" s="18"/>
      <c r="F3765" s="18"/>
      <c r="G3765" s="18"/>
      <c r="H3765" s="18"/>
    </row>
    <row r="3766" spans="1:8" x14ac:dyDescent="0.2">
      <c r="A3766" s="17"/>
      <c r="B3766" s="17"/>
      <c r="C3766" s="18"/>
      <c r="D3766" s="18"/>
      <c r="E3766" s="18"/>
      <c r="F3766" s="18"/>
      <c r="G3766" s="18"/>
      <c r="H3766" s="18"/>
    </row>
    <row r="3767" spans="1:8" x14ac:dyDescent="0.2">
      <c r="A3767" s="17"/>
      <c r="B3767" s="17"/>
      <c r="C3767" s="18"/>
      <c r="D3767" s="18"/>
      <c r="E3767" s="18"/>
      <c r="F3767" s="18"/>
      <c r="G3767" s="18"/>
      <c r="H3767" s="18"/>
    </row>
    <row r="3768" spans="1:8" x14ac:dyDescent="0.2">
      <c r="A3768" s="17"/>
      <c r="B3768" s="17"/>
      <c r="C3768" s="18"/>
      <c r="D3768" s="18"/>
      <c r="E3768" s="18"/>
      <c r="F3768" s="18"/>
      <c r="G3768" s="18"/>
      <c r="H3768" s="18"/>
    </row>
    <row r="3769" spans="1:8" x14ac:dyDescent="0.2">
      <c r="A3769" s="17"/>
      <c r="B3769" s="17"/>
      <c r="C3769" s="18"/>
      <c r="D3769" s="18"/>
      <c r="E3769" s="18"/>
      <c r="F3769" s="18"/>
      <c r="G3769" s="18"/>
      <c r="H3769" s="18"/>
    </row>
    <row r="3770" spans="1:8" x14ac:dyDescent="0.2">
      <c r="A3770" s="17"/>
      <c r="B3770" s="17"/>
      <c r="C3770" s="18"/>
      <c r="D3770" s="18"/>
      <c r="E3770" s="18"/>
      <c r="F3770" s="18"/>
      <c r="G3770" s="18"/>
      <c r="H3770" s="18"/>
    </row>
    <row r="3771" spans="1:8" x14ac:dyDescent="0.2">
      <c r="A3771" s="17"/>
      <c r="B3771" s="17"/>
      <c r="C3771" s="18"/>
      <c r="D3771" s="18"/>
      <c r="E3771" s="18"/>
      <c r="F3771" s="18"/>
      <c r="G3771" s="18"/>
      <c r="H3771" s="18"/>
    </row>
    <row r="3772" spans="1:8" x14ac:dyDescent="0.2">
      <c r="A3772" s="17"/>
      <c r="B3772" s="17"/>
      <c r="C3772" s="18"/>
      <c r="D3772" s="18"/>
      <c r="E3772" s="18"/>
      <c r="F3772" s="18"/>
      <c r="G3772" s="18"/>
      <c r="H3772" s="18"/>
    </row>
    <row r="3773" spans="1:8" x14ac:dyDescent="0.2">
      <c r="A3773" s="17"/>
      <c r="B3773" s="17"/>
      <c r="C3773" s="18"/>
      <c r="D3773" s="18"/>
      <c r="E3773" s="18"/>
      <c r="F3773" s="18"/>
      <c r="G3773" s="18"/>
      <c r="H3773" s="18"/>
    </row>
    <row r="3774" spans="1:8" x14ac:dyDescent="0.2">
      <c r="A3774" s="17"/>
      <c r="B3774" s="17"/>
      <c r="C3774" s="18"/>
      <c r="D3774" s="18"/>
      <c r="E3774" s="18"/>
      <c r="F3774" s="18"/>
      <c r="G3774" s="18"/>
      <c r="H3774" s="18"/>
    </row>
    <row r="3775" spans="1:8" x14ac:dyDescent="0.2">
      <c r="A3775" s="17"/>
      <c r="B3775" s="17"/>
      <c r="C3775" s="18"/>
      <c r="D3775" s="18"/>
      <c r="E3775" s="18"/>
      <c r="F3775" s="18"/>
      <c r="G3775" s="18"/>
      <c r="H3775" s="18"/>
    </row>
    <row r="3776" spans="1:8" x14ac:dyDescent="0.2">
      <c r="A3776" s="17"/>
      <c r="B3776" s="17"/>
      <c r="C3776" s="18"/>
      <c r="D3776" s="18"/>
      <c r="E3776" s="18"/>
      <c r="F3776" s="18"/>
      <c r="G3776" s="18"/>
      <c r="H3776" s="18"/>
    </row>
    <row r="3777" spans="1:8" x14ac:dyDescent="0.2">
      <c r="A3777" s="17"/>
      <c r="B3777" s="17"/>
      <c r="C3777" s="18"/>
      <c r="D3777" s="18"/>
      <c r="E3777" s="18"/>
      <c r="F3777" s="18"/>
      <c r="G3777" s="18"/>
      <c r="H3777" s="18"/>
    </row>
    <row r="3778" spans="1:8" x14ac:dyDescent="0.2">
      <c r="A3778" s="17"/>
      <c r="B3778" s="17"/>
      <c r="C3778" s="18"/>
      <c r="D3778" s="18"/>
      <c r="E3778" s="18"/>
      <c r="F3778" s="18"/>
      <c r="G3778" s="18"/>
      <c r="H3778" s="18"/>
    </row>
    <row r="3779" spans="1:8" x14ac:dyDescent="0.2">
      <c r="A3779" s="17"/>
      <c r="B3779" s="17"/>
      <c r="C3779" s="18"/>
      <c r="D3779" s="18"/>
      <c r="E3779" s="18"/>
      <c r="F3779" s="18"/>
      <c r="G3779" s="18"/>
      <c r="H3779" s="18"/>
    </row>
    <row r="3780" spans="1:8" x14ac:dyDescent="0.2">
      <c r="A3780" s="17"/>
      <c r="B3780" s="17"/>
      <c r="C3780" s="18"/>
      <c r="D3780" s="18"/>
      <c r="E3780" s="18"/>
      <c r="F3780" s="18"/>
      <c r="G3780" s="18"/>
      <c r="H3780" s="18"/>
    </row>
    <row r="3781" spans="1:8" x14ac:dyDescent="0.2">
      <c r="A3781" s="17"/>
      <c r="B3781" s="17"/>
      <c r="C3781" s="18"/>
      <c r="D3781" s="18"/>
      <c r="E3781" s="18"/>
      <c r="F3781" s="18"/>
      <c r="G3781" s="18"/>
      <c r="H3781" s="18"/>
    </row>
    <row r="3782" spans="1:8" x14ac:dyDescent="0.2">
      <c r="A3782" s="17"/>
      <c r="B3782" s="17"/>
      <c r="C3782" s="18"/>
      <c r="D3782" s="18"/>
      <c r="E3782" s="18"/>
      <c r="F3782" s="18"/>
      <c r="G3782" s="18"/>
      <c r="H3782" s="18"/>
    </row>
    <row r="3783" spans="1:8" x14ac:dyDescent="0.2">
      <c r="A3783" s="17"/>
      <c r="B3783" s="17"/>
      <c r="C3783" s="18"/>
      <c r="D3783" s="18"/>
      <c r="E3783" s="18"/>
      <c r="F3783" s="18"/>
      <c r="G3783" s="18"/>
      <c r="H3783" s="18"/>
    </row>
    <row r="3784" spans="1:8" x14ac:dyDescent="0.2">
      <c r="A3784" s="17"/>
      <c r="B3784" s="17"/>
      <c r="C3784" s="18"/>
      <c r="D3784" s="18"/>
      <c r="E3784" s="18"/>
      <c r="F3784" s="18"/>
      <c r="G3784" s="18"/>
      <c r="H3784" s="18"/>
    </row>
    <row r="3785" spans="1:8" x14ac:dyDescent="0.2">
      <c r="A3785" s="17"/>
      <c r="B3785" s="17"/>
      <c r="C3785" s="18"/>
      <c r="D3785" s="18"/>
      <c r="E3785" s="18"/>
      <c r="F3785" s="18"/>
      <c r="G3785" s="18"/>
      <c r="H3785" s="18"/>
    </row>
    <row r="3786" spans="1:8" x14ac:dyDescent="0.2">
      <c r="A3786" s="17"/>
      <c r="B3786" s="17"/>
      <c r="C3786" s="18"/>
      <c r="D3786" s="18"/>
      <c r="E3786" s="18"/>
      <c r="F3786" s="18"/>
      <c r="G3786" s="18"/>
      <c r="H3786" s="18"/>
    </row>
    <row r="3787" spans="1:8" x14ac:dyDescent="0.2">
      <c r="A3787" s="17"/>
      <c r="B3787" s="17"/>
      <c r="C3787" s="18"/>
      <c r="D3787" s="18"/>
      <c r="E3787" s="18"/>
      <c r="F3787" s="18"/>
      <c r="G3787" s="18"/>
      <c r="H3787" s="18"/>
    </row>
    <row r="3788" spans="1:8" x14ac:dyDescent="0.2">
      <c r="A3788" s="17"/>
      <c r="B3788" s="17"/>
      <c r="C3788" s="18"/>
      <c r="D3788" s="18"/>
      <c r="E3788" s="18"/>
      <c r="F3788" s="18"/>
      <c r="G3788" s="18"/>
      <c r="H3788" s="18"/>
    </row>
    <row r="3789" spans="1:8" x14ac:dyDescent="0.2">
      <c r="A3789" s="17"/>
      <c r="B3789" s="17"/>
      <c r="C3789" s="18"/>
      <c r="D3789" s="18"/>
      <c r="E3789" s="18"/>
      <c r="F3789" s="18"/>
      <c r="G3789" s="18"/>
      <c r="H3789" s="18"/>
    </row>
    <row r="3790" spans="1:8" x14ac:dyDescent="0.2">
      <c r="A3790" s="17"/>
      <c r="B3790" s="17"/>
      <c r="C3790" s="18"/>
      <c r="D3790" s="18"/>
      <c r="E3790" s="18"/>
      <c r="F3790" s="18"/>
      <c r="G3790" s="18"/>
      <c r="H3790" s="18"/>
    </row>
    <row r="3791" spans="1:8" x14ac:dyDescent="0.2">
      <c r="A3791" s="17"/>
      <c r="B3791" s="17"/>
      <c r="C3791" s="18"/>
      <c r="D3791" s="18"/>
      <c r="E3791" s="18"/>
      <c r="F3791" s="18"/>
      <c r="G3791" s="18"/>
      <c r="H3791" s="18"/>
    </row>
    <row r="3792" spans="1:8" x14ac:dyDescent="0.2">
      <c r="A3792" s="17"/>
      <c r="B3792" s="17"/>
      <c r="C3792" s="18"/>
      <c r="D3792" s="18"/>
      <c r="E3792" s="18"/>
      <c r="F3792" s="18"/>
      <c r="G3792" s="18"/>
      <c r="H3792" s="18"/>
    </row>
    <row r="3793" spans="1:8" x14ac:dyDescent="0.2">
      <c r="A3793" s="17"/>
      <c r="B3793" s="17"/>
      <c r="C3793" s="18"/>
      <c r="D3793" s="18"/>
      <c r="E3793" s="18"/>
      <c r="F3793" s="18"/>
      <c r="G3793" s="18"/>
      <c r="H3793" s="18"/>
    </row>
    <row r="3794" spans="1:8" x14ac:dyDescent="0.2">
      <c r="A3794" s="17"/>
      <c r="B3794" s="17"/>
      <c r="C3794" s="18"/>
      <c r="D3794" s="18"/>
      <c r="E3794" s="18"/>
      <c r="F3794" s="18"/>
      <c r="G3794" s="18"/>
      <c r="H3794" s="18"/>
    </row>
    <row r="3795" spans="1:8" x14ac:dyDescent="0.2">
      <c r="A3795" s="17"/>
      <c r="B3795" s="17"/>
      <c r="C3795" s="18"/>
      <c r="D3795" s="18"/>
      <c r="E3795" s="18"/>
      <c r="F3795" s="18"/>
      <c r="G3795" s="18"/>
      <c r="H3795" s="18"/>
    </row>
    <row r="3796" spans="1:8" x14ac:dyDescent="0.2">
      <c r="A3796" s="17"/>
      <c r="B3796" s="17"/>
      <c r="C3796" s="18"/>
      <c r="D3796" s="18"/>
      <c r="E3796" s="18"/>
      <c r="F3796" s="18"/>
      <c r="G3796" s="18"/>
      <c r="H3796" s="18"/>
    </row>
    <row r="3797" spans="1:8" x14ac:dyDescent="0.2">
      <c r="A3797" s="17"/>
      <c r="B3797" s="17"/>
      <c r="C3797" s="18"/>
      <c r="D3797" s="18"/>
      <c r="E3797" s="18"/>
      <c r="F3797" s="18"/>
      <c r="G3797" s="18"/>
      <c r="H3797" s="18"/>
    </row>
    <row r="3798" spans="1:8" x14ac:dyDescent="0.2">
      <c r="A3798" s="17"/>
      <c r="B3798" s="17"/>
      <c r="C3798" s="18"/>
      <c r="D3798" s="18"/>
      <c r="E3798" s="18"/>
      <c r="F3798" s="18"/>
      <c r="G3798" s="18"/>
      <c r="H3798" s="18"/>
    </row>
    <row r="3799" spans="1:8" x14ac:dyDescent="0.2">
      <c r="A3799" s="17"/>
      <c r="B3799" s="17"/>
      <c r="C3799" s="18"/>
      <c r="D3799" s="18"/>
      <c r="E3799" s="18"/>
      <c r="F3799" s="18"/>
      <c r="G3799" s="18"/>
      <c r="H3799" s="18"/>
    </row>
    <row r="3800" spans="1:8" x14ac:dyDescent="0.2">
      <c r="A3800" s="17"/>
      <c r="B3800" s="17"/>
      <c r="C3800" s="18"/>
      <c r="D3800" s="18"/>
      <c r="E3800" s="18"/>
      <c r="F3800" s="18"/>
      <c r="G3800" s="18"/>
      <c r="H3800" s="18"/>
    </row>
    <row r="3801" spans="1:8" x14ac:dyDescent="0.2">
      <c r="A3801" s="17"/>
      <c r="B3801" s="17"/>
      <c r="C3801" s="18"/>
      <c r="D3801" s="18"/>
      <c r="E3801" s="18"/>
      <c r="F3801" s="18"/>
      <c r="G3801" s="18"/>
      <c r="H3801" s="18"/>
    </row>
    <row r="3802" spans="1:8" x14ac:dyDescent="0.2">
      <c r="A3802" s="17"/>
      <c r="B3802" s="17"/>
      <c r="C3802" s="18"/>
      <c r="D3802" s="18"/>
      <c r="E3802" s="18"/>
      <c r="F3802" s="18"/>
      <c r="G3802" s="18"/>
      <c r="H3802" s="18"/>
    </row>
    <row r="3803" spans="1:8" x14ac:dyDescent="0.2">
      <c r="A3803" s="17"/>
      <c r="B3803" s="17"/>
      <c r="C3803" s="18"/>
      <c r="D3803" s="18"/>
      <c r="E3803" s="18"/>
      <c r="F3803" s="18"/>
      <c r="G3803" s="18"/>
      <c r="H3803" s="18"/>
    </row>
    <row r="3804" spans="1:8" x14ac:dyDescent="0.2">
      <c r="A3804" s="17"/>
      <c r="B3804" s="17"/>
      <c r="C3804" s="18"/>
      <c r="D3804" s="18"/>
      <c r="E3804" s="18"/>
      <c r="F3804" s="18"/>
      <c r="G3804" s="18"/>
      <c r="H3804" s="18"/>
    </row>
    <row r="3805" spans="1:8" x14ac:dyDescent="0.2">
      <c r="A3805" s="17"/>
      <c r="B3805" s="17"/>
      <c r="C3805" s="18"/>
      <c r="D3805" s="18"/>
      <c r="E3805" s="18"/>
      <c r="F3805" s="18"/>
      <c r="G3805" s="18"/>
      <c r="H3805" s="18"/>
    </row>
    <row r="3806" spans="1:8" x14ac:dyDescent="0.2">
      <c r="A3806" s="17"/>
      <c r="B3806" s="17"/>
      <c r="C3806" s="18"/>
      <c r="D3806" s="18"/>
      <c r="E3806" s="18"/>
      <c r="F3806" s="18"/>
      <c r="G3806" s="18"/>
      <c r="H3806" s="18"/>
    </row>
    <row r="3807" spans="1:8" x14ac:dyDescent="0.2">
      <c r="A3807" s="17"/>
      <c r="B3807" s="17"/>
      <c r="C3807" s="18"/>
      <c r="D3807" s="18"/>
      <c r="E3807" s="18"/>
      <c r="F3807" s="18"/>
      <c r="G3807" s="18"/>
      <c r="H3807" s="18"/>
    </row>
    <row r="3808" spans="1:8" x14ac:dyDescent="0.2">
      <c r="A3808" s="17"/>
      <c r="B3808" s="17"/>
      <c r="C3808" s="18"/>
      <c r="D3808" s="18"/>
      <c r="E3808" s="18"/>
      <c r="F3808" s="18"/>
      <c r="G3808" s="18"/>
      <c r="H3808" s="18"/>
    </row>
    <row r="3809" spans="1:8" x14ac:dyDescent="0.2">
      <c r="A3809" s="17"/>
      <c r="B3809" s="17"/>
      <c r="C3809" s="18"/>
      <c r="D3809" s="18"/>
      <c r="E3809" s="18"/>
      <c r="F3809" s="18"/>
      <c r="G3809" s="18"/>
      <c r="H3809" s="18"/>
    </row>
    <row r="3810" spans="1:8" x14ac:dyDescent="0.2">
      <c r="A3810" s="17"/>
      <c r="B3810" s="17"/>
      <c r="C3810" s="18"/>
      <c r="D3810" s="18"/>
      <c r="E3810" s="18"/>
      <c r="F3810" s="18"/>
      <c r="G3810" s="18"/>
      <c r="H3810" s="18"/>
    </row>
    <row r="3811" spans="1:8" x14ac:dyDescent="0.2">
      <c r="A3811" s="17"/>
      <c r="B3811" s="17"/>
      <c r="C3811" s="18"/>
      <c r="D3811" s="18"/>
      <c r="E3811" s="18"/>
      <c r="F3811" s="18"/>
      <c r="G3811" s="18"/>
      <c r="H3811" s="18"/>
    </row>
    <row r="3812" spans="1:8" x14ac:dyDescent="0.2">
      <c r="A3812" s="17"/>
      <c r="B3812" s="17"/>
      <c r="C3812" s="18"/>
      <c r="D3812" s="18"/>
      <c r="E3812" s="18"/>
      <c r="F3812" s="18"/>
      <c r="G3812" s="18"/>
      <c r="H3812" s="18"/>
    </row>
    <row r="3813" spans="1:8" x14ac:dyDescent="0.2">
      <c r="A3813" s="17"/>
      <c r="B3813" s="17"/>
      <c r="C3813" s="18"/>
      <c r="D3813" s="18"/>
      <c r="E3813" s="18"/>
      <c r="F3813" s="18"/>
      <c r="G3813" s="18"/>
      <c r="H3813" s="18"/>
    </row>
    <row r="3814" spans="1:8" x14ac:dyDescent="0.2">
      <c r="A3814" s="17"/>
      <c r="B3814" s="17"/>
      <c r="C3814" s="18"/>
      <c r="D3814" s="18"/>
      <c r="E3814" s="18"/>
      <c r="F3814" s="18"/>
      <c r="G3814" s="18"/>
      <c r="H3814" s="18"/>
    </row>
    <row r="3815" spans="1:8" x14ac:dyDescent="0.2">
      <c r="A3815" s="17"/>
      <c r="B3815" s="17"/>
      <c r="C3815" s="18"/>
      <c r="D3815" s="18"/>
      <c r="E3815" s="18"/>
      <c r="F3815" s="18"/>
      <c r="G3815" s="18"/>
      <c r="H3815" s="18"/>
    </row>
    <row r="3816" spans="1:8" x14ac:dyDescent="0.2">
      <c r="A3816" s="17"/>
      <c r="B3816" s="17"/>
      <c r="C3816" s="18"/>
      <c r="D3816" s="18"/>
      <c r="E3816" s="18"/>
      <c r="F3816" s="18"/>
      <c r="G3816" s="18"/>
      <c r="H3816" s="18"/>
    </row>
    <row r="3817" spans="1:8" x14ac:dyDescent="0.2">
      <c r="A3817" s="17"/>
      <c r="B3817" s="17"/>
      <c r="C3817" s="18"/>
      <c r="D3817" s="18"/>
      <c r="E3817" s="18"/>
      <c r="F3817" s="18"/>
      <c r="G3817" s="18"/>
      <c r="H3817" s="18"/>
    </row>
    <row r="3818" spans="1:8" x14ac:dyDescent="0.2">
      <c r="A3818" s="17"/>
      <c r="B3818" s="17"/>
      <c r="C3818" s="18"/>
      <c r="D3818" s="18"/>
      <c r="E3818" s="18"/>
      <c r="F3818" s="18"/>
      <c r="G3818" s="18"/>
      <c r="H3818" s="18"/>
    </row>
    <row r="3819" spans="1:8" x14ac:dyDescent="0.2">
      <c r="A3819" s="17"/>
      <c r="B3819" s="17"/>
      <c r="C3819" s="18"/>
      <c r="D3819" s="18"/>
      <c r="E3819" s="18"/>
      <c r="F3819" s="18"/>
      <c r="G3819" s="18"/>
      <c r="H3819" s="18"/>
    </row>
    <row r="3820" spans="1:8" x14ac:dyDescent="0.2">
      <c r="A3820" s="17"/>
      <c r="B3820" s="17"/>
      <c r="C3820" s="18"/>
      <c r="D3820" s="18"/>
      <c r="E3820" s="18"/>
      <c r="F3820" s="18"/>
      <c r="G3820" s="18"/>
      <c r="H3820" s="18"/>
    </row>
    <row r="3821" spans="1:8" x14ac:dyDescent="0.2">
      <c r="A3821" s="17"/>
      <c r="B3821" s="17"/>
      <c r="C3821" s="18"/>
      <c r="D3821" s="18"/>
      <c r="E3821" s="18"/>
      <c r="F3821" s="18"/>
      <c r="G3821" s="18"/>
      <c r="H3821" s="18"/>
    </row>
    <row r="3822" spans="1:8" x14ac:dyDescent="0.2">
      <c r="A3822" s="17"/>
      <c r="B3822" s="17"/>
      <c r="C3822" s="18"/>
      <c r="D3822" s="18"/>
      <c r="E3822" s="18"/>
      <c r="F3822" s="18"/>
      <c r="G3822" s="18"/>
      <c r="H3822" s="18"/>
    </row>
    <row r="3823" spans="1:8" x14ac:dyDescent="0.2">
      <c r="A3823" s="17"/>
      <c r="B3823" s="17"/>
      <c r="C3823" s="18"/>
      <c r="D3823" s="18"/>
      <c r="E3823" s="18"/>
      <c r="F3823" s="18"/>
      <c r="G3823" s="18"/>
      <c r="H3823" s="18"/>
    </row>
    <row r="3824" spans="1:8" x14ac:dyDescent="0.2">
      <c r="A3824" s="17"/>
      <c r="B3824" s="17"/>
      <c r="C3824" s="18"/>
      <c r="D3824" s="18"/>
      <c r="E3824" s="18"/>
      <c r="F3824" s="18"/>
      <c r="G3824" s="18"/>
      <c r="H3824" s="18"/>
    </row>
    <row r="3825" spans="1:8" x14ac:dyDescent="0.2">
      <c r="A3825" s="17"/>
      <c r="B3825" s="17"/>
      <c r="C3825" s="18"/>
      <c r="D3825" s="18"/>
      <c r="E3825" s="18"/>
      <c r="F3825" s="18"/>
      <c r="G3825" s="18"/>
      <c r="H3825" s="18"/>
    </row>
    <row r="3826" spans="1:8" x14ac:dyDescent="0.2">
      <c r="A3826" s="17"/>
      <c r="B3826" s="17"/>
      <c r="C3826" s="18"/>
      <c r="D3826" s="18"/>
      <c r="E3826" s="18"/>
      <c r="F3826" s="18"/>
      <c r="G3826" s="18"/>
      <c r="H3826" s="18"/>
    </row>
    <row r="3827" spans="1:8" x14ac:dyDescent="0.2">
      <c r="A3827" s="17"/>
      <c r="B3827" s="17"/>
      <c r="C3827" s="18"/>
      <c r="D3827" s="18"/>
      <c r="E3827" s="18"/>
      <c r="F3827" s="18"/>
      <c r="G3827" s="18"/>
      <c r="H3827" s="18"/>
    </row>
    <row r="3828" spans="1:8" x14ac:dyDescent="0.2">
      <c r="A3828" s="17"/>
      <c r="B3828" s="17"/>
      <c r="C3828" s="18"/>
      <c r="D3828" s="18"/>
      <c r="E3828" s="18"/>
      <c r="F3828" s="18"/>
      <c r="G3828" s="18"/>
      <c r="H3828" s="18"/>
    </row>
    <row r="3829" spans="1:8" x14ac:dyDescent="0.2">
      <c r="A3829" s="17"/>
      <c r="B3829" s="17"/>
      <c r="C3829" s="18"/>
      <c r="D3829" s="18"/>
      <c r="E3829" s="18"/>
      <c r="F3829" s="18"/>
      <c r="G3829" s="18"/>
      <c r="H3829" s="18"/>
    </row>
    <row r="3830" spans="1:8" x14ac:dyDescent="0.2">
      <c r="A3830" s="17"/>
      <c r="B3830" s="17"/>
      <c r="C3830" s="18"/>
      <c r="D3830" s="18"/>
      <c r="E3830" s="18"/>
      <c r="F3830" s="18"/>
      <c r="G3830" s="18"/>
      <c r="H3830" s="18"/>
    </row>
    <row r="3831" spans="1:8" x14ac:dyDescent="0.2">
      <c r="A3831" s="17"/>
      <c r="B3831" s="17"/>
      <c r="C3831" s="18"/>
      <c r="D3831" s="18"/>
      <c r="E3831" s="18"/>
      <c r="F3831" s="18"/>
      <c r="G3831" s="18"/>
      <c r="H3831" s="18"/>
    </row>
    <row r="3832" spans="1:8" x14ac:dyDescent="0.2">
      <c r="A3832" s="17"/>
      <c r="B3832" s="17"/>
      <c r="C3832" s="18"/>
      <c r="D3832" s="18"/>
      <c r="E3832" s="18"/>
      <c r="F3832" s="18"/>
      <c r="G3832" s="18"/>
      <c r="H3832" s="18"/>
    </row>
    <row r="3833" spans="1:8" x14ac:dyDescent="0.2">
      <c r="A3833" s="17"/>
      <c r="B3833" s="17"/>
      <c r="C3833" s="18"/>
      <c r="D3833" s="18"/>
      <c r="E3833" s="18"/>
      <c r="F3833" s="18"/>
      <c r="G3833" s="18"/>
      <c r="H3833" s="18"/>
    </row>
    <row r="3834" spans="1:8" x14ac:dyDescent="0.2">
      <c r="A3834" s="17"/>
      <c r="B3834" s="17"/>
      <c r="C3834" s="18"/>
      <c r="D3834" s="18"/>
      <c r="E3834" s="18"/>
      <c r="F3834" s="18"/>
      <c r="G3834" s="18"/>
      <c r="H3834" s="18"/>
    </row>
    <row r="3835" spans="1:8" x14ac:dyDescent="0.2">
      <c r="A3835" s="17"/>
      <c r="B3835" s="17"/>
      <c r="C3835" s="18"/>
      <c r="D3835" s="18"/>
      <c r="E3835" s="18"/>
      <c r="F3835" s="18"/>
      <c r="G3835" s="18"/>
      <c r="H3835" s="18"/>
    </row>
    <row r="3836" spans="1:8" x14ac:dyDescent="0.2">
      <c r="A3836" s="17"/>
      <c r="B3836" s="17"/>
      <c r="C3836" s="18"/>
      <c r="D3836" s="18"/>
      <c r="E3836" s="18"/>
      <c r="F3836" s="18"/>
      <c r="G3836" s="18"/>
      <c r="H3836" s="18"/>
    </row>
    <row r="3837" spans="1:8" x14ac:dyDescent="0.2">
      <c r="A3837" s="17"/>
      <c r="B3837" s="17"/>
      <c r="C3837" s="18"/>
      <c r="D3837" s="18"/>
      <c r="E3837" s="18"/>
      <c r="F3837" s="18"/>
      <c r="G3837" s="18"/>
      <c r="H3837" s="18"/>
    </row>
    <row r="3838" spans="1:8" x14ac:dyDescent="0.2">
      <c r="A3838" s="17"/>
      <c r="B3838" s="17"/>
      <c r="C3838" s="18"/>
      <c r="D3838" s="18"/>
      <c r="E3838" s="18"/>
      <c r="F3838" s="18"/>
      <c r="G3838" s="18"/>
      <c r="H3838" s="18"/>
    </row>
    <row r="3839" spans="1:8" x14ac:dyDescent="0.2">
      <c r="A3839" s="17"/>
      <c r="B3839" s="17"/>
      <c r="C3839" s="18"/>
      <c r="D3839" s="18"/>
      <c r="E3839" s="18"/>
      <c r="F3839" s="18"/>
      <c r="G3839" s="18"/>
      <c r="H3839" s="18"/>
    </row>
    <row r="3840" spans="1:8" x14ac:dyDescent="0.2">
      <c r="A3840" s="17"/>
      <c r="B3840" s="17"/>
      <c r="C3840" s="18"/>
      <c r="D3840" s="18"/>
      <c r="E3840" s="18"/>
      <c r="F3840" s="18"/>
      <c r="G3840" s="18"/>
      <c r="H3840" s="18"/>
    </row>
    <row r="3841" spans="1:8" x14ac:dyDescent="0.2">
      <c r="A3841" s="17"/>
      <c r="B3841" s="17"/>
      <c r="C3841" s="18"/>
      <c r="D3841" s="18"/>
      <c r="E3841" s="18"/>
      <c r="F3841" s="18"/>
      <c r="G3841" s="18"/>
      <c r="H3841" s="18"/>
    </row>
    <row r="3842" spans="1:8" x14ac:dyDescent="0.2">
      <c r="A3842" s="17"/>
      <c r="B3842" s="17"/>
      <c r="C3842" s="18"/>
      <c r="D3842" s="18"/>
      <c r="E3842" s="18"/>
      <c r="F3842" s="18"/>
      <c r="G3842" s="18"/>
      <c r="H3842" s="18"/>
    </row>
    <row r="3843" spans="1:8" x14ac:dyDescent="0.2">
      <c r="A3843" s="17"/>
      <c r="B3843" s="17"/>
      <c r="C3843" s="18"/>
      <c r="D3843" s="18"/>
      <c r="E3843" s="18"/>
      <c r="F3843" s="18"/>
      <c r="G3843" s="18"/>
      <c r="H3843" s="18"/>
    </row>
    <row r="3844" spans="1:8" x14ac:dyDescent="0.2">
      <c r="A3844" s="17"/>
      <c r="B3844" s="17"/>
      <c r="C3844" s="18"/>
      <c r="D3844" s="18"/>
      <c r="E3844" s="18"/>
      <c r="F3844" s="18"/>
      <c r="G3844" s="18"/>
      <c r="H3844" s="18"/>
    </row>
    <row r="3845" spans="1:8" x14ac:dyDescent="0.2">
      <c r="A3845" s="17"/>
      <c r="B3845" s="17"/>
      <c r="C3845" s="18"/>
      <c r="D3845" s="18"/>
      <c r="E3845" s="18"/>
      <c r="F3845" s="18"/>
      <c r="G3845" s="18"/>
      <c r="H3845" s="18"/>
    </row>
    <row r="3846" spans="1:8" x14ac:dyDescent="0.2">
      <c r="A3846" s="17"/>
      <c r="B3846" s="17"/>
      <c r="C3846" s="18"/>
      <c r="D3846" s="18"/>
      <c r="E3846" s="18"/>
      <c r="F3846" s="18"/>
      <c r="G3846" s="18"/>
      <c r="H3846" s="18"/>
    </row>
    <row r="3847" spans="1:8" x14ac:dyDescent="0.2">
      <c r="A3847" s="17"/>
      <c r="B3847" s="17"/>
      <c r="C3847" s="18"/>
      <c r="D3847" s="18"/>
      <c r="E3847" s="18"/>
      <c r="F3847" s="18"/>
      <c r="G3847" s="18"/>
      <c r="H3847" s="18"/>
    </row>
    <row r="3848" spans="1:8" x14ac:dyDescent="0.2">
      <c r="A3848" s="17"/>
      <c r="B3848" s="17"/>
      <c r="C3848" s="18"/>
      <c r="D3848" s="18"/>
      <c r="E3848" s="18"/>
      <c r="F3848" s="18"/>
      <c r="G3848" s="18"/>
      <c r="H3848" s="18"/>
    </row>
    <row r="3849" spans="1:8" x14ac:dyDescent="0.2">
      <c r="A3849" s="17"/>
      <c r="B3849" s="17"/>
      <c r="C3849" s="18"/>
      <c r="D3849" s="18"/>
      <c r="E3849" s="18"/>
      <c r="F3849" s="18"/>
      <c r="G3849" s="18"/>
      <c r="H3849" s="18"/>
    </row>
    <row r="3850" spans="1:8" x14ac:dyDescent="0.2">
      <c r="A3850" s="17"/>
      <c r="B3850" s="17"/>
      <c r="C3850" s="18"/>
      <c r="D3850" s="18"/>
      <c r="E3850" s="18"/>
      <c r="F3850" s="18"/>
      <c r="G3850" s="18"/>
      <c r="H3850" s="18"/>
    </row>
    <row r="3851" spans="1:8" x14ac:dyDescent="0.2">
      <c r="A3851" s="17"/>
      <c r="B3851" s="17"/>
      <c r="C3851" s="18"/>
      <c r="D3851" s="18"/>
      <c r="E3851" s="18"/>
      <c r="F3851" s="18"/>
      <c r="G3851" s="18"/>
      <c r="H3851" s="18"/>
    </row>
    <row r="3852" spans="1:8" x14ac:dyDescent="0.2">
      <c r="A3852" s="17"/>
      <c r="B3852" s="17"/>
      <c r="C3852" s="18"/>
      <c r="D3852" s="18"/>
      <c r="E3852" s="18"/>
      <c r="F3852" s="18"/>
      <c r="G3852" s="18"/>
      <c r="H3852" s="18"/>
    </row>
    <row r="3853" spans="1:8" x14ac:dyDescent="0.2">
      <c r="A3853" s="17"/>
      <c r="B3853" s="17"/>
      <c r="C3853" s="18"/>
      <c r="D3853" s="18"/>
      <c r="E3853" s="18"/>
      <c r="F3853" s="18"/>
      <c r="G3853" s="18"/>
      <c r="H3853" s="18"/>
    </row>
    <row r="3854" spans="1:8" x14ac:dyDescent="0.2">
      <c r="A3854" s="17"/>
      <c r="B3854" s="17"/>
      <c r="C3854" s="18"/>
      <c r="D3854" s="18"/>
      <c r="E3854" s="18"/>
      <c r="F3854" s="18"/>
      <c r="G3854" s="18"/>
      <c r="H3854" s="18"/>
    </row>
    <row r="3855" spans="1:8" x14ac:dyDescent="0.2">
      <c r="A3855" s="17"/>
      <c r="B3855" s="17"/>
      <c r="C3855" s="18"/>
      <c r="D3855" s="18"/>
      <c r="E3855" s="18"/>
      <c r="F3855" s="18"/>
      <c r="G3855" s="18"/>
      <c r="H3855" s="18"/>
    </row>
    <row r="3856" spans="1:8" x14ac:dyDescent="0.2">
      <c r="A3856" s="17"/>
      <c r="B3856" s="17"/>
      <c r="C3856" s="18"/>
      <c r="D3856" s="18"/>
      <c r="E3856" s="18"/>
      <c r="F3856" s="18"/>
      <c r="G3856" s="18"/>
      <c r="H3856" s="18"/>
    </row>
    <row r="3857" spans="1:8" x14ac:dyDescent="0.2">
      <c r="A3857" s="17"/>
      <c r="B3857" s="17"/>
      <c r="C3857" s="18"/>
      <c r="D3857" s="18"/>
      <c r="E3857" s="18"/>
      <c r="F3857" s="18"/>
      <c r="G3857" s="18"/>
      <c r="H3857" s="18"/>
    </row>
    <row r="3858" spans="1:8" x14ac:dyDescent="0.2">
      <c r="A3858" s="17"/>
      <c r="B3858" s="17"/>
      <c r="C3858" s="18"/>
      <c r="D3858" s="18"/>
      <c r="E3858" s="18"/>
      <c r="F3858" s="18"/>
      <c r="G3858" s="18"/>
      <c r="H3858" s="18"/>
    </row>
    <row r="3859" spans="1:8" x14ac:dyDescent="0.2">
      <c r="A3859" s="17"/>
      <c r="B3859" s="17"/>
      <c r="C3859" s="18"/>
      <c r="D3859" s="18"/>
      <c r="E3859" s="18"/>
      <c r="F3859" s="18"/>
      <c r="G3859" s="18"/>
      <c r="H3859" s="18"/>
    </row>
    <row r="3860" spans="1:8" x14ac:dyDescent="0.2">
      <c r="A3860" s="17"/>
      <c r="B3860" s="17"/>
      <c r="C3860" s="18"/>
      <c r="D3860" s="18"/>
      <c r="E3860" s="18"/>
      <c r="F3860" s="18"/>
      <c r="G3860" s="18"/>
      <c r="H3860" s="18"/>
    </row>
    <row r="3861" spans="1:8" x14ac:dyDescent="0.2">
      <c r="A3861" s="17"/>
      <c r="B3861" s="17"/>
      <c r="C3861" s="18"/>
      <c r="D3861" s="18"/>
      <c r="E3861" s="18"/>
      <c r="F3861" s="18"/>
      <c r="G3861" s="18"/>
      <c r="H3861" s="18"/>
    </row>
    <row r="3862" spans="1:8" x14ac:dyDescent="0.2">
      <c r="A3862" s="17"/>
      <c r="B3862" s="17"/>
      <c r="C3862" s="18"/>
      <c r="D3862" s="18"/>
      <c r="E3862" s="18"/>
      <c r="F3862" s="18"/>
      <c r="G3862" s="18"/>
      <c r="H3862" s="18"/>
    </row>
    <row r="3863" spans="1:8" x14ac:dyDescent="0.2">
      <c r="A3863" s="17"/>
      <c r="B3863" s="17"/>
      <c r="C3863" s="18"/>
      <c r="D3863" s="18"/>
      <c r="E3863" s="18"/>
      <c r="F3863" s="18"/>
      <c r="G3863" s="18"/>
      <c r="H3863" s="18"/>
    </row>
    <row r="3864" spans="1:8" x14ac:dyDescent="0.2">
      <c r="A3864" s="17"/>
      <c r="B3864" s="17"/>
      <c r="C3864" s="18"/>
      <c r="D3864" s="18"/>
      <c r="E3864" s="18"/>
      <c r="F3864" s="18"/>
      <c r="G3864" s="18"/>
      <c r="H3864" s="18"/>
    </row>
    <row r="3865" spans="1:8" x14ac:dyDescent="0.2">
      <c r="A3865" s="17"/>
      <c r="B3865" s="17"/>
      <c r="C3865" s="18"/>
      <c r="D3865" s="18"/>
      <c r="E3865" s="18"/>
      <c r="F3865" s="18"/>
      <c r="G3865" s="18"/>
      <c r="H3865" s="18"/>
    </row>
    <row r="3866" spans="1:8" x14ac:dyDescent="0.2">
      <c r="A3866" s="17"/>
      <c r="B3866" s="17"/>
      <c r="C3866" s="18"/>
      <c r="D3866" s="18"/>
      <c r="E3866" s="18"/>
      <c r="F3866" s="18"/>
      <c r="G3866" s="18"/>
      <c r="H3866" s="18"/>
    </row>
    <row r="3867" spans="1:8" x14ac:dyDescent="0.2">
      <c r="A3867" s="17"/>
      <c r="B3867" s="17"/>
      <c r="C3867" s="18"/>
      <c r="D3867" s="18"/>
      <c r="E3867" s="18"/>
      <c r="F3867" s="18"/>
      <c r="G3867" s="18"/>
      <c r="H3867" s="18"/>
    </row>
    <row r="3868" spans="1:8" x14ac:dyDescent="0.2">
      <c r="A3868" s="17"/>
      <c r="B3868" s="17"/>
      <c r="C3868" s="18"/>
      <c r="D3868" s="18"/>
      <c r="E3868" s="18"/>
      <c r="F3868" s="18"/>
      <c r="G3868" s="18"/>
      <c r="H3868" s="18"/>
    </row>
    <row r="3869" spans="1:8" x14ac:dyDescent="0.2">
      <c r="A3869" s="17"/>
      <c r="B3869" s="17"/>
      <c r="C3869" s="18"/>
      <c r="D3869" s="18"/>
      <c r="E3869" s="18"/>
      <c r="F3869" s="18"/>
      <c r="G3869" s="18"/>
      <c r="H3869" s="18"/>
    </row>
    <row r="3870" spans="1:8" x14ac:dyDescent="0.2">
      <c r="A3870" s="17"/>
      <c r="B3870" s="17"/>
      <c r="C3870" s="18"/>
      <c r="D3870" s="18"/>
      <c r="E3870" s="18"/>
      <c r="F3870" s="18"/>
      <c r="G3870" s="18"/>
      <c r="H3870" s="18"/>
    </row>
    <row r="3871" spans="1:8" x14ac:dyDescent="0.2">
      <c r="A3871" s="17"/>
      <c r="B3871" s="17"/>
      <c r="C3871" s="18"/>
      <c r="D3871" s="18"/>
      <c r="E3871" s="18"/>
      <c r="F3871" s="18"/>
      <c r="G3871" s="18"/>
      <c r="H3871" s="18"/>
    </row>
    <row r="3872" spans="1:8" x14ac:dyDescent="0.2">
      <c r="A3872" s="17"/>
      <c r="B3872" s="17"/>
      <c r="C3872" s="18"/>
      <c r="D3872" s="18"/>
      <c r="E3872" s="18"/>
      <c r="F3872" s="18"/>
      <c r="G3872" s="18"/>
      <c r="H3872" s="18"/>
    </row>
    <row r="3873" spans="1:8" x14ac:dyDescent="0.2">
      <c r="A3873" s="17"/>
      <c r="B3873" s="17"/>
      <c r="C3873" s="18"/>
      <c r="D3873" s="18"/>
      <c r="E3873" s="18"/>
      <c r="F3873" s="18"/>
      <c r="G3873" s="18"/>
      <c r="H3873" s="18"/>
    </row>
    <row r="3874" spans="1:8" x14ac:dyDescent="0.2">
      <c r="A3874" s="17"/>
      <c r="B3874" s="17"/>
      <c r="C3874" s="18"/>
      <c r="D3874" s="18"/>
      <c r="E3874" s="18"/>
      <c r="F3874" s="18"/>
      <c r="G3874" s="18"/>
      <c r="H3874" s="18"/>
    </row>
    <row r="3875" spans="1:8" x14ac:dyDescent="0.2">
      <c r="A3875" s="17"/>
      <c r="B3875" s="17"/>
      <c r="C3875" s="18"/>
      <c r="D3875" s="18"/>
      <c r="E3875" s="18"/>
      <c r="F3875" s="18"/>
      <c r="G3875" s="18"/>
      <c r="H3875" s="18"/>
    </row>
    <row r="3876" spans="1:8" x14ac:dyDescent="0.2">
      <c r="A3876" s="17"/>
      <c r="B3876" s="17"/>
      <c r="C3876" s="18"/>
      <c r="D3876" s="18"/>
      <c r="E3876" s="18"/>
      <c r="F3876" s="18"/>
      <c r="G3876" s="18"/>
      <c r="H3876" s="18"/>
    </row>
    <row r="3877" spans="1:8" x14ac:dyDescent="0.2">
      <c r="A3877" s="17"/>
      <c r="B3877" s="17"/>
      <c r="C3877" s="18"/>
      <c r="D3877" s="18"/>
      <c r="E3877" s="18"/>
      <c r="F3877" s="18"/>
      <c r="G3877" s="18"/>
      <c r="H3877" s="18"/>
    </row>
    <row r="3878" spans="1:8" x14ac:dyDescent="0.2">
      <c r="A3878" s="17"/>
      <c r="B3878" s="17"/>
      <c r="C3878" s="18"/>
      <c r="D3878" s="18"/>
      <c r="E3878" s="18"/>
      <c r="F3878" s="18"/>
      <c r="G3878" s="18"/>
      <c r="H3878" s="18"/>
    </row>
    <row r="3879" spans="1:8" x14ac:dyDescent="0.2">
      <c r="A3879" s="17"/>
      <c r="B3879" s="17"/>
      <c r="C3879" s="18"/>
      <c r="D3879" s="18"/>
      <c r="E3879" s="18"/>
      <c r="F3879" s="18"/>
      <c r="G3879" s="18"/>
      <c r="H3879" s="18"/>
    </row>
    <row r="3880" spans="1:8" x14ac:dyDescent="0.2">
      <c r="A3880" s="17"/>
      <c r="B3880" s="17"/>
      <c r="C3880" s="18"/>
      <c r="D3880" s="18"/>
      <c r="E3880" s="18"/>
      <c r="F3880" s="18"/>
      <c r="G3880" s="18"/>
      <c r="H3880" s="18"/>
    </row>
    <row r="3881" spans="1:8" x14ac:dyDescent="0.2">
      <c r="A3881" s="17"/>
      <c r="B3881" s="17"/>
      <c r="C3881" s="18"/>
      <c r="D3881" s="18"/>
      <c r="E3881" s="18"/>
      <c r="F3881" s="18"/>
      <c r="G3881" s="18"/>
      <c r="H3881" s="18"/>
    </row>
    <row r="3882" spans="1:8" x14ac:dyDescent="0.2">
      <c r="A3882" s="17"/>
      <c r="B3882" s="17"/>
      <c r="C3882" s="18"/>
      <c r="D3882" s="18"/>
      <c r="E3882" s="18"/>
      <c r="F3882" s="18"/>
      <c r="G3882" s="18"/>
      <c r="H3882" s="18"/>
    </row>
    <row r="3883" spans="1:8" x14ac:dyDescent="0.2">
      <c r="A3883" s="17"/>
      <c r="B3883" s="17"/>
      <c r="C3883" s="18"/>
      <c r="D3883" s="18"/>
      <c r="E3883" s="18"/>
      <c r="F3883" s="18"/>
      <c r="G3883" s="18"/>
      <c r="H3883" s="18"/>
    </row>
    <row r="3884" spans="1:8" x14ac:dyDescent="0.2">
      <c r="A3884" s="17"/>
      <c r="B3884" s="17"/>
      <c r="C3884" s="18"/>
      <c r="D3884" s="18"/>
      <c r="E3884" s="18"/>
      <c r="F3884" s="18"/>
      <c r="G3884" s="18"/>
      <c r="H3884" s="18"/>
    </row>
    <row r="3885" spans="1:8" x14ac:dyDescent="0.2">
      <c r="A3885" s="17"/>
      <c r="B3885" s="17"/>
      <c r="C3885" s="18"/>
      <c r="D3885" s="18"/>
      <c r="E3885" s="18"/>
      <c r="F3885" s="18"/>
      <c r="G3885" s="18"/>
      <c r="H3885" s="18"/>
    </row>
    <row r="3886" spans="1:8" x14ac:dyDescent="0.2">
      <c r="A3886" s="17"/>
      <c r="B3886" s="17"/>
      <c r="C3886" s="18"/>
      <c r="D3886" s="18"/>
      <c r="E3886" s="18"/>
      <c r="F3886" s="18"/>
      <c r="G3886" s="18"/>
      <c r="H3886" s="18"/>
    </row>
    <row r="3887" spans="1:8" x14ac:dyDescent="0.2">
      <c r="A3887" s="17"/>
      <c r="B3887" s="17"/>
      <c r="C3887" s="18"/>
      <c r="D3887" s="18"/>
      <c r="E3887" s="18"/>
      <c r="F3887" s="18"/>
      <c r="G3887" s="18"/>
      <c r="H3887" s="18"/>
    </row>
    <row r="3888" spans="1:8" x14ac:dyDescent="0.2">
      <c r="A3888" s="17"/>
      <c r="B3888" s="17"/>
      <c r="C3888" s="18"/>
      <c r="D3888" s="18"/>
      <c r="E3888" s="18"/>
      <c r="F3888" s="18"/>
      <c r="G3888" s="18"/>
      <c r="H3888" s="18"/>
    </row>
    <row r="3889" spans="1:8" x14ac:dyDescent="0.2">
      <c r="A3889" s="17"/>
      <c r="B3889" s="17"/>
      <c r="C3889" s="18"/>
      <c r="D3889" s="18"/>
      <c r="E3889" s="18"/>
      <c r="F3889" s="18"/>
      <c r="G3889" s="18"/>
      <c r="H3889" s="18"/>
    </row>
    <row r="3890" spans="1:8" x14ac:dyDescent="0.2">
      <c r="A3890" s="17"/>
      <c r="B3890" s="17"/>
      <c r="C3890" s="18"/>
      <c r="D3890" s="18"/>
      <c r="E3890" s="18"/>
      <c r="F3890" s="18"/>
      <c r="G3890" s="18"/>
      <c r="H3890" s="18"/>
    </row>
    <row r="3891" spans="1:8" x14ac:dyDescent="0.2">
      <c r="A3891" s="17"/>
      <c r="B3891" s="17"/>
      <c r="C3891" s="18"/>
      <c r="D3891" s="18"/>
      <c r="E3891" s="18"/>
      <c r="F3891" s="18"/>
      <c r="G3891" s="18"/>
      <c r="H3891" s="18"/>
    </row>
    <row r="3892" spans="1:8" x14ac:dyDescent="0.2">
      <c r="A3892" s="17"/>
      <c r="B3892" s="17"/>
      <c r="C3892" s="18"/>
      <c r="D3892" s="18"/>
      <c r="E3892" s="18"/>
      <c r="F3892" s="18"/>
      <c r="G3892" s="18"/>
      <c r="H3892" s="18"/>
    </row>
    <row r="3893" spans="1:8" x14ac:dyDescent="0.2">
      <c r="A3893" s="17"/>
      <c r="B3893" s="17"/>
      <c r="C3893" s="18"/>
      <c r="D3893" s="18"/>
      <c r="E3893" s="18"/>
      <c r="F3893" s="18"/>
      <c r="G3893" s="18"/>
      <c r="H3893" s="18"/>
    </row>
    <row r="3894" spans="1:8" x14ac:dyDescent="0.2">
      <c r="A3894" s="17"/>
      <c r="B3894" s="17"/>
      <c r="C3894" s="18"/>
      <c r="D3894" s="18"/>
      <c r="E3894" s="18"/>
      <c r="F3894" s="18"/>
      <c r="G3894" s="18"/>
      <c r="H3894" s="18"/>
    </row>
    <row r="3895" spans="1:8" x14ac:dyDescent="0.2">
      <c r="A3895" s="17"/>
      <c r="B3895" s="17"/>
      <c r="C3895" s="18"/>
      <c r="D3895" s="18"/>
      <c r="E3895" s="18"/>
      <c r="F3895" s="18"/>
      <c r="G3895" s="18"/>
      <c r="H3895" s="18"/>
    </row>
    <row r="3896" spans="1:8" x14ac:dyDescent="0.2">
      <c r="A3896" s="17"/>
      <c r="B3896" s="17"/>
      <c r="C3896" s="18"/>
      <c r="D3896" s="18"/>
      <c r="E3896" s="18"/>
      <c r="F3896" s="18"/>
      <c r="G3896" s="18"/>
      <c r="H3896" s="18"/>
    </row>
    <row r="3897" spans="1:8" x14ac:dyDescent="0.2">
      <c r="A3897" s="17"/>
      <c r="B3897" s="17"/>
      <c r="C3897" s="18"/>
      <c r="D3897" s="18"/>
      <c r="E3897" s="18"/>
      <c r="F3897" s="18"/>
      <c r="G3897" s="18"/>
      <c r="H3897" s="18"/>
    </row>
    <row r="3898" spans="1:8" x14ac:dyDescent="0.2">
      <c r="A3898" s="17"/>
      <c r="B3898" s="17"/>
      <c r="C3898" s="18"/>
      <c r="D3898" s="18"/>
      <c r="E3898" s="18"/>
      <c r="F3898" s="18"/>
      <c r="G3898" s="18"/>
      <c r="H3898" s="18"/>
    </row>
    <row r="3899" spans="1:8" x14ac:dyDescent="0.2">
      <c r="A3899" s="17"/>
      <c r="B3899" s="17"/>
      <c r="C3899" s="18"/>
      <c r="D3899" s="18"/>
      <c r="E3899" s="18"/>
      <c r="F3899" s="18"/>
      <c r="G3899" s="18"/>
      <c r="H3899" s="18"/>
    </row>
    <row r="3900" spans="1:8" x14ac:dyDescent="0.2">
      <c r="A3900" s="17"/>
      <c r="B3900" s="17"/>
      <c r="C3900" s="18"/>
      <c r="D3900" s="18"/>
      <c r="E3900" s="18"/>
      <c r="F3900" s="18"/>
      <c r="G3900" s="18"/>
      <c r="H3900" s="18"/>
    </row>
    <row r="3901" spans="1:8" x14ac:dyDescent="0.2">
      <c r="A3901" s="17"/>
      <c r="B3901" s="17"/>
      <c r="C3901" s="18"/>
      <c r="D3901" s="18"/>
      <c r="E3901" s="18"/>
      <c r="F3901" s="18"/>
      <c r="G3901" s="18"/>
      <c r="H3901" s="18"/>
    </row>
    <row r="3902" spans="1:8" x14ac:dyDescent="0.2">
      <c r="A3902" s="17"/>
      <c r="B3902" s="17"/>
      <c r="C3902" s="18"/>
      <c r="D3902" s="18"/>
      <c r="E3902" s="18"/>
      <c r="F3902" s="18"/>
      <c r="G3902" s="18"/>
      <c r="H3902" s="18"/>
    </row>
    <row r="3903" spans="1:8" x14ac:dyDescent="0.2">
      <c r="A3903" s="17"/>
      <c r="B3903" s="17"/>
      <c r="C3903" s="18"/>
      <c r="D3903" s="18"/>
      <c r="E3903" s="18"/>
      <c r="F3903" s="18"/>
      <c r="G3903" s="18"/>
      <c r="H3903" s="18"/>
    </row>
    <row r="3904" spans="1:8" x14ac:dyDescent="0.2">
      <c r="A3904" s="17"/>
      <c r="B3904" s="17"/>
      <c r="C3904" s="18"/>
      <c r="D3904" s="18"/>
      <c r="E3904" s="18"/>
      <c r="F3904" s="18"/>
      <c r="G3904" s="18"/>
      <c r="H3904" s="18"/>
    </row>
    <row r="3905" spans="1:8" x14ac:dyDescent="0.2">
      <c r="A3905" s="17"/>
      <c r="B3905" s="17"/>
      <c r="C3905" s="18"/>
      <c r="D3905" s="18"/>
      <c r="E3905" s="18"/>
      <c r="F3905" s="18"/>
      <c r="G3905" s="18"/>
      <c r="H3905" s="18"/>
    </row>
    <row r="3906" spans="1:8" x14ac:dyDescent="0.2">
      <c r="A3906" s="17"/>
      <c r="B3906" s="17"/>
      <c r="C3906" s="18"/>
      <c r="D3906" s="18"/>
      <c r="E3906" s="18"/>
      <c r="F3906" s="18"/>
      <c r="G3906" s="18"/>
      <c r="H3906" s="18"/>
    </row>
    <row r="3907" spans="1:8" x14ac:dyDescent="0.2">
      <c r="A3907" s="17"/>
      <c r="B3907" s="17"/>
      <c r="C3907" s="18"/>
      <c r="D3907" s="18"/>
      <c r="E3907" s="18"/>
      <c r="F3907" s="18"/>
      <c r="G3907" s="18"/>
      <c r="H3907" s="18"/>
    </row>
    <row r="3908" spans="1:8" x14ac:dyDescent="0.2">
      <c r="A3908" s="17"/>
      <c r="B3908" s="17"/>
      <c r="C3908" s="18"/>
      <c r="D3908" s="18"/>
      <c r="E3908" s="18"/>
      <c r="F3908" s="18"/>
      <c r="G3908" s="18"/>
      <c r="H3908" s="18"/>
    </row>
    <row r="3909" spans="1:8" x14ac:dyDescent="0.2">
      <c r="A3909" s="17"/>
      <c r="B3909" s="17"/>
      <c r="C3909" s="18"/>
      <c r="D3909" s="18"/>
      <c r="E3909" s="18"/>
      <c r="F3909" s="18"/>
      <c r="G3909" s="18"/>
      <c r="H3909" s="18"/>
    </row>
    <row r="3910" spans="1:8" x14ac:dyDescent="0.2">
      <c r="A3910" s="17"/>
      <c r="B3910" s="17"/>
      <c r="C3910" s="18"/>
      <c r="D3910" s="18"/>
      <c r="E3910" s="18"/>
      <c r="F3910" s="18"/>
      <c r="G3910" s="18"/>
      <c r="H3910" s="18"/>
    </row>
    <row r="3911" spans="1:8" x14ac:dyDescent="0.2">
      <c r="A3911" s="17"/>
      <c r="B3911" s="17"/>
      <c r="C3911" s="18"/>
      <c r="D3911" s="18"/>
      <c r="E3911" s="18"/>
      <c r="F3911" s="18"/>
      <c r="G3911" s="18"/>
      <c r="H3911" s="18"/>
    </row>
    <row r="3912" spans="1:8" x14ac:dyDescent="0.2">
      <c r="A3912" s="17"/>
      <c r="B3912" s="17"/>
      <c r="C3912" s="18"/>
      <c r="D3912" s="18"/>
      <c r="E3912" s="18"/>
      <c r="F3912" s="18"/>
      <c r="G3912" s="18"/>
      <c r="H3912" s="18"/>
    </row>
    <row r="3913" spans="1:8" x14ac:dyDescent="0.2">
      <c r="A3913" s="17"/>
      <c r="B3913" s="17"/>
      <c r="C3913" s="18"/>
      <c r="D3913" s="18"/>
      <c r="E3913" s="18"/>
      <c r="F3913" s="18"/>
      <c r="G3913" s="18"/>
      <c r="H3913" s="18"/>
    </row>
    <row r="3914" spans="1:8" x14ac:dyDescent="0.2">
      <c r="A3914" s="17"/>
      <c r="B3914" s="17"/>
      <c r="C3914" s="18"/>
      <c r="D3914" s="18"/>
      <c r="E3914" s="18"/>
      <c r="F3914" s="18"/>
      <c r="G3914" s="18"/>
      <c r="H3914" s="18"/>
    </row>
    <row r="3915" spans="1:8" x14ac:dyDescent="0.2">
      <c r="A3915" s="17"/>
      <c r="B3915" s="17"/>
      <c r="C3915" s="18"/>
      <c r="D3915" s="18"/>
      <c r="E3915" s="18"/>
      <c r="F3915" s="18"/>
      <c r="G3915" s="18"/>
      <c r="H3915" s="18"/>
    </row>
    <row r="3916" spans="1:8" x14ac:dyDescent="0.2">
      <c r="A3916" s="17"/>
      <c r="B3916" s="17"/>
      <c r="C3916" s="18"/>
      <c r="D3916" s="18"/>
      <c r="E3916" s="18"/>
      <c r="F3916" s="18"/>
      <c r="G3916" s="18"/>
      <c r="H3916" s="18"/>
    </row>
    <row r="3917" spans="1:8" x14ac:dyDescent="0.2">
      <c r="A3917" s="17"/>
      <c r="B3917" s="17"/>
      <c r="C3917" s="18"/>
      <c r="D3917" s="18"/>
      <c r="E3917" s="18"/>
      <c r="F3917" s="18"/>
      <c r="G3917" s="18"/>
      <c r="H3917" s="18"/>
    </row>
    <row r="3918" spans="1:8" x14ac:dyDescent="0.2">
      <c r="A3918" s="17"/>
      <c r="B3918" s="17"/>
      <c r="C3918" s="18"/>
      <c r="D3918" s="18"/>
      <c r="E3918" s="18"/>
      <c r="F3918" s="18"/>
      <c r="G3918" s="18"/>
      <c r="H3918" s="18"/>
    </row>
    <row r="3919" spans="1:8" x14ac:dyDescent="0.2">
      <c r="A3919" s="17"/>
      <c r="B3919" s="17"/>
      <c r="C3919" s="18"/>
      <c r="D3919" s="18"/>
      <c r="E3919" s="18"/>
      <c r="F3919" s="18"/>
      <c r="G3919" s="18"/>
      <c r="H3919" s="18"/>
    </row>
    <row r="3920" spans="1:8" x14ac:dyDescent="0.2">
      <c r="A3920" s="17"/>
      <c r="B3920" s="17"/>
      <c r="C3920" s="18"/>
      <c r="D3920" s="18"/>
      <c r="E3920" s="18"/>
      <c r="F3920" s="18"/>
      <c r="G3920" s="18"/>
      <c r="H3920" s="18"/>
    </row>
    <row r="3921" spans="1:8" x14ac:dyDescent="0.2">
      <c r="A3921" s="17"/>
      <c r="B3921" s="17"/>
      <c r="C3921" s="18"/>
      <c r="D3921" s="18"/>
      <c r="E3921" s="18"/>
      <c r="F3921" s="18"/>
      <c r="G3921" s="18"/>
      <c r="H3921" s="18"/>
    </row>
    <row r="3922" spans="1:8" x14ac:dyDescent="0.2">
      <c r="A3922" s="17"/>
      <c r="B3922" s="17"/>
      <c r="C3922" s="18"/>
      <c r="D3922" s="18"/>
      <c r="E3922" s="18"/>
      <c r="F3922" s="18"/>
      <c r="G3922" s="18"/>
      <c r="H3922" s="18"/>
    </row>
    <row r="3923" spans="1:8" x14ac:dyDescent="0.2">
      <c r="A3923" s="17"/>
      <c r="B3923" s="17"/>
      <c r="C3923" s="18"/>
      <c r="D3923" s="18"/>
      <c r="E3923" s="18"/>
      <c r="F3923" s="18"/>
      <c r="G3923" s="18"/>
      <c r="H3923" s="18"/>
    </row>
    <row r="3924" spans="1:8" x14ac:dyDescent="0.2">
      <c r="A3924" s="17"/>
      <c r="B3924" s="17"/>
      <c r="C3924" s="18"/>
      <c r="D3924" s="18"/>
      <c r="E3924" s="18"/>
      <c r="F3924" s="18"/>
      <c r="G3924" s="18"/>
      <c r="H3924" s="18"/>
    </row>
    <row r="3925" spans="1:8" x14ac:dyDescent="0.2">
      <c r="A3925" s="17"/>
      <c r="B3925" s="17"/>
      <c r="C3925" s="18"/>
      <c r="D3925" s="18"/>
      <c r="E3925" s="18"/>
      <c r="F3925" s="18"/>
      <c r="G3925" s="18"/>
      <c r="H3925" s="18"/>
    </row>
    <row r="3926" spans="1:8" x14ac:dyDescent="0.2">
      <c r="A3926" s="17"/>
      <c r="B3926" s="17"/>
      <c r="C3926" s="18"/>
      <c r="D3926" s="18"/>
      <c r="E3926" s="18"/>
      <c r="F3926" s="18"/>
      <c r="G3926" s="18"/>
      <c r="H3926" s="18"/>
    </row>
    <row r="3927" spans="1:8" x14ac:dyDescent="0.2">
      <c r="A3927" s="17"/>
      <c r="B3927" s="17"/>
      <c r="C3927" s="18"/>
      <c r="D3927" s="18"/>
      <c r="E3927" s="18"/>
      <c r="F3927" s="18"/>
      <c r="G3927" s="18"/>
      <c r="H3927" s="18"/>
    </row>
    <row r="3928" spans="1:8" x14ac:dyDescent="0.2">
      <c r="A3928" s="17"/>
      <c r="B3928" s="17"/>
      <c r="C3928" s="18"/>
      <c r="D3928" s="18"/>
      <c r="E3928" s="18"/>
      <c r="F3928" s="18"/>
      <c r="G3928" s="18"/>
      <c r="H3928" s="18"/>
    </row>
    <row r="3929" spans="1:8" x14ac:dyDescent="0.2">
      <c r="A3929" s="17"/>
      <c r="B3929" s="17"/>
      <c r="C3929" s="18"/>
      <c r="D3929" s="18"/>
      <c r="E3929" s="18"/>
      <c r="F3929" s="18"/>
      <c r="G3929" s="18"/>
      <c r="H3929" s="18"/>
    </row>
    <row r="3930" spans="1:8" x14ac:dyDescent="0.2">
      <c r="A3930" s="17"/>
      <c r="B3930" s="17"/>
      <c r="C3930" s="18"/>
      <c r="D3930" s="18"/>
      <c r="E3930" s="18"/>
      <c r="F3930" s="18"/>
      <c r="G3930" s="18"/>
      <c r="H3930" s="18"/>
    </row>
    <row r="3931" spans="1:8" x14ac:dyDescent="0.2">
      <c r="A3931" s="17"/>
      <c r="B3931" s="17"/>
      <c r="C3931" s="18"/>
      <c r="D3931" s="18"/>
      <c r="E3931" s="18"/>
      <c r="F3931" s="18"/>
      <c r="G3931" s="18"/>
      <c r="H3931" s="18"/>
    </row>
    <row r="3932" spans="1:8" x14ac:dyDescent="0.2">
      <c r="A3932" s="17"/>
      <c r="B3932" s="17"/>
      <c r="C3932" s="18"/>
      <c r="D3932" s="18"/>
      <c r="E3932" s="18"/>
      <c r="F3932" s="18"/>
      <c r="G3932" s="18"/>
      <c r="H3932" s="18"/>
    </row>
    <row r="3933" spans="1:8" x14ac:dyDescent="0.2">
      <c r="A3933" s="17"/>
      <c r="B3933" s="17"/>
      <c r="C3933" s="18"/>
      <c r="D3933" s="18"/>
      <c r="E3933" s="18"/>
      <c r="F3933" s="18"/>
      <c r="G3933" s="18"/>
      <c r="H3933" s="18"/>
    </row>
    <row r="3934" spans="1:8" x14ac:dyDescent="0.2">
      <c r="A3934" s="17"/>
      <c r="B3934" s="17"/>
      <c r="C3934" s="18"/>
      <c r="D3934" s="18"/>
      <c r="E3934" s="18"/>
      <c r="F3934" s="18"/>
      <c r="G3934" s="18"/>
      <c r="H3934" s="18"/>
    </row>
    <row r="3935" spans="1:8" x14ac:dyDescent="0.2">
      <c r="A3935" s="17"/>
      <c r="B3935" s="17"/>
      <c r="C3935" s="18"/>
      <c r="D3935" s="18"/>
      <c r="E3935" s="18"/>
      <c r="F3935" s="18"/>
      <c r="G3935" s="18"/>
      <c r="H3935" s="18"/>
    </row>
    <row r="3936" spans="1:8" x14ac:dyDescent="0.2">
      <c r="A3936" s="17"/>
      <c r="B3936" s="17"/>
      <c r="C3936" s="18"/>
      <c r="D3936" s="18"/>
      <c r="E3936" s="18"/>
      <c r="F3936" s="18"/>
      <c r="G3936" s="18"/>
      <c r="H3936" s="18"/>
    </row>
    <row r="3937" spans="1:8" x14ac:dyDescent="0.2">
      <c r="A3937" s="17"/>
      <c r="B3937" s="17"/>
      <c r="C3937" s="18"/>
      <c r="D3937" s="18"/>
      <c r="E3937" s="18"/>
      <c r="F3937" s="18"/>
      <c r="G3937" s="18"/>
      <c r="H3937" s="18"/>
    </row>
    <row r="3938" spans="1:8" x14ac:dyDescent="0.2">
      <c r="A3938" s="17"/>
      <c r="B3938" s="17"/>
      <c r="C3938" s="18"/>
      <c r="D3938" s="18"/>
      <c r="E3938" s="18"/>
      <c r="F3938" s="18"/>
      <c r="G3938" s="18"/>
      <c r="H3938" s="18"/>
    </row>
    <row r="3939" spans="1:8" x14ac:dyDescent="0.2">
      <c r="A3939" s="17"/>
      <c r="B3939" s="17"/>
      <c r="C3939" s="18"/>
      <c r="D3939" s="18"/>
      <c r="E3939" s="18"/>
      <c r="F3939" s="18"/>
      <c r="G3939" s="18"/>
      <c r="H3939" s="18"/>
    </row>
    <row r="3940" spans="1:8" x14ac:dyDescent="0.2">
      <c r="A3940" s="17"/>
      <c r="B3940" s="17"/>
      <c r="C3940" s="18"/>
      <c r="D3940" s="18"/>
      <c r="E3940" s="18"/>
      <c r="F3940" s="18"/>
      <c r="G3940" s="18"/>
      <c r="H3940" s="18"/>
    </row>
    <row r="3941" spans="1:8" x14ac:dyDescent="0.2">
      <c r="A3941" s="17"/>
      <c r="B3941" s="17"/>
      <c r="C3941" s="18"/>
      <c r="D3941" s="18"/>
      <c r="E3941" s="18"/>
      <c r="F3941" s="18"/>
      <c r="G3941" s="18"/>
      <c r="H3941" s="18"/>
    </row>
    <row r="3942" spans="1:8" x14ac:dyDescent="0.2">
      <c r="A3942" s="17"/>
      <c r="B3942" s="17"/>
      <c r="C3942" s="18"/>
      <c r="D3942" s="18"/>
      <c r="E3942" s="18"/>
      <c r="F3942" s="18"/>
      <c r="G3942" s="18"/>
      <c r="H3942" s="18"/>
    </row>
    <row r="3943" spans="1:8" x14ac:dyDescent="0.2">
      <c r="A3943" s="17"/>
      <c r="B3943" s="17"/>
      <c r="C3943" s="18"/>
      <c r="D3943" s="18"/>
      <c r="E3943" s="18"/>
      <c r="F3943" s="18"/>
      <c r="G3943" s="18"/>
      <c r="H3943" s="18"/>
    </row>
    <row r="3944" spans="1:8" x14ac:dyDescent="0.2">
      <c r="A3944" s="17"/>
      <c r="B3944" s="17"/>
      <c r="C3944" s="18"/>
      <c r="D3944" s="18"/>
      <c r="E3944" s="18"/>
      <c r="F3944" s="18"/>
      <c r="G3944" s="18"/>
      <c r="H3944" s="18"/>
    </row>
    <row r="3945" spans="1:8" x14ac:dyDescent="0.2">
      <c r="A3945" s="17"/>
      <c r="B3945" s="17"/>
      <c r="C3945" s="18"/>
      <c r="D3945" s="18"/>
      <c r="E3945" s="18"/>
      <c r="F3945" s="18"/>
      <c r="G3945" s="18"/>
      <c r="H3945" s="18"/>
    </row>
    <row r="3946" spans="1:8" x14ac:dyDescent="0.2">
      <c r="A3946" s="17"/>
      <c r="B3946" s="17"/>
      <c r="C3946" s="18"/>
      <c r="D3946" s="18"/>
      <c r="E3946" s="18"/>
      <c r="F3946" s="18"/>
      <c r="G3946" s="18"/>
      <c r="H3946" s="18"/>
    </row>
    <row r="3947" spans="1:8" x14ac:dyDescent="0.2">
      <c r="A3947" s="17"/>
      <c r="B3947" s="17"/>
      <c r="C3947" s="18"/>
      <c r="D3947" s="18"/>
      <c r="E3947" s="18"/>
      <c r="F3947" s="18"/>
      <c r="G3947" s="18"/>
      <c r="H3947" s="18"/>
    </row>
    <row r="3948" spans="1:8" x14ac:dyDescent="0.2">
      <c r="A3948" s="17"/>
      <c r="B3948" s="17"/>
      <c r="C3948" s="18"/>
      <c r="D3948" s="18"/>
      <c r="E3948" s="18"/>
      <c r="F3948" s="18"/>
      <c r="G3948" s="18"/>
      <c r="H3948" s="18"/>
    </row>
    <row r="3949" spans="1:8" x14ac:dyDescent="0.2">
      <c r="A3949" s="17"/>
      <c r="B3949" s="17"/>
      <c r="C3949" s="18"/>
      <c r="D3949" s="18"/>
      <c r="E3949" s="18"/>
      <c r="F3949" s="18"/>
      <c r="G3949" s="18"/>
      <c r="H3949" s="18"/>
    </row>
    <row r="3950" spans="1:8" x14ac:dyDescent="0.2">
      <c r="A3950" s="17"/>
      <c r="B3950" s="17"/>
      <c r="C3950" s="18"/>
      <c r="D3950" s="18"/>
      <c r="E3950" s="18"/>
      <c r="F3950" s="18"/>
      <c r="G3950" s="18"/>
      <c r="H3950" s="18"/>
    </row>
    <row r="3951" spans="1:8" x14ac:dyDescent="0.2">
      <c r="A3951" s="17"/>
      <c r="B3951" s="17"/>
      <c r="C3951" s="18"/>
      <c r="D3951" s="18"/>
      <c r="E3951" s="18"/>
      <c r="F3951" s="18"/>
      <c r="G3951" s="18"/>
      <c r="H3951" s="18"/>
    </row>
    <row r="3952" spans="1:8" x14ac:dyDescent="0.2">
      <c r="A3952" s="17"/>
      <c r="B3952" s="17"/>
      <c r="C3952" s="18"/>
      <c r="D3952" s="18"/>
      <c r="E3952" s="18"/>
      <c r="F3952" s="18"/>
      <c r="G3952" s="18"/>
      <c r="H3952" s="18"/>
    </row>
    <row r="3953" spans="1:8" x14ac:dyDescent="0.2">
      <c r="A3953" s="17"/>
      <c r="B3953" s="17"/>
      <c r="C3953" s="18"/>
      <c r="D3953" s="18"/>
      <c r="E3953" s="18"/>
      <c r="F3953" s="18"/>
      <c r="G3953" s="18"/>
      <c r="H3953" s="18"/>
    </row>
    <row r="3954" spans="1:8" x14ac:dyDescent="0.2">
      <c r="A3954" s="17"/>
      <c r="B3954" s="17"/>
      <c r="C3954" s="18"/>
      <c r="D3954" s="18"/>
      <c r="E3954" s="18"/>
      <c r="F3954" s="18"/>
      <c r="G3954" s="18"/>
      <c r="H3954" s="18"/>
    </row>
    <row r="3955" spans="1:8" x14ac:dyDescent="0.2">
      <c r="A3955" s="17"/>
      <c r="B3955" s="17"/>
      <c r="C3955" s="18"/>
      <c r="D3955" s="18"/>
      <c r="E3955" s="18"/>
      <c r="F3955" s="18"/>
      <c r="G3955" s="18"/>
      <c r="H3955" s="18"/>
    </row>
    <row r="3956" spans="1:8" x14ac:dyDescent="0.2">
      <c r="A3956" s="17"/>
      <c r="B3956" s="17"/>
      <c r="C3956" s="18"/>
      <c r="D3956" s="18"/>
      <c r="E3956" s="18"/>
      <c r="F3956" s="18"/>
      <c r="G3956" s="18"/>
      <c r="H3956" s="18"/>
    </row>
    <row r="3957" spans="1:8" x14ac:dyDescent="0.2">
      <c r="A3957" s="17"/>
      <c r="B3957" s="17"/>
      <c r="C3957" s="18"/>
      <c r="D3957" s="18"/>
      <c r="E3957" s="18"/>
      <c r="F3957" s="18"/>
      <c r="G3957" s="18"/>
      <c r="H3957" s="18"/>
    </row>
    <row r="3958" spans="1:8" x14ac:dyDescent="0.2">
      <c r="A3958" s="17"/>
      <c r="B3958" s="17"/>
      <c r="C3958" s="18"/>
      <c r="D3958" s="18"/>
      <c r="E3958" s="18"/>
      <c r="F3958" s="18"/>
      <c r="G3958" s="18"/>
      <c r="H3958" s="18"/>
    </row>
    <row r="3959" spans="1:8" x14ac:dyDescent="0.2">
      <c r="A3959" s="17"/>
      <c r="B3959" s="17"/>
      <c r="C3959" s="18"/>
      <c r="D3959" s="18"/>
      <c r="E3959" s="18"/>
      <c r="F3959" s="18"/>
      <c r="G3959" s="18"/>
      <c r="H3959" s="18"/>
    </row>
    <row r="3960" spans="1:8" x14ac:dyDescent="0.2">
      <c r="A3960" s="17"/>
      <c r="B3960" s="17"/>
      <c r="C3960" s="18"/>
      <c r="D3960" s="18"/>
      <c r="E3960" s="18"/>
      <c r="F3960" s="18"/>
      <c r="G3960" s="18"/>
      <c r="H3960" s="18"/>
    </row>
    <row r="3961" spans="1:8" x14ac:dyDescent="0.2">
      <c r="A3961" s="17"/>
      <c r="B3961" s="17"/>
      <c r="C3961" s="18"/>
      <c r="D3961" s="18"/>
      <c r="E3961" s="18"/>
      <c r="F3961" s="18"/>
      <c r="G3961" s="18"/>
      <c r="H3961" s="18"/>
    </row>
    <row r="3962" spans="1:8" x14ac:dyDescent="0.2">
      <c r="A3962" s="17"/>
      <c r="B3962" s="17"/>
      <c r="C3962" s="18"/>
      <c r="D3962" s="18"/>
      <c r="E3962" s="18"/>
      <c r="F3962" s="18"/>
      <c r="G3962" s="18"/>
      <c r="H3962" s="18"/>
    </row>
    <row r="3963" spans="1:8" x14ac:dyDescent="0.2">
      <c r="A3963" s="17"/>
      <c r="B3963" s="17"/>
      <c r="C3963" s="18"/>
      <c r="D3963" s="18"/>
      <c r="E3963" s="18"/>
      <c r="F3963" s="18"/>
      <c r="G3963" s="18"/>
      <c r="H3963" s="18"/>
    </row>
    <row r="3964" spans="1:8" x14ac:dyDescent="0.2">
      <c r="A3964" s="17"/>
      <c r="B3964" s="17"/>
      <c r="C3964" s="18"/>
      <c r="D3964" s="18"/>
      <c r="E3964" s="18"/>
      <c r="F3964" s="18"/>
      <c r="G3964" s="18"/>
      <c r="H3964" s="18"/>
    </row>
    <row r="3965" spans="1:8" x14ac:dyDescent="0.2">
      <c r="A3965" s="17"/>
      <c r="B3965" s="17"/>
      <c r="C3965" s="18"/>
      <c r="D3965" s="18"/>
      <c r="E3965" s="18"/>
      <c r="F3965" s="18"/>
      <c r="G3965" s="18"/>
      <c r="H3965" s="18"/>
    </row>
    <row r="3966" spans="1:8" x14ac:dyDescent="0.2">
      <c r="A3966" s="17"/>
      <c r="B3966" s="17"/>
      <c r="C3966" s="18"/>
      <c r="D3966" s="18"/>
      <c r="E3966" s="18"/>
      <c r="F3966" s="18"/>
      <c r="G3966" s="18"/>
      <c r="H3966" s="18"/>
    </row>
    <row r="3967" spans="1:8" x14ac:dyDescent="0.2">
      <c r="A3967" s="17"/>
      <c r="B3967" s="17"/>
      <c r="C3967" s="18"/>
      <c r="D3967" s="18"/>
      <c r="E3967" s="18"/>
      <c r="F3967" s="18"/>
      <c r="G3967" s="18"/>
      <c r="H3967" s="18"/>
    </row>
    <row r="3968" spans="1:8" x14ac:dyDescent="0.2">
      <c r="A3968" s="17"/>
      <c r="B3968" s="17"/>
      <c r="C3968" s="18"/>
      <c r="D3968" s="18"/>
      <c r="E3968" s="18"/>
      <c r="F3968" s="18"/>
      <c r="G3968" s="18"/>
      <c r="H3968" s="18"/>
    </row>
    <row r="3969" spans="1:8" x14ac:dyDescent="0.2">
      <c r="A3969" s="17"/>
      <c r="B3969" s="17"/>
      <c r="C3969" s="18"/>
      <c r="D3969" s="18"/>
      <c r="E3969" s="18"/>
      <c r="F3969" s="18"/>
      <c r="G3969" s="18"/>
      <c r="H3969" s="18"/>
    </row>
    <row r="3970" spans="1:8" x14ac:dyDescent="0.2">
      <c r="A3970" s="17"/>
      <c r="B3970" s="17"/>
      <c r="C3970" s="18"/>
      <c r="D3970" s="18"/>
      <c r="E3970" s="18"/>
      <c r="F3970" s="18"/>
      <c r="G3970" s="18"/>
      <c r="H3970" s="18"/>
    </row>
    <row r="3971" spans="1:8" x14ac:dyDescent="0.2">
      <c r="A3971" s="17"/>
      <c r="B3971" s="17"/>
      <c r="C3971" s="18"/>
      <c r="D3971" s="18"/>
      <c r="E3971" s="18"/>
      <c r="F3971" s="18"/>
      <c r="G3971" s="18"/>
      <c r="H3971" s="18"/>
    </row>
    <row r="3972" spans="1:8" x14ac:dyDescent="0.2">
      <c r="A3972" s="17"/>
      <c r="B3972" s="17"/>
      <c r="C3972" s="18"/>
      <c r="D3972" s="18"/>
      <c r="E3972" s="18"/>
      <c r="F3972" s="18"/>
      <c r="G3972" s="18"/>
      <c r="H3972" s="18"/>
    </row>
    <row r="3973" spans="1:8" x14ac:dyDescent="0.2">
      <c r="A3973" s="17"/>
      <c r="B3973" s="17"/>
      <c r="C3973" s="18"/>
      <c r="D3973" s="18"/>
      <c r="E3973" s="18"/>
      <c r="F3973" s="18"/>
      <c r="G3973" s="18"/>
      <c r="H3973" s="18"/>
    </row>
    <row r="3974" spans="1:8" x14ac:dyDescent="0.2">
      <c r="A3974" s="17"/>
      <c r="B3974" s="17"/>
      <c r="C3974" s="18"/>
      <c r="D3974" s="18"/>
      <c r="E3974" s="18"/>
      <c r="F3974" s="18"/>
      <c r="G3974" s="18"/>
      <c r="H3974" s="18"/>
    </row>
    <row r="3975" spans="1:8" x14ac:dyDescent="0.2">
      <c r="A3975" s="17"/>
      <c r="B3975" s="17"/>
      <c r="C3975" s="18"/>
      <c r="D3975" s="18"/>
      <c r="E3975" s="18"/>
      <c r="F3975" s="18"/>
      <c r="G3975" s="18"/>
      <c r="H3975" s="18"/>
    </row>
    <row r="3976" spans="1:8" x14ac:dyDescent="0.2">
      <c r="A3976" s="17"/>
      <c r="B3976" s="17"/>
      <c r="C3976" s="18"/>
      <c r="D3976" s="18"/>
      <c r="E3976" s="18"/>
      <c r="F3976" s="18"/>
      <c r="G3976" s="18"/>
      <c r="H3976" s="18"/>
    </row>
    <row r="3977" spans="1:8" x14ac:dyDescent="0.2">
      <c r="A3977" s="17"/>
      <c r="B3977" s="17"/>
      <c r="C3977" s="18"/>
      <c r="D3977" s="18"/>
      <c r="E3977" s="18"/>
      <c r="F3977" s="18"/>
      <c r="G3977" s="18"/>
      <c r="H3977" s="18"/>
    </row>
    <row r="3978" spans="1:8" x14ac:dyDescent="0.2">
      <c r="A3978" s="17"/>
      <c r="B3978" s="17"/>
      <c r="C3978" s="18"/>
      <c r="D3978" s="18"/>
      <c r="E3978" s="18"/>
      <c r="F3978" s="18"/>
      <c r="G3978" s="18"/>
      <c r="H3978" s="18"/>
    </row>
    <row r="3979" spans="1:8" x14ac:dyDescent="0.2">
      <c r="A3979" s="17"/>
      <c r="B3979" s="17"/>
      <c r="C3979" s="18"/>
      <c r="D3979" s="18"/>
      <c r="E3979" s="18"/>
      <c r="F3979" s="18"/>
      <c r="G3979" s="18"/>
      <c r="H3979" s="18"/>
    </row>
    <row r="3980" spans="1:8" x14ac:dyDescent="0.2">
      <c r="A3980" s="17"/>
      <c r="B3980" s="17"/>
      <c r="C3980" s="18"/>
      <c r="D3980" s="18"/>
      <c r="E3980" s="18"/>
      <c r="F3980" s="18"/>
      <c r="G3980" s="18"/>
      <c r="H3980" s="18"/>
    </row>
    <row r="3981" spans="1:8" x14ac:dyDescent="0.2">
      <c r="A3981" s="17"/>
      <c r="B3981" s="17"/>
      <c r="C3981" s="18"/>
      <c r="D3981" s="18"/>
      <c r="E3981" s="18"/>
      <c r="F3981" s="18"/>
      <c r="G3981" s="18"/>
      <c r="H3981" s="18"/>
    </row>
    <row r="3982" spans="1:8" x14ac:dyDescent="0.2">
      <c r="A3982" s="17"/>
      <c r="B3982" s="17"/>
      <c r="C3982" s="18"/>
      <c r="D3982" s="18"/>
      <c r="E3982" s="18"/>
      <c r="F3982" s="18"/>
      <c r="G3982" s="18"/>
      <c r="H3982" s="18"/>
    </row>
    <row r="3983" spans="1:8" x14ac:dyDescent="0.2">
      <c r="A3983" s="17"/>
      <c r="B3983" s="17"/>
      <c r="C3983" s="18"/>
      <c r="D3983" s="18"/>
      <c r="E3983" s="18"/>
      <c r="F3983" s="18"/>
      <c r="G3983" s="18"/>
      <c r="H3983" s="18"/>
    </row>
    <row r="3984" spans="1:8" x14ac:dyDescent="0.2">
      <c r="A3984" s="17"/>
      <c r="B3984" s="17"/>
      <c r="C3984" s="18"/>
      <c r="D3984" s="18"/>
      <c r="E3984" s="18"/>
      <c r="F3984" s="18"/>
      <c r="G3984" s="18"/>
      <c r="H3984" s="18"/>
    </row>
    <row r="3985" spans="1:8" x14ac:dyDescent="0.2">
      <c r="A3985" s="17"/>
      <c r="B3985" s="17"/>
      <c r="C3985" s="18"/>
      <c r="D3985" s="18"/>
      <c r="E3985" s="18"/>
      <c r="F3985" s="18"/>
      <c r="G3985" s="18"/>
      <c r="H3985" s="18"/>
    </row>
    <row r="3986" spans="1:8" x14ac:dyDescent="0.2">
      <c r="A3986" s="17"/>
      <c r="B3986" s="17"/>
      <c r="C3986" s="18"/>
      <c r="D3986" s="18"/>
      <c r="E3986" s="18"/>
      <c r="F3986" s="18"/>
      <c r="G3986" s="18"/>
      <c r="H3986" s="18"/>
    </row>
    <row r="3987" spans="1:8" x14ac:dyDescent="0.2">
      <c r="A3987" s="17"/>
      <c r="B3987" s="17"/>
      <c r="C3987" s="18"/>
      <c r="D3987" s="18"/>
      <c r="E3987" s="18"/>
      <c r="F3987" s="18"/>
      <c r="G3987" s="18"/>
      <c r="H3987" s="18"/>
    </row>
    <row r="3988" spans="1:8" x14ac:dyDescent="0.2">
      <c r="A3988" s="17"/>
      <c r="B3988" s="17"/>
      <c r="C3988" s="18"/>
      <c r="D3988" s="18"/>
      <c r="E3988" s="18"/>
      <c r="F3988" s="18"/>
      <c r="G3988" s="18"/>
      <c r="H3988" s="18"/>
    </row>
    <row r="3989" spans="1:8" x14ac:dyDescent="0.2">
      <c r="A3989" s="17"/>
      <c r="B3989" s="17"/>
      <c r="C3989" s="18"/>
      <c r="D3989" s="18"/>
      <c r="E3989" s="18"/>
      <c r="F3989" s="18"/>
      <c r="G3989" s="18"/>
      <c r="H3989" s="18"/>
    </row>
    <row r="3990" spans="1:8" x14ac:dyDescent="0.2">
      <c r="A3990" s="17"/>
      <c r="B3990" s="17"/>
      <c r="C3990" s="18"/>
      <c r="D3990" s="18"/>
      <c r="E3990" s="18"/>
      <c r="F3990" s="18"/>
      <c r="G3990" s="18"/>
      <c r="H3990" s="18"/>
    </row>
    <row r="3991" spans="1:8" x14ac:dyDescent="0.2">
      <c r="A3991" s="17"/>
      <c r="B3991" s="17"/>
      <c r="C3991" s="18"/>
      <c r="D3991" s="18"/>
      <c r="E3991" s="18"/>
      <c r="F3991" s="18"/>
      <c r="G3991" s="18"/>
      <c r="H3991" s="18"/>
    </row>
    <row r="3992" spans="1:8" x14ac:dyDescent="0.2">
      <c r="A3992" s="17"/>
      <c r="B3992" s="17"/>
      <c r="C3992" s="18"/>
      <c r="D3992" s="18"/>
      <c r="E3992" s="18"/>
      <c r="F3992" s="18"/>
      <c r="G3992" s="18"/>
      <c r="H3992" s="18"/>
    </row>
    <row r="3993" spans="1:8" x14ac:dyDescent="0.2">
      <c r="A3993" s="17"/>
      <c r="B3993" s="17"/>
      <c r="C3993" s="18"/>
      <c r="D3993" s="18"/>
      <c r="E3993" s="18"/>
      <c r="F3993" s="18"/>
      <c r="G3993" s="18"/>
      <c r="H3993" s="18"/>
    </row>
    <row r="3994" spans="1:8" x14ac:dyDescent="0.2">
      <c r="A3994" s="17"/>
      <c r="B3994" s="17"/>
      <c r="C3994" s="18"/>
      <c r="D3994" s="18"/>
      <c r="E3994" s="18"/>
      <c r="F3994" s="18"/>
      <c r="G3994" s="18"/>
      <c r="H3994" s="18"/>
    </row>
    <row r="3995" spans="1:8" x14ac:dyDescent="0.2">
      <c r="A3995" s="17"/>
      <c r="B3995" s="17"/>
      <c r="C3995" s="18"/>
      <c r="D3995" s="18"/>
      <c r="E3995" s="18"/>
      <c r="F3995" s="18"/>
      <c r="G3995" s="18"/>
      <c r="H3995" s="18"/>
    </row>
    <row r="3996" spans="1:8" x14ac:dyDescent="0.2">
      <c r="A3996" s="17"/>
      <c r="B3996" s="17"/>
      <c r="C3996" s="18"/>
      <c r="D3996" s="18"/>
      <c r="E3996" s="18"/>
      <c r="F3996" s="18"/>
      <c r="G3996" s="18"/>
      <c r="H3996" s="18"/>
    </row>
    <row r="3997" spans="1:8" x14ac:dyDescent="0.2">
      <c r="A3997" s="17"/>
      <c r="B3997" s="17"/>
      <c r="C3997" s="18"/>
      <c r="D3997" s="18"/>
      <c r="E3997" s="18"/>
      <c r="F3997" s="18"/>
      <c r="G3997" s="18"/>
      <c r="H3997" s="18"/>
    </row>
    <row r="3998" spans="1:8" x14ac:dyDescent="0.2">
      <c r="A3998" s="17"/>
      <c r="B3998" s="17"/>
      <c r="C3998" s="18"/>
      <c r="D3998" s="18"/>
      <c r="E3998" s="18"/>
      <c r="F3998" s="18"/>
      <c r="G3998" s="18"/>
      <c r="H3998" s="18"/>
    </row>
    <row r="3999" spans="1:8" x14ac:dyDescent="0.2">
      <c r="A3999" s="17"/>
      <c r="B3999" s="17"/>
      <c r="C3999" s="18"/>
      <c r="D3999" s="18"/>
      <c r="E3999" s="18"/>
      <c r="F3999" s="18"/>
      <c r="G3999" s="18"/>
      <c r="H3999" s="18"/>
    </row>
    <row r="4000" spans="1:8" x14ac:dyDescent="0.2">
      <c r="A4000" s="17"/>
      <c r="B4000" s="17"/>
      <c r="C4000" s="18"/>
      <c r="D4000" s="18"/>
      <c r="E4000" s="18"/>
      <c r="F4000" s="18"/>
      <c r="G4000" s="18"/>
      <c r="H4000" s="18"/>
    </row>
    <row r="4001" spans="1:8" x14ac:dyDescent="0.2">
      <c r="A4001" s="17"/>
      <c r="B4001" s="17"/>
      <c r="C4001" s="18"/>
      <c r="D4001" s="18"/>
      <c r="E4001" s="18"/>
      <c r="F4001" s="18"/>
      <c r="G4001" s="18"/>
      <c r="H4001" s="18"/>
    </row>
    <row r="4002" spans="1:8" x14ac:dyDescent="0.2">
      <c r="A4002" s="17"/>
      <c r="B4002" s="17"/>
      <c r="C4002" s="18"/>
      <c r="D4002" s="18"/>
      <c r="E4002" s="18"/>
      <c r="F4002" s="18"/>
      <c r="G4002" s="18"/>
      <c r="H4002" s="18"/>
    </row>
    <row r="4003" spans="1:8" x14ac:dyDescent="0.2">
      <c r="A4003" s="17"/>
      <c r="B4003" s="17"/>
      <c r="C4003" s="18"/>
      <c r="D4003" s="18"/>
      <c r="E4003" s="18"/>
      <c r="F4003" s="18"/>
      <c r="G4003" s="18"/>
      <c r="H4003" s="18"/>
    </row>
    <row r="4004" spans="1:8" x14ac:dyDescent="0.2">
      <c r="A4004" s="17"/>
      <c r="B4004" s="17"/>
      <c r="C4004" s="18"/>
      <c r="D4004" s="18"/>
      <c r="E4004" s="18"/>
      <c r="F4004" s="18"/>
      <c r="G4004" s="18"/>
      <c r="H4004" s="18"/>
    </row>
    <row r="4005" spans="1:8" x14ac:dyDescent="0.2">
      <c r="A4005" s="17"/>
      <c r="B4005" s="17"/>
      <c r="C4005" s="18"/>
      <c r="D4005" s="18"/>
      <c r="E4005" s="18"/>
      <c r="F4005" s="18"/>
      <c r="G4005" s="18"/>
      <c r="H4005" s="18"/>
    </row>
    <row r="4006" spans="1:8" x14ac:dyDescent="0.2">
      <c r="A4006" s="17"/>
      <c r="B4006" s="17"/>
      <c r="C4006" s="18"/>
      <c r="D4006" s="18"/>
      <c r="E4006" s="18"/>
      <c r="F4006" s="18"/>
      <c r="G4006" s="18"/>
      <c r="H4006" s="18"/>
    </row>
    <row r="4007" spans="1:8" x14ac:dyDescent="0.2">
      <c r="A4007" s="17"/>
      <c r="B4007" s="17"/>
      <c r="C4007" s="18"/>
      <c r="D4007" s="18"/>
      <c r="E4007" s="18"/>
      <c r="F4007" s="18"/>
      <c r="G4007" s="18"/>
      <c r="H4007" s="18"/>
    </row>
    <row r="4008" spans="1:8" x14ac:dyDescent="0.2">
      <c r="A4008" s="17"/>
      <c r="B4008" s="17"/>
      <c r="C4008" s="18"/>
      <c r="D4008" s="18"/>
      <c r="E4008" s="18"/>
      <c r="F4008" s="18"/>
      <c r="G4008" s="18"/>
      <c r="H4008" s="18"/>
    </row>
    <row r="4009" spans="1:8" x14ac:dyDescent="0.2">
      <c r="A4009" s="17"/>
      <c r="B4009" s="17"/>
      <c r="C4009" s="18"/>
      <c r="D4009" s="18"/>
      <c r="E4009" s="18"/>
      <c r="F4009" s="18"/>
      <c r="G4009" s="18"/>
      <c r="H4009" s="18"/>
    </row>
    <row r="4010" spans="1:8" x14ac:dyDescent="0.2">
      <c r="A4010" s="17"/>
      <c r="B4010" s="17"/>
      <c r="C4010" s="18"/>
      <c r="D4010" s="18"/>
      <c r="E4010" s="18"/>
      <c r="F4010" s="18"/>
      <c r="G4010" s="18"/>
      <c r="H4010" s="18"/>
    </row>
    <row r="4011" spans="1:8" x14ac:dyDescent="0.2">
      <c r="A4011" s="17"/>
      <c r="B4011" s="17"/>
      <c r="C4011" s="18"/>
      <c r="D4011" s="18"/>
      <c r="E4011" s="18"/>
      <c r="F4011" s="18"/>
      <c r="G4011" s="18"/>
      <c r="H4011" s="18"/>
    </row>
    <row r="4012" spans="1:8" x14ac:dyDescent="0.2">
      <c r="A4012" s="17"/>
      <c r="B4012" s="17"/>
      <c r="C4012" s="18"/>
      <c r="D4012" s="18"/>
      <c r="E4012" s="18"/>
      <c r="F4012" s="18"/>
      <c r="G4012" s="18"/>
      <c r="H4012" s="18"/>
    </row>
    <row r="4013" spans="1:8" x14ac:dyDescent="0.2">
      <c r="A4013" s="17"/>
      <c r="B4013" s="17"/>
      <c r="C4013" s="18"/>
      <c r="D4013" s="18"/>
      <c r="E4013" s="18"/>
      <c r="F4013" s="18"/>
      <c r="G4013" s="18"/>
      <c r="H4013" s="18"/>
    </row>
    <row r="4014" spans="1:8" x14ac:dyDescent="0.2">
      <c r="A4014" s="17"/>
      <c r="B4014" s="17"/>
      <c r="C4014" s="18"/>
      <c r="D4014" s="18"/>
      <c r="E4014" s="18"/>
      <c r="F4014" s="18"/>
      <c r="G4014" s="18"/>
      <c r="H4014" s="18"/>
    </row>
    <row r="4015" spans="1:8" x14ac:dyDescent="0.2">
      <c r="A4015" s="17"/>
      <c r="B4015" s="17"/>
      <c r="C4015" s="18"/>
      <c r="D4015" s="18"/>
      <c r="E4015" s="18"/>
      <c r="F4015" s="18"/>
      <c r="G4015" s="18"/>
      <c r="H4015" s="18"/>
    </row>
    <row r="4016" spans="1:8" x14ac:dyDescent="0.2">
      <c r="A4016" s="17"/>
      <c r="B4016" s="17"/>
      <c r="C4016" s="18"/>
      <c r="D4016" s="18"/>
      <c r="E4016" s="18"/>
      <c r="F4016" s="18"/>
      <c r="G4016" s="18"/>
      <c r="H4016" s="18"/>
    </row>
    <row r="4017" spans="1:8" x14ac:dyDescent="0.2">
      <c r="A4017" s="17"/>
      <c r="B4017" s="17"/>
      <c r="C4017" s="18"/>
      <c r="D4017" s="18"/>
      <c r="E4017" s="18"/>
      <c r="F4017" s="18"/>
      <c r="G4017" s="18"/>
      <c r="H4017" s="18"/>
    </row>
    <row r="4018" spans="1:8" x14ac:dyDescent="0.2">
      <c r="A4018" s="17"/>
      <c r="B4018" s="17"/>
      <c r="C4018" s="18"/>
      <c r="D4018" s="18"/>
      <c r="E4018" s="18"/>
      <c r="F4018" s="18"/>
      <c r="G4018" s="18"/>
      <c r="H4018" s="18"/>
    </row>
    <row r="4019" spans="1:8" x14ac:dyDescent="0.2">
      <c r="A4019" s="17"/>
      <c r="B4019" s="17"/>
      <c r="C4019" s="18"/>
      <c r="D4019" s="18"/>
      <c r="E4019" s="18"/>
      <c r="F4019" s="18"/>
      <c r="G4019" s="18"/>
      <c r="H4019" s="18"/>
    </row>
    <row r="4020" spans="1:8" x14ac:dyDescent="0.2">
      <c r="A4020" s="17"/>
      <c r="B4020" s="17"/>
      <c r="C4020" s="18"/>
      <c r="D4020" s="18"/>
      <c r="E4020" s="18"/>
      <c r="F4020" s="18"/>
      <c r="G4020" s="18"/>
      <c r="H4020" s="18"/>
    </row>
    <row r="4021" spans="1:8" x14ac:dyDescent="0.2">
      <c r="A4021" s="17"/>
      <c r="B4021" s="17"/>
      <c r="C4021" s="18"/>
      <c r="D4021" s="18"/>
      <c r="E4021" s="18"/>
      <c r="F4021" s="18"/>
      <c r="G4021" s="18"/>
      <c r="H4021" s="18"/>
    </row>
    <row r="4022" spans="1:8" x14ac:dyDescent="0.2">
      <c r="A4022" s="17"/>
      <c r="B4022" s="17"/>
      <c r="C4022" s="18"/>
      <c r="D4022" s="18"/>
      <c r="E4022" s="18"/>
      <c r="F4022" s="18"/>
      <c r="G4022" s="18"/>
      <c r="H4022" s="18"/>
    </row>
    <row r="4023" spans="1:8" x14ac:dyDescent="0.2">
      <c r="A4023" s="17"/>
      <c r="B4023" s="17"/>
      <c r="C4023" s="18"/>
      <c r="D4023" s="18"/>
      <c r="E4023" s="18"/>
      <c r="F4023" s="18"/>
      <c r="G4023" s="18"/>
      <c r="H4023" s="18"/>
    </row>
    <row r="4024" spans="1:8" x14ac:dyDescent="0.2">
      <c r="A4024" s="17"/>
      <c r="B4024" s="17"/>
      <c r="C4024" s="18"/>
      <c r="D4024" s="18"/>
      <c r="E4024" s="18"/>
      <c r="F4024" s="18"/>
      <c r="G4024" s="18"/>
      <c r="H4024" s="18"/>
    </row>
    <row r="4025" spans="1:8" x14ac:dyDescent="0.2">
      <c r="A4025" s="17"/>
      <c r="B4025" s="17"/>
      <c r="C4025" s="18"/>
      <c r="D4025" s="18"/>
      <c r="E4025" s="18"/>
      <c r="F4025" s="18"/>
      <c r="G4025" s="18"/>
      <c r="H4025" s="18"/>
    </row>
    <row r="4026" spans="1:8" x14ac:dyDescent="0.2">
      <c r="A4026" s="17"/>
      <c r="B4026" s="17"/>
      <c r="C4026" s="18"/>
      <c r="D4026" s="18"/>
      <c r="E4026" s="18"/>
      <c r="F4026" s="18"/>
      <c r="G4026" s="18"/>
      <c r="H4026" s="18"/>
    </row>
    <row r="4027" spans="1:8" x14ac:dyDescent="0.2">
      <c r="A4027" s="17"/>
      <c r="B4027" s="17"/>
      <c r="C4027" s="18"/>
      <c r="D4027" s="18"/>
      <c r="E4027" s="18"/>
      <c r="F4027" s="18"/>
      <c r="G4027" s="18"/>
      <c r="H4027" s="18"/>
    </row>
    <row r="4028" spans="1:8" x14ac:dyDescent="0.2">
      <c r="A4028" s="17"/>
      <c r="B4028" s="17"/>
      <c r="C4028" s="18"/>
      <c r="D4028" s="18"/>
      <c r="E4028" s="18"/>
      <c r="F4028" s="18"/>
      <c r="G4028" s="18"/>
      <c r="H4028" s="18"/>
    </row>
    <row r="4029" spans="1:8" x14ac:dyDescent="0.2">
      <c r="A4029" s="17"/>
      <c r="B4029" s="17"/>
      <c r="C4029" s="18"/>
      <c r="D4029" s="18"/>
      <c r="E4029" s="18"/>
      <c r="F4029" s="18"/>
      <c r="G4029" s="18"/>
      <c r="H4029" s="18"/>
    </row>
    <row r="4030" spans="1:8" x14ac:dyDescent="0.2">
      <c r="A4030" s="17"/>
      <c r="B4030" s="17"/>
      <c r="C4030" s="18"/>
      <c r="D4030" s="18"/>
      <c r="E4030" s="18"/>
      <c r="F4030" s="18"/>
      <c r="G4030" s="18"/>
      <c r="H4030" s="18"/>
    </row>
    <row r="4031" spans="1:8" x14ac:dyDescent="0.2">
      <c r="A4031" s="17"/>
      <c r="B4031" s="17"/>
      <c r="C4031" s="18"/>
      <c r="D4031" s="18"/>
      <c r="E4031" s="18"/>
      <c r="F4031" s="18"/>
      <c r="G4031" s="18"/>
      <c r="H4031" s="18"/>
    </row>
    <row r="4032" spans="1:8" x14ac:dyDescent="0.2">
      <c r="A4032" s="17"/>
      <c r="B4032" s="17"/>
      <c r="C4032" s="18"/>
      <c r="D4032" s="18"/>
      <c r="E4032" s="18"/>
      <c r="F4032" s="18"/>
      <c r="G4032" s="18"/>
      <c r="H4032" s="18"/>
    </row>
    <row r="4033" spans="1:8" x14ac:dyDescent="0.2">
      <c r="A4033" s="17"/>
      <c r="B4033" s="17"/>
      <c r="C4033" s="18"/>
      <c r="D4033" s="18"/>
      <c r="E4033" s="18"/>
      <c r="F4033" s="18"/>
      <c r="G4033" s="18"/>
      <c r="H4033" s="18"/>
    </row>
    <row r="4034" spans="1:8" x14ac:dyDescent="0.2">
      <c r="A4034" s="17"/>
      <c r="B4034" s="17"/>
      <c r="C4034" s="18"/>
      <c r="D4034" s="18"/>
      <c r="E4034" s="18"/>
      <c r="F4034" s="18"/>
      <c r="G4034" s="18"/>
      <c r="H4034" s="18"/>
    </row>
    <row r="4035" spans="1:8" x14ac:dyDescent="0.2">
      <c r="A4035" s="17"/>
      <c r="B4035" s="17"/>
      <c r="C4035" s="18"/>
      <c r="D4035" s="18"/>
      <c r="E4035" s="18"/>
      <c r="F4035" s="18"/>
      <c r="G4035" s="18"/>
      <c r="H4035" s="18"/>
    </row>
    <row r="4036" spans="1:8" x14ac:dyDescent="0.2">
      <c r="A4036" s="17"/>
      <c r="B4036" s="17"/>
      <c r="C4036" s="18"/>
      <c r="D4036" s="18"/>
      <c r="E4036" s="18"/>
      <c r="F4036" s="18"/>
      <c r="G4036" s="18"/>
      <c r="H4036" s="18"/>
    </row>
    <row r="4037" spans="1:8" x14ac:dyDescent="0.2">
      <c r="A4037" s="17"/>
      <c r="B4037" s="17"/>
      <c r="C4037" s="18"/>
      <c r="D4037" s="18"/>
      <c r="E4037" s="18"/>
      <c r="F4037" s="18"/>
      <c r="G4037" s="18"/>
      <c r="H4037" s="18"/>
    </row>
    <row r="4038" spans="1:8" x14ac:dyDescent="0.2">
      <c r="A4038" s="17"/>
      <c r="B4038" s="17"/>
      <c r="C4038" s="18"/>
      <c r="D4038" s="18"/>
      <c r="E4038" s="18"/>
      <c r="F4038" s="18"/>
      <c r="G4038" s="18"/>
      <c r="H4038" s="18"/>
    </row>
    <row r="4039" spans="1:8" x14ac:dyDescent="0.2">
      <c r="A4039" s="17"/>
      <c r="B4039" s="17"/>
      <c r="C4039" s="18"/>
      <c r="D4039" s="18"/>
      <c r="E4039" s="18"/>
      <c r="F4039" s="18"/>
      <c r="G4039" s="18"/>
      <c r="H4039" s="18"/>
    </row>
    <row r="4040" spans="1:8" x14ac:dyDescent="0.2">
      <c r="A4040" s="17"/>
      <c r="B4040" s="17"/>
      <c r="C4040" s="18"/>
      <c r="D4040" s="18"/>
      <c r="E4040" s="18"/>
      <c r="F4040" s="18"/>
      <c r="G4040" s="18"/>
      <c r="H4040" s="18"/>
    </row>
    <row r="4041" spans="1:8" x14ac:dyDescent="0.2">
      <c r="A4041" s="17"/>
      <c r="B4041" s="17"/>
      <c r="C4041" s="18"/>
      <c r="D4041" s="18"/>
      <c r="E4041" s="18"/>
      <c r="F4041" s="18"/>
      <c r="G4041" s="18"/>
      <c r="H4041" s="18"/>
    </row>
    <row r="4042" spans="1:8" x14ac:dyDescent="0.2">
      <c r="A4042" s="17"/>
      <c r="B4042" s="17"/>
      <c r="C4042" s="18"/>
      <c r="D4042" s="18"/>
      <c r="E4042" s="18"/>
      <c r="F4042" s="18"/>
      <c r="G4042" s="18"/>
      <c r="H4042" s="18"/>
    </row>
    <row r="4043" spans="1:8" x14ac:dyDescent="0.2">
      <c r="A4043" s="17"/>
      <c r="B4043" s="17"/>
      <c r="C4043" s="18"/>
      <c r="D4043" s="18"/>
      <c r="E4043" s="18"/>
      <c r="F4043" s="18"/>
      <c r="G4043" s="18"/>
      <c r="H4043" s="18"/>
    </row>
    <row r="4044" spans="1:8" x14ac:dyDescent="0.2">
      <c r="A4044" s="17"/>
      <c r="B4044" s="17"/>
      <c r="C4044" s="18"/>
      <c r="D4044" s="18"/>
      <c r="E4044" s="18"/>
      <c r="F4044" s="18"/>
      <c r="G4044" s="18"/>
      <c r="H4044" s="18"/>
    </row>
    <row r="4045" spans="1:8" x14ac:dyDescent="0.2">
      <c r="A4045" s="17"/>
      <c r="B4045" s="17"/>
      <c r="C4045" s="18"/>
      <c r="D4045" s="18"/>
      <c r="E4045" s="18"/>
      <c r="F4045" s="18"/>
      <c r="G4045" s="18"/>
      <c r="H4045" s="18"/>
    </row>
    <row r="4046" spans="1:8" x14ac:dyDescent="0.2">
      <c r="A4046" s="17"/>
      <c r="B4046" s="17"/>
      <c r="C4046" s="18"/>
      <c r="D4046" s="18"/>
      <c r="E4046" s="18"/>
      <c r="F4046" s="18"/>
      <c r="G4046" s="18"/>
      <c r="H4046" s="18"/>
    </row>
    <row r="4047" spans="1:8" x14ac:dyDescent="0.2">
      <c r="A4047" s="17"/>
      <c r="B4047" s="17"/>
      <c r="C4047" s="18"/>
      <c r="D4047" s="18"/>
      <c r="E4047" s="18"/>
      <c r="F4047" s="18"/>
      <c r="G4047" s="18"/>
      <c r="H4047" s="18"/>
    </row>
    <row r="4048" spans="1:8" x14ac:dyDescent="0.2">
      <c r="A4048" s="17"/>
      <c r="B4048" s="17"/>
      <c r="C4048" s="18"/>
      <c r="D4048" s="18"/>
      <c r="E4048" s="18"/>
      <c r="F4048" s="18"/>
      <c r="G4048" s="18"/>
      <c r="H4048" s="18"/>
    </row>
    <row r="4049" spans="1:8" x14ac:dyDescent="0.2">
      <c r="A4049" s="17"/>
      <c r="B4049" s="17"/>
      <c r="C4049" s="18"/>
      <c r="D4049" s="18"/>
      <c r="E4049" s="18"/>
      <c r="F4049" s="18"/>
      <c r="G4049" s="18"/>
      <c r="H4049" s="18"/>
    </row>
    <row r="4050" spans="1:8" x14ac:dyDescent="0.2">
      <c r="A4050" s="17"/>
      <c r="B4050" s="17"/>
      <c r="C4050" s="18"/>
      <c r="D4050" s="18"/>
      <c r="E4050" s="18"/>
      <c r="F4050" s="18"/>
      <c r="G4050" s="18"/>
      <c r="H4050" s="18"/>
    </row>
    <row r="4051" spans="1:8" x14ac:dyDescent="0.2">
      <c r="A4051" s="17"/>
      <c r="B4051" s="17"/>
      <c r="C4051" s="18"/>
      <c r="D4051" s="18"/>
      <c r="E4051" s="18"/>
      <c r="F4051" s="18"/>
      <c r="G4051" s="18"/>
      <c r="H4051" s="18"/>
    </row>
    <row r="4052" spans="1:8" x14ac:dyDescent="0.2">
      <c r="A4052" s="17"/>
      <c r="B4052" s="17"/>
      <c r="C4052" s="18"/>
      <c r="D4052" s="18"/>
      <c r="E4052" s="18"/>
      <c r="F4052" s="18"/>
      <c r="G4052" s="18"/>
      <c r="H4052" s="18"/>
    </row>
    <row r="4053" spans="1:8" x14ac:dyDescent="0.2">
      <c r="A4053" s="17"/>
      <c r="B4053" s="17"/>
      <c r="C4053" s="18"/>
      <c r="D4053" s="18"/>
      <c r="E4053" s="18"/>
      <c r="F4053" s="18"/>
      <c r="G4053" s="18"/>
      <c r="H4053" s="18"/>
    </row>
    <row r="4054" spans="1:8" x14ac:dyDescent="0.2">
      <c r="A4054" s="17"/>
      <c r="B4054" s="17"/>
      <c r="C4054" s="18"/>
      <c r="D4054" s="18"/>
      <c r="E4054" s="18"/>
      <c r="F4054" s="18"/>
      <c r="G4054" s="18"/>
      <c r="H4054" s="18"/>
    </row>
    <row r="4055" spans="1:8" x14ac:dyDescent="0.2">
      <c r="A4055" s="17"/>
      <c r="B4055" s="17"/>
      <c r="C4055" s="18"/>
      <c r="D4055" s="18"/>
      <c r="E4055" s="18"/>
      <c r="F4055" s="18"/>
      <c r="G4055" s="18"/>
      <c r="H4055" s="18"/>
    </row>
    <row r="4056" spans="1:8" x14ac:dyDescent="0.2">
      <c r="A4056" s="17"/>
      <c r="B4056" s="17"/>
      <c r="C4056" s="18"/>
      <c r="D4056" s="18"/>
      <c r="E4056" s="18"/>
      <c r="F4056" s="18"/>
      <c r="G4056" s="18"/>
      <c r="H4056" s="18"/>
    </row>
    <row r="4057" spans="1:8" x14ac:dyDescent="0.2">
      <c r="A4057" s="17"/>
      <c r="B4057" s="17"/>
      <c r="C4057" s="18"/>
      <c r="D4057" s="18"/>
      <c r="E4057" s="18"/>
      <c r="F4057" s="18"/>
      <c r="G4057" s="18"/>
      <c r="H4057" s="18"/>
    </row>
    <row r="4058" spans="1:8" x14ac:dyDescent="0.2">
      <c r="A4058" s="17"/>
      <c r="B4058" s="17"/>
      <c r="C4058" s="18"/>
      <c r="D4058" s="18"/>
      <c r="E4058" s="18"/>
      <c r="F4058" s="18"/>
      <c r="G4058" s="18"/>
      <c r="H4058" s="18"/>
    </row>
    <row r="4059" spans="1:8" x14ac:dyDescent="0.2">
      <c r="A4059" s="17"/>
      <c r="B4059" s="17"/>
      <c r="C4059" s="18"/>
      <c r="D4059" s="18"/>
      <c r="E4059" s="18"/>
      <c r="F4059" s="18"/>
      <c r="G4059" s="18"/>
      <c r="H4059" s="18"/>
    </row>
    <row r="4060" spans="1:8" x14ac:dyDescent="0.2">
      <c r="A4060" s="17"/>
      <c r="B4060" s="17"/>
      <c r="C4060" s="18"/>
      <c r="D4060" s="18"/>
      <c r="E4060" s="18"/>
      <c r="F4060" s="18"/>
      <c r="G4060" s="18"/>
      <c r="H4060" s="18"/>
    </row>
    <row r="4061" spans="1:8" x14ac:dyDescent="0.2">
      <c r="A4061" s="17"/>
      <c r="B4061" s="17"/>
      <c r="C4061" s="18"/>
      <c r="D4061" s="18"/>
      <c r="E4061" s="18"/>
      <c r="F4061" s="18"/>
      <c r="G4061" s="18"/>
      <c r="H4061" s="18"/>
    </row>
    <row r="4062" spans="1:8" x14ac:dyDescent="0.2">
      <c r="A4062" s="17"/>
      <c r="B4062" s="17"/>
      <c r="C4062" s="18"/>
      <c r="D4062" s="18"/>
      <c r="E4062" s="18"/>
      <c r="F4062" s="18"/>
      <c r="G4062" s="18"/>
      <c r="H4062" s="18"/>
    </row>
    <row r="4063" spans="1:8" x14ac:dyDescent="0.2">
      <c r="A4063" s="17"/>
      <c r="B4063" s="17"/>
      <c r="C4063" s="18"/>
      <c r="D4063" s="18"/>
      <c r="E4063" s="18"/>
      <c r="F4063" s="18"/>
      <c r="G4063" s="18"/>
      <c r="H4063" s="18"/>
    </row>
    <row r="4064" spans="1:8" x14ac:dyDescent="0.2">
      <c r="A4064" s="17"/>
      <c r="B4064" s="17"/>
      <c r="C4064" s="18"/>
      <c r="D4064" s="18"/>
      <c r="E4064" s="18"/>
      <c r="F4064" s="18"/>
      <c r="G4064" s="18"/>
      <c r="H4064" s="18"/>
    </row>
    <row r="4065" spans="1:8" x14ac:dyDescent="0.2">
      <c r="A4065" s="17"/>
      <c r="B4065" s="17"/>
      <c r="C4065" s="18"/>
      <c r="D4065" s="18"/>
      <c r="E4065" s="18"/>
      <c r="F4065" s="18"/>
      <c r="G4065" s="18"/>
      <c r="H4065" s="18"/>
    </row>
    <row r="4066" spans="1:8" x14ac:dyDescent="0.2">
      <c r="A4066" s="17"/>
      <c r="B4066" s="17"/>
      <c r="C4066" s="18"/>
      <c r="D4066" s="18"/>
      <c r="E4066" s="18"/>
      <c r="F4066" s="18"/>
      <c r="G4066" s="18"/>
      <c r="H4066" s="18"/>
    </row>
    <row r="4067" spans="1:8" x14ac:dyDescent="0.2">
      <c r="A4067" s="17"/>
      <c r="B4067" s="17"/>
      <c r="C4067" s="18"/>
      <c r="D4067" s="18"/>
      <c r="E4067" s="18"/>
      <c r="F4067" s="18"/>
      <c r="G4067" s="18"/>
      <c r="H4067" s="18"/>
    </row>
    <row r="4068" spans="1:8" x14ac:dyDescent="0.2">
      <c r="A4068" s="17"/>
      <c r="B4068" s="17"/>
      <c r="C4068" s="18"/>
      <c r="D4068" s="18"/>
      <c r="E4068" s="18"/>
      <c r="F4068" s="18"/>
      <c r="G4068" s="18"/>
      <c r="H4068" s="18"/>
    </row>
    <row r="4069" spans="1:8" x14ac:dyDescent="0.2">
      <c r="A4069" s="17"/>
      <c r="B4069" s="17"/>
      <c r="C4069" s="18"/>
      <c r="D4069" s="18"/>
      <c r="E4069" s="18"/>
      <c r="F4069" s="18"/>
      <c r="G4069" s="18"/>
      <c r="H4069" s="18"/>
    </row>
    <row r="4070" spans="1:8" x14ac:dyDescent="0.2">
      <c r="A4070" s="17"/>
      <c r="B4070" s="17"/>
      <c r="C4070" s="18"/>
      <c r="D4070" s="18"/>
      <c r="E4070" s="18"/>
      <c r="F4070" s="18"/>
      <c r="G4070" s="18"/>
      <c r="H4070" s="18"/>
    </row>
    <row r="4071" spans="1:8" x14ac:dyDescent="0.2">
      <c r="A4071" s="17"/>
      <c r="B4071" s="17"/>
      <c r="C4071" s="18"/>
      <c r="D4071" s="18"/>
      <c r="E4071" s="18"/>
      <c r="F4071" s="18"/>
      <c r="G4071" s="18"/>
      <c r="H4071" s="18"/>
    </row>
    <row r="4072" spans="1:8" x14ac:dyDescent="0.2">
      <c r="A4072" s="17"/>
      <c r="B4072" s="17"/>
      <c r="C4072" s="18"/>
      <c r="D4072" s="18"/>
      <c r="E4072" s="18"/>
      <c r="F4072" s="18"/>
      <c r="G4072" s="18"/>
      <c r="H4072" s="18"/>
    </row>
    <row r="4073" spans="1:8" x14ac:dyDescent="0.2">
      <c r="A4073" s="17"/>
      <c r="B4073" s="17"/>
      <c r="C4073" s="18"/>
      <c r="D4073" s="18"/>
      <c r="E4073" s="18"/>
      <c r="F4073" s="18"/>
      <c r="G4073" s="18"/>
      <c r="H4073" s="18"/>
    </row>
    <row r="4074" spans="1:8" x14ac:dyDescent="0.2">
      <c r="A4074" s="17"/>
      <c r="B4074" s="17"/>
      <c r="C4074" s="18"/>
      <c r="D4074" s="18"/>
      <c r="E4074" s="18"/>
      <c r="F4074" s="18"/>
      <c r="G4074" s="18"/>
      <c r="H4074" s="18"/>
    </row>
    <row r="4075" spans="1:8" x14ac:dyDescent="0.2">
      <c r="A4075" s="17"/>
      <c r="B4075" s="17"/>
      <c r="C4075" s="18"/>
      <c r="D4075" s="18"/>
      <c r="E4075" s="18"/>
      <c r="F4075" s="18"/>
      <c r="G4075" s="18"/>
      <c r="H4075" s="18"/>
    </row>
    <row r="4076" spans="1:8" x14ac:dyDescent="0.2">
      <c r="A4076" s="17"/>
      <c r="B4076" s="17"/>
      <c r="C4076" s="18"/>
      <c r="D4076" s="18"/>
      <c r="E4076" s="18"/>
      <c r="F4076" s="18"/>
      <c r="G4076" s="18"/>
      <c r="H4076" s="18"/>
    </row>
    <row r="4077" spans="1:8" x14ac:dyDescent="0.2">
      <c r="A4077" s="17"/>
      <c r="B4077" s="17"/>
      <c r="C4077" s="18"/>
      <c r="D4077" s="18"/>
      <c r="E4077" s="18"/>
      <c r="F4077" s="18"/>
      <c r="G4077" s="18"/>
      <c r="H4077" s="18"/>
    </row>
    <row r="4078" spans="1:8" x14ac:dyDescent="0.2">
      <c r="A4078" s="17"/>
      <c r="B4078" s="17"/>
      <c r="C4078" s="18"/>
      <c r="D4078" s="18"/>
      <c r="E4078" s="18"/>
      <c r="F4078" s="18"/>
      <c r="G4078" s="18"/>
      <c r="H4078" s="18"/>
    </row>
    <row r="4079" spans="1:8" x14ac:dyDescent="0.2">
      <c r="A4079" s="17"/>
      <c r="B4079" s="17"/>
      <c r="C4079" s="18"/>
      <c r="D4079" s="18"/>
      <c r="E4079" s="18"/>
      <c r="F4079" s="18"/>
      <c r="G4079" s="18"/>
      <c r="H4079" s="18"/>
    </row>
    <row r="4080" spans="1:8" x14ac:dyDescent="0.2">
      <c r="A4080" s="17"/>
      <c r="B4080" s="17"/>
      <c r="C4080" s="18"/>
      <c r="D4080" s="18"/>
      <c r="E4080" s="18"/>
      <c r="F4080" s="18"/>
      <c r="G4080" s="18"/>
      <c r="H4080" s="18"/>
    </row>
    <row r="4081" spans="1:8" x14ac:dyDescent="0.2">
      <c r="A4081" s="17"/>
      <c r="B4081" s="17"/>
      <c r="C4081" s="18"/>
      <c r="D4081" s="18"/>
      <c r="E4081" s="18"/>
      <c r="F4081" s="18"/>
      <c r="G4081" s="18"/>
      <c r="H4081" s="18"/>
    </row>
    <row r="4082" spans="1:8" x14ac:dyDescent="0.2">
      <c r="A4082" s="17"/>
      <c r="B4082" s="17"/>
      <c r="C4082" s="18"/>
      <c r="D4082" s="18"/>
      <c r="E4082" s="18"/>
      <c r="F4082" s="18"/>
      <c r="G4082" s="18"/>
      <c r="H4082" s="18"/>
    </row>
    <row r="4083" spans="1:8" x14ac:dyDescent="0.2">
      <c r="A4083" s="17"/>
      <c r="B4083" s="17"/>
      <c r="C4083" s="18"/>
      <c r="D4083" s="18"/>
      <c r="E4083" s="18"/>
      <c r="F4083" s="18"/>
      <c r="G4083" s="18"/>
      <c r="H4083" s="18"/>
    </row>
    <row r="4084" spans="1:8" x14ac:dyDescent="0.2">
      <c r="A4084" s="17"/>
      <c r="B4084" s="17"/>
      <c r="C4084" s="18"/>
      <c r="D4084" s="18"/>
      <c r="E4084" s="18"/>
      <c r="F4084" s="18"/>
      <c r="G4084" s="18"/>
      <c r="H4084" s="18"/>
    </row>
    <row r="4085" spans="1:8" x14ac:dyDescent="0.2">
      <c r="A4085" s="17"/>
      <c r="B4085" s="17"/>
      <c r="C4085" s="18"/>
      <c r="D4085" s="18"/>
      <c r="E4085" s="18"/>
      <c r="F4085" s="18"/>
      <c r="G4085" s="18"/>
      <c r="H4085" s="18"/>
    </row>
    <row r="4086" spans="1:8" x14ac:dyDescent="0.2">
      <c r="A4086" s="17"/>
      <c r="B4086" s="17"/>
      <c r="C4086" s="18"/>
      <c r="D4086" s="18"/>
      <c r="E4086" s="18"/>
      <c r="F4086" s="18"/>
      <c r="G4086" s="18"/>
      <c r="H4086" s="18"/>
    </row>
    <row r="4087" spans="1:8" x14ac:dyDescent="0.2">
      <c r="A4087" s="17"/>
      <c r="B4087" s="17"/>
      <c r="C4087" s="18"/>
      <c r="D4087" s="18"/>
      <c r="E4087" s="18"/>
      <c r="F4087" s="18"/>
      <c r="G4087" s="18"/>
      <c r="H4087" s="18"/>
    </row>
    <row r="4088" spans="1:8" x14ac:dyDescent="0.2">
      <c r="A4088" s="17"/>
      <c r="B4088" s="17"/>
      <c r="C4088" s="18"/>
      <c r="D4088" s="18"/>
      <c r="E4088" s="18"/>
      <c r="F4088" s="18"/>
      <c r="G4088" s="18"/>
      <c r="H4088" s="18"/>
    </row>
    <row r="4089" spans="1:8" x14ac:dyDescent="0.2">
      <c r="A4089" s="17"/>
      <c r="B4089" s="17"/>
      <c r="C4089" s="18"/>
      <c r="D4089" s="18"/>
      <c r="E4089" s="18"/>
      <c r="F4089" s="18"/>
      <c r="G4089" s="18"/>
      <c r="H4089" s="18"/>
    </row>
    <row r="4090" spans="1:8" x14ac:dyDescent="0.2">
      <c r="A4090" s="17"/>
      <c r="B4090" s="17"/>
      <c r="C4090" s="18"/>
      <c r="D4090" s="18"/>
      <c r="E4090" s="18"/>
      <c r="F4090" s="18"/>
      <c r="G4090" s="18"/>
      <c r="H4090" s="18"/>
    </row>
    <row r="4091" spans="1:8" x14ac:dyDescent="0.2">
      <c r="A4091" s="17"/>
      <c r="B4091" s="17"/>
      <c r="C4091" s="18"/>
      <c r="D4091" s="18"/>
      <c r="E4091" s="18"/>
      <c r="F4091" s="18"/>
      <c r="G4091" s="18"/>
      <c r="H4091" s="18"/>
    </row>
    <row r="4092" spans="1:8" x14ac:dyDescent="0.2">
      <c r="A4092" s="17"/>
      <c r="B4092" s="17"/>
      <c r="C4092" s="18"/>
      <c r="D4092" s="18"/>
      <c r="E4092" s="18"/>
      <c r="F4092" s="18"/>
      <c r="G4092" s="18"/>
      <c r="H4092" s="18"/>
    </row>
    <row r="4093" spans="1:8" x14ac:dyDescent="0.2">
      <c r="A4093" s="17"/>
      <c r="B4093" s="17"/>
      <c r="C4093" s="18"/>
      <c r="D4093" s="18"/>
      <c r="E4093" s="18"/>
      <c r="F4093" s="18"/>
      <c r="G4093" s="18"/>
      <c r="H4093" s="18"/>
    </row>
    <row r="4094" spans="1:8" x14ac:dyDescent="0.2">
      <c r="A4094" s="17"/>
      <c r="B4094" s="17"/>
      <c r="C4094" s="18"/>
      <c r="D4094" s="18"/>
      <c r="E4094" s="18"/>
      <c r="F4094" s="18"/>
      <c r="G4094" s="18"/>
      <c r="H4094" s="18"/>
    </row>
    <row r="4095" spans="1:8" x14ac:dyDescent="0.2">
      <c r="A4095" s="17"/>
      <c r="B4095" s="17"/>
      <c r="C4095" s="18"/>
      <c r="D4095" s="18"/>
      <c r="E4095" s="18"/>
      <c r="F4095" s="18"/>
      <c r="G4095" s="18"/>
      <c r="H4095" s="18"/>
    </row>
    <row r="4096" spans="1:8" x14ac:dyDescent="0.2">
      <c r="A4096" s="17"/>
      <c r="B4096" s="17"/>
      <c r="C4096" s="18"/>
      <c r="D4096" s="18"/>
      <c r="E4096" s="18"/>
      <c r="F4096" s="18"/>
      <c r="G4096" s="18"/>
      <c r="H4096" s="18"/>
    </row>
    <row r="4097" spans="1:8" x14ac:dyDescent="0.2">
      <c r="A4097" s="17"/>
      <c r="B4097" s="17"/>
      <c r="C4097" s="18"/>
      <c r="D4097" s="18"/>
      <c r="E4097" s="18"/>
      <c r="F4097" s="18"/>
      <c r="G4097" s="18"/>
      <c r="H4097" s="18"/>
    </row>
    <row r="4098" spans="1:8" x14ac:dyDescent="0.2">
      <c r="A4098" s="17"/>
      <c r="B4098" s="17"/>
      <c r="C4098" s="18"/>
      <c r="D4098" s="18"/>
      <c r="E4098" s="18"/>
      <c r="F4098" s="18"/>
      <c r="G4098" s="18"/>
      <c r="H4098" s="18"/>
    </row>
    <row r="4099" spans="1:8" x14ac:dyDescent="0.2">
      <c r="A4099" s="17"/>
      <c r="B4099" s="17"/>
      <c r="C4099" s="18"/>
      <c r="D4099" s="18"/>
      <c r="E4099" s="18"/>
      <c r="F4099" s="18"/>
      <c r="G4099" s="18"/>
      <c r="H4099" s="18"/>
    </row>
    <row r="4100" spans="1:8" x14ac:dyDescent="0.2">
      <c r="A4100" s="17"/>
      <c r="B4100" s="17"/>
      <c r="C4100" s="18"/>
      <c r="D4100" s="18"/>
      <c r="E4100" s="18"/>
      <c r="F4100" s="18"/>
      <c r="G4100" s="18"/>
      <c r="H4100" s="18"/>
    </row>
    <row r="4101" spans="1:8" x14ac:dyDescent="0.2">
      <c r="A4101" s="17"/>
      <c r="B4101" s="17"/>
      <c r="C4101" s="18"/>
      <c r="D4101" s="18"/>
      <c r="E4101" s="18"/>
      <c r="F4101" s="18"/>
      <c r="G4101" s="18"/>
      <c r="H4101" s="18"/>
    </row>
    <row r="4102" spans="1:8" x14ac:dyDescent="0.2">
      <c r="A4102" s="17"/>
      <c r="B4102" s="17"/>
      <c r="C4102" s="18"/>
      <c r="D4102" s="18"/>
      <c r="E4102" s="18"/>
      <c r="F4102" s="18"/>
      <c r="G4102" s="18"/>
      <c r="H4102" s="18"/>
    </row>
    <row r="4103" spans="1:8" x14ac:dyDescent="0.2">
      <c r="A4103" s="17"/>
      <c r="B4103" s="17"/>
      <c r="C4103" s="18"/>
      <c r="D4103" s="18"/>
      <c r="E4103" s="18"/>
      <c r="F4103" s="18"/>
      <c r="G4103" s="18"/>
      <c r="H4103" s="18"/>
    </row>
    <row r="4104" spans="1:8" x14ac:dyDescent="0.2">
      <c r="A4104" s="17"/>
      <c r="B4104" s="17"/>
      <c r="C4104" s="18"/>
      <c r="D4104" s="18"/>
      <c r="E4104" s="18"/>
      <c r="F4104" s="18"/>
      <c r="G4104" s="18"/>
      <c r="H4104" s="18"/>
    </row>
    <row r="4105" spans="1:8" x14ac:dyDescent="0.2">
      <c r="A4105" s="17"/>
      <c r="B4105" s="17"/>
      <c r="C4105" s="18"/>
      <c r="D4105" s="18"/>
      <c r="E4105" s="18"/>
      <c r="F4105" s="18"/>
      <c r="G4105" s="18"/>
      <c r="H4105" s="18"/>
    </row>
    <row r="4106" spans="1:8" x14ac:dyDescent="0.2">
      <c r="A4106" s="17"/>
      <c r="B4106" s="17"/>
      <c r="C4106" s="18"/>
      <c r="D4106" s="18"/>
      <c r="E4106" s="18"/>
      <c r="F4106" s="18"/>
      <c r="G4106" s="18"/>
      <c r="H4106" s="18"/>
    </row>
    <row r="4107" spans="1:8" x14ac:dyDescent="0.2">
      <c r="A4107" s="17"/>
      <c r="B4107" s="17"/>
      <c r="C4107" s="18"/>
      <c r="D4107" s="18"/>
      <c r="E4107" s="18"/>
      <c r="F4107" s="18"/>
      <c r="G4107" s="18"/>
      <c r="H4107" s="18"/>
    </row>
    <row r="4108" spans="1:8" x14ac:dyDescent="0.2">
      <c r="A4108" s="17"/>
      <c r="B4108" s="17"/>
      <c r="C4108" s="18"/>
      <c r="D4108" s="18"/>
      <c r="E4108" s="18"/>
      <c r="F4108" s="18"/>
      <c r="G4108" s="18"/>
      <c r="H4108" s="18"/>
    </row>
    <row r="4109" spans="1:8" x14ac:dyDescent="0.2">
      <c r="A4109" s="17"/>
      <c r="B4109" s="17"/>
      <c r="C4109" s="18"/>
      <c r="D4109" s="18"/>
      <c r="E4109" s="18"/>
      <c r="F4109" s="18"/>
      <c r="G4109" s="18"/>
      <c r="H4109" s="18"/>
    </row>
    <row r="4110" spans="1:8" x14ac:dyDescent="0.2">
      <c r="A4110" s="17"/>
      <c r="B4110" s="17"/>
      <c r="C4110" s="18"/>
      <c r="D4110" s="18"/>
      <c r="E4110" s="18"/>
      <c r="F4110" s="18"/>
      <c r="G4110" s="18"/>
      <c r="H4110" s="18"/>
    </row>
    <row r="4111" spans="1:8" x14ac:dyDescent="0.2">
      <c r="A4111" s="17"/>
      <c r="B4111" s="17"/>
      <c r="C4111" s="18"/>
      <c r="D4111" s="18"/>
      <c r="E4111" s="18"/>
      <c r="F4111" s="18"/>
      <c r="G4111" s="18"/>
      <c r="H4111" s="18"/>
    </row>
    <row r="4112" spans="1:8" x14ac:dyDescent="0.2">
      <c r="A4112" s="17"/>
      <c r="B4112" s="17"/>
      <c r="C4112" s="18"/>
      <c r="D4112" s="18"/>
      <c r="E4112" s="18"/>
      <c r="F4112" s="18"/>
      <c r="G4112" s="18"/>
      <c r="H4112" s="18"/>
    </row>
    <row r="4113" spans="1:8" x14ac:dyDescent="0.2">
      <c r="A4113" s="17"/>
      <c r="B4113" s="17"/>
      <c r="C4113" s="18"/>
      <c r="D4113" s="18"/>
      <c r="E4113" s="18"/>
      <c r="F4113" s="18"/>
      <c r="G4113" s="18"/>
      <c r="H4113" s="18"/>
    </row>
    <row r="4114" spans="1:8" x14ac:dyDescent="0.2">
      <c r="A4114" s="17"/>
      <c r="B4114" s="17"/>
      <c r="C4114" s="18"/>
      <c r="D4114" s="18"/>
      <c r="E4114" s="18"/>
      <c r="F4114" s="18"/>
      <c r="G4114" s="18"/>
      <c r="H4114" s="18"/>
    </row>
    <row r="4115" spans="1:8" x14ac:dyDescent="0.2">
      <c r="A4115" s="17"/>
      <c r="B4115" s="17"/>
      <c r="C4115" s="18"/>
      <c r="D4115" s="18"/>
      <c r="E4115" s="18"/>
      <c r="F4115" s="18"/>
      <c r="G4115" s="18"/>
      <c r="H4115" s="18"/>
    </row>
    <row r="4116" spans="1:8" x14ac:dyDescent="0.2">
      <c r="A4116" s="17"/>
      <c r="B4116" s="17"/>
      <c r="C4116" s="18"/>
      <c r="D4116" s="18"/>
      <c r="E4116" s="18"/>
      <c r="F4116" s="18"/>
      <c r="G4116" s="18"/>
      <c r="H4116" s="18"/>
    </row>
    <row r="4117" spans="1:8" x14ac:dyDescent="0.2">
      <c r="A4117" s="17"/>
      <c r="B4117" s="17"/>
      <c r="C4117" s="18"/>
      <c r="D4117" s="18"/>
      <c r="E4117" s="18"/>
      <c r="F4117" s="18"/>
      <c r="G4117" s="18"/>
      <c r="H4117" s="18"/>
    </row>
    <row r="4118" spans="1:8" x14ac:dyDescent="0.2">
      <c r="A4118" s="17"/>
      <c r="B4118" s="17"/>
      <c r="C4118" s="18"/>
      <c r="D4118" s="18"/>
      <c r="E4118" s="18"/>
      <c r="F4118" s="18"/>
      <c r="G4118" s="18"/>
      <c r="H4118" s="18"/>
    </row>
    <row r="4119" spans="1:8" x14ac:dyDescent="0.2">
      <c r="A4119" s="17"/>
      <c r="B4119" s="17"/>
      <c r="C4119" s="18"/>
      <c r="D4119" s="18"/>
      <c r="E4119" s="18"/>
      <c r="F4119" s="18"/>
      <c r="G4119" s="18"/>
      <c r="H4119" s="18"/>
    </row>
    <row r="4120" spans="1:8" x14ac:dyDescent="0.2">
      <c r="A4120" s="17"/>
      <c r="B4120" s="17"/>
      <c r="C4120" s="18"/>
      <c r="D4120" s="18"/>
      <c r="E4120" s="18"/>
      <c r="F4120" s="18"/>
      <c r="G4120" s="18"/>
      <c r="H4120" s="18"/>
    </row>
    <row r="4121" spans="1:8" x14ac:dyDescent="0.2">
      <c r="A4121" s="17"/>
      <c r="B4121" s="17"/>
      <c r="C4121" s="18"/>
      <c r="D4121" s="18"/>
      <c r="E4121" s="18"/>
      <c r="F4121" s="18"/>
      <c r="G4121" s="18"/>
      <c r="H4121" s="18"/>
    </row>
    <row r="4122" spans="1:8" x14ac:dyDescent="0.2">
      <c r="A4122" s="17"/>
      <c r="B4122" s="17"/>
      <c r="C4122" s="18"/>
      <c r="D4122" s="18"/>
      <c r="E4122" s="18"/>
      <c r="F4122" s="18"/>
      <c r="G4122" s="18"/>
      <c r="H4122" s="18"/>
    </row>
    <row r="4123" spans="1:8" x14ac:dyDescent="0.2">
      <c r="A4123" s="17"/>
      <c r="B4123" s="17"/>
      <c r="C4123" s="18"/>
      <c r="D4123" s="18"/>
      <c r="E4123" s="18"/>
      <c r="F4123" s="18"/>
      <c r="G4123" s="18"/>
      <c r="H4123" s="18"/>
    </row>
    <row r="4124" spans="1:8" x14ac:dyDescent="0.2">
      <c r="A4124" s="17"/>
      <c r="B4124" s="17"/>
      <c r="C4124" s="18"/>
      <c r="D4124" s="18"/>
      <c r="E4124" s="18"/>
      <c r="F4124" s="18"/>
      <c r="G4124" s="18"/>
      <c r="H4124" s="18"/>
    </row>
    <row r="4125" spans="1:8" x14ac:dyDescent="0.2">
      <c r="A4125" s="17"/>
      <c r="B4125" s="17"/>
      <c r="C4125" s="18"/>
      <c r="D4125" s="18"/>
      <c r="E4125" s="18"/>
      <c r="F4125" s="18"/>
      <c r="G4125" s="18"/>
      <c r="H4125" s="18"/>
    </row>
    <row r="4126" spans="1:8" x14ac:dyDescent="0.2">
      <c r="A4126" s="17"/>
      <c r="B4126" s="17"/>
      <c r="C4126" s="18"/>
      <c r="D4126" s="18"/>
      <c r="E4126" s="18"/>
      <c r="F4126" s="18"/>
      <c r="G4126" s="18"/>
      <c r="H4126" s="18"/>
    </row>
    <row r="4127" spans="1:8" x14ac:dyDescent="0.2">
      <c r="A4127" s="17"/>
      <c r="B4127" s="17"/>
      <c r="C4127" s="18"/>
      <c r="D4127" s="18"/>
      <c r="E4127" s="18"/>
      <c r="F4127" s="18"/>
      <c r="G4127" s="18"/>
      <c r="H4127" s="18"/>
    </row>
    <row r="4128" spans="1:8" x14ac:dyDescent="0.2">
      <c r="A4128" s="17"/>
      <c r="B4128" s="17"/>
      <c r="C4128" s="18"/>
      <c r="D4128" s="18"/>
      <c r="E4128" s="18"/>
      <c r="F4128" s="18"/>
      <c r="G4128" s="18"/>
      <c r="H4128" s="18"/>
    </row>
    <row r="4129" spans="1:8" x14ac:dyDescent="0.2">
      <c r="A4129" s="17"/>
      <c r="B4129" s="17"/>
      <c r="C4129" s="18"/>
      <c r="D4129" s="18"/>
      <c r="E4129" s="18"/>
      <c r="F4129" s="18"/>
      <c r="G4129" s="18"/>
      <c r="H4129" s="18"/>
    </row>
    <row r="4130" spans="1:8" x14ac:dyDescent="0.2">
      <c r="A4130" s="17"/>
      <c r="B4130" s="17"/>
      <c r="C4130" s="18"/>
      <c r="D4130" s="18"/>
      <c r="E4130" s="18"/>
      <c r="F4130" s="18"/>
      <c r="G4130" s="18"/>
      <c r="H4130" s="18"/>
    </row>
    <row r="4131" spans="1:8" x14ac:dyDescent="0.2">
      <c r="A4131" s="17"/>
      <c r="B4131" s="17"/>
      <c r="C4131" s="18"/>
      <c r="D4131" s="18"/>
      <c r="E4131" s="18"/>
      <c r="F4131" s="18"/>
      <c r="G4131" s="18"/>
      <c r="H4131" s="18"/>
    </row>
    <row r="4132" spans="1:8" x14ac:dyDescent="0.2">
      <c r="A4132" s="17"/>
      <c r="B4132" s="17"/>
      <c r="C4132" s="18"/>
      <c r="D4132" s="18"/>
      <c r="E4132" s="18"/>
      <c r="F4132" s="18"/>
      <c r="G4132" s="18"/>
      <c r="H4132" s="18"/>
    </row>
    <row r="4133" spans="1:8" x14ac:dyDescent="0.2">
      <c r="A4133" s="17"/>
      <c r="B4133" s="17"/>
      <c r="C4133" s="18"/>
      <c r="D4133" s="18"/>
      <c r="E4133" s="18"/>
      <c r="F4133" s="18"/>
      <c r="G4133" s="18"/>
      <c r="H4133" s="18"/>
    </row>
    <row r="4134" spans="1:8" x14ac:dyDescent="0.2">
      <c r="A4134" s="17"/>
      <c r="B4134" s="17"/>
      <c r="C4134" s="18"/>
      <c r="D4134" s="18"/>
      <c r="E4134" s="18"/>
      <c r="F4134" s="18"/>
      <c r="G4134" s="18"/>
      <c r="H4134" s="18"/>
    </row>
    <row r="4135" spans="1:8" x14ac:dyDescent="0.2">
      <c r="A4135" s="17"/>
      <c r="B4135" s="17"/>
      <c r="C4135" s="18"/>
      <c r="D4135" s="18"/>
      <c r="E4135" s="18"/>
      <c r="F4135" s="18"/>
      <c r="G4135" s="18"/>
      <c r="H4135" s="18"/>
    </row>
    <row r="4136" spans="1:8" x14ac:dyDescent="0.2">
      <c r="A4136" s="17"/>
      <c r="B4136" s="17"/>
      <c r="C4136" s="18"/>
      <c r="D4136" s="18"/>
      <c r="E4136" s="18"/>
      <c r="F4136" s="18"/>
      <c r="G4136" s="18"/>
      <c r="H4136" s="18"/>
    </row>
    <row r="4137" spans="1:8" x14ac:dyDescent="0.2">
      <c r="A4137" s="17"/>
      <c r="B4137" s="17"/>
      <c r="C4137" s="18"/>
      <c r="D4137" s="18"/>
      <c r="E4137" s="18"/>
      <c r="F4137" s="18"/>
      <c r="G4137" s="18"/>
      <c r="H4137" s="18"/>
    </row>
    <row r="4138" spans="1:8" x14ac:dyDescent="0.2">
      <c r="A4138" s="17"/>
      <c r="B4138" s="17"/>
      <c r="C4138" s="18"/>
      <c r="D4138" s="18"/>
      <c r="E4138" s="18"/>
      <c r="F4138" s="18"/>
      <c r="G4138" s="18"/>
      <c r="H4138" s="18"/>
    </row>
    <row r="4139" spans="1:8" x14ac:dyDescent="0.2">
      <c r="A4139" s="17"/>
      <c r="B4139" s="17"/>
      <c r="C4139" s="18"/>
      <c r="D4139" s="18"/>
      <c r="E4139" s="18"/>
      <c r="F4139" s="18"/>
      <c r="G4139" s="18"/>
      <c r="H4139" s="18"/>
    </row>
    <row r="4140" spans="1:8" x14ac:dyDescent="0.2">
      <c r="A4140" s="17"/>
      <c r="B4140" s="17"/>
      <c r="C4140" s="18"/>
      <c r="D4140" s="18"/>
      <c r="E4140" s="18"/>
      <c r="F4140" s="18"/>
      <c r="G4140" s="18"/>
      <c r="H4140" s="18"/>
    </row>
    <row r="4141" spans="1:8" x14ac:dyDescent="0.2">
      <c r="A4141" s="17"/>
      <c r="B4141" s="17"/>
      <c r="C4141" s="18"/>
      <c r="D4141" s="18"/>
      <c r="E4141" s="18"/>
      <c r="F4141" s="18"/>
      <c r="G4141" s="18"/>
      <c r="H4141" s="18"/>
    </row>
    <row r="4142" spans="1:8" x14ac:dyDescent="0.2">
      <c r="A4142" s="17"/>
      <c r="B4142" s="17"/>
      <c r="C4142" s="18"/>
      <c r="D4142" s="18"/>
      <c r="E4142" s="18"/>
      <c r="F4142" s="18"/>
      <c r="G4142" s="18"/>
      <c r="H4142" s="18"/>
    </row>
    <row r="4143" spans="1:8" x14ac:dyDescent="0.2">
      <c r="A4143" s="17"/>
      <c r="B4143" s="17"/>
      <c r="C4143" s="18"/>
      <c r="D4143" s="18"/>
      <c r="E4143" s="18"/>
      <c r="F4143" s="18"/>
      <c r="G4143" s="18"/>
      <c r="H4143" s="18"/>
    </row>
    <row r="4144" spans="1:8" x14ac:dyDescent="0.2">
      <c r="A4144" s="17"/>
      <c r="B4144" s="17"/>
      <c r="C4144" s="18"/>
      <c r="D4144" s="18"/>
      <c r="E4144" s="18"/>
      <c r="F4144" s="18"/>
      <c r="G4144" s="18"/>
      <c r="H4144" s="18"/>
    </row>
    <row r="4145" spans="1:8" x14ac:dyDescent="0.2">
      <c r="A4145" s="17"/>
      <c r="B4145" s="17"/>
      <c r="C4145" s="18"/>
      <c r="D4145" s="18"/>
      <c r="E4145" s="18"/>
      <c r="F4145" s="18"/>
      <c r="G4145" s="18"/>
      <c r="H4145" s="18"/>
    </row>
    <row r="4146" spans="1:8" x14ac:dyDescent="0.2">
      <c r="A4146" s="17"/>
      <c r="B4146" s="17"/>
      <c r="C4146" s="18"/>
      <c r="D4146" s="18"/>
      <c r="E4146" s="18"/>
      <c r="F4146" s="18"/>
      <c r="G4146" s="18"/>
      <c r="H4146" s="18"/>
    </row>
    <row r="4147" spans="1:8" x14ac:dyDescent="0.2">
      <c r="A4147" s="17"/>
      <c r="B4147" s="17"/>
      <c r="C4147" s="18"/>
      <c r="D4147" s="18"/>
      <c r="E4147" s="18"/>
      <c r="F4147" s="18"/>
      <c r="G4147" s="18"/>
      <c r="H4147" s="18"/>
    </row>
    <row r="4148" spans="1:8" x14ac:dyDescent="0.2">
      <c r="A4148" s="17"/>
      <c r="B4148" s="17"/>
      <c r="C4148" s="18"/>
      <c r="D4148" s="18"/>
      <c r="E4148" s="18"/>
      <c r="F4148" s="18"/>
      <c r="G4148" s="18"/>
      <c r="H4148" s="18"/>
    </row>
    <row r="4149" spans="1:8" x14ac:dyDescent="0.2">
      <c r="A4149" s="17"/>
      <c r="B4149" s="17"/>
      <c r="C4149" s="18"/>
      <c r="D4149" s="18"/>
      <c r="E4149" s="18"/>
      <c r="F4149" s="18"/>
      <c r="G4149" s="18"/>
      <c r="H4149" s="18"/>
    </row>
    <row r="4150" spans="1:8" x14ac:dyDescent="0.2">
      <c r="A4150" s="17"/>
      <c r="B4150" s="17"/>
      <c r="C4150" s="18"/>
      <c r="D4150" s="18"/>
      <c r="E4150" s="18"/>
      <c r="F4150" s="18"/>
      <c r="G4150" s="18"/>
      <c r="H4150" s="18"/>
    </row>
    <row r="4151" spans="1:8" x14ac:dyDescent="0.2">
      <c r="A4151" s="17"/>
      <c r="B4151" s="17"/>
      <c r="C4151" s="18"/>
      <c r="D4151" s="18"/>
      <c r="E4151" s="18"/>
      <c r="F4151" s="18"/>
      <c r="G4151" s="18"/>
      <c r="H4151" s="18"/>
    </row>
    <row r="4152" spans="1:8" x14ac:dyDescent="0.2">
      <c r="A4152" s="17"/>
      <c r="B4152" s="17"/>
      <c r="C4152" s="18"/>
      <c r="D4152" s="18"/>
      <c r="E4152" s="18"/>
      <c r="F4152" s="18"/>
      <c r="G4152" s="18"/>
      <c r="H4152" s="18"/>
    </row>
    <row r="4153" spans="1:8" x14ac:dyDescent="0.2">
      <c r="A4153" s="17"/>
      <c r="B4153" s="17"/>
      <c r="C4153" s="18"/>
      <c r="D4153" s="18"/>
      <c r="E4153" s="18"/>
      <c r="F4153" s="18"/>
      <c r="G4153" s="18"/>
      <c r="H4153" s="18"/>
    </row>
    <row r="4154" spans="1:8" x14ac:dyDescent="0.2">
      <c r="A4154" s="17"/>
      <c r="B4154" s="17"/>
      <c r="C4154" s="18"/>
      <c r="D4154" s="18"/>
      <c r="E4154" s="18"/>
      <c r="F4154" s="18"/>
      <c r="G4154" s="18"/>
      <c r="H4154" s="18"/>
    </row>
    <row r="4155" spans="1:8" x14ac:dyDescent="0.2">
      <c r="A4155" s="17"/>
      <c r="B4155" s="17"/>
      <c r="C4155" s="18"/>
      <c r="D4155" s="18"/>
      <c r="E4155" s="18"/>
      <c r="F4155" s="18"/>
      <c r="G4155" s="18"/>
      <c r="H4155" s="18"/>
    </row>
    <row r="4156" spans="1:8" x14ac:dyDescent="0.2">
      <c r="A4156" s="17"/>
      <c r="B4156" s="17"/>
      <c r="C4156" s="18"/>
      <c r="D4156" s="18"/>
      <c r="E4156" s="18"/>
      <c r="F4156" s="18"/>
      <c r="G4156" s="18"/>
      <c r="H4156" s="18"/>
    </row>
    <row r="4157" spans="1:8" x14ac:dyDescent="0.2">
      <c r="A4157" s="17"/>
      <c r="B4157" s="17"/>
      <c r="C4157" s="18"/>
      <c r="D4157" s="18"/>
      <c r="E4157" s="18"/>
      <c r="F4157" s="18"/>
      <c r="G4157" s="18"/>
      <c r="H4157" s="18"/>
    </row>
    <row r="4158" spans="1:8" x14ac:dyDescent="0.2">
      <c r="A4158" s="17"/>
      <c r="B4158" s="17"/>
      <c r="C4158" s="18"/>
      <c r="D4158" s="18"/>
      <c r="E4158" s="18"/>
      <c r="F4158" s="18"/>
      <c r="G4158" s="18"/>
      <c r="H4158" s="18"/>
    </row>
    <row r="4159" spans="1:8" x14ac:dyDescent="0.2">
      <c r="A4159" s="17"/>
      <c r="B4159" s="17"/>
      <c r="C4159" s="18"/>
      <c r="D4159" s="18"/>
      <c r="E4159" s="18"/>
      <c r="F4159" s="18"/>
      <c r="G4159" s="18"/>
      <c r="H4159" s="18"/>
    </row>
    <row r="4160" spans="1:8" x14ac:dyDescent="0.2">
      <c r="A4160" s="17"/>
      <c r="B4160" s="17"/>
      <c r="C4160" s="18"/>
      <c r="D4160" s="18"/>
      <c r="E4160" s="18"/>
      <c r="F4160" s="18"/>
      <c r="G4160" s="18"/>
      <c r="H4160" s="18"/>
    </row>
    <row r="4161" spans="1:8" x14ac:dyDescent="0.2">
      <c r="A4161" s="17"/>
      <c r="B4161" s="17"/>
      <c r="C4161" s="18"/>
      <c r="D4161" s="18"/>
      <c r="E4161" s="18"/>
      <c r="F4161" s="18"/>
      <c r="G4161" s="18"/>
      <c r="H4161" s="18"/>
    </row>
    <row r="4162" spans="1:8" x14ac:dyDescent="0.2">
      <c r="A4162" s="17"/>
      <c r="B4162" s="17"/>
      <c r="C4162" s="18"/>
      <c r="D4162" s="18"/>
      <c r="E4162" s="18"/>
      <c r="F4162" s="18"/>
      <c r="G4162" s="18"/>
      <c r="H4162" s="18"/>
    </row>
    <row r="4163" spans="1:8" x14ac:dyDescent="0.2">
      <c r="A4163" s="17"/>
      <c r="B4163" s="17"/>
      <c r="C4163" s="18"/>
      <c r="D4163" s="18"/>
      <c r="E4163" s="18"/>
      <c r="F4163" s="18"/>
      <c r="G4163" s="18"/>
      <c r="H4163" s="18"/>
    </row>
    <row r="4164" spans="1:8" x14ac:dyDescent="0.2">
      <c r="A4164" s="17"/>
      <c r="B4164" s="17"/>
      <c r="C4164" s="18"/>
      <c r="D4164" s="18"/>
      <c r="E4164" s="18"/>
      <c r="F4164" s="18"/>
      <c r="G4164" s="18"/>
      <c r="H4164" s="18"/>
    </row>
    <row r="4165" spans="1:8" x14ac:dyDescent="0.2">
      <c r="A4165" s="17"/>
      <c r="B4165" s="17"/>
      <c r="C4165" s="18"/>
      <c r="D4165" s="18"/>
      <c r="E4165" s="18"/>
      <c r="F4165" s="18"/>
      <c r="G4165" s="18"/>
      <c r="H4165" s="18"/>
    </row>
    <row r="4166" spans="1:8" x14ac:dyDescent="0.2">
      <c r="A4166" s="17"/>
      <c r="B4166" s="17"/>
      <c r="C4166" s="18"/>
      <c r="D4166" s="18"/>
      <c r="E4166" s="18"/>
      <c r="F4166" s="18"/>
      <c r="G4166" s="18"/>
      <c r="H4166" s="18"/>
    </row>
    <row r="4167" spans="1:8" x14ac:dyDescent="0.2">
      <c r="A4167" s="17"/>
      <c r="B4167" s="17"/>
      <c r="C4167" s="18"/>
      <c r="D4167" s="18"/>
      <c r="E4167" s="18"/>
      <c r="F4167" s="18"/>
      <c r="G4167" s="18"/>
      <c r="H4167" s="18"/>
    </row>
    <row r="4168" spans="1:8" x14ac:dyDescent="0.2">
      <c r="A4168" s="17"/>
      <c r="B4168" s="17"/>
      <c r="C4168" s="18"/>
      <c r="D4168" s="18"/>
      <c r="E4168" s="18"/>
      <c r="F4168" s="18"/>
      <c r="G4168" s="18"/>
      <c r="H4168" s="18"/>
    </row>
    <row r="4169" spans="1:8" x14ac:dyDescent="0.2">
      <c r="A4169" s="17"/>
      <c r="B4169" s="17"/>
      <c r="C4169" s="18"/>
      <c r="D4169" s="18"/>
      <c r="E4169" s="18"/>
      <c r="F4169" s="18"/>
      <c r="G4169" s="18"/>
      <c r="H4169" s="18"/>
    </row>
    <row r="4170" spans="1:8" x14ac:dyDescent="0.2">
      <c r="A4170" s="17"/>
      <c r="B4170" s="17"/>
      <c r="C4170" s="18"/>
      <c r="D4170" s="18"/>
      <c r="E4170" s="18"/>
      <c r="F4170" s="18"/>
      <c r="G4170" s="18"/>
      <c r="H4170" s="18"/>
    </row>
    <row r="4171" spans="1:8" x14ac:dyDescent="0.2">
      <c r="A4171" s="17"/>
      <c r="B4171" s="17"/>
      <c r="C4171" s="18"/>
      <c r="D4171" s="18"/>
      <c r="E4171" s="18"/>
      <c r="F4171" s="18"/>
      <c r="G4171" s="18"/>
      <c r="H4171" s="18"/>
    </row>
    <row r="4172" spans="1:8" x14ac:dyDescent="0.2">
      <c r="A4172" s="17"/>
      <c r="B4172" s="17"/>
      <c r="C4172" s="18"/>
      <c r="D4172" s="18"/>
      <c r="E4172" s="18"/>
      <c r="F4172" s="18"/>
      <c r="G4172" s="18"/>
      <c r="H4172" s="18"/>
    </row>
    <row r="4173" spans="1:8" x14ac:dyDescent="0.2">
      <c r="A4173" s="17"/>
      <c r="B4173" s="17"/>
      <c r="C4173" s="18"/>
      <c r="D4173" s="18"/>
      <c r="E4173" s="18"/>
      <c r="F4173" s="18"/>
      <c r="G4173" s="18"/>
      <c r="H4173" s="18"/>
    </row>
    <row r="4174" spans="1:8" x14ac:dyDescent="0.2">
      <c r="A4174" s="17"/>
      <c r="B4174" s="17"/>
      <c r="C4174" s="18"/>
      <c r="D4174" s="18"/>
      <c r="E4174" s="18"/>
      <c r="F4174" s="18"/>
      <c r="G4174" s="18"/>
      <c r="H4174" s="18"/>
    </row>
    <row r="4175" spans="1:8" x14ac:dyDescent="0.2">
      <c r="A4175" s="17"/>
      <c r="B4175" s="17"/>
      <c r="C4175" s="18"/>
      <c r="D4175" s="18"/>
      <c r="E4175" s="18"/>
      <c r="F4175" s="18"/>
      <c r="G4175" s="18"/>
      <c r="H4175" s="18"/>
    </row>
    <row r="4176" spans="1:8" x14ac:dyDescent="0.2">
      <c r="A4176" s="17"/>
      <c r="B4176" s="17"/>
      <c r="C4176" s="18"/>
      <c r="D4176" s="18"/>
      <c r="E4176" s="18"/>
      <c r="F4176" s="18"/>
      <c r="G4176" s="18"/>
      <c r="H4176" s="18"/>
    </row>
    <row r="4177" spans="1:8" x14ac:dyDescent="0.2">
      <c r="A4177" s="17"/>
      <c r="B4177" s="17"/>
      <c r="C4177" s="18"/>
      <c r="D4177" s="18"/>
      <c r="E4177" s="18"/>
      <c r="F4177" s="18"/>
      <c r="G4177" s="18"/>
      <c r="H4177" s="18"/>
    </row>
    <row r="4178" spans="1:8" x14ac:dyDescent="0.2">
      <c r="A4178" s="17"/>
      <c r="B4178" s="17"/>
      <c r="C4178" s="18"/>
      <c r="D4178" s="18"/>
      <c r="E4178" s="18"/>
      <c r="F4178" s="18"/>
      <c r="G4178" s="18"/>
      <c r="H4178" s="18"/>
    </row>
    <row r="4179" spans="1:8" x14ac:dyDescent="0.2">
      <c r="A4179" s="17"/>
      <c r="B4179" s="17"/>
      <c r="C4179" s="18"/>
      <c r="D4179" s="18"/>
      <c r="E4179" s="18"/>
      <c r="F4179" s="18"/>
      <c r="G4179" s="18"/>
      <c r="H4179" s="18"/>
    </row>
    <row r="4180" spans="1:8" x14ac:dyDescent="0.2">
      <c r="A4180" s="17"/>
      <c r="B4180" s="17"/>
      <c r="C4180" s="18"/>
      <c r="D4180" s="18"/>
      <c r="E4180" s="18"/>
      <c r="F4180" s="18"/>
      <c r="G4180" s="18"/>
      <c r="H4180" s="18"/>
    </row>
    <row r="4181" spans="1:8" x14ac:dyDescent="0.2">
      <c r="A4181" s="17"/>
      <c r="B4181" s="17"/>
      <c r="C4181" s="18"/>
      <c r="D4181" s="18"/>
      <c r="E4181" s="18"/>
      <c r="F4181" s="18"/>
      <c r="G4181" s="18"/>
      <c r="H4181" s="18"/>
    </row>
    <row r="4182" spans="1:8" x14ac:dyDescent="0.2">
      <c r="A4182" s="17"/>
      <c r="B4182" s="17"/>
      <c r="C4182" s="18"/>
      <c r="D4182" s="18"/>
      <c r="E4182" s="18"/>
      <c r="F4182" s="18"/>
      <c r="G4182" s="18"/>
      <c r="H4182" s="18"/>
    </row>
    <row r="4183" spans="1:8" x14ac:dyDescent="0.2">
      <c r="A4183" s="17"/>
      <c r="B4183" s="17"/>
      <c r="C4183" s="18"/>
      <c r="D4183" s="18"/>
      <c r="E4183" s="18"/>
      <c r="F4183" s="18"/>
      <c r="G4183" s="18"/>
      <c r="H4183" s="18"/>
    </row>
    <row r="4184" spans="1:8" x14ac:dyDescent="0.2">
      <c r="A4184" s="17"/>
      <c r="B4184" s="17"/>
      <c r="C4184" s="18"/>
      <c r="D4184" s="18"/>
      <c r="E4184" s="18"/>
      <c r="F4184" s="18"/>
      <c r="G4184" s="18"/>
      <c r="H4184" s="18"/>
    </row>
    <row r="4185" spans="1:8" x14ac:dyDescent="0.2">
      <c r="A4185" s="17"/>
      <c r="B4185" s="17"/>
      <c r="C4185" s="18"/>
      <c r="D4185" s="18"/>
      <c r="E4185" s="18"/>
      <c r="F4185" s="18"/>
      <c r="G4185" s="18"/>
      <c r="H4185" s="18"/>
    </row>
    <row r="4186" spans="1:8" x14ac:dyDescent="0.2">
      <c r="A4186" s="17"/>
      <c r="B4186" s="17"/>
      <c r="C4186" s="18"/>
      <c r="D4186" s="18"/>
      <c r="E4186" s="18"/>
      <c r="F4186" s="18"/>
      <c r="G4186" s="18"/>
      <c r="H4186" s="18"/>
    </row>
    <row r="4187" spans="1:8" x14ac:dyDescent="0.2">
      <c r="A4187" s="17"/>
      <c r="B4187" s="17"/>
      <c r="C4187" s="18"/>
      <c r="D4187" s="18"/>
      <c r="E4187" s="18"/>
      <c r="F4187" s="18"/>
      <c r="G4187" s="18"/>
      <c r="H4187" s="18"/>
    </row>
    <row r="4188" spans="1:8" x14ac:dyDescent="0.2">
      <c r="A4188" s="17"/>
      <c r="B4188" s="17"/>
      <c r="C4188" s="18"/>
      <c r="D4188" s="18"/>
      <c r="E4188" s="18"/>
      <c r="F4188" s="18"/>
      <c r="G4188" s="18"/>
      <c r="H4188" s="18"/>
    </row>
    <row r="4189" spans="1:8" x14ac:dyDescent="0.2">
      <c r="A4189" s="17"/>
      <c r="B4189" s="17"/>
      <c r="C4189" s="18"/>
      <c r="D4189" s="18"/>
      <c r="E4189" s="18"/>
      <c r="F4189" s="18"/>
      <c r="G4189" s="18"/>
      <c r="H4189" s="18"/>
    </row>
    <row r="4190" spans="1:8" x14ac:dyDescent="0.2">
      <c r="A4190" s="17"/>
      <c r="B4190" s="17"/>
      <c r="C4190" s="18"/>
      <c r="D4190" s="18"/>
      <c r="E4190" s="18"/>
      <c r="F4190" s="18"/>
      <c r="G4190" s="18"/>
      <c r="H4190" s="18"/>
    </row>
    <row r="4191" spans="1:8" x14ac:dyDescent="0.2">
      <c r="A4191" s="17"/>
      <c r="B4191" s="17"/>
      <c r="C4191" s="18"/>
      <c r="D4191" s="18"/>
      <c r="E4191" s="18"/>
      <c r="F4191" s="18"/>
      <c r="G4191" s="18"/>
      <c r="H4191" s="18"/>
    </row>
    <row r="4192" spans="1:8" x14ac:dyDescent="0.2">
      <c r="A4192" s="17"/>
      <c r="B4192" s="17"/>
      <c r="C4192" s="18"/>
      <c r="D4192" s="18"/>
      <c r="E4192" s="18"/>
      <c r="F4192" s="18"/>
      <c r="G4192" s="18"/>
      <c r="H4192" s="18"/>
    </row>
    <row r="4193" spans="1:8" x14ac:dyDescent="0.2">
      <c r="A4193" s="17"/>
      <c r="B4193" s="17"/>
      <c r="C4193" s="18"/>
      <c r="D4193" s="18"/>
      <c r="E4193" s="18"/>
      <c r="F4193" s="18"/>
      <c r="G4193" s="18"/>
      <c r="H4193" s="18"/>
    </row>
    <row r="4194" spans="1:8" x14ac:dyDescent="0.2">
      <c r="A4194" s="17"/>
      <c r="B4194" s="17"/>
      <c r="C4194" s="18"/>
      <c r="D4194" s="18"/>
      <c r="E4194" s="18"/>
      <c r="F4194" s="18"/>
      <c r="G4194" s="18"/>
      <c r="H4194" s="18"/>
    </row>
    <row r="4195" spans="1:8" x14ac:dyDescent="0.2">
      <c r="A4195" s="17"/>
      <c r="B4195" s="17"/>
      <c r="C4195" s="18"/>
      <c r="D4195" s="18"/>
      <c r="E4195" s="18"/>
      <c r="F4195" s="18"/>
      <c r="G4195" s="18"/>
      <c r="H4195" s="18"/>
    </row>
    <row r="4196" spans="1:8" x14ac:dyDescent="0.2">
      <c r="A4196" s="17"/>
      <c r="B4196" s="17"/>
      <c r="C4196" s="18"/>
      <c r="D4196" s="18"/>
      <c r="E4196" s="18"/>
      <c r="F4196" s="18"/>
      <c r="G4196" s="18"/>
      <c r="H4196" s="18"/>
    </row>
    <row r="4197" spans="1:8" x14ac:dyDescent="0.2">
      <c r="A4197" s="17"/>
      <c r="B4197" s="17"/>
      <c r="C4197" s="18"/>
      <c r="D4197" s="18"/>
      <c r="E4197" s="18"/>
      <c r="F4197" s="18"/>
      <c r="G4197" s="18"/>
      <c r="H4197" s="18"/>
    </row>
    <row r="4198" spans="1:8" x14ac:dyDescent="0.2">
      <c r="A4198" s="17"/>
      <c r="B4198" s="17"/>
      <c r="C4198" s="18"/>
      <c r="D4198" s="18"/>
      <c r="E4198" s="18"/>
      <c r="F4198" s="18"/>
      <c r="G4198" s="18"/>
      <c r="H4198" s="18"/>
    </row>
    <row r="4199" spans="1:8" x14ac:dyDescent="0.2">
      <c r="A4199" s="17"/>
      <c r="B4199" s="17"/>
      <c r="C4199" s="18"/>
      <c r="D4199" s="18"/>
      <c r="E4199" s="18"/>
      <c r="F4199" s="18"/>
      <c r="G4199" s="18"/>
      <c r="H4199" s="18"/>
    </row>
    <row r="4200" spans="1:8" x14ac:dyDescent="0.2">
      <c r="A4200" s="17"/>
      <c r="B4200" s="17"/>
      <c r="C4200" s="18"/>
      <c r="D4200" s="18"/>
      <c r="E4200" s="18"/>
      <c r="F4200" s="18"/>
      <c r="G4200" s="18"/>
      <c r="H4200" s="18"/>
    </row>
    <row r="4201" spans="1:8" x14ac:dyDescent="0.2">
      <c r="A4201" s="17"/>
      <c r="B4201" s="17"/>
      <c r="C4201" s="18"/>
      <c r="D4201" s="18"/>
      <c r="E4201" s="18"/>
      <c r="F4201" s="18"/>
      <c r="G4201" s="18"/>
      <c r="H4201" s="18"/>
    </row>
    <row r="4202" spans="1:8" x14ac:dyDescent="0.2">
      <c r="A4202" s="17"/>
      <c r="B4202" s="17"/>
      <c r="C4202" s="18"/>
      <c r="D4202" s="18"/>
      <c r="E4202" s="18"/>
      <c r="F4202" s="18"/>
      <c r="G4202" s="18"/>
      <c r="H4202" s="18"/>
    </row>
    <row r="4203" spans="1:8" x14ac:dyDescent="0.2">
      <c r="A4203" s="17"/>
      <c r="B4203" s="17"/>
      <c r="C4203" s="18"/>
      <c r="D4203" s="18"/>
      <c r="E4203" s="18"/>
      <c r="F4203" s="18"/>
      <c r="G4203" s="18"/>
      <c r="H4203" s="18"/>
    </row>
    <row r="4204" spans="1:8" x14ac:dyDescent="0.2">
      <c r="A4204" s="17"/>
      <c r="B4204" s="17"/>
      <c r="C4204" s="18"/>
      <c r="D4204" s="18"/>
      <c r="E4204" s="18"/>
      <c r="F4204" s="18"/>
      <c r="G4204" s="18"/>
      <c r="H4204" s="18"/>
    </row>
    <row r="4205" spans="1:8" x14ac:dyDescent="0.2">
      <c r="A4205" s="17"/>
      <c r="B4205" s="17"/>
      <c r="C4205" s="18"/>
      <c r="D4205" s="18"/>
      <c r="E4205" s="18"/>
      <c r="F4205" s="18"/>
      <c r="G4205" s="18"/>
      <c r="H4205" s="18"/>
    </row>
    <row r="4206" spans="1:8" x14ac:dyDescent="0.2">
      <c r="A4206" s="17"/>
      <c r="B4206" s="17"/>
      <c r="C4206" s="18"/>
      <c r="D4206" s="18"/>
      <c r="E4206" s="18"/>
      <c r="F4206" s="18"/>
      <c r="G4206" s="18"/>
      <c r="H4206" s="18"/>
    </row>
    <row r="4207" spans="1:8" x14ac:dyDescent="0.2">
      <c r="A4207" s="17"/>
      <c r="B4207" s="17"/>
      <c r="C4207" s="18"/>
      <c r="D4207" s="18"/>
      <c r="E4207" s="18"/>
      <c r="F4207" s="18"/>
      <c r="G4207" s="18"/>
      <c r="H4207" s="18"/>
    </row>
    <row r="4208" spans="1:8" x14ac:dyDescent="0.2">
      <c r="A4208" s="17"/>
      <c r="B4208" s="17"/>
      <c r="C4208" s="18"/>
      <c r="D4208" s="18"/>
      <c r="E4208" s="18"/>
      <c r="F4208" s="18"/>
      <c r="G4208" s="18"/>
      <c r="H4208" s="18"/>
    </row>
    <row r="4209" spans="1:8" x14ac:dyDescent="0.2">
      <c r="A4209" s="17"/>
      <c r="B4209" s="17"/>
      <c r="C4209" s="18"/>
      <c r="D4209" s="18"/>
      <c r="E4209" s="18"/>
      <c r="F4209" s="18"/>
      <c r="G4209" s="18"/>
      <c r="H4209" s="18"/>
    </row>
    <row r="4210" spans="1:8" x14ac:dyDescent="0.2">
      <c r="A4210" s="17"/>
      <c r="B4210" s="17"/>
      <c r="C4210" s="18"/>
      <c r="D4210" s="18"/>
      <c r="E4210" s="18"/>
      <c r="F4210" s="18"/>
      <c r="G4210" s="18"/>
      <c r="H4210" s="18"/>
    </row>
    <row r="4211" spans="1:8" x14ac:dyDescent="0.2">
      <c r="A4211" s="17"/>
      <c r="B4211" s="17"/>
      <c r="C4211" s="18"/>
      <c r="D4211" s="18"/>
      <c r="E4211" s="18"/>
      <c r="F4211" s="18"/>
      <c r="G4211" s="18"/>
      <c r="H4211" s="18"/>
    </row>
    <row r="4212" spans="1:8" x14ac:dyDescent="0.2">
      <c r="A4212" s="17"/>
      <c r="B4212" s="17"/>
      <c r="C4212" s="18"/>
      <c r="D4212" s="18"/>
      <c r="E4212" s="18"/>
      <c r="F4212" s="18"/>
      <c r="G4212" s="18"/>
      <c r="H4212" s="18"/>
    </row>
    <row r="4213" spans="1:8" x14ac:dyDescent="0.2">
      <c r="A4213" s="17"/>
      <c r="B4213" s="17"/>
      <c r="C4213" s="18"/>
      <c r="D4213" s="18"/>
      <c r="E4213" s="18"/>
      <c r="F4213" s="18"/>
      <c r="G4213" s="18"/>
      <c r="H4213" s="18"/>
    </row>
    <row r="4214" spans="1:8" x14ac:dyDescent="0.2">
      <c r="A4214" s="17"/>
      <c r="B4214" s="17"/>
      <c r="C4214" s="18"/>
      <c r="D4214" s="18"/>
      <c r="E4214" s="18"/>
      <c r="F4214" s="18"/>
      <c r="G4214" s="18"/>
      <c r="H4214" s="18"/>
    </row>
    <row r="4215" spans="1:8" x14ac:dyDescent="0.2">
      <c r="A4215" s="17"/>
      <c r="B4215" s="17"/>
      <c r="C4215" s="18"/>
      <c r="D4215" s="18"/>
      <c r="E4215" s="18"/>
      <c r="F4215" s="18"/>
      <c r="G4215" s="18"/>
      <c r="H4215" s="18"/>
    </row>
    <row r="4216" spans="1:8" x14ac:dyDescent="0.2">
      <c r="A4216" s="17"/>
      <c r="B4216" s="17"/>
      <c r="C4216" s="18"/>
      <c r="D4216" s="18"/>
      <c r="E4216" s="18"/>
      <c r="F4216" s="18"/>
      <c r="G4216" s="18"/>
      <c r="H4216" s="18"/>
    </row>
    <row r="4217" spans="1:8" x14ac:dyDescent="0.2">
      <c r="A4217" s="17"/>
      <c r="B4217" s="17"/>
      <c r="C4217" s="18"/>
      <c r="D4217" s="18"/>
      <c r="E4217" s="18"/>
      <c r="F4217" s="18"/>
      <c r="G4217" s="18"/>
      <c r="H4217" s="18"/>
    </row>
    <row r="4218" spans="1:8" x14ac:dyDescent="0.2">
      <c r="A4218" s="17"/>
      <c r="B4218" s="17"/>
      <c r="C4218" s="18"/>
      <c r="D4218" s="18"/>
      <c r="E4218" s="18"/>
      <c r="F4218" s="18"/>
      <c r="G4218" s="18"/>
      <c r="H4218" s="18"/>
    </row>
    <row r="4219" spans="1:8" x14ac:dyDescent="0.2">
      <c r="A4219" s="17"/>
      <c r="B4219" s="17"/>
      <c r="C4219" s="18"/>
      <c r="D4219" s="18"/>
      <c r="E4219" s="18"/>
      <c r="F4219" s="18"/>
      <c r="G4219" s="18"/>
      <c r="H4219" s="18"/>
    </row>
    <row r="4220" spans="1:8" x14ac:dyDescent="0.2">
      <c r="A4220" s="17"/>
      <c r="B4220" s="17"/>
      <c r="C4220" s="18"/>
      <c r="D4220" s="18"/>
      <c r="E4220" s="18"/>
      <c r="F4220" s="18"/>
      <c r="G4220" s="18"/>
      <c r="H4220" s="18"/>
    </row>
    <row r="4221" spans="1:8" x14ac:dyDescent="0.2">
      <c r="A4221" s="17"/>
      <c r="B4221" s="17"/>
      <c r="C4221" s="18"/>
      <c r="D4221" s="18"/>
      <c r="E4221" s="18"/>
      <c r="F4221" s="18"/>
      <c r="G4221" s="18"/>
      <c r="H4221" s="18"/>
    </row>
    <row r="4222" spans="1:8" x14ac:dyDescent="0.2">
      <c r="A4222" s="17"/>
      <c r="B4222" s="17"/>
      <c r="C4222" s="18"/>
      <c r="D4222" s="18"/>
      <c r="E4222" s="18"/>
      <c r="F4222" s="18"/>
      <c r="G4222" s="18"/>
      <c r="H4222" s="18"/>
    </row>
    <row r="4223" spans="1:8" x14ac:dyDescent="0.2">
      <c r="A4223" s="17"/>
      <c r="B4223" s="17"/>
      <c r="C4223" s="18"/>
      <c r="D4223" s="18"/>
      <c r="E4223" s="18"/>
      <c r="F4223" s="18"/>
      <c r="G4223" s="18"/>
      <c r="H4223" s="18"/>
    </row>
    <row r="4224" spans="1:8" x14ac:dyDescent="0.2">
      <c r="A4224" s="17"/>
      <c r="B4224" s="17"/>
      <c r="C4224" s="18"/>
      <c r="D4224" s="18"/>
      <c r="E4224" s="18"/>
      <c r="F4224" s="18"/>
      <c r="G4224" s="18"/>
      <c r="H4224" s="18"/>
    </row>
    <row r="4225" spans="1:8" x14ac:dyDescent="0.2">
      <c r="A4225" s="17"/>
      <c r="B4225" s="17"/>
      <c r="C4225" s="18"/>
      <c r="D4225" s="18"/>
      <c r="E4225" s="18"/>
      <c r="F4225" s="18"/>
      <c r="G4225" s="18"/>
      <c r="H4225" s="18"/>
    </row>
    <row r="4226" spans="1:8" x14ac:dyDescent="0.2">
      <c r="A4226" s="17"/>
      <c r="B4226" s="17"/>
      <c r="C4226" s="18"/>
      <c r="D4226" s="18"/>
      <c r="E4226" s="18"/>
      <c r="F4226" s="18"/>
      <c r="G4226" s="18"/>
      <c r="H4226" s="18"/>
    </row>
    <row r="4227" spans="1:8" x14ac:dyDescent="0.2">
      <c r="A4227" s="17"/>
      <c r="B4227" s="17"/>
      <c r="C4227" s="18"/>
      <c r="D4227" s="18"/>
      <c r="E4227" s="18"/>
      <c r="F4227" s="18"/>
      <c r="G4227" s="18"/>
      <c r="H4227" s="18"/>
    </row>
    <row r="4228" spans="1:8" x14ac:dyDescent="0.2">
      <c r="A4228" s="17"/>
      <c r="B4228" s="17"/>
      <c r="C4228" s="18"/>
      <c r="D4228" s="18"/>
      <c r="E4228" s="18"/>
      <c r="F4228" s="18"/>
      <c r="G4228" s="18"/>
      <c r="H4228" s="18"/>
    </row>
    <row r="4229" spans="1:8" x14ac:dyDescent="0.2">
      <c r="A4229" s="17"/>
      <c r="B4229" s="17"/>
      <c r="C4229" s="18"/>
      <c r="D4229" s="18"/>
      <c r="E4229" s="18"/>
      <c r="F4229" s="18"/>
      <c r="G4229" s="18"/>
      <c r="H4229" s="18"/>
    </row>
    <row r="4230" spans="1:8" x14ac:dyDescent="0.2">
      <c r="A4230" s="17"/>
      <c r="B4230" s="17"/>
      <c r="C4230" s="18"/>
      <c r="D4230" s="18"/>
      <c r="E4230" s="18"/>
      <c r="F4230" s="18"/>
      <c r="G4230" s="18"/>
      <c r="H4230" s="18"/>
    </row>
    <row r="4231" spans="1:8" x14ac:dyDescent="0.2">
      <c r="A4231" s="17"/>
      <c r="B4231" s="17"/>
      <c r="C4231" s="18"/>
      <c r="D4231" s="18"/>
      <c r="E4231" s="18"/>
      <c r="F4231" s="18"/>
      <c r="G4231" s="18"/>
      <c r="H4231" s="18"/>
    </row>
    <row r="4232" spans="1:8" x14ac:dyDescent="0.2">
      <c r="A4232" s="17"/>
      <c r="B4232" s="17"/>
      <c r="C4232" s="18"/>
      <c r="D4232" s="18"/>
      <c r="E4232" s="18"/>
      <c r="F4232" s="18"/>
      <c r="G4232" s="18"/>
      <c r="H4232" s="18"/>
    </row>
    <row r="4233" spans="1:8" x14ac:dyDescent="0.2">
      <c r="A4233" s="17"/>
      <c r="B4233" s="17"/>
      <c r="C4233" s="18"/>
      <c r="D4233" s="18"/>
      <c r="E4233" s="18"/>
      <c r="F4233" s="18"/>
      <c r="G4233" s="18"/>
      <c r="H4233" s="18"/>
    </row>
    <row r="4234" spans="1:8" x14ac:dyDescent="0.2">
      <c r="A4234" s="17"/>
      <c r="B4234" s="17"/>
      <c r="C4234" s="18"/>
      <c r="D4234" s="18"/>
      <c r="E4234" s="18"/>
      <c r="F4234" s="18"/>
      <c r="G4234" s="18"/>
      <c r="H4234" s="18"/>
    </row>
    <row r="4235" spans="1:8" x14ac:dyDescent="0.2">
      <c r="A4235" s="17"/>
      <c r="B4235" s="17"/>
      <c r="C4235" s="18"/>
      <c r="D4235" s="18"/>
      <c r="E4235" s="18"/>
      <c r="F4235" s="18"/>
      <c r="G4235" s="18"/>
      <c r="H4235" s="18"/>
    </row>
    <row r="4236" spans="1:8" x14ac:dyDescent="0.2">
      <c r="A4236" s="17"/>
      <c r="B4236" s="17"/>
      <c r="C4236" s="18"/>
      <c r="D4236" s="18"/>
      <c r="E4236" s="18"/>
      <c r="F4236" s="18"/>
      <c r="G4236" s="18"/>
      <c r="H4236" s="18"/>
    </row>
    <row r="4237" spans="1:8" x14ac:dyDescent="0.2">
      <c r="A4237" s="17"/>
      <c r="B4237" s="17"/>
      <c r="C4237" s="18"/>
      <c r="D4237" s="18"/>
      <c r="E4237" s="18"/>
      <c r="F4237" s="18"/>
      <c r="G4237" s="18"/>
      <c r="H4237" s="18"/>
    </row>
    <row r="4238" spans="1:8" x14ac:dyDescent="0.2">
      <c r="A4238" s="17"/>
      <c r="B4238" s="17"/>
      <c r="C4238" s="18"/>
      <c r="D4238" s="18"/>
      <c r="E4238" s="18"/>
      <c r="F4238" s="18"/>
      <c r="G4238" s="18"/>
      <c r="H4238" s="18"/>
    </row>
    <row r="4239" spans="1:8" x14ac:dyDescent="0.2">
      <c r="A4239" s="17"/>
      <c r="B4239" s="17"/>
      <c r="C4239" s="18"/>
      <c r="D4239" s="18"/>
      <c r="E4239" s="18"/>
      <c r="F4239" s="18"/>
      <c r="G4239" s="18"/>
      <c r="H4239" s="18"/>
    </row>
    <row r="4240" spans="1:8" x14ac:dyDescent="0.2">
      <c r="A4240" s="17"/>
      <c r="B4240" s="17"/>
      <c r="C4240" s="18"/>
      <c r="D4240" s="18"/>
      <c r="E4240" s="18"/>
      <c r="F4240" s="18"/>
      <c r="G4240" s="18"/>
      <c r="H4240" s="18"/>
    </row>
    <row r="4241" spans="1:8" x14ac:dyDescent="0.2">
      <c r="A4241" s="17"/>
      <c r="B4241" s="17"/>
      <c r="C4241" s="18"/>
      <c r="D4241" s="18"/>
      <c r="E4241" s="18"/>
      <c r="F4241" s="18"/>
      <c r="G4241" s="18"/>
      <c r="H4241" s="18"/>
    </row>
    <row r="4242" spans="1:8" x14ac:dyDescent="0.2">
      <c r="A4242" s="17"/>
      <c r="B4242" s="17"/>
      <c r="C4242" s="18"/>
      <c r="D4242" s="18"/>
      <c r="E4242" s="18"/>
      <c r="F4242" s="18"/>
      <c r="G4242" s="18"/>
      <c r="H4242" s="18"/>
    </row>
    <row r="4243" spans="1:8" x14ac:dyDescent="0.2">
      <c r="A4243" s="17"/>
      <c r="B4243" s="17"/>
      <c r="C4243" s="18"/>
      <c r="D4243" s="18"/>
      <c r="E4243" s="18"/>
      <c r="F4243" s="18"/>
      <c r="G4243" s="18"/>
      <c r="H4243" s="18"/>
    </row>
    <row r="4244" spans="1:8" x14ac:dyDescent="0.2">
      <c r="A4244" s="17"/>
      <c r="B4244" s="17"/>
      <c r="C4244" s="18"/>
      <c r="D4244" s="18"/>
      <c r="E4244" s="18"/>
      <c r="F4244" s="18"/>
      <c r="G4244" s="18"/>
      <c r="H4244" s="18"/>
    </row>
    <row r="4245" spans="1:8" x14ac:dyDescent="0.2">
      <c r="A4245" s="17"/>
      <c r="B4245" s="17"/>
      <c r="C4245" s="18"/>
      <c r="D4245" s="18"/>
      <c r="E4245" s="18"/>
      <c r="F4245" s="18"/>
      <c r="G4245" s="18"/>
      <c r="H4245" s="18"/>
    </row>
    <row r="4246" spans="1:8" x14ac:dyDescent="0.2">
      <c r="A4246" s="17"/>
      <c r="B4246" s="17"/>
      <c r="C4246" s="18"/>
      <c r="D4246" s="18"/>
      <c r="E4246" s="18"/>
      <c r="F4246" s="18"/>
      <c r="G4246" s="18"/>
      <c r="H4246" s="18"/>
    </row>
    <row r="4247" spans="1:8" x14ac:dyDescent="0.2">
      <c r="A4247" s="17"/>
      <c r="B4247" s="17"/>
      <c r="C4247" s="18"/>
      <c r="D4247" s="18"/>
      <c r="E4247" s="18"/>
      <c r="F4247" s="18"/>
      <c r="G4247" s="18"/>
      <c r="H4247" s="18"/>
    </row>
    <row r="4248" spans="1:8" x14ac:dyDescent="0.2">
      <c r="A4248" s="17"/>
      <c r="B4248" s="17"/>
      <c r="C4248" s="18"/>
      <c r="D4248" s="18"/>
      <c r="E4248" s="18"/>
      <c r="F4248" s="18"/>
      <c r="G4248" s="18"/>
      <c r="H4248" s="18"/>
    </row>
    <row r="4249" spans="1:8" x14ac:dyDescent="0.2">
      <c r="A4249" s="17"/>
      <c r="B4249" s="17"/>
      <c r="C4249" s="18"/>
      <c r="D4249" s="18"/>
      <c r="E4249" s="18"/>
      <c r="F4249" s="18"/>
      <c r="G4249" s="18"/>
      <c r="H4249" s="18"/>
    </row>
    <row r="4250" spans="1:8" x14ac:dyDescent="0.2">
      <c r="A4250" s="17"/>
      <c r="B4250" s="17"/>
      <c r="C4250" s="18"/>
      <c r="D4250" s="18"/>
      <c r="E4250" s="18"/>
      <c r="F4250" s="18"/>
      <c r="G4250" s="18"/>
      <c r="H4250" s="18"/>
    </row>
    <row r="4251" spans="1:8" x14ac:dyDescent="0.2">
      <c r="A4251" s="17"/>
      <c r="B4251" s="17"/>
      <c r="C4251" s="18"/>
      <c r="D4251" s="18"/>
      <c r="E4251" s="18"/>
      <c r="F4251" s="18"/>
      <c r="G4251" s="18"/>
      <c r="H4251" s="18"/>
    </row>
  </sheetData>
  <phoneticPr fontId="6" type="noConversion"/>
  <pageMargins left="0" right="0" top="0.7" bottom="0" header="0.25" footer="0"/>
  <pageSetup scale="62" orientation="landscape" horizontalDpi="300" r:id="rId1"/>
  <headerFooter alignWithMargins="0"/>
  <rowBreaks count="1" manualBreakCount="1">
    <brk id="185" max="16383" man="1"/>
  </rowBreaks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6:AP74"/>
  <sheetViews>
    <sheetView view="pageBreakPreview" zoomScale="60" zoomScaleNormal="115" workbookViewId="0">
      <pane xSplit="2" ySplit="7" topLeftCell="C8" activePane="bottomRight" state="frozen"/>
      <selection activeCell="E28" sqref="E28"/>
      <selection pane="topRight" activeCell="E28" sqref="E28"/>
      <selection pane="bottomLeft" activeCell="E28" sqref="E28"/>
      <selection pane="bottomRight" activeCell="F16" sqref="F16"/>
    </sheetView>
  </sheetViews>
  <sheetFormatPr defaultColWidth="9.140625" defaultRowHeight="12.75" x14ac:dyDescent="0.2"/>
  <cols>
    <col min="1" max="1" width="12.42578125" style="205" bestFit="1" customWidth="1"/>
    <col min="2" max="2" width="52.42578125" style="205" bestFit="1" customWidth="1"/>
    <col min="3" max="14" width="9.85546875" style="205" bestFit="1" customWidth="1"/>
    <col min="15" max="15" width="12.42578125" style="451" bestFit="1" customWidth="1"/>
    <col min="16" max="18" width="9.85546875" style="205" bestFit="1" customWidth="1"/>
    <col min="19" max="19" width="12.42578125" style="451" bestFit="1" customWidth="1"/>
    <col min="20" max="21" width="9.85546875" style="211" bestFit="1" customWidth="1"/>
    <col min="22" max="30" width="9.85546875" style="35" bestFit="1" customWidth="1"/>
    <col min="31" max="31" width="11.42578125" style="35" bestFit="1" customWidth="1"/>
    <col min="32" max="32" width="12.85546875" style="446" bestFit="1" customWidth="1"/>
    <col min="33" max="33" width="10.5703125" style="205" bestFit="1" customWidth="1"/>
    <col min="34" max="34" width="11.140625" style="205" bestFit="1" customWidth="1"/>
    <col min="35" max="38" width="10.5703125" style="205" bestFit="1" customWidth="1"/>
    <col min="39" max="16384" width="9.140625" style="205"/>
  </cols>
  <sheetData>
    <row r="6" spans="1:42" x14ac:dyDescent="0.2">
      <c r="L6" s="435"/>
      <c r="M6" s="435"/>
      <c r="N6" s="435"/>
      <c r="O6" s="436"/>
      <c r="P6" s="435"/>
      <c r="Q6" s="435"/>
      <c r="R6" s="435"/>
      <c r="S6" s="436"/>
      <c r="T6" s="437"/>
      <c r="U6" s="437"/>
      <c r="V6" s="438"/>
      <c r="W6" s="438"/>
      <c r="X6" s="438"/>
      <c r="Y6" s="438"/>
      <c r="Z6" s="438"/>
      <c r="AA6" s="438"/>
      <c r="AB6" s="438"/>
      <c r="AC6" s="438"/>
      <c r="AD6" s="438"/>
      <c r="AE6" s="438"/>
      <c r="AF6" s="439"/>
      <c r="AG6" s="750" t="s">
        <v>553</v>
      </c>
      <c r="AH6" s="750"/>
      <c r="AI6" s="750"/>
      <c r="AJ6" s="750"/>
      <c r="AK6" s="750"/>
      <c r="AL6" s="750"/>
    </row>
    <row r="7" spans="1:42" x14ac:dyDescent="0.2">
      <c r="C7" s="441">
        <f t="shared" ref="C7" si="0">EOMONTH(D7,-1)</f>
        <v>42766</v>
      </c>
      <c r="D7" s="441">
        <f t="shared" ref="D7" si="1">EOMONTH(E7,-1)</f>
        <v>42794</v>
      </c>
      <c r="E7" s="441">
        <f t="shared" ref="E7" si="2">EOMONTH(F7,-1)</f>
        <v>42825</v>
      </c>
      <c r="F7" s="441">
        <f t="shared" ref="F7:P7" si="3">EOMONTH(G7,-1)</f>
        <v>42855</v>
      </c>
      <c r="G7" s="441">
        <f t="shared" si="3"/>
        <v>42886</v>
      </c>
      <c r="H7" s="441">
        <f t="shared" si="3"/>
        <v>42916</v>
      </c>
      <c r="I7" s="441">
        <f t="shared" si="3"/>
        <v>42947</v>
      </c>
      <c r="J7" s="441">
        <f t="shared" si="3"/>
        <v>42978</v>
      </c>
      <c r="K7" s="441">
        <f t="shared" si="3"/>
        <v>43008</v>
      </c>
      <c r="L7" s="441">
        <f t="shared" si="3"/>
        <v>43039</v>
      </c>
      <c r="M7" s="441">
        <f t="shared" si="3"/>
        <v>43069</v>
      </c>
      <c r="N7" s="441">
        <f>EOMONTH(P7,-1)</f>
        <v>43100</v>
      </c>
      <c r="O7" s="442" t="s">
        <v>614</v>
      </c>
      <c r="P7" s="441">
        <f t="shared" si="3"/>
        <v>43131</v>
      </c>
      <c r="Q7" s="441">
        <f>EOMONTH(R7,-1)</f>
        <v>43159</v>
      </c>
      <c r="R7" s="441">
        <f>EOMONTH(T7,-1)</f>
        <v>43190</v>
      </c>
      <c r="S7" s="442"/>
      <c r="T7" s="453">
        <f>Dashboard!B9</f>
        <v>43220</v>
      </c>
      <c r="U7" s="441">
        <f>EOMONTH(T7,1)</f>
        <v>43251</v>
      </c>
      <c r="V7" s="441">
        <f t="shared" ref="V7:AE7" si="4">EOMONTH(U7,1)</f>
        <v>43281</v>
      </c>
      <c r="W7" s="441">
        <f t="shared" si="4"/>
        <v>43312</v>
      </c>
      <c r="X7" s="441">
        <f t="shared" si="4"/>
        <v>43343</v>
      </c>
      <c r="Y7" s="441">
        <f t="shared" si="4"/>
        <v>43373</v>
      </c>
      <c r="Z7" s="441">
        <f t="shared" si="4"/>
        <v>43404</v>
      </c>
      <c r="AA7" s="441">
        <f t="shared" si="4"/>
        <v>43434</v>
      </c>
      <c r="AB7" s="441">
        <f t="shared" si="4"/>
        <v>43465</v>
      </c>
      <c r="AC7" s="441">
        <f t="shared" si="4"/>
        <v>43496</v>
      </c>
      <c r="AD7" s="441">
        <f t="shared" si="4"/>
        <v>43524</v>
      </c>
      <c r="AE7" s="441">
        <f t="shared" si="4"/>
        <v>43555</v>
      </c>
      <c r="AF7" s="443" t="s">
        <v>326</v>
      </c>
      <c r="AG7" s="444">
        <v>2017</v>
      </c>
      <c r="AH7" s="444">
        <f>AG7+1</f>
        <v>2018</v>
      </c>
      <c r="AI7" s="444">
        <f>+AH7+1</f>
        <v>2019</v>
      </c>
      <c r="AJ7" s="444">
        <f>+AI7+1</f>
        <v>2020</v>
      </c>
      <c r="AK7" s="444">
        <f t="shared" ref="AK7:AL7" si="5">+AJ7+1</f>
        <v>2021</v>
      </c>
      <c r="AL7" s="444">
        <f t="shared" si="5"/>
        <v>2022</v>
      </c>
    </row>
    <row r="8" spans="1:42" x14ac:dyDescent="0.2">
      <c r="B8" s="211"/>
      <c r="C8" s="211"/>
      <c r="D8" s="211"/>
      <c r="E8" s="211"/>
      <c r="F8" s="211"/>
      <c r="G8" s="211"/>
      <c r="H8" s="211"/>
      <c r="I8" s="211"/>
      <c r="J8" s="211"/>
      <c r="K8" s="211"/>
    </row>
    <row r="9" spans="1:42" ht="15.75" x14ac:dyDescent="0.25">
      <c r="A9" s="454"/>
      <c r="B9" s="455" t="s">
        <v>315</v>
      </c>
      <c r="C9" s="455"/>
      <c r="D9" s="455"/>
      <c r="E9" s="455"/>
      <c r="F9" s="455"/>
      <c r="G9" s="455"/>
      <c r="H9" s="455"/>
      <c r="I9" s="455"/>
      <c r="J9" s="455"/>
      <c r="K9" s="455"/>
    </row>
    <row r="10" spans="1:42" ht="15.75" x14ac:dyDescent="0.25">
      <c r="A10" s="456"/>
      <c r="B10" s="455" t="s">
        <v>316</v>
      </c>
      <c r="C10" s="455"/>
      <c r="D10" s="455"/>
      <c r="E10" s="455"/>
      <c r="F10" s="455"/>
      <c r="G10" s="455"/>
      <c r="H10" s="455"/>
      <c r="I10" s="455"/>
      <c r="J10" s="455"/>
      <c r="K10" s="455"/>
      <c r="L10" s="353"/>
      <c r="M10" s="353"/>
      <c r="N10" s="353"/>
      <c r="O10" s="446"/>
      <c r="P10" s="380"/>
      <c r="Q10" s="380"/>
      <c r="R10" s="380"/>
      <c r="S10" s="4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G10" s="380"/>
      <c r="AH10" s="380"/>
      <c r="AI10" s="380"/>
      <c r="AJ10" s="380"/>
      <c r="AK10" s="380"/>
      <c r="AL10" s="380"/>
      <c r="AM10" s="353"/>
      <c r="AN10" s="353"/>
      <c r="AO10" s="353"/>
      <c r="AP10" s="353"/>
    </row>
    <row r="11" spans="1:42" ht="15.75" x14ac:dyDescent="0.25">
      <c r="A11" s="457">
        <v>4800</v>
      </c>
      <c r="B11" s="449" t="s">
        <v>94</v>
      </c>
      <c r="C11" s="46">
        <f>'Monthly Forecast'!J11+'Monthly Forecast'!J18</f>
        <v>13870407.981277</v>
      </c>
      <c r="D11" s="46">
        <f>'Monthly Forecast'!K11+'Monthly Forecast'!K18</f>
        <v>14857569.444892</v>
      </c>
      <c r="E11" s="46">
        <f>'Monthly Forecast'!L11+'Monthly Forecast'!L18</f>
        <v>11425627.972425999</v>
      </c>
      <c r="F11" s="46">
        <f>'Monthly Forecast'!M11+'Monthly Forecast'!M18</f>
        <v>8192688.9501660001</v>
      </c>
      <c r="G11" s="46">
        <f>'Monthly Forecast'!N11+'Monthly Forecast'!N18</f>
        <v>5695132.7755840002</v>
      </c>
      <c r="H11" s="46">
        <f>'Monthly Forecast'!O11+'Monthly Forecast'!O18</f>
        <v>4331517.3846000005</v>
      </c>
      <c r="I11" s="46">
        <f>'Monthly Forecast'!P11+'Monthly Forecast'!P18</f>
        <v>3977683.4600166129</v>
      </c>
      <c r="J11" s="46">
        <f>'Monthly Forecast'!Q11+'Monthly Forecast'!Q18</f>
        <v>3985743.8769326014</v>
      </c>
      <c r="K11" s="46">
        <f>'Monthly Forecast'!R11+'Monthly Forecast'!R18</f>
        <v>3950372.2449711487</v>
      </c>
      <c r="L11" s="46">
        <f>'Monthly Forecast'!S11+'Monthly Forecast'!S18</f>
        <v>5098884.0329309786</v>
      </c>
      <c r="M11" s="46">
        <f>'Monthly Forecast'!T11+'Monthly Forecast'!T18</f>
        <v>8426387.0845348835</v>
      </c>
      <c r="N11" s="46">
        <f>'Monthly Forecast'!U11+'Monthly Forecast'!U18</f>
        <v>12560923.913642969</v>
      </c>
      <c r="O11" s="446">
        <f>SUM(C11:N11)</f>
        <v>96372939.1219742</v>
      </c>
      <c r="P11" s="46">
        <f>'Monthly Forecast'!V11+'Monthly Forecast'!V18</f>
        <v>15061261.54957176</v>
      </c>
      <c r="Q11" s="46">
        <f>'Monthly Forecast'!W11+'Monthly Forecast'!W18</f>
        <v>15416005.820573153</v>
      </c>
      <c r="R11" s="46">
        <f>'Monthly Forecast'!X11+'Monthly Forecast'!X18</f>
        <v>11823328.151726913</v>
      </c>
      <c r="S11" s="446"/>
      <c r="T11" s="46">
        <f>'Monthly Forecast'!Y11+'Monthly Forecast'!Y18</f>
        <v>8441558.6012300886</v>
      </c>
      <c r="U11" s="46">
        <f>'Monthly Forecast'!Z11+'Monthly Forecast'!Z18</f>
        <v>5661644.2309731487</v>
      </c>
      <c r="V11" s="46">
        <f>'Monthly Forecast'!AA11+'Monthly Forecast'!AA18</f>
        <v>4284846.0528626004</v>
      </c>
      <c r="W11" s="46">
        <f>'Monthly Forecast'!AB11+'Monthly Forecast'!AB18</f>
        <v>3943264.9044156806</v>
      </c>
      <c r="X11" s="46">
        <f>'Monthly Forecast'!AC11+'Monthly Forecast'!AC18</f>
        <v>3962200.1912761992</v>
      </c>
      <c r="Y11" s="46">
        <f>'Monthly Forecast'!AD11+'Monthly Forecast'!AD18</f>
        <v>3926560.0249840179</v>
      </c>
      <c r="Z11" s="46">
        <f>'Monthly Forecast'!AE11+'Monthly Forecast'!AE18</f>
        <v>5042313.5464182133</v>
      </c>
      <c r="AA11" s="46">
        <f>'Monthly Forecast'!AF11+'Monthly Forecast'!AF18</f>
        <v>8401387.8863512427</v>
      </c>
      <c r="AB11" s="46">
        <f>'Monthly Forecast'!AG11+'Monthly Forecast'!AG18</f>
        <v>12512630.078639716</v>
      </c>
      <c r="AC11" s="46">
        <f>'Monthly Forecast'!AH11+'Monthly Forecast'!AH18</f>
        <v>14998860.639884859</v>
      </c>
      <c r="AD11" s="46">
        <f>'Monthly Forecast'!AI11+'Monthly Forecast'!AI18</f>
        <v>15393651.511947451</v>
      </c>
      <c r="AE11" s="46">
        <f>'Monthly Forecast'!AJ11+'Monthly Forecast'!AJ18</f>
        <v>11809001.746209055</v>
      </c>
      <c r="AF11" s="446">
        <f t="shared" ref="AF11:AF14" si="6">SUM(T11:AE11)</f>
        <v>98377919.415192276</v>
      </c>
      <c r="AG11" s="46">
        <f>SUMIFS('Monthly Forecast'!$D$11:$CI$11,'Monthly Forecast'!$D$8:$CI$8,"&gt;="&amp;Dashboard!$L22,'Monthly Forecast'!$D$8:$CI$8,"&lt;="&amp;Dashboard!$M22)+SUMIFS('Monthly Forecast'!$D$18:$CI$18,'Monthly Forecast'!$D$8:$CI$8,"&gt;="&amp;Dashboard!$L22,'Monthly Forecast'!$D$8:$CI$8,"&lt;="&amp;Dashboard!$M22)</f>
        <v>94554102.461040378</v>
      </c>
      <c r="AH11" s="46">
        <f>SUMIFS('Monthly Forecast'!$D$11:$CI$11,'Monthly Forecast'!$D$8:$CI$8,"&gt;="&amp;Dashboard!$L23,'Monthly Forecast'!$D$8:$CI$8,"&lt;="&amp;Dashboard!$M23)+SUMIFS('Monthly Forecast'!$D$18:$CI$18,'Monthly Forecast'!$D$8:$CI$8,"&gt;="&amp;Dashboard!$L23,'Monthly Forecast'!$D$8:$CI$8,"&lt;="&amp;Dashboard!$M23)</f>
        <v>98606864.558722407</v>
      </c>
      <c r="AI11" s="46">
        <f>SUMIFS('Monthly Forecast'!$D$11:$CI$11,'Monthly Forecast'!$D$8:$CI$8,"&gt;="&amp;Dashboard!$L24,'Monthly Forecast'!$D$8:$CI$8,"&lt;="&amp;Dashboard!$M24)+SUMIFS('Monthly Forecast'!$D$18:$CI$18,'Monthly Forecast'!$D$8:$CI$8,"&gt;="&amp;Dashboard!$L24,'Monthly Forecast'!$D$8:$CI$8,"&lt;="&amp;Dashboard!$M24)</f>
        <v>98211507.954418644</v>
      </c>
      <c r="AJ11" s="46">
        <f>SUMIFS('Monthly Forecast'!$D$11:$CI$11,'Monthly Forecast'!$D$8:$CI$8,"&gt;="&amp;Dashboard!$L25,'Monthly Forecast'!$D$8:$CI$8,"&lt;="&amp;Dashboard!$M25)+SUMIFS('Monthly Forecast'!$D$18:$CI$18,'Monthly Forecast'!$D$8:$CI$8,"&gt;="&amp;Dashboard!$L25,'Monthly Forecast'!$D$8:$CI$8,"&lt;="&amp;Dashboard!$M25)</f>
        <v>97443624.928845793</v>
      </c>
      <c r="AK11" s="46">
        <f>SUMIFS('Monthly Forecast'!$D$11:$CI$11,'Monthly Forecast'!$D$8:$CI$8,"&gt;="&amp;Dashboard!$L26,'Monthly Forecast'!$D$8:$CI$8,"&lt;="&amp;Dashboard!$M26)+SUMIFS('Monthly Forecast'!$D$18:$CI$18,'Monthly Forecast'!$D$8:$CI$8,"&gt;="&amp;Dashboard!$L26,'Monthly Forecast'!$D$8:$CI$8,"&lt;="&amp;Dashboard!$M26)</f>
        <v>97406846.124352798</v>
      </c>
      <c r="AL11" s="46">
        <f>SUMIFS('Monthly Forecast'!$D$11:$CI$11,'Monthly Forecast'!$D$8:$CI$8,"&gt;="&amp;Dashboard!$L27,'Monthly Forecast'!$D$8:$CI$8,"&lt;="&amp;Dashboard!$M27)+SUMIFS('Monthly Forecast'!$D$18:$CI$18,'Monthly Forecast'!$D$8:$CI$8,"&gt;="&amp;Dashboard!$L27,'Monthly Forecast'!$D$8:$CI$8,"&lt;="&amp;Dashboard!$M27)</f>
        <v>97702116.544712618</v>
      </c>
      <c r="AM11" s="353"/>
      <c r="AN11" s="353"/>
      <c r="AO11" s="353"/>
      <c r="AP11" s="353"/>
    </row>
    <row r="12" spans="1:42" ht="15.75" x14ac:dyDescent="0.25">
      <c r="A12" s="457">
        <v>4811</v>
      </c>
      <c r="B12" s="449" t="s">
        <v>124</v>
      </c>
      <c r="C12" s="46">
        <f>'Monthly Forecast'!J20+'Monthly Forecast'!J27+'Monthly Forecast'!J47+'Monthly Forecast'!J53</f>
        <v>5397260.6237670975</v>
      </c>
      <c r="D12" s="46">
        <f>'Monthly Forecast'!K20+'Monthly Forecast'!K27+'Monthly Forecast'!K47+'Monthly Forecast'!K53</f>
        <v>5779499.7882371834</v>
      </c>
      <c r="E12" s="46">
        <f>'Monthly Forecast'!L20+'Monthly Forecast'!L27+'Monthly Forecast'!L47+'Monthly Forecast'!L53</f>
        <v>4552984.2863837034</v>
      </c>
      <c r="F12" s="46">
        <f>'Monthly Forecast'!M20+'Monthly Forecast'!M27+'Monthly Forecast'!M47+'Monthly Forecast'!M53</f>
        <v>3369744.0325249531</v>
      </c>
      <c r="G12" s="46">
        <f>'Monthly Forecast'!N20+'Monthly Forecast'!N27+'Monthly Forecast'!N47+'Monthly Forecast'!N53</f>
        <v>2542513.3547615777</v>
      </c>
      <c r="H12" s="46">
        <f>'Monthly Forecast'!O20+'Monthly Forecast'!O27+'Monthly Forecast'!O47+'Monthly Forecast'!O53</f>
        <v>2042125.0078575488</v>
      </c>
      <c r="I12" s="46">
        <f>'Monthly Forecast'!P20+'Monthly Forecast'!P27+'Monthly Forecast'!P47+'Monthly Forecast'!P53</f>
        <v>1891638.1867555245</v>
      </c>
      <c r="J12" s="46">
        <f>'Monthly Forecast'!Q20+'Monthly Forecast'!Q27+'Monthly Forecast'!Q47+'Monthly Forecast'!Q53</f>
        <v>1890232.08206765</v>
      </c>
      <c r="K12" s="46">
        <f>'Monthly Forecast'!R20+'Monthly Forecast'!R27+'Monthly Forecast'!R47+'Monthly Forecast'!R53</f>
        <v>1870520.4892872761</v>
      </c>
      <c r="L12" s="46">
        <f>'Monthly Forecast'!S20+'Monthly Forecast'!S27+'Monthly Forecast'!S47+'Monthly Forecast'!S53</f>
        <v>2242327.1828385834</v>
      </c>
      <c r="M12" s="46">
        <f>'Monthly Forecast'!T20+'Monthly Forecast'!T27+'Monthly Forecast'!T47+'Monthly Forecast'!T53</f>
        <v>3481018.7270582351</v>
      </c>
      <c r="N12" s="46">
        <f>'Monthly Forecast'!U20+'Monthly Forecast'!U27+'Monthly Forecast'!U47+'Monthly Forecast'!U53</f>
        <v>4940966.5934923086</v>
      </c>
      <c r="O12" s="446">
        <f t="shared" ref="O12:O15" si="7">SUM(C12:N12)</f>
        <v>40000830.355031639</v>
      </c>
      <c r="P12" s="46">
        <f>'Monthly Forecast'!V20+'Monthly Forecast'!V27+'Monthly Forecast'!V47+'Monthly Forecast'!V53</f>
        <v>5888115.641961433</v>
      </c>
      <c r="Q12" s="46">
        <f>'Monthly Forecast'!W20+'Monthly Forecast'!W27+'Monthly Forecast'!W47+'Monthly Forecast'!W53</f>
        <v>6000881.2041985271</v>
      </c>
      <c r="R12" s="46">
        <f>'Monthly Forecast'!X20+'Monthly Forecast'!X27+'Monthly Forecast'!X47+'Monthly Forecast'!X53</f>
        <v>4718611.3351230556</v>
      </c>
      <c r="S12" s="446"/>
      <c r="T12" s="46">
        <f>'Monthly Forecast'!Y20+'Monthly Forecast'!Y27+'Monthly Forecast'!Y47+'Monthly Forecast'!Y53</f>
        <v>3482514.1213973574</v>
      </c>
      <c r="U12" s="46">
        <f>'Monthly Forecast'!Z20+'Monthly Forecast'!Z27+'Monthly Forecast'!Z47+'Monthly Forecast'!Z53</f>
        <v>2514682.8433252801</v>
      </c>
      <c r="V12" s="46">
        <f>'Monthly Forecast'!AA20+'Monthly Forecast'!AA27+'Monthly Forecast'!AA47+'Monthly Forecast'!AA53</f>
        <v>1993667.060705516</v>
      </c>
      <c r="W12" s="46">
        <f>'Monthly Forecast'!AB20+'Monthly Forecast'!AB27+'Monthly Forecast'!AB47+'Monthly Forecast'!AB53</f>
        <v>1848367.0350045138</v>
      </c>
      <c r="X12" s="46">
        <f>'Monthly Forecast'!AC20+'Monthly Forecast'!AC27+'Monthly Forecast'!AC47+'Monthly Forecast'!AC53</f>
        <v>1858090.3072460247</v>
      </c>
      <c r="Y12" s="46">
        <f>'Monthly Forecast'!AD20+'Monthly Forecast'!AD27+'Monthly Forecast'!AD47+'Monthly Forecast'!AD53</f>
        <v>1838613.2123923136</v>
      </c>
      <c r="Z12" s="46">
        <f>'Monthly Forecast'!AE20+'Monthly Forecast'!AE27+'Monthly Forecast'!AE47+'Monthly Forecast'!AE53</f>
        <v>2198265.0002901242</v>
      </c>
      <c r="AA12" s="46">
        <f>'Monthly Forecast'!AF20+'Monthly Forecast'!AF27+'Monthly Forecast'!AF47+'Monthly Forecast'!AF53</f>
        <v>3461162.4368507904</v>
      </c>
      <c r="AB12" s="46">
        <f>'Monthly Forecast'!AG20+'Monthly Forecast'!AG27+'Monthly Forecast'!AG47+'Monthly Forecast'!AG53</f>
        <v>4909965.3595049419</v>
      </c>
      <c r="AC12" s="46">
        <f>'Monthly Forecast'!AH20+'Monthly Forecast'!AH27+'Monthly Forecast'!AH47+'Monthly Forecast'!AH53</f>
        <v>5849828.4347833237</v>
      </c>
      <c r="AD12" s="46">
        <f>'Monthly Forecast'!AI20+'Monthly Forecast'!AI27+'Monthly Forecast'!AI47+'Monthly Forecast'!AI53</f>
        <v>5979381.7154239211</v>
      </c>
      <c r="AE12" s="46">
        <f>'Monthly Forecast'!AJ20+'Monthly Forecast'!AJ27+'Monthly Forecast'!AJ47+'Monthly Forecast'!AJ53</f>
        <v>4702526.2102799257</v>
      </c>
      <c r="AF12" s="446">
        <f t="shared" si="6"/>
        <v>40637063.73720403</v>
      </c>
      <c r="AG12" s="46">
        <f>SUMIFS('Monthly Forecast'!$D$20:$CI$20,'Monthly Forecast'!$D$8:$CI$8,"&gt;="&amp;Dashboard!$L22,'Monthly Forecast'!$D$8:$CI$8,"&lt;="&amp;Dashboard!$M22)+SUMIFS('Monthly Forecast'!$D$27:$CI$27,'Monthly Forecast'!$D$8:$CI$8,"&gt;="&amp;Dashboard!$L22,'Monthly Forecast'!$D$8:$CI$8,"&lt;="&amp;Dashboard!$M22)+SUMIFS('Monthly Forecast'!$D$47:$CI$47,'Monthly Forecast'!$D$8:$CI$8,"&gt;="&amp;Dashboard!$L22,'Monthly Forecast'!$D$8:$CI$8,"&lt;="&amp;Dashboard!$M22)+SUMIFS('Monthly Forecast'!$D$53:$CI$53,'Monthly Forecast'!$D$8:$CI$8,"&gt;="&amp;Dashboard!$L22,'Monthly Forecast'!$D$8:$CI$8,"&lt;="&amp;Dashboard!$M22)</f>
        <v>39138130.954045527</v>
      </c>
      <c r="AH12" s="46">
        <f>SUMIFS('Monthly Forecast'!$D$20:$CI$20,'Monthly Forecast'!$D$8:$CI$8,"&gt;="&amp;Dashboard!$L23,'Monthly Forecast'!$D$8:$CI$8,"&lt;="&amp;Dashboard!$M23)+SUMIFS('Monthly Forecast'!$D$27:$CI$27,'Monthly Forecast'!$D$8:$CI$8,"&gt;="&amp;Dashboard!$L23,'Monthly Forecast'!$D$8:$CI$8,"&lt;="&amp;Dashboard!$M23)+SUMIFS('Monthly Forecast'!$D$47:$CI$47,'Monthly Forecast'!$D$8:$CI$8,"&gt;="&amp;Dashboard!$L23,'Monthly Forecast'!$D$8:$CI$8,"&lt;="&amp;Dashboard!$M23)+SUMIFS('Monthly Forecast'!$D$53:$CI$53,'Monthly Forecast'!$D$8:$CI$8,"&gt;="&amp;Dashboard!$L23,'Monthly Forecast'!$D$8:$CI$8,"&lt;="&amp;Dashboard!$M23)</f>
        <v>40807855.264743157</v>
      </c>
      <c r="AI12" s="46">
        <f>SUMIFS('Monthly Forecast'!$D$20:$CI$20,'Monthly Forecast'!$D$8:$CI$8,"&gt;="&amp;Dashboard!$L24,'Monthly Forecast'!$D$8:$CI$8,"&lt;="&amp;Dashboard!$M24)+SUMIFS('Monthly Forecast'!$D$27:$CI$27,'Monthly Forecast'!$D$8:$CI$8,"&gt;="&amp;Dashboard!$L24,'Monthly Forecast'!$D$8:$CI$8,"&lt;="&amp;Dashboard!$M24)+SUMIFS('Monthly Forecast'!$D$47:$CI$47,'Monthly Forecast'!$D$8:$CI$8,"&gt;="&amp;Dashboard!$L24,'Monthly Forecast'!$D$8:$CI$8,"&lt;="&amp;Dashboard!$M24)+SUMIFS('Monthly Forecast'!$D$53:$CI$53,'Monthly Forecast'!$D$8:$CI$8,"&gt;="&amp;Dashboard!$L24,'Monthly Forecast'!$D$8:$CI$8,"&lt;="&amp;Dashboard!$M24)</f>
        <v>40456028.424050696</v>
      </c>
      <c r="AJ12" s="46">
        <f>SUMIFS('Monthly Forecast'!$D$20:$CI$20,'Monthly Forecast'!$D$8:$CI$8,"&gt;="&amp;Dashboard!$L25,'Monthly Forecast'!$D$8:$CI$8,"&lt;="&amp;Dashboard!$M25)+SUMIFS('Monthly Forecast'!$D$27:$CI$27,'Monthly Forecast'!$D$8:$CI$8,"&gt;="&amp;Dashboard!$L25,'Monthly Forecast'!$D$8:$CI$8,"&lt;="&amp;Dashboard!$M25)+SUMIFS('Monthly Forecast'!$D$47:$CI$47,'Monthly Forecast'!$D$8:$CI$8,"&gt;="&amp;Dashboard!$L25,'Monthly Forecast'!$D$8:$CI$8,"&lt;="&amp;Dashboard!$M25)+SUMIFS('Monthly Forecast'!$D$53:$CI$53,'Monthly Forecast'!$D$8:$CI$8,"&gt;="&amp;Dashboard!$L25,'Monthly Forecast'!$D$8:$CI$8,"&lt;="&amp;Dashboard!$M25)</f>
        <v>40007807.519311324</v>
      </c>
      <c r="AK12" s="46">
        <f>SUMIFS('Monthly Forecast'!$D$20:$CI$20,'Monthly Forecast'!$D$8:$CI$8,"&gt;="&amp;Dashboard!$L26,'Monthly Forecast'!$D$8:$CI$8,"&lt;="&amp;Dashboard!$M26)+SUMIFS('Monthly Forecast'!$D$27:$CI$27,'Monthly Forecast'!$D$8:$CI$8,"&gt;="&amp;Dashboard!$L26,'Monthly Forecast'!$D$8:$CI$8,"&lt;="&amp;Dashboard!$M26)+SUMIFS('Monthly Forecast'!$D$47:$CI$47,'Monthly Forecast'!$D$8:$CI$8,"&gt;="&amp;Dashboard!$L26,'Monthly Forecast'!$D$8:$CI$8,"&lt;="&amp;Dashboard!$M26)+SUMIFS('Monthly Forecast'!$D$53:$CI$53,'Monthly Forecast'!$D$8:$CI$8,"&gt;="&amp;Dashboard!$L26,'Monthly Forecast'!$D$8:$CI$8,"&lt;="&amp;Dashboard!$M26)</f>
        <v>39910195.540734909</v>
      </c>
      <c r="AL12" s="46">
        <f>SUMIFS('Monthly Forecast'!$D$20:$CI$20,'Monthly Forecast'!$D$8:$CI$8,"&gt;="&amp;Dashboard!$L27,'Monthly Forecast'!$D$8:$CI$8,"&lt;="&amp;Dashboard!$M27)+SUMIFS('Monthly Forecast'!$D$27:$CI$27,'Monthly Forecast'!$D$8:$CI$8,"&gt;="&amp;Dashboard!$L27,'Monthly Forecast'!$D$8:$CI$8,"&lt;="&amp;Dashboard!$M27)+SUMIFS('Monthly Forecast'!$D$47:$CI$47,'Monthly Forecast'!$D$8:$CI$8,"&gt;="&amp;Dashboard!$L27,'Monthly Forecast'!$D$8:$CI$8,"&lt;="&amp;Dashboard!$M27)+SUMIFS('Monthly Forecast'!$D$53:$CI$53,'Monthly Forecast'!$D$8:$CI$8,"&gt;="&amp;Dashboard!$L27,'Monthly Forecast'!$D$8:$CI$8,"&lt;="&amp;Dashboard!$M27)</f>
        <v>39972228.876384191</v>
      </c>
      <c r="AM12" s="353"/>
      <c r="AN12" s="353"/>
      <c r="AO12" s="353"/>
      <c r="AP12" s="353"/>
    </row>
    <row r="13" spans="1:42" ht="15.75" x14ac:dyDescent="0.25">
      <c r="A13" s="457">
        <v>4812</v>
      </c>
      <c r="B13" s="449" t="s">
        <v>317</v>
      </c>
      <c r="C13" s="46">
        <f>'Monthly Forecast'!J29+'Monthly Forecast'!J36+'Monthly Forecast'!J55+'Monthly Forecast'!J61</f>
        <v>865056.55643566675</v>
      </c>
      <c r="D13" s="46">
        <f>'Monthly Forecast'!K29+'Monthly Forecast'!K36+'Monthly Forecast'!K55+'Monthly Forecast'!K61</f>
        <v>634630.72855866654</v>
      </c>
      <c r="E13" s="46">
        <f>'Monthly Forecast'!L29+'Monthly Forecast'!L36+'Monthly Forecast'!L55+'Monthly Forecast'!L61</f>
        <v>537536.08655766665</v>
      </c>
      <c r="F13" s="46">
        <f>'Monthly Forecast'!M29+'Monthly Forecast'!M36+'Monthly Forecast'!M55+'Monthly Forecast'!M61</f>
        <v>319292.27222066664</v>
      </c>
      <c r="G13" s="46">
        <f>'Monthly Forecast'!N29+'Monthly Forecast'!N36+'Monthly Forecast'!N55+'Monthly Forecast'!N61</f>
        <v>344515.7384786667</v>
      </c>
      <c r="H13" s="46">
        <f>'Monthly Forecast'!O29+'Monthly Forecast'!O36+'Monthly Forecast'!O55+'Monthly Forecast'!O61</f>
        <v>270763.62884833332</v>
      </c>
      <c r="I13" s="46">
        <f>'Monthly Forecast'!P29+'Monthly Forecast'!P36+'Monthly Forecast'!P55+'Monthly Forecast'!P61</f>
        <v>390261.25101000001</v>
      </c>
      <c r="J13" s="46">
        <f>'Monthly Forecast'!Q29+'Monthly Forecast'!Q36+'Monthly Forecast'!Q55+'Monthly Forecast'!Q61</f>
        <v>292705.93046499998</v>
      </c>
      <c r="K13" s="46">
        <f>'Monthly Forecast'!R29+'Monthly Forecast'!R36+'Monthly Forecast'!R55+'Monthly Forecast'!R61</f>
        <v>327152.0098856666</v>
      </c>
      <c r="L13" s="46">
        <f>'Monthly Forecast'!S29+'Monthly Forecast'!S36+'Monthly Forecast'!S55+'Monthly Forecast'!S61</f>
        <v>257902.36749466666</v>
      </c>
      <c r="M13" s="46">
        <f>'Monthly Forecast'!T29+'Monthly Forecast'!T36+'Monthly Forecast'!T55+'Monthly Forecast'!T61</f>
        <v>308686.35804044816</v>
      </c>
      <c r="N13" s="46">
        <f>'Monthly Forecast'!U29+'Monthly Forecast'!U36+'Monthly Forecast'!U55+'Monthly Forecast'!U61</f>
        <v>666571.78784753638</v>
      </c>
      <c r="O13" s="446">
        <f t="shared" si="7"/>
        <v>5215074.7158429837</v>
      </c>
      <c r="P13" s="46">
        <f>'Monthly Forecast'!V29+'Monthly Forecast'!V36+'Monthly Forecast'!V55+'Monthly Forecast'!V61</f>
        <v>969880.22931153956</v>
      </c>
      <c r="Q13" s="46">
        <f>'Monthly Forecast'!W29+'Monthly Forecast'!W36+'Monthly Forecast'!W55+'Monthly Forecast'!W61</f>
        <v>664230.30795951886</v>
      </c>
      <c r="R13" s="46">
        <f>'Monthly Forecast'!X29+'Monthly Forecast'!X36+'Monthly Forecast'!X55+'Monthly Forecast'!X61</f>
        <v>562591.13609150331</v>
      </c>
      <c r="S13" s="446"/>
      <c r="T13" s="46">
        <f>'Monthly Forecast'!Y29+'Monthly Forecast'!Y36+'Monthly Forecast'!Y55+'Monthly Forecast'!Y61</f>
        <v>333869.94577730913</v>
      </c>
      <c r="U13" s="46">
        <f>'Monthly Forecast'!Z29+'Monthly Forecast'!Z36+'Monthly Forecast'!Z55+'Monthly Forecast'!Z61</f>
        <v>336503.9047936704</v>
      </c>
      <c r="V13" s="46">
        <f>'Monthly Forecast'!AA29+'Monthly Forecast'!AA36+'Monthly Forecast'!AA55+'Monthly Forecast'!AA61</f>
        <v>257495.02753932757</v>
      </c>
      <c r="W13" s="46">
        <f>'Monthly Forecast'!AB29+'Monthly Forecast'!AB36+'Monthly Forecast'!AB55+'Monthly Forecast'!AB61</f>
        <v>367460.01923376077</v>
      </c>
      <c r="X13" s="46">
        <f>'Monthly Forecast'!AC29+'Monthly Forecast'!AC36+'Monthly Forecast'!AC55+'Monthly Forecast'!AC61</f>
        <v>280518.25992199586</v>
      </c>
      <c r="Y13" s="46">
        <f>'Monthly Forecast'!AD29+'Monthly Forecast'!AD36+'Monthly Forecast'!AD55+'Monthly Forecast'!AD61</f>
        <v>313148.57953810971</v>
      </c>
      <c r="Z13" s="46">
        <f>'Monthly Forecast'!AE29+'Monthly Forecast'!AE36+'Monthly Forecast'!AE55+'Monthly Forecast'!AE61</f>
        <v>248255.96019136364</v>
      </c>
      <c r="AA13" s="46">
        <f>'Monthly Forecast'!AF29+'Monthly Forecast'!AF36+'Monthly Forecast'!AF55+'Monthly Forecast'!AF61</f>
        <v>306059.20820625068</v>
      </c>
      <c r="AB13" s="46">
        <f>'Monthly Forecast'!AG29+'Monthly Forecast'!AG36+'Monthly Forecast'!AG55+'Monthly Forecast'!AG61</f>
        <v>660778.19755295315</v>
      </c>
      <c r="AC13" s="46">
        <f>'Monthly Forecast'!AH29+'Monthly Forecast'!AH36+'Monthly Forecast'!AH55+'Monthly Forecast'!AH61</f>
        <v>961516.7613888284</v>
      </c>
      <c r="AD13" s="46">
        <f>'Monthly Forecast'!AI29+'Monthly Forecast'!AI36+'Monthly Forecast'!AI55+'Monthly Forecast'!AI61</f>
        <v>661147.60418456118</v>
      </c>
      <c r="AE13" s="46">
        <f>'Monthly Forecast'!AJ29+'Monthly Forecast'!AJ36+'Monthly Forecast'!AJ55+'Monthly Forecast'!AJ61</f>
        <v>560001.87102494435</v>
      </c>
      <c r="AF13" s="446">
        <f t="shared" si="6"/>
        <v>5286755.3393530753</v>
      </c>
      <c r="AG13" s="46">
        <f>SUMIFS('Monthly Forecast'!$D$29:$CI$29,'Monthly Forecast'!$D$8:$CI$8,"&gt;="&amp;Dashboard!$L22,'Monthly Forecast'!$D$8:$CI$8,"&lt;="&amp;Dashboard!$M22)+SUMIFS('Monthly Forecast'!$D$36:$CI$36,'Monthly Forecast'!$D$8:$CI$8,"&gt;="&amp;Dashboard!$L22,'Monthly Forecast'!$D$8:$CI$8,"&lt;="&amp;Dashboard!$M22)+SUMIFS('Monthly Forecast'!$D$55:$CI$55,'Monthly Forecast'!$D$8:$CI$8,"&gt;="&amp;Dashboard!$L22,'Monthly Forecast'!$D$8:$CI$8,"&lt;="&amp;Dashboard!$M22)+SUMIFS('Monthly Forecast'!$D$61:$CI$61,'Monthly Forecast'!$D$8:$CI$8,"&gt;="&amp;Dashboard!$L22,'Monthly Forecast'!$D$8:$CI$8,"&lt;="&amp;Dashboard!$M22)</f>
        <v>5068654.0765953334</v>
      </c>
      <c r="AH13" s="46">
        <f>SUMIFS('Monthly Forecast'!$D$29:$CI$29,'Monthly Forecast'!$D$8:$CI$8,"&gt;="&amp;Dashboard!$L23,'Monthly Forecast'!$D$8:$CI$8,"&lt;="&amp;Dashboard!$M23)+SUMIFS('Monthly Forecast'!$D$36:$CI$36,'Monthly Forecast'!$D$8:$CI$8,"&gt;="&amp;Dashboard!$L23,'Monthly Forecast'!$D$8:$CI$8,"&lt;="&amp;Dashboard!$M23)+SUMIFS('Monthly Forecast'!$D$55:$CI$55,'Monthly Forecast'!$D$8:$CI$8,"&gt;="&amp;Dashboard!$L23,'Monthly Forecast'!$D$8:$CI$8,"&lt;="&amp;Dashboard!$M23)+SUMIFS('Monthly Forecast'!$D$61:$CI$61,'Monthly Forecast'!$D$8:$CI$8,"&gt;="&amp;Dashboard!$L23,'Monthly Forecast'!$D$8:$CI$8,"&lt;="&amp;Dashboard!$M23)</f>
        <v>5318857.9235493857</v>
      </c>
      <c r="AI13" s="46">
        <f>SUMIFS('Monthly Forecast'!$D$29:$CI$29,'Monthly Forecast'!$D$8:$CI$8,"&gt;="&amp;Dashboard!$L24,'Monthly Forecast'!$D$8:$CI$8,"&lt;="&amp;Dashboard!$M24)+SUMIFS('Monthly Forecast'!$D$36:$CI$36,'Monthly Forecast'!$D$8:$CI$8,"&gt;="&amp;Dashboard!$L24,'Monthly Forecast'!$D$8:$CI$8,"&lt;="&amp;Dashboard!$M24)+SUMIFS('Monthly Forecast'!$D$55:$CI$55,'Monthly Forecast'!$D$8:$CI$8,"&gt;="&amp;Dashboard!$L24,'Monthly Forecast'!$D$8:$CI$8,"&lt;="&amp;Dashboard!$M24)+SUMIFS('Monthly Forecast'!$D$61:$CI$61,'Monthly Forecast'!$D$8:$CI$8,"&gt;="&amp;Dashboard!$L24,'Monthly Forecast'!$D$8:$CI$8,"&lt;="&amp;Dashboard!$M24)</f>
        <v>5232280.628185886</v>
      </c>
      <c r="AJ13" s="46">
        <f>SUMIFS('Monthly Forecast'!$D$29:$CI$29,'Monthly Forecast'!$D$8:$CI$8,"&gt;="&amp;Dashboard!$L25,'Monthly Forecast'!$D$8:$CI$8,"&lt;="&amp;Dashboard!$M25)+SUMIFS('Monthly Forecast'!$D$36:$CI$36,'Monthly Forecast'!$D$8:$CI$8,"&gt;="&amp;Dashboard!$L25,'Monthly Forecast'!$D$8:$CI$8,"&lt;="&amp;Dashboard!$M25)+SUMIFS('Monthly Forecast'!$D$55:$CI$55,'Monthly Forecast'!$D$8:$CI$8,"&gt;="&amp;Dashboard!$L25,'Monthly Forecast'!$D$8:$CI$8,"&lt;="&amp;Dashboard!$M25)+SUMIFS('Monthly Forecast'!$D$61:$CI$61,'Monthly Forecast'!$D$8:$CI$8,"&gt;="&amp;Dashboard!$L25,'Monthly Forecast'!$D$8:$CI$8,"&lt;="&amp;Dashboard!$M25)</f>
        <v>5149116.8401296604</v>
      </c>
      <c r="AK13" s="46">
        <f>SUMIFS('Monthly Forecast'!$D$29:$CI$29,'Monthly Forecast'!$D$8:$CI$8,"&gt;="&amp;Dashboard!$L26,'Monthly Forecast'!$D$8:$CI$8,"&lt;="&amp;Dashboard!$M26)+SUMIFS('Monthly Forecast'!$D$36:$CI$36,'Monthly Forecast'!$D$8:$CI$8,"&gt;="&amp;Dashboard!$L26,'Monthly Forecast'!$D$8:$CI$8,"&lt;="&amp;Dashboard!$M26)+SUMIFS('Monthly Forecast'!$D$55:$CI$55,'Monthly Forecast'!$D$8:$CI$8,"&gt;="&amp;Dashboard!$L26,'Monthly Forecast'!$D$8:$CI$8,"&lt;="&amp;Dashboard!$M26)+SUMIFS('Monthly Forecast'!$D$61:$CI$61,'Monthly Forecast'!$D$8:$CI$8,"&gt;="&amp;Dashboard!$L26,'Monthly Forecast'!$D$8:$CI$8,"&lt;="&amp;Dashboard!$M26)</f>
        <v>5133564.2935704105</v>
      </c>
      <c r="AL13" s="46">
        <f>SUMIFS('Monthly Forecast'!$D$29:$CI$29,'Monthly Forecast'!$D$8:$CI$8,"&gt;="&amp;Dashboard!$L27,'Monthly Forecast'!$D$8:$CI$8,"&lt;="&amp;Dashboard!$M27)+SUMIFS('Monthly Forecast'!$D$36:$CI$36,'Monthly Forecast'!$D$8:$CI$8,"&gt;="&amp;Dashboard!$L27,'Monthly Forecast'!$D$8:$CI$8,"&lt;="&amp;Dashboard!$M27)+SUMIFS('Monthly Forecast'!$D$55:$CI$55,'Monthly Forecast'!$D$8:$CI$8,"&gt;="&amp;Dashboard!$L27,'Monthly Forecast'!$D$8:$CI$8,"&lt;="&amp;Dashboard!$M27)+SUMIFS('Monthly Forecast'!$D$61:$CI$61,'Monthly Forecast'!$D$8:$CI$8,"&gt;="&amp;Dashboard!$L27,'Monthly Forecast'!$D$8:$CI$8,"&lt;="&amp;Dashboard!$M27)</f>
        <v>5149104.8027482191</v>
      </c>
      <c r="AM13" s="353"/>
      <c r="AN13" s="353"/>
      <c r="AO13" s="353"/>
      <c r="AP13" s="353"/>
    </row>
    <row r="14" spans="1:42" ht="15.75" x14ac:dyDescent="0.25">
      <c r="A14" s="457">
        <v>4820</v>
      </c>
      <c r="B14" s="449" t="s">
        <v>318</v>
      </c>
      <c r="C14" s="46">
        <f>'Monthly Forecast'!J38+'Monthly Forecast'!J45</f>
        <v>994628.31418132246</v>
      </c>
      <c r="D14" s="46">
        <f>'Monthly Forecast'!K38+'Monthly Forecast'!K45</f>
        <v>1072309.0657193814</v>
      </c>
      <c r="E14" s="46">
        <f>'Monthly Forecast'!L38+'Monthly Forecast'!L45</f>
        <v>817217.57603698876</v>
      </c>
      <c r="F14" s="46">
        <f>'Monthly Forecast'!M38+'Monthly Forecast'!M45</f>
        <v>552904.16320709116</v>
      </c>
      <c r="G14" s="46">
        <f>'Monthly Forecast'!N38+'Monthly Forecast'!N45</f>
        <v>382802.89286502625</v>
      </c>
      <c r="H14" s="46">
        <f>'Monthly Forecast'!O38+'Monthly Forecast'!O45</f>
        <v>273286.64153593732</v>
      </c>
      <c r="I14" s="46">
        <f>'Monthly Forecast'!P38+'Monthly Forecast'!P45</f>
        <v>248275.32537714636</v>
      </c>
      <c r="J14" s="46">
        <f>'Monthly Forecast'!Q38+'Monthly Forecast'!Q45</f>
        <v>257557.29241529177</v>
      </c>
      <c r="K14" s="46">
        <f>'Monthly Forecast'!R38+'Monthly Forecast'!R45</f>
        <v>247986.08147423447</v>
      </c>
      <c r="L14" s="46">
        <f>'Monthly Forecast'!S38+'Monthly Forecast'!S45</f>
        <v>345623.72771904792</v>
      </c>
      <c r="M14" s="46">
        <f>'Monthly Forecast'!T38+'Monthly Forecast'!T45</f>
        <v>607276.52855381754</v>
      </c>
      <c r="N14" s="46">
        <f>'Monthly Forecast'!U38+'Monthly Forecast'!U45</f>
        <v>911440.84380762954</v>
      </c>
      <c r="O14" s="446">
        <f t="shared" si="7"/>
        <v>6711308.4528929153</v>
      </c>
      <c r="P14" s="46">
        <f>'Monthly Forecast'!V38+'Monthly Forecast'!V45</f>
        <v>1095349.178880706</v>
      </c>
      <c r="Q14" s="46">
        <f>'Monthly Forecast'!W38+'Monthly Forecast'!W45</f>
        <v>1117653.4498901682</v>
      </c>
      <c r="R14" s="46">
        <f>'Monthly Forecast'!X38+'Monthly Forecast'!X45</f>
        <v>850828.40729079582</v>
      </c>
      <c r="S14" s="446"/>
      <c r="T14" s="46">
        <f>'Monthly Forecast'!Y38+'Monthly Forecast'!Y45</f>
        <v>574640.72676783078</v>
      </c>
      <c r="U14" s="46">
        <f>'Monthly Forecast'!Z38+'Monthly Forecast'!Z45</f>
        <v>377720.56029893842</v>
      </c>
      <c r="V14" s="46">
        <f>'Monthly Forecast'!AA38+'Monthly Forecast'!AA45</f>
        <v>265144.9171492898</v>
      </c>
      <c r="W14" s="46">
        <f>'Monthly Forecast'!AB38+'Monthly Forecast'!AB45</f>
        <v>241180.15568729438</v>
      </c>
      <c r="X14" s="46">
        <f>'Monthly Forecast'!AC38+'Monthly Forecast'!AC45</f>
        <v>252076.25869578484</v>
      </c>
      <c r="Y14" s="46">
        <f>'Monthly Forecast'!AD38+'Monthly Forecast'!AD45</f>
        <v>242677.8163083338</v>
      </c>
      <c r="Z14" s="46">
        <f>'Monthly Forecast'!AE38+'Monthly Forecast'!AE45</f>
        <v>337345.19457652222</v>
      </c>
      <c r="AA14" s="46">
        <f>'Monthly Forecast'!AF38+'Monthly Forecast'!AF45</f>
        <v>603236.78757413372</v>
      </c>
      <c r="AB14" s="46">
        <f>'Monthly Forecast'!AG38+'Monthly Forecast'!AG45</f>
        <v>905038.2690203411</v>
      </c>
      <c r="AC14" s="46">
        <f>'Monthly Forecast'!AH38+'Monthly Forecast'!AH45</f>
        <v>1087494.3411898718</v>
      </c>
      <c r="AD14" s="46">
        <f>'Monthly Forecast'!AI38+'Monthly Forecast'!AI45</f>
        <v>1113251.6898061384</v>
      </c>
      <c r="AE14" s="46">
        <f>'Monthly Forecast'!AJ38+'Monthly Forecast'!AJ45</f>
        <v>847565.66995055904</v>
      </c>
      <c r="AF14" s="446">
        <f t="shared" si="6"/>
        <v>6847372.3870250378</v>
      </c>
      <c r="AG14" s="46">
        <f>SUMIFS('Monthly Forecast'!$D$38:$CI$38,'Monthly Forecast'!$D$8:$CI$8,"&gt;="&amp;Dashboard!$L22,'Monthly Forecast'!$D$8:$CI$8,"&lt;="&amp;Dashboard!$M22)+SUMIFS('Monthly Forecast'!$D$45:$CI$45,'Monthly Forecast'!$D$8:$CI$8,"&gt;="&amp;Dashboard!$L22,'Monthly Forecast'!$D$8:$CI$8,"&lt;="&amp;Dashboard!$M22)</f>
        <v>6537829.3919658549</v>
      </c>
      <c r="AH14" s="46">
        <f>SUMIFS('Monthly Forecast'!$D$38:$CI$38,'Monthly Forecast'!$D$8:$CI$8,"&gt;="&amp;Dashboard!$L23,'Monthly Forecast'!$D$8:$CI$8,"&lt;="&amp;Dashboard!$M23)+SUMIFS('Monthly Forecast'!$D$45:$CI$45,'Monthly Forecast'!$D$8:$CI$8,"&gt;="&amp;Dashboard!$L23,'Monthly Forecast'!$D$8:$CI$8,"&lt;="&amp;Dashboard!$M23)</f>
        <v>6881612.5710496381</v>
      </c>
      <c r="AI14" s="46">
        <f>SUMIFS('Monthly Forecast'!$D$38:$CI$38,'Monthly Forecast'!$D$8:$CI$8,"&gt;="&amp;Dashboard!$L24,'Monthly Forecast'!$D$8:$CI$8,"&lt;="&amp;Dashboard!$M24)+SUMIFS('Monthly Forecast'!$D$45:$CI$45,'Monthly Forecast'!$D$8:$CI$8,"&gt;="&amp;Dashboard!$L24,'Monthly Forecast'!$D$8:$CI$8,"&lt;="&amp;Dashboard!$M24)</f>
        <v>6816056.0391607247</v>
      </c>
      <c r="AJ14" s="46">
        <f>SUMIFS('Monthly Forecast'!$D$38:$CI$38,'Monthly Forecast'!$D$8:$CI$8,"&gt;="&amp;Dashboard!$L25,'Monthly Forecast'!$D$8:$CI$8,"&lt;="&amp;Dashboard!$M25)+SUMIFS('Monthly Forecast'!$D$45:$CI$45,'Monthly Forecast'!$D$8:$CI$8,"&gt;="&amp;Dashboard!$L25,'Monthly Forecast'!$D$8:$CI$8,"&lt;="&amp;Dashboard!$M25)</f>
        <v>6726693.4810965508</v>
      </c>
      <c r="AK14" s="46">
        <f>SUMIFS('Monthly Forecast'!$D$38:$CI$38,'Monthly Forecast'!$D$8:$CI$8,"&gt;="&amp;Dashboard!$L26,'Monthly Forecast'!$D$8:$CI$8,"&lt;="&amp;Dashboard!$M26)+SUMIFS('Monthly Forecast'!$D$45:$CI$45,'Monthly Forecast'!$D$8:$CI$8,"&gt;="&amp;Dashboard!$L26,'Monthly Forecast'!$D$8:$CI$8,"&lt;="&amp;Dashboard!$M26)</f>
        <v>6706909.91259869</v>
      </c>
      <c r="AL14" s="46">
        <f>SUMIFS('Monthly Forecast'!$D$38:$CI$38,'Monthly Forecast'!$D$8:$CI$8,"&gt;="&amp;Dashboard!$L27,'Monthly Forecast'!$D$8:$CI$8,"&lt;="&amp;Dashboard!$M27)+SUMIFS('Monthly Forecast'!$D$45:$CI$45,'Monthly Forecast'!$D$8:$CI$8,"&gt;="&amp;Dashboard!$L27,'Monthly Forecast'!$D$8:$CI$8,"&lt;="&amp;Dashboard!$M27)</f>
        <v>6718614.1375648212</v>
      </c>
      <c r="AM14" s="353"/>
      <c r="AN14" s="353"/>
      <c r="AO14" s="353"/>
      <c r="AP14" s="353"/>
    </row>
    <row r="15" spans="1:42" ht="15.75" x14ac:dyDescent="0.25">
      <c r="A15" s="458"/>
      <c r="B15" s="450" t="s">
        <v>319</v>
      </c>
      <c r="C15" s="46">
        <f t="shared" ref="C15:E15" si="8">SUM(C11:C14)</f>
        <v>21127353.475661088</v>
      </c>
      <c r="D15" s="46">
        <f t="shared" si="8"/>
        <v>22344009.027407233</v>
      </c>
      <c r="E15" s="46">
        <f t="shared" si="8"/>
        <v>17333365.921404358</v>
      </c>
      <c r="F15" s="46">
        <f t="shared" ref="F15" si="9">SUM(F11:F14)</f>
        <v>12434629.418118712</v>
      </c>
      <c r="G15" s="46">
        <f t="shared" ref="G15:R15" si="10">SUM(G11:G14)</f>
        <v>8964964.7616892699</v>
      </c>
      <c r="H15" s="46">
        <f t="shared" si="10"/>
        <v>6917692.6628418192</v>
      </c>
      <c r="I15" s="46">
        <f t="shared" si="10"/>
        <v>6507858.2231592834</v>
      </c>
      <c r="J15" s="46">
        <f t="shared" si="10"/>
        <v>6426239.181880543</v>
      </c>
      <c r="K15" s="46">
        <f t="shared" si="10"/>
        <v>6396030.8256183257</v>
      </c>
      <c r="L15" s="46">
        <f t="shared" si="10"/>
        <v>7944737.3109832769</v>
      </c>
      <c r="M15" s="46">
        <f t="shared" si="10"/>
        <v>12823368.698187385</v>
      </c>
      <c r="N15" s="46">
        <f t="shared" si="10"/>
        <v>19079903.138790447</v>
      </c>
      <c r="O15" s="446">
        <f t="shared" si="7"/>
        <v>148300152.64574173</v>
      </c>
      <c r="P15" s="46">
        <f t="shared" si="10"/>
        <v>23014606.59972544</v>
      </c>
      <c r="Q15" s="46">
        <f t="shared" si="10"/>
        <v>23198770.782621365</v>
      </c>
      <c r="R15" s="46">
        <f t="shared" si="10"/>
        <v>17955359.030232266</v>
      </c>
      <c r="S15" s="446"/>
      <c r="T15" s="46">
        <f t="shared" ref="T15:AE15" si="11">SUM(T11:T14)</f>
        <v>12832583.395172585</v>
      </c>
      <c r="U15" s="46">
        <f t="shared" si="11"/>
        <v>8890551.5393910371</v>
      </c>
      <c r="V15" s="46">
        <f t="shared" si="11"/>
        <v>6801153.0582567332</v>
      </c>
      <c r="W15" s="46">
        <f t="shared" si="11"/>
        <v>6400272.1143412488</v>
      </c>
      <c r="X15" s="46">
        <f t="shared" si="11"/>
        <v>6352885.0171400048</v>
      </c>
      <c r="Y15" s="46">
        <f t="shared" si="11"/>
        <v>6320999.6332227746</v>
      </c>
      <c r="Z15" s="46">
        <f t="shared" si="11"/>
        <v>7826179.7014762238</v>
      </c>
      <c r="AA15" s="46">
        <f t="shared" si="11"/>
        <v>12771846.318982417</v>
      </c>
      <c r="AB15" s="46">
        <f t="shared" si="11"/>
        <v>18988411.904717952</v>
      </c>
      <c r="AC15" s="46">
        <f t="shared" si="11"/>
        <v>22897700.177246884</v>
      </c>
      <c r="AD15" s="46">
        <f t="shared" si="11"/>
        <v>23147432.52136207</v>
      </c>
      <c r="AE15" s="46">
        <f t="shared" si="11"/>
        <v>17919095.497464485</v>
      </c>
      <c r="AF15" s="446">
        <f>SUM(T15:AE15)</f>
        <v>151149110.8787744</v>
      </c>
      <c r="AG15" s="46">
        <f>SUM(AG11:AG14)</f>
        <v>145298716.88364711</v>
      </c>
      <c r="AH15" s="46">
        <f t="shared" ref="AH15:AL15" si="12">SUM(AH11:AH14)</f>
        <v>151615190.31806457</v>
      </c>
      <c r="AI15" s="46">
        <f t="shared" si="12"/>
        <v>150715873.04581597</v>
      </c>
      <c r="AJ15" s="46">
        <f t="shared" si="12"/>
        <v>149327242.76938337</v>
      </c>
      <c r="AK15" s="46">
        <f t="shared" si="12"/>
        <v>149157515.8712568</v>
      </c>
      <c r="AL15" s="46">
        <f t="shared" si="12"/>
        <v>149542064.36140984</v>
      </c>
      <c r="AM15" s="353"/>
      <c r="AN15" s="353"/>
      <c r="AO15" s="353"/>
      <c r="AP15" s="353"/>
    </row>
    <row r="16" spans="1:42" ht="15.75" x14ac:dyDescent="0.25">
      <c r="A16" s="459"/>
      <c r="B16" s="460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46"/>
      <c r="P16" s="46"/>
      <c r="Q16" s="46"/>
      <c r="R16" s="46"/>
      <c r="S16" s="4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G16" s="46"/>
      <c r="AH16" s="46"/>
      <c r="AI16" s="46"/>
      <c r="AJ16" s="46"/>
      <c r="AK16" s="46"/>
      <c r="AL16" s="46"/>
      <c r="AM16" s="353"/>
      <c r="AN16" s="353"/>
      <c r="AO16" s="353"/>
      <c r="AP16" s="353"/>
    </row>
    <row r="17" spans="1:42" ht="15.75" x14ac:dyDescent="0.25">
      <c r="A17" s="459"/>
      <c r="B17" s="455" t="s">
        <v>320</v>
      </c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46"/>
      <c r="P17" s="46"/>
      <c r="Q17" s="46"/>
      <c r="R17" s="46"/>
      <c r="S17" s="4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G17" s="46"/>
      <c r="AH17" s="46"/>
      <c r="AI17" s="46"/>
      <c r="AJ17" s="46"/>
      <c r="AK17" s="46"/>
      <c r="AL17" s="46"/>
      <c r="AM17" s="353"/>
      <c r="AN17" s="353"/>
      <c r="AO17" s="353"/>
      <c r="AP17" s="353"/>
    </row>
    <row r="18" spans="1:42" ht="15.75" x14ac:dyDescent="0.25">
      <c r="A18" s="457">
        <v>4870</v>
      </c>
      <c r="B18" s="449" t="s">
        <v>321</v>
      </c>
      <c r="C18" s="46">
        <f>+'Monthly Forecast'!J99</f>
        <v>151121.56343666484</v>
      </c>
      <c r="D18" s="46">
        <f>+'Monthly Forecast'!K99</f>
        <v>180239.63098269972</v>
      </c>
      <c r="E18" s="46">
        <f>+'Monthly Forecast'!L99</f>
        <v>193132.30681991219</v>
      </c>
      <c r="F18" s="46">
        <f>+'Monthly Forecast'!M99</f>
        <v>149417.73979407307</v>
      </c>
      <c r="G18" s="46">
        <f>+'Monthly Forecast'!N99</f>
        <v>107763.92308803758</v>
      </c>
      <c r="H18" s="46">
        <f>+'Monthly Forecast'!O99</f>
        <v>76678.702587672175</v>
      </c>
      <c r="I18" s="46">
        <f>+'Monthly Forecast'!P99</f>
        <v>59150.040279274232</v>
      </c>
      <c r="J18" s="46">
        <f>+'Monthly Forecast'!Q99</f>
        <v>54438.933654652523</v>
      </c>
      <c r="K18" s="46">
        <f>+'Monthly Forecast'!R99</f>
        <v>54578.946435618629</v>
      </c>
      <c r="L18" s="46">
        <f>+'Monthly Forecast'!S99</f>
        <v>54003.632288822264</v>
      </c>
      <c r="M18" s="46">
        <f>+'Monthly Forecast'!T99</f>
        <v>68403.679396344829</v>
      </c>
      <c r="N18" s="46">
        <f>+'Monthly Forecast'!U99</f>
        <v>111350.6264652091</v>
      </c>
      <c r="O18" s="446">
        <f t="shared" ref="O18:O25" si="13">SUM(C18:N18)</f>
        <v>1260279.7252289811</v>
      </c>
      <c r="P18" s="46">
        <f>+'Monthly Forecast'!V99</f>
        <v>163805.42211283173</v>
      </c>
      <c r="Q18" s="46">
        <f>+'Monthly Forecast'!W99</f>
        <v>196091.17369346175</v>
      </c>
      <c r="R18" s="46">
        <f>+'Monthly Forecast'!X99</f>
        <v>200472.80135136913</v>
      </c>
      <c r="S18" s="446"/>
      <c r="T18" s="46">
        <f>+'Monthly Forecast'!Y99</f>
        <v>154727.82135485311</v>
      </c>
      <c r="U18" s="46">
        <f>+'Monthly Forecast'!Z99</f>
        <v>111173.430378629</v>
      </c>
      <c r="V18" s="46">
        <f>+'Monthly Forecast'!AA99</f>
        <v>76088.821679641362</v>
      </c>
      <c r="W18" s="46">
        <f>+'Monthly Forecast'!AB99</f>
        <v>58230.972263950251</v>
      </c>
      <c r="X18" s="46">
        <f>+'Monthly Forecast'!AC99</f>
        <v>53684.395756861937</v>
      </c>
      <c r="Y18" s="46">
        <f>+'Monthly Forecast'!AD99</f>
        <v>54034.705322374044</v>
      </c>
      <c r="Z18" s="46">
        <f>+'Monthly Forecast'!AE99</f>
        <v>53460.619677659743</v>
      </c>
      <c r="AA18" s="46">
        <f>+'Monthly Forecast'!AF99</f>
        <v>67434.49078735373</v>
      </c>
      <c r="AB18" s="46">
        <f>+'Monthly Forecast'!AG99</f>
        <v>110915.66308377551</v>
      </c>
      <c r="AC18" s="46">
        <f>+'Monthly Forecast'!AH99</f>
        <v>163043.36831648159</v>
      </c>
      <c r="AD18" s="46">
        <f>+'Monthly Forecast'!AI99</f>
        <v>195126.14829354855</v>
      </c>
      <c r="AE18" s="46">
        <f>+'Monthly Forecast'!AJ99</f>
        <v>200043.74278253785</v>
      </c>
      <c r="AF18" s="446">
        <f t="shared" ref="AF18:AF21" si="14">SUM(T18:AE18)</f>
        <v>1297964.1796976668</v>
      </c>
      <c r="AG18" s="46">
        <f>SUMIFS('Monthly Forecast'!$D$99:$CI$99,'Monthly Forecast'!$D$8:$CI$8,"&gt;="&amp;Dashboard!$L22,'Monthly Forecast'!$D$8:$CI$8,"&lt;="&amp;Dashboard!$M22)</f>
        <v>1244575.8020070631</v>
      </c>
      <c r="AH18" s="46">
        <f>SUMIFS('Monthly Forecast'!$D$99:$CI$99,'Monthly Forecast'!$D$8:$CI$8,"&gt;="&amp;Dashboard!$L23,'Monthly Forecast'!$D$8:$CI$8,"&lt;="&amp;Dashboard!$M23)</f>
        <v>1302067.4820643484</v>
      </c>
      <c r="AI18" s="46">
        <f>SUMIFS('Monthly Forecast'!$D$99:$CI$99,'Monthly Forecast'!$D$8:$CI$8,"&gt;="&amp;Dashboard!$L24,'Monthly Forecast'!$D$8:$CI$8,"&lt;="&amp;Dashboard!$M24)</f>
        <v>1294782.4471491324</v>
      </c>
      <c r="AJ18" s="46">
        <f>SUMIFS('Monthly Forecast'!$D$99:$CI$99,'Monthly Forecast'!$D$8:$CI$8,"&gt;="&amp;Dashboard!$L25,'Monthly Forecast'!$D$8:$CI$8,"&lt;="&amp;Dashboard!$M25)</f>
        <v>1282683.0599363262</v>
      </c>
      <c r="AK18" s="46">
        <f>SUMIFS('Monthly Forecast'!$D$99:$CI$99,'Monthly Forecast'!$D$8:$CI$8,"&gt;="&amp;Dashboard!$L26,'Monthly Forecast'!$D$8:$CI$8,"&lt;="&amp;Dashboard!$M26)</f>
        <v>1281229.6236853115</v>
      </c>
      <c r="AL18" s="46">
        <f>SUMIFS('Monthly Forecast'!$D$99:$CI$99,'Monthly Forecast'!$D$8:$CI$8,"&gt;="&amp;Dashboard!$L27,'Monthly Forecast'!$D$8:$CI$8,"&lt;="&amp;Dashboard!$M27)</f>
        <v>1284425.1705796127</v>
      </c>
      <c r="AM18" s="353"/>
      <c r="AN18" s="353"/>
      <c r="AO18" s="353"/>
      <c r="AP18" s="353"/>
    </row>
    <row r="19" spans="1:42" ht="15.75" x14ac:dyDescent="0.25">
      <c r="A19" s="457">
        <v>4880</v>
      </c>
      <c r="B19" s="449" t="s">
        <v>322</v>
      </c>
      <c r="C19" s="46">
        <f>+'Monthly Forecast'!J98</f>
        <v>58133</v>
      </c>
      <c r="D19" s="46">
        <f>+'Monthly Forecast'!K98</f>
        <v>54439</v>
      </c>
      <c r="E19" s="46">
        <f>+'Monthly Forecast'!L98</f>
        <v>74821</v>
      </c>
      <c r="F19" s="46">
        <f>+'Monthly Forecast'!M98</f>
        <v>49919</v>
      </c>
      <c r="G19" s="46">
        <f>+'Monthly Forecast'!N98</f>
        <v>53628</v>
      </c>
      <c r="H19" s="46">
        <f>+'Monthly Forecast'!O98</f>
        <v>55397</v>
      </c>
      <c r="I19" s="46">
        <f>+'Monthly Forecast'!P98</f>
        <v>45327</v>
      </c>
      <c r="J19" s="46">
        <f>+'Monthly Forecast'!Q98</f>
        <v>57173</v>
      </c>
      <c r="K19" s="46">
        <f>+'Monthly Forecast'!R98</f>
        <v>55395</v>
      </c>
      <c r="L19" s="46">
        <f>+'Monthly Forecast'!S98</f>
        <v>88176</v>
      </c>
      <c r="M19" s="46">
        <f>+'Monthly Forecast'!T98</f>
        <v>126545</v>
      </c>
      <c r="N19" s="46">
        <f>+'Monthly Forecast'!U98</f>
        <v>87101</v>
      </c>
      <c r="O19" s="446">
        <f t="shared" si="13"/>
        <v>806054</v>
      </c>
      <c r="P19" s="46">
        <f>+'Monthly Forecast'!V98</f>
        <v>58133</v>
      </c>
      <c r="Q19" s="46">
        <f>+'Monthly Forecast'!W98</f>
        <v>54439</v>
      </c>
      <c r="R19" s="46">
        <f>+'Monthly Forecast'!X98</f>
        <v>74821</v>
      </c>
      <c r="S19" s="446"/>
      <c r="T19" s="46">
        <f>+'Monthly Forecast'!Y98</f>
        <v>49919</v>
      </c>
      <c r="U19" s="46">
        <f>+'Monthly Forecast'!Z98</f>
        <v>53628</v>
      </c>
      <c r="V19" s="46">
        <f>+'Monthly Forecast'!AA98</f>
        <v>55397</v>
      </c>
      <c r="W19" s="46">
        <f>+'Monthly Forecast'!AB98</f>
        <v>45327</v>
      </c>
      <c r="X19" s="46">
        <f>+'Monthly Forecast'!AC98</f>
        <v>57173</v>
      </c>
      <c r="Y19" s="46">
        <f>+'Monthly Forecast'!AD98</f>
        <v>55395</v>
      </c>
      <c r="Z19" s="46">
        <f>+'Monthly Forecast'!AE98</f>
        <v>88176</v>
      </c>
      <c r="AA19" s="46">
        <f>+'Monthly Forecast'!AF98</f>
        <v>126545</v>
      </c>
      <c r="AB19" s="46">
        <f>+'Monthly Forecast'!AG98</f>
        <v>87101</v>
      </c>
      <c r="AC19" s="46">
        <f>+'Monthly Forecast'!AH98</f>
        <v>58133</v>
      </c>
      <c r="AD19" s="46">
        <f>+'Monthly Forecast'!AI98</f>
        <v>54439</v>
      </c>
      <c r="AE19" s="46">
        <f>+'Monthly Forecast'!AJ98</f>
        <v>74821</v>
      </c>
      <c r="AF19" s="446">
        <f t="shared" si="14"/>
        <v>806054</v>
      </c>
      <c r="AG19" s="46">
        <f>SUMIFS('Monthly Forecast'!$D$98:$CI$98,'Monthly Forecast'!$D$8:$CI$8,"&gt;="&amp;Dashboard!$L22,'Monthly Forecast'!$D$8:$CI$8,"&lt;="&amp;Dashboard!$M22)</f>
        <v>806054</v>
      </c>
      <c r="AH19" s="46">
        <f>SUMIFS('Monthly Forecast'!$D$98:$CI$98,'Monthly Forecast'!$D$8:$CI$8,"&gt;="&amp;Dashboard!$L23,'Monthly Forecast'!$D$8:$CI$8,"&lt;="&amp;Dashboard!$M23)</f>
        <v>806054</v>
      </c>
      <c r="AI19" s="46">
        <f>SUMIFS('Monthly Forecast'!$D$98:$CI$98,'Monthly Forecast'!$D$8:$CI$8,"&gt;="&amp;Dashboard!$L24,'Monthly Forecast'!$D$8:$CI$8,"&lt;="&amp;Dashboard!$M24)</f>
        <v>806054</v>
      </c>
      <c r="AJ19" s="46">
        <f>SUMIFS('Monthly Forecast'!$D$98:$CI$98,'Monthly Forecast'!$D$8:$CI$8,"&gt;="&amp;Dashboard!$L25,'Monthly Forecast'!$D$8:$CI$8,"&lt;="&amp;Dashboard!$M25)</f>
        <v>806054</v>
      </c>
      <c r="AK19" s="46">
        <f>SUMIFS('Monthly Forecast'!$D$98:$CI$98,'Monthly Forecast'!$D$8:$CI$8,"&gt;="&amp;Dashboard!$L26,'Monthly Forecast'!$D$8:$CI$8,"&lt;="&amp;Dashboard!$M26)</f>
        <v>806054</v>
      </c>
      <c r="AL19" s="46">
        <f>SUMIFS('Monthly Forecast'!$D$98:$CI$98,'Monthly Forecast'!$D$8:$CI$8,"&gt;="&amp;Dashboard!$L27,'Monthly Forecast'!$D$8:$CI$8,"&lt;="&amp;Dashboard!$M27)</f>
        <v>806054</v>
      </c>
      <c r="AM19" s="353"/>
      <c r="AN19" s="353"/>
      <c r="AO19" s="353"/>
      <c r="AP19" s="353"/>
    </row>
    <row r="20" spans="1:42" ht="15.75" x14ac:dyDescent="0.25">
      <c r="A20" s="461" t="s">
        <v>323</v>
      </c>
      <c r="B20" s="462" t="s">
        <v>324</v>
      </c>
      <c r="C20" s="46">
        <f>+'Monthly Forecast'!J63+'Monthly Forecast'!J79+'Monthly Forecast'!J73</f>
        <v>1523596.7860310171</v>
      </c>
      <c r="D20" s="46">
        <f>+'Monthly Forecast'!K63+'Monthly Forecast'!K79+'Monthly Forecast'!K73</f>
        <v>1334402.3335029918</v>
      </c>
      <c r="E20" s="46">
        <f>+'Monthly Forecast'!L63+'Monthly Forecast'!L79+'Monthly Forecast'!L73</f>
        <v>1431230.0610257264</v>
      </c>
      <c r="F20" s="46">
        <f>+'Monthly Forecast'!M63+'Monthly Forecast'!M79+'Monthly Forecast'!M73</f>
        <v>1186285.1811271033</v>
      </c>
      <c r="G20" s="46">
        <f>+'Monthly Forecast'!N63+'Monthly Forecast'!N79+'Monthly Forecast'!N73</f>
        <v>1211422.5728380762</v>
      </c>
      <c r="H20" s="46">
        <f>+'Monthly Forecast'!O63+'Monthly Forecast'!O79+'Monthly Forecast'!O73</f>
        <v>1162348.0418893297</v>
      </c>
      <c r="I20" s="46">
        <f>+'Monthly Forecast'!P63+'Monthly Forecast'!P79+'Monthly Forecast'!P73</f>
        <v>1031165.1010687258</v>
      </c>
      <c r="J20" s="46">
        <f>+'Monthly Forecast'!Q63+'Monthly Forecast'!Q79+'Monthly Forecast'!Q73</f>
        <v>1125835.1251621114</v>
      </c>
      <c r="K20" s="46">
        <f>+'Monthly Forecast'!R63+'Monthly Forecast'!R79+'Monthly Forecast'!R73</f>
        <v>1137038.5377952971</v>
      </c>
      <c r="L20" s="46">
        <f>+'Monthly Forecast'!S63+'Monthly Forecast'!S79+'Monthly Forecast'!S73</f>
        <v>1217906.5070548751</v>
      </c>
      <c r="M20" s="46">
        <f>+'Monthly Forecast'!T63+'Monthly Forecast'!T79+'Monthly Forecast'!T73</f>
        <v>1335583.0520690915</v>
      </c>
      <c r="N20" s="46">
        <f>+'Monthly Forecast'!U63+'Monthly Forecast'!U79+'Monthly Forecast'!U73</f>
        <v>1505273.8931012994</v>
      </c>
      <c r="O20" s="446">
        <f t="shared" si="13"/>
        <v>15202087.192665646</v>
      </c>
      <c r="P20" s="46">
        <f>+'Monthly Forecast'!V63+'Monthly Forecast'!V79+'Monthly Forecast'!V73</f>
        <v>1523596.7860310171</v>
      </c>
      <c r="Q20" s="46">
        <f>+'Monthly Forecast'!W63+'Monthly Forecast'!W79+'Monthly Forecast'!W73</f>
        <v>1334402.3335029918</v>
      </c>
      <c r="R20" s="46">
        <f>+'Monthly Forecast'!X63+'Monthly Forecast'!X79+'Monthly Forecast'!X73</f>
        <v>1431230.0610257264</v>
      </c>
      <c r="S20" s="446"/>
      <c r="T20" s="46">
        <f>'Monthly Forecast'!Y63+'Monthly Forecast'!Y79+'Monthly Forecast'!Y73</f>
        <v>1186285.1811271033</v>
      </c>
      <c r="U20" s="46">
        <f>'Monthly Forecast'!Z63+'Monthly Forecast'!Z79+'Monthly Forecast'!Z73</f>
        <v>1211422.5728380762</v>
      </c>
      <c r="V20" s="46">
        <f>'Monthly Forecast'!AA63+'Monthly Forecast'!AA79+'Monthly Forecast'!AA73</f>
        <v>1162348.0418893297</v>
      </c>
      <c r="W20" s="46">
        <f>'Monthly Forecast'!AB63+'Monthly Forecast'!AB79+'Monthly Forecast'!AB73</f>
        <v>1031165.1010687258</v>
      </c>
      <c r="X20" s="46">
        <f>'Monthly Forecast'!AC63+'Monthly Forecast'!AC79+'Monthly Forecast'!AC73</f>
        <v>1125835.1251621114</v>
      </c>
      <c r="Y20" s="46">
        <f>'Monthly Forecast'!AD63+'Monthly Forecast'!AD79+'Monthly Forecast'!AD73</f>
        <v>1137038.5377952971</v>
      </c>
      <c r="Z20" s="46">
        <f>'Monthly Forecast'!AE63+'Monthly Forecast'!AE79+'Monthly Forecast'!AE73</f>
        <v>1217906.5070548751</v>
      </c>
      <c r="AA20" s="46">
        <f>'Monthly Forecast'!AF63+'Monthly Forecast'!AF79+'Monthly Forecast'!AF73</f>
        <v>1335583.0520690915</v>
      </c>
      <c r="AB20" s="46">
        <f>'Monthly Forecast'!AG63+'Monthly Forecast'!AG79+'Monthly Forecast'!AG73</f>
        <v>1505273.8931012994</v>
      </c>
      <c r="AC20" s="46">
        <f>'Monthly Forecast'!AH63+'Monthly Forecast'!AH79+'Monthly Forecast'!AH73</f>
        <v>1523596.7860310171</v>
      </c>
      <c r="AD20" s="46">
        <f>'Monthly Forecast'!AI63+'Monthly Forecast'!AI79+'Monthly Forecast'!AI73</f>
        <v>1334402.3335029918</v>
      </c>
      <c r="AE20" s="46">
        <f>'Monthly Forecast'!AJ63+'Monthly Forecast'!AJ79+'Monthly Forecast'!AJ73</f>
        <v>1431230.0610257264</v>
      </c>
      <c r="AF20" s="446">
        <f t="shared" si="14"/>
        <v>15202087.192665644</v>
      </c>
      <c r="AG20" s="46">
        <f>+AF20</f>
        <v>15202087.192665644</v>
      </c>
      <c r="AH20" s="46">
        <f>+AG20</f>
        <v>15202087.192665644</v>
      </c>
      <c r="AI20" s="46">
        <f t="shared" ref="AI20:AL20" si="15">+AH20</f>
        <v>15202087.192665644</v>
      </c>
      <c r="AJ20" s="46">
        <f t="shared" si="15"/>
        <v>15202087.192665644</v>
      </c>
      <c r="AK20" s="46">
        <f t="shared" si="15"/>
        <v>15202087.192665644</v>
      </c>
      <c r="AL20" s="46">
        <f t="shared" si="15"/>
        <v>15202087.192665644</v>
      </c>
      <c r="AM20" s="353"/>
      <c r="AN20" s="353"/>
      <c r="AO20" s="353"/>
      <c r="AP20" s="353"/>
    </row>
    <row r="21" spans="1:42" ht="15.75" x14ac:dyDescent="0.25">
      <c r="A21" s="457">
        <v>4950</v>
      </c>
      <c r="B21" s="449" t="s">
        <v>554</v>
      </c>
      <c r="C21" s="46">
        <f>'Monthly Forecast'!J88</f>
        <v>221910.06617049334</v>
      </c>
      <c r="D21" s="46">
        <f>'Monthly Forecast'!K88</f>
        <v>186721.56078293792</v>
      </c>
      <c r="E21" s="46">
        <f>'Monthly Forecast'!L88</f>
        <v>197751.86418905575</v>
      </c>
      <c r="F21" s="46">
        <f>'Monthly Forecast'!M88</f>
        <v>174643.87153331196</v>
      </c>
      <c r="G21" s="46">
        <f>'Monthly Forecast'!N88</f>
        <v>170439.53524474136</v>
      </c>
      <c r="H21" s="46">
        <f>'Monthly Forecast'!O88</f>
        <v>149118.70479717723</v>
      </c>
      <c r="I21" s="46">
        <f>'Monthly Forecast'!P88</f>
        <v>183286.57023593987</v>
      </c>
      <c r="J21" s="46">
        <f>'Monthly Forecast'!Q88</f>
        <v>180802.14429106572</v>
      </c>
      <c r="K21" s="46">
        <f>'Monthly Forecast'!R88</f>
        <v>183627.60898165885</v>
      </c>
      <c r="L21" s="46">
        <f>'Monthly Forecast'!S88</f>
        <v>198676.93726818013</v>
      </c>
      <c r="M21" s="46">
        <f>'Monthly Forecast'!T88</f>
        <v>196958.77298331514</v>
      </c>
      <c r="N21" s="46">
        <f>'Monthly Forecast'!U88</f>
        <v>230122.0238050755</v>
      </c>
      <c r="O21" s="446">
        <f t="shared" si="13"/>
        <v>2274059.6602829527</v>
      </c>
      <c r="P21" s="46">
        <f>'Monthly Forecast'!V88</f>
        <v>221910.06617049334</v>
      </c>
      <c r="Q21" s="46">
        <f>'Monthly Forecast'!W88</f>
        <v>186721.56078293792</v>
      </c>
      <c r="R21" s="46">
        <f>'Monthly Forecast'!X88</f>
        <v>197751.86418905575</v>
      </c>
      <c r="S21" s="446"/>
      <c r="T21" s="46">
        <f>'Monthly Forecast'!Y88</f>
        <v>174643.87153331196</v>
      </c>
      <c r="U21" s="46">
        <f>'Monthly Forecast'!Z88</f>
        <v>170439.53524474136</v>
      </c>
      <c r="V21" s="46">
        <f>'Monthly Forecast'!AA88</f>
        <v>149118.70479717723</v>
      </c>
      <c r="W21" s="46">
        <f>'Monthly Forecast'!AB88</f>
        <v>183286.57023593987</v>
      </c>
      <c r="X21" s="46">
        <f>'Monthly Forecast'!AC88</f>
        <v>180802.14429106572</v>
      </c>
      <c r="Y21" s="46">
        <f>'Monthly Forecast'!AD88</f>
        <v>183627.60898165885</v>
      </c>
      <c r="Z21" s="46">
        <f>'Monthly Forecast'!AE88</f>
        <v>198676.93726818013</v>
      </c>
      <c r="AA21" s="46">
        <f>'Monthly Forecast'!AF88</f>
        <v>196958.77298331514</v>
      </c>
      <c r="AB21" s="46">
        <f>'Monthly Forecast'!AG88</f>
        <v>230122.0238050755</v>
      </c>
      <c r="AC21" s="46">
        <f>'Monthly Forecast'!AH88</f>
        <v>221910.06617049334</v>
      </c>
      <c r="AD21" s="46">
        <f>'Monthly Forecast'!AI88</f>
        <v>186721.56078293792</v>
      </c>
      <c r="AE21" s="46">
        <f>'Monthly Forecast'!AJ88</f>
        <v>197751.86418905575</v>
      </c>
      <c r="AF21" s="446">
        <f t="shared" si="14"/>
        <v>2274059.6602829527</v>
      </c>
      <c r="AG21" s="46">
        <f>SUMIFS('Monthly Forecast'!$D$88:$CI$88,'Monthly Forecast'!$D$8:$CI$8,"&gt;="&amp;Dashboard!$L22,'Monthly Forecast'!$D$8:$CI$8,"&lt;="&amp;Dashboard!$M22)</f>
        <v>2274059.6602829527</v>
      </c>
      <c r="AH21" s="46">
        <f>SUMIFS('Monthly Forecast'!$D$88:$CI$88,'Monthly Forecast'!$D$8:$CI$8,"&gt;="&amp;Dashboard!$L23,'Monthly Forecast'!$D$8:$CI$8,"&lt;="&amp;Dashboard!$M23)</f>
        <v>2274059.6602829527</v>
      </c>
      <c r="AI21" s="46">
        <f>SUMIFS('Monthly Forecast'!$D$88:$CI$88,'Monthly Forecast'!$D$8:$CI$8,"&gt;="&amp;Dashboard!$L24,'Monthly Forecast'!$D$8:$CI$8,"&lt;="&amp;Dashboard!$M24)</f>
        <v>2274059.6602829527</v>
      </c>
      <c r="AJ21" s="46">
        <f>SUMIFS('Monthly Forecast'!$D$88:$CI$88,'Monthly Forecast'!$D$8:$CI$8,"&gt;="&amp;Dashboard!$L25,'Monthly Forecast'!$D$8:$CI$8,"&lt;="&amp;Dashboard!$M25)</f>
        <v>2274059.6602829527</v>
      </c>
      <c r="AK21" s="46">
        <f>SUMIFS('Monthly Forecast'!$D$88:$CI$88,'Monthly Forecast'!$D$8:$CI$8,"&gt;="&amp;Dashboard!$L26,'Monthly Forecast'!$D$8:$CI$8,"&lt;="&amp;Dashboard!$M26)</f>
        <v>2274059.6602829527</v>
      </c>
      <c r="AL21" s="46">
        <f>SUMIFS('Monthly Forecast'!$D$88:$CI$88,'Monthly Forecast'!$D$8:$CI$8,"&gt;="&amp;Dashboard!$L27,'Monthly Forecast'!$D$8:$CI$8,"&lt;="&amp;Dashboard!$M27)</f>
        <v>2274059.6602829527</v>
      </c>
      <c r="AM21" s="353"/>
      <c r="AN21" s="353"/>
      <c r="AO21" s="353"/>
      <c r="AP21" s="353"/>
    </row>
    <row r="22" spans="1:42" ht="15.75" x14ac:dyDescent="0.25">
      <c r="A22" s="459"/>
      <c r="B22" s="450" t="s">
        <v>325</v>
      </c>
      <c r="C22" s="46">
        <f t="shared" ref="C22:E22" si="16">SUM(C18:C21)</f>
        <v>1954761.4156381753</v>
      </c>
      <c r="D22" s="46">
        <f t="shared" si="16"/>
        <v>1755802.5252686297</v>
      </c>
      <c r="E22" s="46">
        <f t="shared" si="16"/>
        <v>1896935.2320346944</v>
      </c>
      <c r="F22" s="46">
        <f t="shared" ref="F22" si="17">SUM(F18:F21)</f>
        <v>1560265.7924544883</v>
      </c>
      <c r="G22" s="46">
        <f t="shared" ref="G22:R22" si="18">SUM(G18:G21)</f>
        <v>1543254.0311708553</v>
      </c>
      <c r="H22" s="46">
        <f t="shared" si="18"/>
        <v>1443542.4492741791</v>
      </c>
      <c r="I22" s="46">
        <f t="shared" si="18"/>
        <v>1318928.7115839401</v>
      </c>
      <c r="J22" s="46">
        <f t="shared" si="18"/>
        <v>1418249.2031078294</v>
      </c>
      <c r="K22" s="46">
        <f t="shared" si="18"/>
        <v>1430640.0932125747</v>
      </c>
      <c r="L22" s="46">
        <f t="shared" si="18"/>
        <v>1558763.0766118774</v>
      </c>
      <c r="M22" s="46">
        <f t="shared" si="18"/>
        <v>1727490.5044487515</v>
      </c>
      <c r="N22" s="46">
        <f t="shared" si="18"/>
        <v>1933847.543371584</v>
      </c>
      <c r="O22" s="446">
        <f t="shared" si="13"/>
        <v>19542480.578177582</v>
      </c>
      <c r="P22" s="46">
        <f t="shared" si="18"/>
        <v>1967445.2743143423</v>
      </c>
      <c r="Q22" s="46">
        <f t="shared" si="18"/>
        <v>1771654.0679793917</v>
      </c>
      <c r="R22" s="46">
        <f t="shared" si="18"/>
        <v>1904275.7265661513</v>
      </c>
      <c r="S22" s="446"/>
      <c r="T22" s="46">
        <f t="shared" ref="T22:AE22" si="19">SUM(T18:T21)</f>
        <v>1565575.8740152684</v>
      </c>
      <c r="U22" s="46">
        <f t="shared" si="19"/>
        <v>1546663.5384614468</v>
      </c>
      <c r="V22" s="46">
        <f t="shared" si="19"/>
        <v>1442952.568366148</v>
      </c>
      <c r="W22" s="46">
        <f t="shared" si="19"/>
        <v>1318009.6435686159</v>
      </c>
      <c r="X22" s="46">
        <f t="shared" si="19"/>
        <v>1417494.6652100389</v>
      </c>
      <c r="Y22" s="46">
        <f t="shared" si="19"/>
        <v>1430095.8520993302</v>
      </c>
      <c r="Z22" s="46">
        <f t="shared" si="19"/>
        <v>1558220.064000715</v>
      </c>
      <c r="AA22" s="46">
        <f t="shared" si="19"/>
        <v>1726521.3158397602</v>
      </c>
      <c r="AB22" s="46">
        <f t="shared" si="19"/>
        <v>1933412.5799901504</v>
      </c>
      <c r="AC22" s="46">
        <f t="shared" si="19"/>
        <v>1966683.220517992</v>
      </c>
      <c r="AD22" s="46">
        <f t="shared" si="19"/>
        <v>1770689.0425794781</v>
      </c>
      <c r="AE22" s="46">
        <f t="shared" si="19"/>
        <v>1903846.6679973199</v>
      </c>
      <c r="AF22" s="446">
        <f>SUM(T22:AE22)</f>
        <v>19580165.032646261</v>
      </c>
      <c r="AG22" s="46">
        <f>SUM(AG18:AG21)</f>
        <v>19526776.654955663</v>
      </c>
      <c r="AH22" s="46">
        <f t="shared" ref="AH22:AL22" si="20">SUM(AH18:AH21)</f>
        <v>19584268.335012943</v>
      </c>
      <c r="AI22" s="46">
        <f t="shared" si="20"/>
        <v>19576983.300097726</v>
      </c>
      <c r="AJ22" s="46">
        <f t="shared" si="20"/>
        <v>19564883.912884921</v>
      </c>
      <c r="AK22" s="46">
        <f t="shared" si="20"/>
        <v>19563430.476633906</v>
      </c>
      <c r="AL22" s="46">
        <f t="shared" si="20"/>
        <v>19566626.023528211</v>
      </c>
      <c r="AM22" s="353"/>
      <c r="AN22" s="353"/>
      <c r="AO22" s="353"/>
      <c r="AP22" s="353"/>
    </row>
    <row r="23" spans="1:42" ht="15.75" x14ac:dyDescent="0.25">
      <c r="A23" s="463"/>
      <c r="B23" s="450" t="s">
        <v>96</v>
      </c>
      <c r="C23" s="46">
        <f t="shared" ref="C23:E23" si="21">C22+C15</f>
        <v>23082114.891299263</v>
      </c>
      <c r="D23" s="46">
        <f t="shared" si="21"/>
        <v>24099811.552675862</v>
      </c>
      <c r="E23" s="46">
        <f t="shared" si="21"/>
        <v>19230301.153439052</v>
      </c>
      <c r="F23" s="46">
        <f t="shared" ref="F23" si="22">F22+F15</f>
        <v>13994895.2105732</v>
      </c>
      <c r="G23" s="46">
        <f t="shared" ref="G23:R23" si="23">G22+G15</f>
        <v>10508218.792860124</v>
      </c>
      <c r="H23" s="46">
        <f t="shared" si="23"/>
        <v>8361235.1121159978</v>
      </c>
      <c r="I23" s="46">
        <f t="shared" si="23"/>
        <v>7826786.9347432237</v>
      </c>
      <c r="J23" s="46">
        <f t="shared" si="23"/>
        <v>7844488.3849883722</v>
      </c>
      <c r="K23" s="46">
        <f t="shared" si="23"/>
        <v>7826670.9188309005</v>
      </c>
      <c r="L23" s="46">
        <f t="shared" si="23"/>
        <v>9503500.3875951543</v>
      </c>
      <c r="M23" s="46">
        <f t="shared" si="23"/>
        <v>14550859.202636136</v>
      </c>
      <c r="N23" s="46">
        <f t="shared" si="23"/>
        <v>21013750.682162032</v>
      </c>
      <c r="O23" s="446">
        <f t="shared" si="13"/>
        <v>167842633.22391927</v>
      </c>
      <c r="P23" s="46">
        <f t="shared" si="23"/>
        <v>24982051.874039784</v>
      </c>
      <c r="Q23" s="46">
        <f t="shared" si="23"/>
        <v>24970424.850600757</v>
      </c>
      <c r="R23" s="46">
        <f t="shared" si="23"/>
        <v>19859634.756798416</v>
      </c>
      <c r="S23" s="446"/>
      <c r="T23" s="46">
        <f t="shared" ref="T23:AE23" si="24">T22+T15</f>
        <v>14398159.269187853</v>
      </c>
      <c r="U23" s="46">
        <f t="shared" si="24"/>
        <v>10437215.077852484</v>
      </c>
      <c r="V23" s="46">
        <f t="shared" si="24"/>
        <v>8244105.6266228817</v>
      </c>
      <c r="W23" s="46">
        <f t="shared" si="24"/>
        <v>7718281.7579098642</v>
      </c>
      <c r="X23" s="46">
        <f t="shared" si="24"/>
        <v>7770379.6823500432</v>
      </c>
      <c r="Y23" s="46">
        <f t="shared" si="24"/>
        <v>7751095.4853221048</v>
      </c>
      <c r="Z23" s="46">
        <f t="shared" si="24"/>
        <v>9384399.7654769383</v>
      </c>
      <c r="AA23" s="46">
        <f t="shared" si="24"/>
        <v>14498367.634822177</v>
      </c>
      <c r="AB23" s="46">
        <f t="shared" si="24"/>
        <v>20921824.484708101</v>
      </c>
      <c r="AC23" s="46">
        <f t="shared" si="24"/>
        <v>24864383.397764876</v>
      </c>
      <c r="AD23" s="46">
        <f t="shared" si="24"/>
        <v>24918121.56394155</v>
      </c>
      <c r="AE23" s="46">
        <f t="shared" si="24"/>
        <v>19822942.165461805</v>
      </c>
      <c r="AF23" s="446">
        <f t="shared" ref="AF23" si="25">AF22+AF15</f>
        <v>170729275.91142067</v>
      </c>
      <c r="AG23" s="46">
        <f t="shared" ref="AG23" si="26">AG22+AG15</f>
        <v>164825493.53860277</v>
      </c>
      <c r="AH23" s="46">
        <f>AH22+AH15</f>
        <v>171199458.65307751</v>
      </c>
      <c r="AI23" s="46">
        <f>AI22+AI15</f>
        <v>170292856.34591371</v>
      </c>
      <c r="AJ23" s="46">
        <f>AJ22+AJ15</f>
        <v>168892126.68226829</v>
      </c>
      <c r="AK23" s="46">
        <f t="shared" ref="AK23" si="27">AK22+AK15</f>
        <v>168720946.3478907</v>
      </c>
      <c r="AL23" s="46">
        <f t="shared" ref="AL23" si="28">AL22+AL15</f>
        <v>169108690.38493806</v>
      </c>
      <c r="AM23" s="353"/>
      <c r="AN23" s="353"/>
      <c r="AO23" s="353"/>
      <c r="AP23" s="353"/>
    </row>
    <row r="24" spans="1:42" x14ac:dyDescent="0.2">
      <c r="B24" s="211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46"/>
      <c r="P24" s="46"/>
      <c r="Q24" s="46"/>
      <c r="R24" s="46"/>
      <c r="S24" s="4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G24" s="46"/>
      <c r="AH24" s="46"/>
      <c r="AI24" s="46"/>
      <c r="AJ24" s="46"/>
      <c r="AK24" s="46"/>
      <c r="AL24" s="46"/>
      <c r="AM24" s="353"/>
      <c r="AN24" s="353"/>
      <c r="AO24" s="353"/>
      <c r="AP24" s="353"/>
    </row>
    <row r="25" spans="1:42" ht="15.75" x14ac:dyDescent="0.25">
      <c r="B25" s="449" t="s">
        <v>327</v>
      </c>
      <c r="C25" s="46">
        <f>'Monthly Forecast'!J102</f>
        <v>12594803.098288001</v>
      </c>
      <c r="D25" s="46">
        <f>'Monthly Forecast'!K102</f>
        <v>13647831.548087999</v>
      </c>
      <c r="E25" s="46">
        <f>'Monthly Forecast'!L102</f>
        <v>9912060.4687439986</v>
      </c>
      <c r="F25" s="46">
        <f>'Monthly Forecast'!M102</f>
        <v>6311309.1451239996</v>
      </c>
      <c r="G25" s="46">
        <f>'Monthly Forecast'!N102</f>
        <v>3812685.6499259998</v>
      </c>
      <c r="H25" s="46">
        <f>'Monthly Forecast'!O102</f>
        <v>2308856.1144070001</v>
      </c>
      <c r="I25" s="46">
        <f>'Monthly Forecast'!P102</f>
        <v>2049741.5700189201</v>
      </c>
      <c r="J25" s="46">
        <f>'Monthly Forecast'!Q102</f>
        <v>1952677.6818862045</v>
      </c>
      <c r="K25" s="46">
        <f>'Monthly Forecast'!R102</f>
        <v>1979940.5312267975</v>
      </c>
      <c r="L25" s="46">
        <f>'Monthly Forecast'!S102</f>
        <v>3180898.954258359</v>
      </c>
      <c r="M25" s="46">
        <f>'Monthly Forecast'!T102</f>
        <v>6763241.1393490657</v>
      </c>
      <c r="N25" s="46">
        <f>'Monthly Forecast'!U102</f>
        <v>11476715.787500847</v>
      </c>
      <c r="O25" s="446">
        <f t="shared" si="13"/>
        <v>75990761.688817188</v>
      </c>
      <c r="P25" s="46">
        <f>'Monthly Forecast'!V102</f>
        <v>14470752.148914251</v>
      </c>
      <c r="Q25" s="46">
        <f>'Monthly Forecast'!W102</f>
        <v>14491068.306251038</v>
      </c>
      <c r="R25" s="46">
        <f>'Monthly Forecast'!X102</f>
        <v>10524210.30989009</v>
      </c>
      <c r="S25" s="446"/>
      <c r="T25" s="46">
        <f>'Monthly Forecast'!Y102</f>
        <v>6700952.852855457</v>
      </c>
      <c r="U25" s="46">
        <f>'Monthly Forecast'!Z102</f>
        <v>3731374.7120792209</v>
      </c>
      <c r="V25" s="46">
        <f>'Monthly Forecast'!AA102</f>
        <v>2186009.8161111251</v>
      </c>
      <c r="W25" s="46">
        <f>'Monthly Forecast'!AB102</f>
        <v>1935979.8486930118</v>
      </c>
      <c r="X25" s="46">
        <f>'Monthly Forecast'!AC102</f>
        <v>1873147.9046377917</v>
      </c>
      <c r="Y25" s="46">
        <f>'Monthly Forecast'!AD102</f>
        <v>1898721.8071433725</v>
      </c>
      <c r="Z25" s="46">
        <f>'Monthly Forecast'!AE102</f>
        <v>3055635.1216434315</v>
      </c>
      <c r="AA25" s="46">
        <f>'Monthly Forecast'!AF102</f>
        <v>6703385.0372818261</v>
      </c>
      <c r="AB25" s="46">
        <f>'Monthly Forecast'!AG102</f>
        <v>11375060.005554482</v>
      </c>
      <c r="AC25" s="46">
        <f>'Monthly Forecast'!AH102</f>
        <v>14342541.727350224</v>
      </c>
      <c r="AD25" s="46">
        <f>'Monthly Forecast'!AI102</f>
        <v>14428180.684907267</v>
      </c>
      <c r="AE25" s="46">
        <f>'Monthly Forecast'!AJ102</f>
        <v>10478127.724551832</v>
      </c>
      <c r="AF25" s="446">
        <f>SUM(T25:AE25)</f>
        <v>78709117.242809042</v>
      </c>
      <c r="AG25" s="46">
        <f>SUMIFS('Monthly Forecast'!$D$102:$CI$102,'Monthly Forecast'!$D$8:$CI$8,"&gt;="&amp;Dashboard!$L22,'Monthly Forecast'!$D$8:$CI$8,"&lt;="&amp;Dashboard!$M22)</f>
        <v>73014554.751445949</v>
      </c>
      <c r="AH25" s="46">
        <f>SUMIFS('Monthly Forecast'!$D$102:$CI$102,'Monthly Forecast'!$D$8:$CI$8,"&gt;="&amp;Dashboard!$L23,'Monthly Forecast'!$D$8:$CI$8,"&lt;="&amp;Dashboard!$M23)</f>
        <v>79233073.587683648</v>
      </c>
      <c r="AI25" s="46">
        <f>SUMIFS('Monthly Forecast'!$D$102:$CI$102,'Monthly Forecast'!$D$8:$CI$8,"&gt;="&amp;Dashboard!$L24,'Monthly Forecast'!$D$8:$CI$8,"&lt;="&amp;Dashboard!$M24)</f>
        <v>78235802.071391732</v>
      </c>
      <c r="AJ25" s="46">
        <f>SUMIFS('Monthly Forecast'!$D$102:$CI$102,'Monthly Forecast'!$D$8:$CI$8,"&gt;="&amp;Dashboard!$L25,'Monthly Forecast'!$D$8:$CI$8,"&lt;="&amp;Dashboard!$M25)</f>
        <v>76749216.804471448</v>
      </c>
      <c r="AK25" s="46">
        <f>SUMIFS('Monthly Forecast'!$D$102:$CI$102,'Monthly Forecast'!$D$8:$CI$8,"&gt;="&amp;Dashboard!$L26,'Monthly Forecast'!$D$8:$CI$8,"&lt;="&amp;Dashboard!$M26)</f>
        <v>76481534.142260984</v>
      </c>
      <c r="AL25" s="46">
        <f>SUMIFS('Monthly Forecast'!$D$102:$CI$102,'Monthly Forecast'!$D$8:$CI$8,"&gt;="&amp;Dashboard!$L27,'Monthly Forecast'!$D$8:$CI$8,"&lt;="&amp;Dashboard!$M27)</f>
        <v>76768101.853085324</v>
      </c>
      <c r="AM25" s="353"/>
      <c r="AN25" s="353"/>
      <c r="AO25" s="353"/>
      <c r="AP25" s="353"/>
    </row>
    <row r="26" spans="1:42" x14ac:dyDescent="0.2">
      <c r="B26" s="211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46"/>
      <c r="P26" s="46"/>
      <c r="Q26" s="46"/>
      <c r="R26" s="46"/>
      <c r="S26" s="4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G26" s="46"/>
      <c r="AH26" s="46"/>
      <c r="AI26" s="46"/>
      <c r="AJ26" s="46"/>
      <c r="AK26" s="46"/>
      <c r="AL26" s="46"/>
      <c r="AM26" s="353"/>
      <c r="AN26" s="353"/>
      <c r="AO26" s="353"/>
      <c r="AP26" s="353"/>
    </row>
    <row r="27" spans="1:42" x14ac:dyDescent="0.2">
      <c r="B27" s="211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46"/>
      <c r="P27" s="46"/>
      <c r="Q27" s="46"/>
      <c r="R27" s="46"/>
      <c r="S27" s="4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G27" s="46"/>
      <c r="AH27" s="46"/>
      <c r="AI27" s="46"/>
      <c r="AJ27" s="46"/>
      <c r="AK27" s="46"/>
      <c r="AL27" s="46"/>
      <c r="AM27" s="353"/>
      <c r="AN27" s="353"/>
      <c r="AO27" s="353"/>
      <c r="AP27" s="353"/>
    </row>
    <row r="28" spans="1:42" x14ac:dyDescent="0.2">
      <c r="B28" s="211" t="s">
        <v>328</v>
      </c>
      <c r="C28" s="46">
        <f t="shared" ref="C28:E28" si="29">C23-C25</f>
        <v>10487311.793011261</v>
      </c>
      <c r="D28" s="46">
        <f t="shared" si="29"/>
        <v>10451980.004587863</v>
      </c>
      <c r="E28" s="46">
        <f t="shared" si="29"/>
        <v>9318240.6846950538</v>
      </c>
      <c r="F28" s="46">
        <f t="shared" ref="F28" si="30">F23-F25</f>
        <v>7683586.0654492006</v>
      </c>
      <c r="G28" s="46">
        <f t="shared" ref="G28:R28" si="31">G23-G25</f>
        <v>6695533.1429341249</v>
      </c>
      <c r="H28" s="46">
        <f t="shared" si="31"/>
        <v>6052378.9977089977</v>
      </c>
      <c r="I28" s="46">
        <f t="shared" si="31"/>
        <v>5777045.3647243036</v>
      </c>
      <c r="J28" s="46">
        <f t="shared" si="31"/>
        <v>5891810.7031021677</v>
      </c>
      <c r="K28" s="46">
        <f t="shared" si="31"/>
        <v>5846730.3876041025</v>
      </c>
      <c r="L28" s="46">
        <f t="shared" si="31"/>
        <v>6322601.4333367953</v>
      </c>
      <c r="M28" s="46">
        <f t="shared" si="31"/>
        <v>7787618.06328707</v>
      </c>
      <c r="N28" s="46">
        <f t="shared" si="31"/>
        <v>9537034.8946611844</v>
      </c>
      <c r="O28" s="446">
        <f t="shared" ref="O28" si="32">SUM(C28:N28)</f>
        <v>91851871.535102129</v>
      </c>
      <c r="P28" s="46">
        <f t="shared" si="31"/>
        <v>10511299.725125533</v>
      </c>
      <c r="Q28" s="46">
        <f t="shared" si="31"/>
        <v>10479356.544349719</v>
      </c>
      <c r="R28" s="46">
        <f t="shared" si="31"/>
        <v>9335424.4469083268</v>
      </c>
      <c r="S28" s="446"/>
      <c r="T28" s="46">
        <f t="shared" ref="T28:AE28" si="33">T23-T25</f>
        <v>7697206.4163323957</v>
      </c>
      <c r="U28" s="46">
        <f t="shared" si="33"/>
        <v>6705840.3657732625</v>
      </c>
      <c r="V28" s="46">
        <f t="shared" si="33"/>
        <v>6058095.8105117567</v>
      </c>
      <c r="W28" s="46">
        <f t="shared" si="33"/>
        <v>5782301.9092168529</v>
      </c>
      <c r="X28" s="46">
        <f t="shared" si="33"/>
        <v>5897231.777712252</v>
      </c>
      <c r="Y28" s="46">
        <f t="shared" si="33"/>
        <v>5852373.6781787323</v>
      </c>
      <c r="Z28" s="46">
        <f t="shared" si="33"/>
        <v>6328764.6438335069</v>
      </c>
      <c r="AA28" s="46">
        <f t="shared" si="33"/>
        <v>7794982.5975403506</v>
      </c>
      <c r="AB28" s="46">
        <f t="shared" si="33"/>
        <v>9546764.4791536182</v>
      </c>
      <c r="AC28" s="46">
        <f t="shared" si="33"/>
        <v>10521841.670414653</v>
      </c>
      <c r="AD28" s="46">
        <f t="shared" si="33"/>
        <v>10489940.879034283</v>
      </c>
      <c r="AE28" s="46">
        <f t="shared" si="33"/>
        <v>9344814.4409099724</v>
      </c>
      <c r="AF28" s="446">
        <f>AF23-AF25</f>
        <v>92020158.668611631</v>
      </c>
      <c r="AG28" s="46">
        <f>AG23-AG25</f>
        <v>91810938.78715682</v>
      </c>
      <c r="AH28" s="46">
        <f t="shared" ref="AH28:AL28" si="34">AH23-AH25</f>
        <v>91966385.065393865</v>
      </c>
      <c r="AI28" s="46">
        <f t="shared" si="34"/>
        <v>92057054.274521977</v>
      </c>
      <c r="AJ28" s="46">
        <f t="shared" si="34"/>
        <v>92142909.877796844</v>
      </c>
      <c r="AK28" s="46">
        <f t="shared" si="34"/>
        <v>92239412.205629721</v>
      </c>
      <c r="AL28" s="46">
        <f t="shared" si="34"/>
        <v>92340588.531852737</v>
      </c>
      <c r="AM28" s="353"/>
      <c r="AN28" s="353"/>
      <c r="AO28" s="353"/>
      <c r="AP28" s="353"/>
    </row>
    <row r="29" spans="1:42" x14ac:dyDescent="0.2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P29" s="211"/>
      <c r="Q29" s="211"/>
      <c r="R29" s="211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G29" s="211"/>
      <c r="AH29" s="211"/>
      <c r="AI29" s="211"/>
      <c r="AJ29" s="211"/>
      <c r="AK29" s="211"/>
      <c r="AL29" s="211"/>
      <c r="AM29" s="353"/>
      <c r="AN29" s="353"/>
      <c r="AO29" s="353"/>
      <c r="AP29" s="353"/>
    </row>
    <row r="30" spans="1:42" x14ac:dyDescent="0.2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P30" s="211"/>
      <c r="Q30" s="211"/>
      <c r="R30" s="211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L30" s="35"/>
      <c r="AM30" s="353"/>
      <c r="AN30" s="353"/>
      <c r="AO30" s="353"/>
      <c r="AP30" s="353"/>
    </row>
    <row r="31" spans="1:42" x14ac:dyDescent="0.2">
      <c r="B31" s="211"/>
      <c r="C31" s="211"/>
      <c r="D31" s="211"/>
      <c r="E31" s="211"/>
      <c r="F31" s="580"/>
      <c r="G31" s="580"/>
      <c r="H31" s="580"/>
      <c r="I31" s="580"/>
      <c r="J31" s="211"/>
      <c r="K31" s="211"/>
      <c r="L31" s="211"/>
      <c r="M31" s="211"/>
      <c r="N31" s="211"/>
      <c r="P31" s="211"/>
      <c r="Q31" s="211"/>
      <c r="R31" s="211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L31" s="35"/>
      <c r="AM31" s="353"/>
      <c r="AN31" s="353"/>
      <c r="AO31" s="353"/>
      <c r="AP31" s="353"/>
    </row>
    <row r="32" spans="1:42" x14ac:dyDescent="0.2">
      <c r="B32" s="211" t="s">
        <v>399</v>
      </c>
      <c r="C32" s="211"/>
      <c r="D32" s="211"/>
      <c r="E32" s="211"/>
      <c r="F32" s="580"/>
      <c r="G32" s="580"/>
      <c r="H32" s="580"/>
      <c r="I32" s="46">
        <f>+'Gas Cost Worksheet'!H51</f>
        <v>9050756.2200000007</v>
      </c>
      <c r="J32" s="46">
        <f>+'Gas Cost Worksheet'!I51</f>
        <v>13028688.842948576</v>
      </c>
      <c r="K32" s="46">
        <f>+'Gas Cost Worksheet'!J51</f>
        <v>16993976.634859994</v>
      </c>
      <c r="L32" s="46">
        <f>+'Gas Cost Worksheet'!K51</f>
        <v>20994696.29707345</v>
      </c>
      <c r="M32" s="46">
        <f>+'Gas Cost Worksheet'!L51</f>
        <v>18901909.224243507</v>
      </c>
      <c r="N32" s="46">
        <f>+'Gas Cost Worksheet'!M51</f>
        <v>13878112.49231467</v>
      </c>
      <c r="P32" s="46">
        <f>+'Gas Cost Worksheet'!N51</f>
        <v>7064989.785022811</v>
      </c>
      <c r="Q32" s="46">
        <f>+'Gas Cost Worksheet'!O51</f>
        <v>-36532.61892009899</v>
      </c>
      <c r="R32" s="46">
        <f>+'Gas Cost Worksheet'!P51</f>
        <v>-5040824.6396281663</v>
      </c>
      <c r="T32" s="46">
        <f>+'Gas Cost Worksheet'!Q51</f>
        <v>-1178144.3829036904</v>
      </c>
      <c r="U32" s="46">
        <f>+'Gas Cost Worksheet'!R51</f>
        <v>2639752.0972308498</v>
      </c>
      <c r="V32" s="46">
        <f>+'Gas Cost Worksheet'!S51</f>
        <v>6490577.8248579893</v>
      </c>
      <c r="W32" s="46">
        <f>+'Gas Cost Worksheet'!T51</f>
        <v>10375649.969877433</v>
      </c>
      <c r="X32" s="46">
        <f>+'Gas Cost Worksheet'!U51</f>
        <v>14265990.794495691</v>
      </c>
      <c r="Y32" s="46">
        <f>+'Gas Cost Worksheet'!V51</f>
        <v>18124719.541521054</v>
      </c>
      <c r="Z32" s="46">
        <f>+'Gas Cost Worksheet'!W51</f>
        <v>22008474.516640794</v>
      </c>
      <c r="AA32" s="46">
        <f>+'Gas Cost Worksheet'!X51</f>
        <v>19939491.454701804</v>
      </c>
      <c r="AB32" s="46">
        <f>+'Gas Cost Worksheet'!Y51</f>
        <v>14923260.591732655</v>
      </c>
      <c r="AC32" s="46">
        <f>+'Gas Cost Worksheet'!Z51</f>
        <v>8081737.9360851143</v>
      </c>
      <c r="AD32" s="46">
        <f>+'Gas Cost Worksheet'!AA51</f>
        <v>900905.5114067141</v>
      </c>
      <c r="AE32" s="46">
        <f>+'Gas Cost Worksheet'!AB51</f>
        <v>-4156777.4433354605</v>
      </c>
      <c r="AH32" s="209"/>
      <c r="AL32" s="353"/>
      <c r="AM32" s="353"/>
      <c r="AN32" s="353"/>
      <c r="AO32" s="353"/>
      <c r="AP32" s="353"/>
    </row>
    <row r="33" spans="2:42" x14ac:dyDescent="0.2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H33" s="35"/>
      <c r="AL33" s="353"/>
      <c r="AM33" s="353"/>
      <c r="AN33" s="353"/>
      <c r="AO33" s="353"/>
      <c r="AP33" s="353"/>
    </row>
    <row r="34" spans="2:42" x14ac:dyDescent="0.2"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T34" s="580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H34" s="209"/>
      <c r="AL34" s="353"/>
      <c r="AM34" s="353"/>
      <c r="AN34" s="353"/>
      <c r="AO34" s="353"/>
      <c r="AP34" s="353"/>
    </row>
    <row r="35" spans="2:42" x14ac:dyDescent="0.2"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T35" s="580"/>
      <c r="V35" s="46"/>
      <c r="W35" s="46"/>
      <c r="X35" s="46"/>
      <c r="Y35" s="46"/>
      <c r="Z35" s="46"/>
      <c r="AA35" s="46"/>
      <c r="AB35" s="46"/>
      <c r="AC35" s="46"/>
      <c r="AD35" s="46"/>
      <c r="AE35" s="46" t="s">
        <v>401</v>
      </c>
      <c r="AH35" s="209"/>
      <c r="AL35" s="353"/>
      <c r="AM35" s="353"/>
      <c r="AN35" s="353"/>
      <c r="AO35" s="353"/>
      <c r="AP35" s="353"/>
    </row>
    <row r="36" spans="2:42" x14ac:dyDescent="0.2"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T36" s="580"/>
      <c r="V36" s="46"/>
      <c r="W36" s="46"/>
      <c r="X36" s="46"/>
      <c r="Y36" s="46"/>
      <c r="Z36" s="46"/>
      <c r="AA36" s="46"/>
      <c r="AB36" s="46"/>
      <c r="AC36" s="46"/>
      <c r="AD36" s="46"/>
      <c r="AE36" s="46" t="s">
        <v>400</v>
      </c>
      <c r="AF36" s="504">
        <f>SUM(T32:AE32,R32)/13</f>
        <v>8259601.0594371371</v>
      </c>
      <c r="AL36" s="353"/>
      <c r="AM36" s="353"/>
      <c r="AN36" s="353"/>
      <c r="AO36" s="353"/>
      <c r="AP36" s="353"/>
    </row>
    <row r="37" spans="2:42" x14ac:dyDescent="0.2"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AL37" s="353"/>
      <c r="AM37" s="353"/>
      <c r="AN37" s="353"/>
      <c r="AO37" s="353"/>
      <c r="AP37" s="353"/>
    </row>
    <row r="38" spans="2:42" x14ac:dyDescent="0.2"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AG38" s="46"/>
      <c r="AH38" s="46"/>
      <c r="AL38" s="353"/>
      <c r="AM38" s="353"/>
      <c r="AN38" s="353"/>
      <c r="AO38" s="353"/>
      <c r="AP38" s="353"/>
    </row>
    <row r="39" spans="2:42" x14ac:dyDescent="0.2">
      <c r="B39" s="211"/>
      <c r="C39" s="211"/>
      <c r="D39" s="211"/>
      <c r="E39" s="211"/>
      <c r="F39" s="211"/>
      <c r="G39" s="211"/>
      <c r="H39" s="211"/>
      <c r="I39" s="211"/>
      <c r="J39" s="211"/>
      <c r="K39" s="211"/>
      <c r="L39" s="353"/>
      <c r="M39" s="353"/>
      <c r="N39" s="353"/>
      <c r="P39" s="353"/>
      <c r="Q39" s="353"/>
      <c r="R39" s="353"/>
      <c r="AG39" s="46"/>
      <c r="AH39" s="46"/>
      <c r="AI39" s="353"/>
      <c r="AJ39" s="353"/>
      <c r="AK39" s="353"/>
      <c r="AL39" s="353"/>
      <c r="AM39" s="353"/>
      <c r="AN39" s="353"/>
      <c r="AO39" s="353"/>
      <c r="AP39" s="353"/>
    </row>
    <row r="40" spans="2:42" x14ac:dyDescent="0.2"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353"/>
      <c r="M40" s="353"/>
      <c r="N40" s="353"/>
      <c r="P40" s="353"/>
      <c r="Q40" s="353"/>
      <c r="R40" s="353"/>
      <c r="Z40" s="464"/>
      <c r="AA40" s="464"/>
      <c r="AB40" s="464"/>
      <c r="AC40" s="464"/>
      <c r="AD40" s="464"/>
      <c r="AE40" s="464"/>
      <c r="AG40" s="353"/>
      <c r="AH40" s="353"/>
      <c r="AI40" s="353"/>
      <c r="AJ40" s="353"/>
      <c r="AK40" s="353"/>
      <c r="AL40" s="353"/>
      <c r="AM40" s="353"/>
      <c r="AN40" s="353"/>
      <c r="AO40" s="353"/>
      <c r="AP40" s="353"/>
    </row>
    <row r="41" spans="2:42" x14ac:dyDescent="0.2"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353"/>
      <c r="M41" s="353"/>
      <c r="N41" s="353"/>
      <c r="P41" s="353"/>
      <c r="Q41" s="353"/>
      <c r="R41" s="353"/>
      <c r="Z41" s="464"/>
      <c r="AA41" s="464"/>
      <c r="AB41" s="464"/>
      <c r="AC41" s="464"/>
      <c r="AD41" s="464"/>
      <c r="AE41" s="464"/>
      <c r="AG41" s="353"/>
      <c r="AH41" s="353"/>
      <c r="AI41" s="353"/>
      <c r="AJ41" s="353"/>
      <c r="AK41" s="353"/>
      <c r="AL41" s="353"/>
      <c r="AM41" s="353"/>
      <c r="AN41" s="353"/>
      <c r="AO41" s="353"/>
      <c r="AP41" s="353"/>
    </row>
    <row r="42" spans="2:42" ht="18" x14ac:dyDescent="0.25">
      <c r="B42" s="465"/>
      <c r="C42" s="465"/>
      <c r="D42" s="465"/>
      <c r="E42" s="465"/>
      <c r="F42" s="465"/>
      <c r="G42" s="465"/>
      <c r="H42" s="465"/>
      <c r="I42" s="465"/>
      <c r="J42" s="465"/>
      <c r="K42" s="465"/>
      <c r="L42" s="353"/>
      <c r="M42" s="353"/>
      <c r="N42" s="353"/>
      <c r="P42" s="353"/>
      <c r="Q42" s="353"/>
      <c r="R42" s="353"/>
      <c r="T42" s="464"/>
      <c r="U42" s="464"/>
      <c r="V42" s="464"/>
      <c r="W42" s="464"/>
      <c r="X42" s="464"/>
      <c r="Y42" s="464"/>
      <c r="Z42" s="464"/>
      <c r="AA42" s="464"/>
      <c r="AB42" s="464"/>
      <c r="AC42" s="464"/>
      <c r="AD42" s="464"/>
      <c r="AE42" s="464"/>
      <c r="AG42" s="353"/>
      <c r="AH42" s="353"/>
      <c r="AI42" s="353"/>
      <c r="AJ42" s="353"/>
      <c r="AK42" s="353"/>
      <c r="AL42" s="353"/>
      <c r="AM42" s="353"/>
      <c r="AN42" s="353"/>
      <c r="AO42" s="353"/>
      <c r="AP42" s="353"/>
    </row>
    <row r="43" spans="2:42" x14ac:dyDescent="0.2"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353"/>
      <c r="M43" s="353"/>
      <c r="N43" s="353"/>
      <c r="O43" s="445"/>
      <c r="P43" s="353"/>
      <c r="Q43" s="353"/>
      <c r="R43" s="353"/>
      <c r="S43" s="445"/>
      <c r="T43" s="464"/>
      <c r="U43" s="464"/>
      <c r="V43" s="464"/>
      <c r="W43" s="464"/>
      <c r="X43" s="464"/>
      <c r="Y43" s="464"/>
      <c r="Z43" s="464"/>
      <c r="AA43" s="464"/>
      <c r="AB43" s="464"/>
      <c r="AC43" s="464"/>
      <c r="AD43" s="464"/>
      <c r="AE43" s="464"/>
      <c r="AG43" s="353"/>
      <c r="AH43" s="353"/>
      <c r="AI43" s="353"/>
      <c r="AJ43" s="353"/>
      <c r="AK43" s="353"/>
      <c r="AL43" s="353"/>
      <c r="AM43" s="353"/>
      <c r="AN43" s="353"/>
      <c r="AO43" s="353"/>
      <c r="AP43" s="353"/>
    </row>
    <row r="44" spans="2:42" x14ac:dyDescent="0.2">
      <c r="B44" s="211"/>
      <c r="C44" s="211"/>
      <c r="D44" s="211"/>
      <c r="E44" s="211"/>
      <c r="F44" s="211"/>
      <c r="G44" s="211"/>
      <c r="H44" s="211"/>
      <c r="I44" s="211"/>
      <c r="J44" s="211"/>
      <c r="K44" s="211"/>
    </row>
    <row r="45" spans="2:42" x14ac:dyDescent="0.2"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T45" s="466"/>
      <c r="U45" s="466"/>
      <c r="V45" s="466"/>
      <c r="W45" s="466"/>
      <c r="X45" s="466"/>
      <c r="Y45" s="466"/>
      <c r="Z45" s="466"/>
      <c r="AA45" s="466"/>
      <c r="AB45" s="466"/>
      <c r="AC45" s="466"/>
      <c r="AD45" s="466"/>
      <c r="AE45" s="466"/>
    </row>
    <row r="46" spans="2:42" x14ac:dyDescent="0.2"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T46" s="466"/>
      <c r="U46" s="466"/>
      <c r="V46" s="466"/>
      <c r="W46" s="466"/>
      <c r="X46" s="466"/>
      <c r="Y46" s="466"/>
      <c r="Z46" s="466"/>
      <c r="AA46" s="466"/>
      <c r="AB46" s="466"/>
      <c r="AC46" s="466"/>
      <c r="AD46" s="466"/>
      <c r="AE46" s="466"/>
    </row>
    <row r="47" spans="2:42" x14ac:dyDescent="0.2"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T47" s="466"/>
      <c r="U47" s="466"/>
      <c r="V47" s="466"/>
      <c r="W47" s="466"/>
      <c r="X47" s="466"/>
      <c r="Y47" s="466"/>
      <c r="Z47" s="466"/>
      <c r="AA47" s="466"/>
      <c r="AB47" s="466"/>
      <c r="AC47" s="466"/>
      <c r="AD47" s="466"/>
      <c r="AE47" s="466"/>
    </row>
    <row r="48" spans="2:42" x14ac:dyDescent="0.2"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T48" s="466"/>
      <c r="U48" s="466"/>
      <c r="V48" s="466"/>
      <c r="W48" s="466"/>
      <c r="X48" s="466"/>
      <c r="Y48" s="466"/>
      <c r="Z48" s="466"/>
      <c r="AA48" s="466"/>
      <c r="AB48" s="466"/>
      <c r="AC48" s="466"/>
      <c r="AD48" s="466"/>
      <c r="AE48" s="466"/>
    </row>
    <row r="49" spans="2:11" x14ac:dyDescent="0.2">
      <c r="B49" s="211"/>
      <c r="C49" s="211"/>
      <c r="D49" s="211"/>
      <c r="E49" s="211"/>
      <c r="F49" s="211"/>
      <c r="G49" s="211"/>
      <c r="H49" s="211"/>
      <c r="I49" s="211"/>
      <c r="J49" s="211"/>
      <c r="K49" s="211"/>
    </row>
    <row r="50" spans="2:11" x14ac:dyDescent="0.2">
      <c r="B50" s="211"/>
      <c r="C50" s="211"/>
      <c r="D50" s="211"/>
      <c r="E50" s="211"/>
      <c r="F50" s="211"/>
      <c r="G50" s="211"/>
      <c r="H50" s="211"/>
      <c r="I50" s="211"/>
      <c r="J50" s="211"/>
      <c r="K50" s="211"/>
    </row>
    <row r="51" spans="2:11" x14ac:dyDescent="0.2">
      <c r="B51" s="211"/>
      <c r="C51" s="211"/>
      <c r="D51" s="211"/>
      <c r="E51" s="211"/>
      <c r="F51" s="211"/>
      <c r="G51" s="211"/>
      <c r="H51" s="211"/>
      <c r="I51" s="211"/>
      <c r="J51" s="211"/>
      <c r="K51" s="211"/>
    </row>
    <row r="52" spans="2:11" x14ac:dyDescent="0.2">
      <c r="B52" s="211"/>
      <c r="C52" s="211"/>
      <c r="D52" s="211"/>
      <c r="E52" s="211"/>
      <c r="F52" s="211"/>
      <c r="G52" s="211"/>
      <c r="H52" s="211"/>
      <c r="I52" s="211"/>
      <c r="J52" s="211"/>
      <c r="K52" s="211"/>
    </row>
    <row r="53" spans="2:11" x14ac:dyDescent="0.2">
      <c r="B53" s="211"/>
      <c r="C53" s="211"/>
      <c r="D53" s="211"/>
      <c r="E53" s="211"/>
      <c r="F53" s="211"/>
      <c r="G53" s="211"/>
      <c r="H53" s="211"/>
      <c r="I53" s="211"/>
      <c r="J53" s="211"/>
      <c r="K53" s="211"/>
    </row>
    <row r="54" spans="2:11" x14ac:dyDescent="0.2">
      <c r="B54" s="211"/>
      <c r="C54" s="211"/>
      <c r="D54" s="211"/>
      <c r="E54" s="211"/>
      <c r="F54" s="211"/>
      <c r="G54" s="211"/>
      <c r="H54" s="211"/>
      <c r="I54" s="211"/>
      <c r="J54" s="211"/>
      <c r="K54" s="211"/>
    </row>
    <row r="55" spans="2:11" x14ac:dyDescent="0.2">
      <c r="B55" s="211"/>
      <c r="C55" s="211"/>
      <c r="D55" s="211"/>
      <c r="E55" s="211"/>
      <c r="F55" s="211"/>
      <c r="G55" s="211"/>
      <c r="H55" s="211"/>
      <c r="I55" s="211"/>
      <c r="J55" s="211"/>
      <c r="K55" s="211"/>
    </row>
    <row r="56" spans="2:11" x14ac:dyDescent="0.2">
      <c r="B56" s="211"/>
      <c r="C56" s="211"/>
      <c r="D56" s="211"/>
      <c r="E56" s="211"/>
      <c r="F56" s="211"/>
      <c r="G56" s="211"/>
      <c r="H56" s="211"/>
      <c r="I56" s="211"/>
      <c r="J56" s="211"/>
      <c r="K56" s="211"/>
    </row>
    <row r="57" spans="2:11" x14ac:dyDescent="0.2">
      <c r="B57" s="211"/>
      <c r="C57" s="211"/>
      <c r="D57" s="211"/>
      <c r="E57" s="211"/>
      <c r="F57" s="211"/>
      <c r="G57" s="211"/>
      <c r="H57" s="211"/>
      <c r="I57" s="211"/>
      <c r="J57" s="211"/>
      <c r="K57" s="211"/>
    </row>
    <row r="58" spans="2:11" x14ac:dyDescent="0.2">
      <c r="B58" s="211"/>
      <c r="C58" s="211"/>
      <c r="D58" s="211"/>
      <c r="E58" s="211"/>
      <c r="F58" s="211"/>
      <c r="G58" s="211"/>
      <c r="H58" s="211"/>
      <c r="I58" s="211"/>
      <c r="J58" s="211"/>
      <c r="K58" s="211"/>
    </row>
    <row r="59" spans="2:11" x14ac:dyDescent="0.2">
      <c r="B59" s="211"/>
      <c r="C59" s="211"/>
      <c r="D59" s="211"/>
      <c r="E59" s="211"/>
      <c r="F59" s="211"/>
      <c r="G59" s="211"/>
      <c r="H59" s="211"/>
      <c r="I59" s="211"/>
      <c r="J59" s="211"/>
      <c r="K59" s="211"/>
    </row>
    <row r="60" spans="2:11" x14ac:dyDescent="0.2">
      <c r="B60" s="211"/>
      <c r="C60" s="211"/>
      <c r="D60" s="211"/>
      <c r="E60" s="211"/>
      <c r="F60" s="211"/>
      <c r="G60" s="211"/>
      <c r="H60" s="211"/>
      <c r="I60" s="211"/>
      <c r="J60" s="211"/>
      <c r="K60" s="211"/>
    </row>
    <row r="61" spans="2:11" x14ac:dyDescent="0.2">
      <c r="B61" s="211"/>
      <c r="C61" s="211"/>
      <c r="D61" s="211"/>
      <c r="E61" s="211"/>
      <c r="F61" s="211"/>
      <c r="G61" s="211"/>
      <c r="H61" s="211"/>
      <c r="I61" s="211"/>
      <c r="J61" s="211"/>
      <c r="K61" s="211"/>
    </row>
    <row r="62" spans="2:11" x14ac:dyDescent="0.2">
      <c r="B62" s="211"/>
      <c r="C62" s="211"/>
      <c r="D62" s="211"/>
      <c r="E62" s="211"/>
      <c r="F62" s="211"/>
      <c r="G62" s="211"/>
      <c r="H62" s="211"/>
      <c r="I62" s="211"/>
      <c r="J62" s="211"/>
      <c r="K62" s="211"/>
    </row>
    <row r="63" spans="2:11" x14ac:dyDescent="0.2">
      <c r="B63" s="211"/>
      <c r="C63" s="211"/>
      <c r="D63" s="211"/>
      <c r="E63" s="211"/>
      <c r="F63" s="211"/>
      <c r="G63" s="211"/>
      <c r="H63" s="211"/>
      <c r="I63" s="211"/>
      <c r="J63" s="211"/>
      <c r="K63" s="211"/>
    </row>
    <row r="64" spans="2:11" x14ac:dyDescent="0.2">
      <c r="B64" s="211"/>
      <c r="C64" s="211"/>
      <c r="D64" s="211"/>
      <c r="E64" s="211"/>
      <c r="F64" s="211"/>
      <c r="G64" s="211"/>
      <c r="H64" s="211"/>
      <c r="I64" s="211"/>
      <c r="J64" s="211"/>
      <c r="K64" s="211"/>
    </row>
    <row r="65" spans="2:37" x14ac:dyDescent="0.2">
      <c r="B65" s="211"/>
      <c r="C65" s="211"/>
      <c r="D65" s="211"/>
      <c r="E65" s="211"/>
      <c r="F65" s="211"/>
      <c r="G65" s="211"/>
      <c r="H65" s="211"/>
      <c r="I65" s="211"/>
      <c r="J65" s="211"/>
      <c r="K65" s="211"/>
    </row>
    <row r="66" spans="2:37" x14ac:dyDescent="0.2"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467">
        <f>'Monthly Forecast'!P101</f>
        <v>5777045.3647243036</v>
      </c>
      <c r="M66" s="467">
        <f>'Monthly Forecast'!Q101</f>
        <v>5891810.7031021686</v>
      </c>
      <c r="N66" s="467">
        <f>'Monthly Forecast'!R101</f>
        <v>5846730.3876041016</v>
      </c>
      <c r="O66" s="446"/>
      <c r="P66" s="467">
        <f>'Monthly Forecast'!S101</f>
        <v>6322601.4333367953</v>
      </c>
      <c r="Q66" s="467">
        <f>'Monthly Forecast'!T101</f>
        <v>7787618.06328707</v>
      </c>
      <c r="R66" s="467">
        <f>'Monthly Forecast'!U101</f>
        <v>9537034.8946611807</v>
      </c>
      <c r="S66" s="446"/>
      <c r="T66" s="46"/>
      <c r="U66" s="46"/>
      <c r="V66" s="35">
        <f>'Monthly Forecast'!Y101</f>
        <v>7697206.4163323976</v>
      </c>
      <c r="W66" s="35">
        <f>'Monthly Forecast'!Z101</f>
        <v>6705840.3657732634</v>
      </c>
      <c r="X66" s="35">
        <f>'Monthly Forecast'!AA101</f>
        <v>6058095.8105117567</v>
      </c>
      <c r="Y66" s="35">
        <f>'Monthly Forecast'!AB101</f>
        <v>5782301.9092168538</v>
      </c>
      <c r="Z66" s="35">
        <f>'Monthly Forecast'!AC101</f>
        <v>5897231.777712252</v>
      </c>
      <c r="AA66" s="35">
        <f>'Monthly Forecast'!AD101</f>
        <v>5852373.6781787314</v>
      </c>
      <c r="AB66" s="35">
        <f>'Monthly Forecast'!AE101</f>
        <v>6328764.6438335078</v>
      </c>
      <c r="AC66" s="35">
        <f>'Monthly Forecast'!AF101</f>
        <v>7794982.5975403516</v>
      </c>
      <c r="AD66" s="35">
        <f>'Monthly Forecast'!AG101</f>
        <v>9546764.4791536201</v>
      </c>
      <c r="AE66" s="35">
        <f>'Monthly Forecast'!AH101</f>
        <v>10521841.670414651</v>
      </c>
      <c r="AF66" s="446">
        <f>SUM(V66:AE66)</f>
        <v>72185403.348667383</v>
      </c>
      <c r="AG66" s="35"/>
      <c r="AH66" s="35">
        <f>SUM('Monthly Forecast'!AH101:AS101)</f>
        <v>92079731.718013406</v>
      </c>
      <c r="AI66" s="35">
        <f>SUM('Monthly Forecast'!AT101:BE101)</f>
        <v>92168007.126686871</v>
      </c>
      <c r="AJ66" s="35">
        <f>SUM('Monthly Forecast'!BF101:BQ101)</f>
        <v>92265116.679676533</v>
      </c>
      <c r="AK66" s="35">
        <f>SUM('Monthly Forecast'!BR101:CC101)</f>
        <v>92367917.383079618</v>
      </c>
    </row>
    <row r="67" spans="2:37" x14ac:dyDescent="0.2"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35">
        <f t="shared" ref="L67:R67" si="35">L28-L66</f>
        <v>545556.06861249171</v>
      </c>
      <c r="M67" s="35">
        <f t="shared" si="35"/>
        <v>1895807.3601849014</v>
      </c>
      <c r="N67" s="35">
        <f t="shared" si="35"/>
        <v>3690304.5070570828</v>
      </c>
      <c r="O67" s="446"/>
      <c r="P67" s="35">
        <f t="shared" si="35"/>
        <v>4188698.2917887373</v>
      </c>
      <c r="Q67" s="35">
        <f t="shared" si="35"/>
        <v>2691738.4810626488</v>
      </c>
      <c r="R67" s="35">
        <f t="shared" si="35"/>
        <v>-201610.44775285386</v>
      </c>
      <c r="S67" s="446"/>
      <c r="T67" s="46"/>
      <c r="U67" s="46"/>
      <c r="V67" s="35">
        <f t="shared" ref="V67:AE67" si="36">V28-V66</f>
        <v>-1639110.6058206409</v>
      </c>
      <c r="W67" s="35">
        <f t="shared" si="36"/>
        <v>-923538.45655641053</v>
      </c>
      <c r="X67" s="35">
        <f t="shared" si="36"/>
        <v>-160864.0327995047</v>
      </c>
      <c r="Y67" s="35">
        <f t="shared" si="36"/>
        <v>70071.768961878493</v>
      </c>
      <c r="Z67" s="35">
        <f t="shared" si="36"/>
        <v>431532.86612125486</v>
      </c>
      <c r="AA67" s="35">
        <f t="shared" si="36"/>
        <v>1942608.9193616193</v>
      </c>
      <c r="AB67" s="35">
        <f t="shared" si="36"/>
        <v>3217999.8353201104</v>
      </c>
      <c r="AC67" s="35">
        <f t="shared" si="36"/>
        <v>2726859.0728743011</v>
      </c>
      <c r="AD67" s="35">
        <f t="shared" si="36"/>
        <v>943176.39988066256</v>
      </c>
      <c r="AE67" s="35">
        <f t="shared" si="36"/>
        <v>-1177027.2295046784</v>
      </c>
      <c r="AF67" s="446">
        <f>SUM(V67:AE67)</f>
        <v>5431708.5378385922</v>
      </c>
      <c r="AG67" s="35"/>
      <c r="AH67" s="35" t="e">
        <f>#REF!-AH66</f>
        <v>#REF!</v>
      </c>
      <c r="AI67" s="35" t="e">
        <f>#REF!-AI66</f>
        <v>#REF!</v>
      </c>
      <c r="AJ67" s="35" t="e">
        <f>#REF!-AJ66</f>
        <v>#REF!</v>
      </c>
      <c r="AK67" s="35" t="e">
        <f>#REF!-AK66</f>
        <v>#REF!</v>
      </c>
    </row>
    <row r="68" spans="2:37" x14ac:dyDescent="0.2">
      <c r="B68" s="211" t="s">
        <v>350</v>
      </c>
      <c r="C68" s="211"/>
      <c r="D68" s="211"/>
      <c r="E68" s="211"/>
      <c r="F68" s="211"/>
      <c r="G68" s="211"/>
      <c r="H68" s="211"/>
      <c r="I68" s="211"/>
      <c r="J68" s="211"/>
      <c r="K68" s="211"/>
      <c r="L68" s="353">
        <f t="shared" ref="L68:AF68" si="37">(L11+L12+L14)*0.5%</f>
        <v>38434.174717443049</v>
      </c>
      <c r="M68" s="353">
        <f t="shared" si="37"/>
        <v>62573.411700734687</v>
      </c>
      <c r="N68" s="353">
        <f t="shared" si="37"/>
        <v>92066.656754714553</v>
      </c>
      <c r="O68" s="353">
        <f>(O11+O12+O14)*0.5%</f>
        <v>715425.38964949385</v>
      </c>
      <c r="P68" s="353">
        <f t="shared" si="37"/>
        <v>110223.63185206951</v>
      </c>
      <c r="Q68" s="353">
        <f t="shared" si="37"/>
        <v>112672.70237330924</v>
      </c>
      <c r="R68" s="353">
        <f t="shared" si="37"/>
        <v>86963.839470703824</v>
      </c>
      <c r="S68" s="353">
        <f>(S11+S12+S14)*0.5%</f>
        <v>0</v>
      </c>
      <c r="T68" s="380"/>
      <c r="U68" s="380"/>
      <c r="V68" s="353">
        <f t="shared" si="37"/>
        <v>32718.29015358703</v>
      </c>
      <c r="W68" s="353">
        <f t="shared" si="37"/>
        <v>30164.060475537441</v>
      </c>
      <c r="X68" s="353">
        <f t="shared" si="37"/>
        <v>30361.833786090046</v>
      </c>
      <c r="Y68" s="353">
        <f t="shared" si="37"/>
        <v>30039.255268423323</v>
      </c>
      <c r="Z68" s="353">
        <f t="shared" si="37"/>
        <v>37889.618706424306</v>
      </c>
      <c r="AA68" s="353">
        <f t="shared" si="37"/>
        <v>62328.93555388083</v>
      </c>
      <c r="AB68" s="353">
        <f t="shared" si="37"/>
        <v>91638.168535824996</v>
      </c>
      <c r="AC68" s="353">
        <f t="shared" si="37"/>
        <v>109680.91707929029</v>
      </c>
      <c r="AD68" s="353">
        <f t="shared" si="37"/>
        <v>112431.42458588755</v>
      </c>
      <c r="AE68" s="353">
        <f t="shared" si="37"/>
        <v>86795.468132197711</v>
      </c>
      <c r="AF68" s="353">
        <f t="shared" si="37"/>
        <v>729311.77769710671</v>
      </c>
      <c r="AG68" s="353"/>
      <c r="AH68" s="353" t="e">
        <f>(#REF!+#REF!+#REF!)*0.5%</f>
        <v>#REF!</v>
      </c>
      <c r="AI68" s="353" t="e">
        <f>(#REF!+#REF!+#REF!)*0.5%</f>
        <v>#REF!</v>
      </c>
      <c r="AJ68" s="353" t="e">
        <f>(#REF!+#REF!+#REF!)*0.5%</f>
        <v>#REF!</v>
      </c>
      <c r="AK68" s="353" t="e">
        <f>(#REF!+#REF!+#REF!)*0.5%</f>
        <v>#REF!</v>
      </c>
    </row>
    <row r="69" spans="2:37" x14ac:dyDescent="0.2">
      <c r="B69" s="211" t="s">
        <v>351</v>
      </c>
      <c r="C69" s="211"/>
      <c r="D69" s="211"/>
      <c r="E69" s="211"/>
      <c r="F69" s="211"/>
      <c r="G69" s="211"/>
      <c r="H69" s="211"/>
      <c r="I69" s="211"/>
      <c r="J69" s="211"/>
      <c r="K69" s="211"/>
      <c r="L69" s="353"/>
      <c r="M69" s="353"/>
      <c r="N69" s="353"/>
      <c r="O69" s="353"/>
      <c r="P69" s="353"/>
      <c r="Q69" s="353"/>
      <c r="R69" s="353"/>
      <c r="S69" s="353"/>
      <c r="T69" s="380"/>
      <c r="U69" s="380"/>
      <c r="V69" s="353"/>
      <c r="W69" s="353"/>
      <c r="X69" s="353"/>
      <c r="Y69" s="353"/>
      <c r="Z69" s="353"/>
      <c r="AA69" s="353"/>
      <c r="AB69" s="353"/>
      <c r="AC69" s="353"/>
      <c r="AD69" s="353"/>
      <c r="AE69" s="353"/>
      <c r="AF69" s="353"/>
      <c r="AG69" s="353"/>
      <c r="AH69" s="353"/>
      <c r="AI69" s="353"/>
      <c r="AJ69" s="353"/>
      <c r="AK69" s="353"/>
    </row>
    <row r="70" spans="2:37" x14ac:dyDescent="0.2">
      <c r="B70" s="211" t="s">
        <v>393</v>
      </c>
      <c r="C70" s="211"/>
      <c r="D70" s="211"/>
      <c r="E70" s="211"/>
      <c r="F70" s="211"/>
      <c r="G70" s="211"/>
      <c r="H70" s="211"/>
      <c r="I70" s="211"/>
      <c r="J70" s="211"/>
      <c r="K70" s="211"/>
      <c r="L70" s="353"/>
      <c r="M70" s="353"/>
      <c r="N70" s="353"/>
      <c r="O70" s="445"/>
      <c r="P70" s="353"/>
      <c r="Q70" s="353"/>
      <c r="R70" s="353"/>
      <c r="S70" s="445"/>
      <c r="T70" s="380"/>
      <c r="U70" s="380"/>
      <c r="AG70" s="353"/>
      <c r="AH70" s="353"/>
      <c r="AI70" s="353"/>
      <c r="AJ70" s="353"/>
      <c r="AK70" s="353"/>
    </row>
    <row r="71" spans="2:37" x14ac:dyDescent="0.2"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353"/>
      <c r="M71" s="353"/>
      <c r="N71" s="353"/>
      <c r="O71" s="445"/>
      <c r="P71" s="353"/>
      <c r="Q71" s="353"/>
      <c r="R71" s="353"/>
      <c r="S71" s="445"/>
      <c r="T71" s="380"/>
      <c r="U71" s="380"/>
      <c r="AG71" s="353"/>
      <c r="AH71" s="353"/>
      <c r="AI71" s="353"/>
      <c r="AJ71" s="353"/>
      <c r="AK71" s="353"/>
    </row>
    <row r="72" spans="2:37" x14ac:dyDescent="0.2">
      <c r="L72" s="353"/>
      <c r="M72" s="353"/>
      <c r="N72" s="353"/>
      <c r="O72" s="445"/>
      <c r="P72" s="353"/>
      <c r="Q72" s="353"/>
      <c r="R72" s="353"/>
      <c r="S72" s="445"/>
      <c r="T72" s="380"/>
      <c r="U72" s="380"/>
      <c r="AG72" s="353"/>
      <c r="AH72" s="353"/>
      <c r="AI72" s="353"/>
      <c r="AJ72" s="353"/>
      <c r="AK72" s="353"/>
    </row>
    <row r="73" spans="2:37" x14ac:dyDescent="0.2">
      <c r="L73" s="353"/>
      <c r="M73" s="353"/>
      <c r="N73" s="353"/>
      <c r="O73" s="445"/>
      <c r="P73" s="353"/>
      <c r="Q73" s="353"/>
      <c r="R73" s="353"/>
      <c r="S73" s="445"/>
      <c r="T73" s="380"/>
      <c r="U73" s="380"/>
      <c r="AG73" s="353"/>
      <c r="AH73" s="353"/>
      <c r="AI73" s="353"/>
      <c r="AJ73" s="353"/>
      <c r="AK73" s="353"/>
    </row>
    <row r="74" spans="2:37" x14ac:dyDescent="0.2">
      <c r="L74" s="353"/>
      <c r="M74" s="353"/>
      <c r="N74" s="353"/>
      <c r="O74" s="445"/>
      <c r="P74" s="353"/>
      <c r="Q74" s="353"/>
      <c r="R74" s="353"/>
      <c r="S74" s="445"/>
      <c r="T74" s="380"/>
      <c r="U74" s="380"/>
      <c r="AG74" s="353"/>
      <c r="AH74" s="353"/>
      <c r="AI74" s="353"/>
      <c r="AJ74" s="353"/>
      <c r="AK74" s="353"/>
    </row>
  </sheetData>
  <mergeCells count="1">
    <mergeCell ref="AG6:AL6"/>
  </mergeCells>
  <phoneticPr fontId="4" type="noConversion"/>
  <pageMargins left="0.75" right="0.75" top="1" bottom="1" header="0.5" footer="0.5"/>
  <pageSetup scale="48" orientation="landscape" r:id="rId1"/>
  <headerFooter alignWithMargins="0">
    <oddFooter>&amp;A&amp;RPage &amp;P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6:AP42"/>
  <sheetViews>
    <sheetView view="pageBreakPreview" zoomScale="60" zoomScaleNormal="115" workbookViewId="0">
      <pane xSplit="2" ySplit="7" topLeftCell="E20" activePane="bottomRight" state="frozen"/>
      <selection activeCell="E28" sqref="E28"/>
      <selection pane="topRight" activeCell="E28" sqref="E28"/>
      <selection pane="bottomLeft" activeCell="E28" sqref="E28"/>
      <selection pane="bottomRight" activeCell="E28" sqref="E28"/>
    </sheetView>
  </sheetViews>
  <sheetFormatPr defaultColWidth="9.140625" defaultRowHeight="12.75" x14ac:dyDescent="0.2"/>
  <cols>
    <col min="1" max="1" width="12.42578125" style="205" bestFit="1" customWidth="1"/>
    <col min="2" max="2" width="24.28515625" style="205" bestFit="1" customWidth="1"/>
    <col min="3" max="14" width="9" style="205" bestFit="1" customWidth="1"/>
    <col min="15" max="15" width="10" style="451" bestFit="1" customWidth="1"/>
    <col min="16" max="18" width="9" style="205" bestFit="1" customWidth="1"/>
    <col min="19" max="19" width="13.42578125" style="451" bestFit="1" customWidth="1"/>
    <col min="20" max="21" width="9" style="211" bestFit="1" customWidth="1"/>
    <col min="22" max="31" width="9" style="35" bestFit="1" customWidth="1"/>
    <col min="32" max="32" width="10.5703125" style="446" bestFit="1" customWidth="1"/>
    <col min="33" max="38" width="9.85546875" style="205" bestFit="1" customWidth="1"/>
    <col min="39" max="16384" width="9.140625" style="205"/>
  </cols>
  <sheetData>
    <row r="6" spans="2:42" x14ac:dyDescent="0.2">
      <c r="L6" s="435"/>
      <c r="M6" s="435"/>
      <c r="N6" s="435"/>
      <c r="O6" s="436"/>
      <c r="P6" s="435"/>
      <c r="Q6" s="435"/>
      <c r="R6" s="435"/>
      <c r="S6" s="436"/>
      <c r="T6" s="437"/>
      <c r="U6" s="437"/>
      <c r="V6" s="438"/>
      <c r="W6" s="438"/>
      <c r="X6" s="438"/>
      <c r="Y6" s="438"/>
      <c r="Z6" s="438"/>
      <c r="AA6" s="438"/>
      <c r="AB6" s="438"/>
      <c r="AC6" s="438"/>
      <c r="AD6" s="438"/>
      <c r="AE6" s="438"/>
      <c r="AF6" s="439"/>
      <c r="AG6" s="750" t="s">
        <v>553</v>
      </c>
      <c r="AH6" s="750"/>
      <c r="AI6" s="750"/>
      <c r="AJ6" s="750"/>
      <c r="AK6" s="750"/>
      <c r="AL6" s="750"/>
    </row>
    <row r="7" spans="2:42" x14ac:dyDescent="0.2">
      <c r="C7" s="440">
        <f>'Summary of Revenue'!C7</f>
        <v>42766</v>
      </c>
      <c r="D7" s="440">
        <f>'Summary of Revenue'!D7</f>
        <v>42794</v>
      </c>
      <c r="E7" s="440">
        <f>'Summary of Revenue'!E7</f>
        <v>42825</v>
      </c>
      <c r="F7" s="440">
        <f>'Summary of Revenue'!F7</f>
        <v>42855</v>
      </c>
      <c r="G7" s="441">
        <f>'Summary of Revenue'!G7</f>
        <v>42886</v>
      </c>
      <c r="H7" s="441">
        <f>'Summary of Revenue'!H7</f>
        <v>42916</v>
      </c>
      <c r="I7" s="441">
        <f>'Summary of Revenue'!I7</f>
        <v>42947</v>
      </c>
      <c r="J7" s="441">
        <f>'Summary of Revenue'!J7</f>
        <v>42978</v>
      </c>
      <c r="K7" s="441">
        <f>'Summary of Revenue'!K7</f>
        <v>43008</v>
      </c>
      <c r="L7" s="441">
        <f>'Summary of Revenue'!L7</f>
        <v>43039</v>
      </c>
      <c r="M7" s="441">
        <f>'Summary of Revenue'!M7</f>
        <v>43069</v>
      </c>
      <c r="N7" s="441">
        <f>'Summary of Revenue'!N7</f>
        <v>43100</v>
      </c>
      <c r="O7" s="442" t="s">
        <v>614</v>
      </c>
      <c r="P7" s="441">
        <f>'Summary of Revenue'!P7</f>
        <v>43131</v>
      </c>
      <c r="Q7" s="441">
        <f>'Summary of Revenue'!Q7</f>
        <v>43159</v>
      </c>
      <c r="R7" s="441">
        <f>'Summary of Revenue'!R7</f>
        <v>43190</v>
      </c>
      <c r="S7" s="442"/>
      <c r="T7" s="440">
        <f>'Summary of Revenue'!T7</f>
        <v>43220</v>
      </c>
      <c r="U7" s="441">
        <f>'Summary of Revenue'!U7</f>
        <v>43251</v>
      </c>
      <c r="V7" s="441">
        <f>'Summary of Revenue'!V7</f>
        <v>43281</v>
      </c>
      <c r="W7" s="441">
        <f>'Summary of Revenue'!W7</f>
        <v>43312</v>
      </c>
      <c r="X7" s="441">
        <f>'Summary of Revenue'!X7</f>
        <v>43343</v>
      </c>
      <c r="Y7" s="441">
        <f>'Summary of Revenue'!Y7</f>
        <v>43373</v>
      </c>
      <c r="Z7" s="441">
        <f>'Summary of Revenue'!Z7</f>
        <v>43404</v>
      </c>
      <c r="AA7" s="441">
        <f>'Summary of Revenue'!AA7</f>
        <v>43434</v>
      </c>
      <c r="AB7" s="441">
        <f>'Summary of Revenue'!AB7</f>
        <v>43465</v>
      </c>
      <c r="AC7" s="441">
        <f>'Summary of Revenue'!AC7</f>
        <v>43496</v>
      </c>
      <c r="AD7" s="441">
        <f>'Summary of Revenue'!AD7</f>
        <v>43524</v>
      </c>
      <c r="AE7" s="441">
        <f>'Summary of Revenue'!AE7</f>
        <v>43555</v>
      </c>
      <c r="AF7" s="443" t="s">
        <v>326</v>
      </c>
      <c r="AG7" s="444">
        <f>'Summary of Revenue'!AG7</f>
        <v>2017</v>
      </c>
      <c r="AH7" s="444">
        <f>AG7+1</f>
        <v>2018</v>
      </c>
      <c r="AI7" s="444">
        <f t="shared" ref="AI7:AL7" si="0">AH7+1</f>
        <v>2019</v>
      </c>
      <c r="AJ7" s="444">
        <f t="shared" si="0"/>
        <v>2020</v>
      </c>
      <c r="AK7" s="444">
        <f t="shared" si="0"/>
        <v>2021</v>
      </c>
      <c r="AL7" s="444">
        <f t="shared" si="0"/>
        <v>2022</v>
      </c>
    </row>
    <row r="9" spans="2:42" x14ac:dyDescent="0.2">
      <c r="L9" s="353"/>
      <c r="M9" s="353"/>
      <c r="N9" s="353"/>
      <c r="O9" s="445"/>
      <c r="P9" s="353"/>
      <c r="Q9" s="353"/>
      <c r="R9" s="353"/>
      <c r="S9" s="445"/>
      <c r="T9" s="380"/>
      <c r="U9" s="380"/>
      <c r="AG9" s="353"/>
      <c r="AH9" s="353"/>
      <c r="AI9" s="353"/>
      <c r="AJ9" s="353"/>
      <c r="AK9" s="353"/>
      <c r="AL9" s="353"/>
      <c r="AM9" s="353"/>
      <c r="AN9" s="353"/>
      <c r="AO9" s="353"/>
      <c r="AP9" s="353"/>
    </row>
    <row r="10" spans="2:42" x14ac:dyDescent="0.2">
      <c r="B10" s="447" t="s">
        <v>349</v>
      </c>
      <c r="C10" s="447"/>
      <c r="D10" s="447"/>
      <c r="E10" s="447"/>
      <c r="F10" s="448"/>
      <c r="G10" s="448"/>
      <c r="H10" s="448"/>
      <c r="I10" s="448"/>
      <c r="J10" s="448"/>
      <c r="K10" s="448"/>
      <c r="L10" s="353"/>
      <c r="M10" s="353"/>
      <c r="N10" s="353"/>
      <c r="O10" s="445"/>
      <c r="P10" s="380"/>
      <c r="Q10" s="380"/>
      <c r="R10" s="380"/>
      <c r="S10" s="445"/>
      <c r="T10" s="380"/>
      <c r="U10" s="380"/>
      <c r="AG10" s="380"/>
      <c r="AH10" s="380"/>
      <c r="AI10" s="380"/>
      <c r="AJ10" s="380"/>
      <c r="AK10" s="380"/>
      <c r="AL10" s="211"/>
      <c r="AM10" s="353"/>
      <c r="AN10" s="353"/>
      <c r="AO10" s="353"/>
      <c r="AP10" s="353"/>
    </row>
    <row r="11" spans="2:42" ht="15.75" x14ac:dyDescent="0.25">
      <c r="B11" s="449" t="s">
        <v>94</v>
      </c>
      <c r="C11" s="46">
        <f>'Monthly Forecast'!J12</f>
        <v>158882</v>
      </c>
      <c r="D11" s="46">
        <f>'Monthly Forecast'!K12</f>
        <v>159583</v>
      </c>
      <c r="E11" s="46">
        <f>'Monthly Forecast'!L12</f>
        <v>159839</v>
      </c>
      <c r="F11" s="46">
        <f>'Monthly Forecast'!M12</f>
        <v>157294</v>
      </c>
      <c r="G11" s="46">
        <f>'Monthly Forecast'!N12</f>
        <v>159280</v>
      </c>
      <c r="H11" s="46">
        <f>'Monthly Forecast'!O12</f>
        <v>156889</v>
      </c>
      <c r="I11" s="46">
        <f>'Monthly Forecast'!P12</f>
        <v>154747</v>
      </c>
      <c r="J11" s="46">
        <f>'Monthly Forecast'!Q12</f>
        <v>155612</v>
      </c>
      <c r="K11" s="46">
        <f>'Monthly Forecast'!R12</f>
        <v>153210</v>
      </c>
      <c r="L11" s="46">
        <f>'Monthly Forecast'!S12</f>
        <v>153525</v>
      </c>
      <c r="M11" s="46">
        <f>'Monthly Forecast'!T12</f>
        <v>154816</v>
      </c>
      <c r="N11" s="46">
        <f>'Monthly Forecast'!U12</f>
        <v>158190</v>
      </c>
      <c r="O11" s="446">
        <f>AVERAGE(C11:N11)</f>
        <v>156822.25</v>
      </c>
      <c r="P11" s="46">
        <f>'Monthly Forecast'!V12</f>
        <v>159182</v>
      </c>
      <c r="Q11" s="46">
        <f>'Monthly Forecast'!W12</f>
        <v>159883</v>
      </c>
      <c r="R11" s="46">
        <f>'Monthly Forecast'!X12</f>
        <v>160139</v>
      </c>
      <c r="S11" s="446"/>
      <c r="T11" s="46">
        <f>'Monthly Forecast'!Y12</f>
        <v>157594</v>
      </c>
      <c r="U11" s="46">
        <f>'Monthly Forecast'!Z12</f>
        <v>159580</v>
      </c>
      <c r="V11" s="46">
        <f>'Monthly Forecast'!AA12</f>
        <v>157189</v>
      </c>
      <c r="W11" s="46">
        <f>'Monthly Forecast'!AB12</f>
        <v>155047</v>
      </c>
      <c r="X11" s="46">
        <f>'Monthly Forecast'!AC12</f>
        <v>155912</v>
      </c>
      <c r="Y11" s="46">
        <f>'Monthly Forecast'!AD12</f>
        <v>153510</v>
      </c>
      <c r="Z11" s="46">
        <f>'Monthly Forecast'!AE12</f>
        <v>153825</v>
      </c>
      <c r="AA11" s="46">
        <f>'Monthly Forecast'!AF12</f>
        <v>155116</v>
      </c>
      <c r="AB11" s="46">
        <f>'Monthly Forecast'!AG12</f>
        <v>158490</v>
      </c>
      <c r="AC11" s="46">
        <f>'Monthly Forecast'!AH12</f>
        <v>159482</v>
      </c>
      <c r="AD11" s="46">
        <f>'Monthly Forecast'!AI12</f>
        <v>160183</v>
      </c>
      <c r="AE11" s="46">
        <f>'Monthly Forecast'!AJ12</f>
        <v>160439</v>
      </c>
      <c r="AF11" s="446">
        <f>AVERAGE(T11:AE11)</f>
        <v>157197.25</v>
      </c>
      <c r="AG11" s="46">
        <f>AVERAGEIFS('Monthly Forecast'!$D$12:$CI$12,'Monthly Forecast'!$D$8:$CI$8,"&gt;="&amp;Dashboard!$L22,'Monthly Forecast'!$D$8:$CI$8,"&lt;="&amp;Dashboard!$M22)</f>
        <v>156747.25</v>
      </c>
      <c r="AH11" s="46">
        <f>AVERAGEIFS('Monthly Forecast'!$D$12:$CI$12,'Monthly Forecast'!$D$8:$CI$8,"&gt;="&amp;Dashboard!$L23,'Monthly Forecast'!$D$8:$CI$8,"&lt;="&amp;Dashboard!$M23)</f>
        <v>157047.25</v>
      </c>
      <c r="AI11" s="46">
        <f>AVERAGEIFS('Monthly Forecast'!$D$12:$CI$12,'Monthly Forecast'!$D$8:$CI$8,"&gt;="&amp;Dashboard!$L24,'Monthly Forecast'!$D$8:$CI$8,"&lt;="&amp;Dashboard!$M24)</f>
        <v>157347.25</v>
      </c>
      <c r="AJ11" s="46">
        <f>AVERAGEIFS('Monthly Forecast'!$D$12:$CI$12,'Monthly Forecast'!$D$8:$CI$8,"&gt;="&amp;Dashboard!$L25,'Monthly Forecast'!$D$8:$CI$8,"&lt;="&amp;Dashboard!$M25)</f>
        <v>157647.25</v>
      </c>
      <c r="AK11" s="46">
        <f>AVERAGEIFS('Monthly Forecast'!$D$12:$CI$12,'Monthly Forecast'!$D$8:$CI$8,"&gt;="&amp;Dashboard!$L26,'Monthly Forecast'!$D$8:$CI$8,"&lt;="&amp;Dashboard!$M26)</f>
        <v>157947.25</v>
      </c>
      <c r="AL11" s="46">
        <f>AVERAGEIFS('Monthly Forecast'!$D$12:$CI$12,'Monthly Forecast'!$D$8:$CI$8,"&gt;="&amp;Dashboard!$L27,'Monthly Forecast'!$D$8:$CI$8,"&lt;="&amp;Dashboard!$M27)</f>
        <v>158247.25</v>
      </c>
      <c r="AM11" s="353"/>
      <c r="AN11" s="353"/>
      <c r="AO11" s="353"/>
      <c r="AP11" s="353"/>
    </row>
    <row r="12" spans="2:42" ht="15.75" x14ac:dyDescent="0.25">
      <c r="B12" s="449" t="s">
        <v>124</v>
      </c>
      <c r="C12" s="46">
        <f>'Monthly Forecast'!J21+'Monthly Forecast'!J48</f>
        <v>17877</v>
      </c>
      <c r="D12" s="46">
        <f>'Monthly Forecast'!K21+'Monthly Forecast'!K48</f>
        <v>17893</v>
      </c>
      <c r="E12" s="46">
        <f>'Monthly Forecast'!L21+'Monthly Forecast'!L48</f>
        <v>17941</v>
      </c>
      <c r="F12" s="46">
        <f>'Monthly Forecast'!M21+'Monthly Forecast'!M48</f>
        <v>17571</v>
      </c>
      <c r="G12" s="46">
        <f>'Monthly Forecast'!N21+'Monthly Forecast'!N48</f>
        <v>17823</v>
      </c>
      <c r="H12" s="46">
        <f>'Monthly Forecast'!O21+'Monthly Forecast'!O48</f>
        <v>17346</v>
      </c>
      <c r="I12" s="46">
        <f>'Monthly Forecast'!P21+'Monthly Forecast'!P48</f>
        <v>17026</v>
      </c>
      <c r="J12" s="46">
        <f>'Monthly Forecast'!Q21+'Monthly Forecast'!Q48</f>
        <v>17151</v>
      </c>
      <c r="K12" s="46">
        <f>'Monthly Forecast'!R21+'Monthly Forecast'!R48</f>
        <v>16874</v>
      </c>
      <c r="L12" s="46">
        <f>'Monthly Forecast'!S21+'Monthly Forecast'!S48</f>
        <v>16780</v>
      </c>
      <c r="M12" s="46">
        <f>'Monthly Forecast'!T21+'Monthly Forecast'!T48</f>
        <v>17203</v>
      </c>
      <c r="N12" s="46">
        <f>'Monthly Forecast'!U21+'Monthly Forecast'!U48</f>
        <v>17538</v>
      </c>
      <c r="O12" s="446">
        <f t="shared" ref="O12:O15" si="1">AVERAGE(C12:N12)</f>
        <v>17418.583333333332</v>
      </c>
      <c r="P12" s="46">
        <f>'Monthly Forecast'!V21+'Monthly Forecast'!V48</f>
        <v>17877</v>
      </c>
      <c r="Q12" s="46">
        <f>'Monthly Forecast'!W21+'Monthly Forecast'!W48</f>
        <v>17893</v>
      </c>
      <c r="R12" s="46">
        <f>'Monthly Forecast'!X21+'Monthly Forecast'!X48</f>
        <v>17941</v>
      </c>
      <c r="S12" s="446"/>
      <c r="T12" s="46">
        <f>'Monthly Forecast'!Y21+'Monthly Forecast'!Y48</f>
        <v>17571</v>
      </c>
      <c r="U12" s="46">
        <f>'Monthly Forecast'!Z21+'Monthly Forecast'!Z48</f>
        <v>17823</v>
      </c>
      <c r="V12" s="46">
        <f>'Monthly Forecast'!AA21+'Monthly Forecast'!AA48</f>
        <v>17346</v>
      </c>
      <c r="W12" s="46">
        <f>'Monthly Forecast'!AB21+'Monthly Forecast'!AB48</f>
        <v>17026</v>
      </c>
      <c r="X12" s="46">
        <f>'Monthly Forecast'!AC21+'Monthly Forecast'!AC48</f>
        <v>17151</v>
      </c>
      <c r="Y12" s="46">
        <f>'Monthly Forecast'!AD21+'Monthly Forecast'!AD48</f>
        <v>16874</v>
      </c>
      <c r="Z12" s="46">
        <f>'Monthly Forecast'!AE21+'Monthly Forecast'!AE48</f>
        <v>16780</v>
      </c>
      <c r="AA12" s="46">
        <f>'Monthly Forecast'!AF21+'Monthly Forecast'!AF48</f>
        <v>17203</v>
      </c>
      <c r="AB12" s="46">
        <f>'Monthly Forecast'!AG21+'Monthly Forecast'!AG48</f>
        <v>17538</v>
      </c>
      <c r="AC12" s="46">
        <f>'Monthly Forecast'!AH21+'Monthly Forecast'!AH48</f>
        <v>17877</v>
      </c>
      <c r="AD12" s="46">
        <f>'Monthly Forecast'!AI21+'Monthly Forecast'!AI48</f>
        <v>17893</v>
      </c>
      <c r="AE12" s="46">
        <f>'Monthly Forecast'!AJ21+'Monthly Forecast'!AJ48</f>
        <v>17941</v>
      </c>
      <c r="AF12" s="446">
        <f t="shared" ref="AF12:AF15" si="2">AVERAGE(T12:AE12)</f>
        <v>17418.583333333332</v>
      </c>
      <c r="AG12" s="46">
        <f>AVERAGEIFS('Monthly Forecast'!$D$21:$CI$21,'Monthly Forecast'!$D$8:$CI$8,"&gt;="&amp;Dashboard!$L22,'Monthly Forecast'!$D$8:$CI$8,"&lt;="&amp;Dashboard!$M22)+AVERAGEIFS('Monthly Forecast'!$D$48:$CI$48,'Monthly Forecast'!$D$8:$CI$8,"&gt;="&amp;Dashboard!$L22,'Monthly Forecast'!$D$8:$CI$8,"&lt;="&amp;Dashboard!$M22)</f>
        <v>17418.583333333336</v>
      </c>
      <c r="AH12" s="46">
        <f>AVERAGEIFS('Monthly Forecast'!$D$21:$CI$21,'Monthly Forecast'!$D$8:$CI$8,"&gt;="&amp;Dashboard!$L23,'Monthly Forecast'!$D$8:$CI$8,"&lt;="&amp;Dashboard!$M23)+AVERAGEIFS('Monthly Forecast'!$D$48:$CI$48,'Monthly Forecast'!$D$8:$CI$8,"&gt;="&amp;Dashboard!$L23,'Monthly Forecast'!$D$8:$CI$8,"&lt;="&amp;Dashboard!$M23)</f>
        <v>17418.583333333336</v>
      </c>
      <c r="AI12" s="46">
        <f>AVERAGEIFS('Monthly Forecast'!$D$21:$CI$21,'Monthly Forecast'!$D$8:$CI$8,"&gt;="&amp;Dashboard!$L24,'Monthly Forecast'!$D$8:$CI$8,"&lt;="&amp;Dashboard!$M24)+AVERAGEIFS('Monthly Forecast'!$D$48:$CI$48,'Monthly Forecast'!$D$8:$CI$8,"&gt;="&amp;Dashboard!$L24,'Monthly Forecast'!$D$8:$CI$8,"&lt;="&amp;Dashboard!$M24)</f>
        <v>17418.583333333336</v>
      </c>
      <c r="AJ12" s="46">
        <f>AVERAGEIFS('Monthly Forecast'!$D$21:$CI$21,'Monthly Forecast'!$D$8:$CI$8,"&gt;="&amp;Dashboard!$L25,'Monthly Forecast'!$D$8:$CI$8,"&lt;="&amp;Dashboard!$M25)+AVERAGEIFS('Monthly Forecast'!$D$48:$CI$48,'Monthly Forecast'!$D$8:$CI$8,"&gt;="&amp;Dashboard!$L25,'Monthly Forecast'!$D$8:$CI$8,"&lt;="&amp;Dashboard!$M25)</f>
        <v>17418.583333333336</v>
      </c>
      <c r="AK12" s="46">
        <f>AVERAGEIFS('Monthly Forecast'!$D$21:$CI$21,'Monthly Forecast'!$D$8:$CI$8,"&gt;="&amp;Dashboard!$L26,'Monthly Forecast'!$D$8:$CI$8,"&lt;="&amp;Dashboard!$M26)+AVERAGEIFS('Monthly Forecast'!$D$48:$CI$48,'Monthly Forecast'!$D$8:$CI$8,"&gt;="&amp;Dashboard!$L26,'Monthly Forecast'!$D$8:$CI$8,"&lt;="&amp;Dashboard!$M26)</f>
        <v>17418.583333333336</v>
      </c>
      <c r="AL12" s="46">
        <f>AVERAGEIFS('Monthly Forecast'!$D$21:$CI$21,'Monthly Forecast'!$D$8:$CI$8,"&gt;="&amp;Dashboard!$L27,'Monthly Forecast'!$D$8:$CI$8,"&lt;="&amp;Dashboard!$M27)+AVERAGEIFS('Monthly Forecast'!$D$48:$CI$48,'Monthly Forecast'!$D$8:$CI$8,"&gt;="&amp;Dashboard!$L27,'Monthly Forecast'!$D$8:$CI$8,"&lt;="&amp;Dashboard!$M27)</f>
        <v>17418.583333333336</v>
      </c>
      <c r="AM12" s="353"/>
      <c r="AN12" s="353"/>
      <c r="AO12" s="353"/>
      <c r="AP12" s="353"/>
    </row>
    <row r="13" spans="2:42" ht="15.75" x14ac:dyDescent="0.25">
      <c r="B13" s="449" t="s">
        <v>317</v>
      </c>
      <c r="C13" s="46">
        <f>'Monthly Forecast'!J30+'Monthly Forecast'!J56</f>
        <v>230.97777777777779</v>
      </c>
      <c r="D13" s="46">
        <f>'Monthly Forecast'!K30+'Monthly Forecast'!K56</f>
        <v>225.97777777777779</v>
      </c>
      <c r="E13" s="46">
        <f>'Monthly Forecast'!L30+'Monthly Forecast'!L56</f>
        <v>221.97777777777779</v>
      </c>
      <c r="F13" s="46">
        <f>'Monthly Forecast'!M30+'Monthly Forecast'!M56</f>
        <v>202.97777777777779</v>
      </c>
      <c r="G13" s="46">
        <f>'Monthly Forecast'!N30+'Monthly Forecast'!N56</f>
        <v>221.97777777777779</v>
      </c>
      <c r="H13" s="46">
        <f>'Monthly Forecast'!O30+'Monthly Forecast'!O56</f>
        <v>213.98888888888888</v>
      </c>
      <c r="I13" s="46">
        <f>'Monthly Forecast'!P30+'Monthly Forecast'!P56</f>
        <v>192</v>
      </c>
      <c r="J13" s="46">
        <f>'Monthly Forecast'!Q30+'Monthly Forecast'!Q56</f>
        <v>216</v>
      </c>
      <c r="K13" s="46">
        <f>'Monthly Forecast'!R30+'Monthly Forecast'!R56</f>
        <v>201.24444444444444</v>
      </c>
      <c r="L13" s="46">
        <f>'Monthly Forecast'!S30+'Monthly Forecast'!S56</f>
        <v>196.24444444444444</v>
      </c>
      <c r="M13" s="46">
        <f>'Monthly Forecast'!T30+'Monthly Forecast'!T56</f>
        <v>211.97777777777779</v>
      </c>
      <c r="N13" s="46">
        <f>'Monthly Forecast'!U30+'Monthly Forecast'!U56</f>
        <v>203.97777777777779</v>
      </c>
      <c r="O13" s="446">
        <f t="shared" si="1"/>
        <v>211.61018518518517</v>
      </c>
      <c r="P13" s="46">
        <f>'Monthly Forecast'!V30+'Monthly Forecast'!V56</f>
        <v>230.97777777777779</v>
      </c>
      <c r="Q13" s="46">
        <f>'Monthly Forecast'!W30+'Monthly Forecast'!W56</f>
        <v>225.97777777777779</v>
      </c>
      <c r="R13" s="46">
        <f>'Monthly Forecast'!X30+'Monthly Forecast'!X56</f>
        <v>221.97777777777779</v>
      </c>
      <c r="S13" s="446"/>
      <c r="T13" s="46">
        <f>'Monthly Forecast'!Y30+'Monthly Forecast'!Y56</f>
        <v>202.97777777777779</v>
      </c>
      <c r="U13" s="46">
        <f>'Monthly Forecast'!Z30+'Monthly Forecast'!Z56</f>
        <v>221.97777777777779</v>
      </c>
      <c r="V13" s="46">
        <f>'Monthly Forecast'!AA30+'Monthly Forecast'!AA56</f>
        <v>213.98888888888888</v>
      </c>
      <c r="W13" s="46">
        <f>'Monthly Forecast'!AB30+'Monthly Forecast'!AB56</f>
        <v>192</v>
      </c>
      <c r="X13" s="46">
        <f>'Monthly Forecast'!AC30+'Monthly Forecast'!AC56</f>
        <v>216</v>
      </c>
      <c r="Y13" s="46">
        <f>'Monthly Forecast'!AD30+'Monthly Forecast'!AD56</f>
        <v>201.24444444444444</v>
      </c>
      <c r="Z13" s="46">
        <f>'Monthly Forecast'!AE30+'Monthly Forecast'!AE56</f>
        <v>196.24444444444444</v>
      </c>
      <c r="AA13" s="46">
        <f>'Monthly Forecast'!AF30+'Monthly Forecast'!AF56</f>
        <v>211.97777777777779</v>
      </c>
      <c r="AB13" s="46">
        <f>'Monthly Forecast'!AG30+'Monthly Forecast'!AG56</f>
        <v>203.97777777777779</v>
      </c>
      <c r="AC13" s="46">
        <f>'Monthly Forecast'!AH30+'Monthly Forecast'!AH56</f>
        <v>230.97777777777779</v>
      </c>
      <c r="AD13" s="46">
        <f>'Monthly Forecast'!AI30+'Monthly Forecast'!AI56</f>
        <v>225.97777777777779</v>
      </c>
      <c r="AE13" s="46">
        <f>'Monthly Forecast'!AJ30+'Monthly Forecast'!AJ56</f>
        <v>221.97777777777779</v>
      </c>
      <c r="AF13" s="446">
        <f t="shared" si="2"/>
        <v>211.61018518518517</v>
      </c>
      <c r="AG13" s="46">
        <f>AVERAGEIFS('Monthly Forecast'!$D$30:$CI$30,'Monthly Forecast'!$D$8:$CI$8,"&gt;="&amp;Dashboard!$L22,'Monthly Forecast'!$D$8:$CI$8,"&lt;="&amp;Dashboard!$M22)+AVERAGEIFS('Monthly Forecast'!$D$56:$CI$56,'Monthly Forecast'!$D$8:$CI$8,"&gt;="&amp;Dashboard!$L22,'Monthly Forecast'!$D$8:$CI$8,"&lt;="&amp;Dashboard!$M22)</f>
        <v>211.6101851851852</v>
      </c>
      <c r="AH13" s="46">
        <f>AVERAGEIFS('Monthly Forecast'!$D$30:$CI$30,'Monthly Forecast'!$D$8:$CI$8,"&gt;="&amp;Dashboard!$L23,'Monthly Forecast'!$D$8:$CI$8,"&lt;="&amp;Dashboard!$M23)+AVERAGEIFS('Monthly Forecast'!$D$56:$CI$56,'Monthly Forecast'!$D$8:$CI$8,"&gt;="&amp;Dashboard!$L23,'Monthly Forecast'!$D$8:$CI$8,"&lt;="&amp;Dashboard!$M23)</f>
        <v>211.6101851851852</v>
      </c>
      <c r="AI13" s="46">
        <f>AVERAGEIFS('Monthly Forecast'!$D$30:$CI$30,'Monthly Forecast'!$D$8:$CI$8,"&gt;="&amp;Dashboard!$L24,'Monthly Forecast'!$D$8:$CI$8,"&lt;="&amp;Dashboard!$M24)+AVERAGEIFS('Monthly Forecast'!$D$56:$CI$56,'Monthly Forecast'!$D$8:$CI$8,"&gt;="&amp;Dashboard!$L24,'Monthly Forecast'!$D$8:$CI$8,"&lt;="&amp;Dashboard!$M24)</f>
        <v>211.6101851851852</v>
      </c>
      <c r="AJ13" s="46">
        <f>AVERAGEIFS('Monthly Forecast'!$D$30:$CI$30,'Monthly Forecast'!$D$8:$CI$8,"&gt;="&amp;Dashboard!$L25,'Monthly Forecast'!$D$8:$CI$8,"&lt;="&amp;Dashboard!$M25)+AVERAGEIFS('Monthly Forecast'!$D$56:$CI$56,'Monthly Forecast'!$D$8:$CI$8,"&gt;="&amp;Dashboard!$L25,'Monthly Forecast'!$D$8:$CI$8,"&lt;="&amp;Dashboard!$M25)</f>
        <v>211.6101851851852</v>
      </c>
      <c r="AK13" s="46">
        <f>AVERAGEIFS('Monthly Forecast'!$D$30:$CI$30,'Monthly Forecast'!$D$8:$CI$8,"&gt;="&amp;Dashboard!$L26,'Monthly Forecast'!$D$8:$CI$8,"&lt;="&amp;Dashboard!$M26)+AVERAGEIFS('Monthly Forecast'!$D$56:$CI$56,'Monthly Forecast'!$D$8:$CI$8,"&gt;="&amp;Dashboard!$L26,'Monthly Forecast'!$D$8:$CI$8,"&lt;="&amp;Dashboard!$M26)</f>
        <v>211.6101851851852</v>
      </c>
      <c r="AL13" s="46">
        <f>AVERAGEIFS('Monthly Forecast'!$D$30:$CI$30,'Monthly Forecast'!$D$8:$CI$8,"&gt;="&amp;Dashboard!$L27,'Monthly Forecast'!$D$8:$CI$8,"&lt;="&amp;Dashboard!$M27)+AVERAGEIFS('Monthly Forecast'!$D$56:$CI$56,'Monthly Forecast'!$D$8:$CI$8,"&gt;="&amp;Dashboard!$L27,'Monthly Forecast'!$D$8:$CI$8,"&lt;="&amp;Dashboard!$M27)</f>
        <v>211.6101851851852</v>
      </c>
      <c r="AM13" s="353"/>
      <c r="AN13" s="353"/>
      <c r="AO13" s="353"/>
      <c r="AP13" s="353"/>
    </row>
    <row r="14" spans="2:42" ht="15.75" x14ac:dyDescent="0.25">
      <c r="B14" s="449" t="s">
        <v>318</v>
      </c>
      <c r="C14" s="360">
        <f>'Monthly Forecast'!J39</f>
        <v>1552</v>
      </c>
      <c r="D14" s="360">
        <f>'Monthly Forecast'!K39</f>
        <v>1546</v>
      </c>
      <c r="E14" s="360">
        <f>'Monthly Forecast'!L39</f>
        <v>1566</v>
      </c>
      <c r="F14" s="360">
        <f>'Monthly Forecast'!M39</f>
        <v>1509</v>
      </c>
      <c r="G14" s="360">
        <f>'Monthly Forecast'!N39</f>
        <v>1576</v>
      </c>
      <c r="H14" s="360">
        <f>'Monthly Forecast'!O39</f>
        <v>1536</v>
      </c>
      <c r="I14" s="360">
        <f>'Monthly Forecast'!P39</f>
        <v>1520</v>
      </c>
      <c r="J14" s="360">
        <f>'Monthly Forecast'!Q39</f>
        <v>1593</v>
      </c>
      <c r="K14" s="360">
        <f>'Monthly Forecast'!R39</f>
        <v>1524</v>
      </c>
      <c r="L14" s="360">
        <f>'Monthly Forecast'!S39</f>
        <v>1554</v>
      </c>
      <c r="M14" s="360">
        <f>'Monthly Forecast'!T39</f>
        <v>1556</v>
      </c>
      <c r="N14" s="360">
        <f>'Monthly Forecast'!U39</f>
        <v>1551</v>
      </c>
      <c r="O14" s="499">
        <f t="shared" si="1"/>
        <v>1548.5833333333333</v>
      </c>
      <c r="P14" s="360">
        <f>'Monthly Forecast'!V39</f>
        <v>1552</v>
      </c>
      <c r="Q14" s="360">
        <f>'Monthly Forecast'!W39</f>
        <v>1546</v>
      </c>
      <c r="R14" s="360">
        <f>'Monthly Forecast'!X39</f>
        <v>1566</v>
      </c>
      <c r="S14" s="499"/>
      <c r="T14" s="360">
        <f>'Monthly Forecast'!Y39</f>
        <v>1509</v>
      </c>
      <c r="U14" s="360">
        <f>'Monthly Forecast'!Z39</f>
        <v>1576</v>
      </c>
      <c r="V14" s="360">
        <f>'Monthly Forecast'!AA39</f>
        <v>1536</v>
      </c>
      <c r="W14" s="360">
        <f>'Monthly Forecast'!AB39</f>
        <v>1520</v>
      </c>
      <c r="X14" s="360">
        <f>'Monthly Forecast'!AC39</f>
        <v>1593</v>
      </c>
      <c r="Y14" s="360">
        <f>'Monthly Forecast'!AD39</f>
        <v>1524</v>
      </c>
      <c r="Z14" s="360">
        <f>'Monthly Forecast'!AE39</f>
        <v>1554</v>
      </c>
      <c r="AA14" s="360">
        <f>'Monthly Forecast'!AF39</f>
        <v>1556</v>
      </c>
      <c r="AB14" s="360">
        <f>'Monthly Forecast'!AG39</f>
        <v>1551</v>
      </c>
      <c r="AC14" s="360">
        <f>'Monthly Forecast'!AH39</f>
        <v>1552</v>
      </c>
      <c r="AD14" s="360">
        <f>'Monthly Forecast'!AI39</f>
        <v>1546</v>
      </c>
      <c r="AE14" s="360">
        <f>'Monthly Forecast'!AJ39</f>
        <v>1566</v>
      </c>
      <c r="AF14" s="499">
        <f t="shared" si="2"/>
        <v>1548.5833333333333</v>
      </c>
      <c r="AG14" s="360">
        <f>AVERAGEIFS('Monthly Forecast'!$D$39:$CI$39,'Monthly Forecast'!$D$8:$CI$8,"&gt;="&amp;Dashboard!$L22,'Monthly Forecast'!$D$8:$CI$8,"&lt;="&amp;Dashboard!$M22)</f>
        <v>1548.5833333333333</v>
      </c>
      <c r="AH14" s="360">
        <f>AVERAGEIFS('Monthly Forecast'!$D$39:$CI$39,'Monthly Forecast'!$D$8:$CI$8,"&gt;="&amp;Dashboard!$L23,'Monthly Forecast'!$D$8:$CI$8,"&lt;="&amp;Dashboard!$M23)</f>
        <v>1548.5833333333333</v>
      </c>
      <c r="AI14" s="360">
        <f>AVERAGEIFS('Monthly Forecast'!$D$39:$CI$39,'Monthly Forecast'!$D$8:$CI$8,"&gt;="&amp;Dashboard!$L24,'Monthly Forecast'!$D$8:$CI$8,"&lt;="&amp;Dashboard!$M24)</f>
        <v>1548.5833333333333</v>
      </c>
      <c r="AJ14" s="360">
        <f>AVERAGEIFS('Monthly Forecast'!$D$39:$CI$39,'Monthly Forecast'!$D$8:$CI$8,"&gt;="&amp;Dashboard!$L25,'Monthly Forecast'!$D$8:$CI$8,"&lt;="&amp;Dashboard!$M25)</f>
        <v>1548.5833333333333</v>
      </c>
      <c r="AK14" s="360">
        <f>AVERAGEIFS('Monthly Forecast'!$D$39:$CI$39,'Monthly Forecast'!$D$8:$CI$8,"&gt;="&amp;Dashboard!$L26,'Monthly Forecast'!$D$8:$CI$8,"&lt;="&amp;Dashboard!$M26)</f>
        <v>1548.5833333333333</v>
      </c>
      <c r="AL14" s="360">
        <f>AVERAGEIFS('Monthly Forecast'!$D$39:$CI$39,'Monthly Forecast'!$D$8:$CI$8,"&gt;="&amp;Dashboard!$L27,'Monthly Forecast'!$D$8:$CI$8,"&lt;="&amp;Dashboard!$M27)</f>
        <v>1548.5833333333333</v>
      </c>
      <c r="AM14" s="353"/>
      <c r="AN14" s="353"/>
      <c r="AO14" s="353"/>
      <c r="AP14" s="353"/>
    </row>
    <row r="15" spans="2:42" ht="15.75" x14ac:dyDescent="0.25">
      <c r="B15" s="450" t="s">
        <v>19</v>
      </c>
      <c r="C15" s="46">
        <f t="shared" ref="C15:E15" si="3">SUM(C11:C14)</f>
        <v>178541.97777777776</v>
      </c>
      <c r="D15" s="46">
        <f t="shared" si="3"/>
        <v>179247.97777777776</v>
      </c>
      <c r="E15" s="46">
        <f t="shared" si="3"/>
        <v>179567.97777777776</v>
      </c>
      <c r="F15" s="46">
        <f t="shared" ref="F15:R15" si="4">SUM(F11:F14)</f>
        <v>176576.97777777776</v>
      </c>
      <c r="G15" s="46">
        <f t="shared" si="4"/>
        <v>178900.97777777776</v>
      </c>
      <c r="H15" s="46">
        <f t="shared" si="4"/>
        <v>175984.98888888888</v>
      </c>
      <c r="I15" s="46">
        <f t="shared" si="4"/>
        <v>173485</v>
      </c>
      <c r="J15" s="46">
        <f t="shared" si="4"/>
        <v>174572</v>
      </c>
      <c r="K15" s="46">
        <f t="shared" si="4"/>
        <v>171809.24444444446</v>
      </c>
      <c r="L15" s="46">
        <f t="shared" si="4"/>
        <v>172055.24444444446</v>
      </c>
      <c r="M15" s="46">
        <f t="shared" si="4"/>
        <v>173786.97777777776</v>
      </c>
      <c r="N15" s="46">
        <f t="shared" si="4"/>
        <v>177482.97777777776</v>
      </c>
      <c r="O15" s="446">
        <f t="shared" si="1"/>
        <v>176001.02685185184</v>
      </c>
      <c r="P15" s="46">
        <f t="shared" si="4"/>
        <v>178841.97777777776</v>
      </c>
      <c r="Q15" s="46">
        <f t="shared" si="4"/>
        <v>179547.97777777776</v>
      </c>
      <c r="R15" s="46">
        <f t="shared" si="4"/>
        <v>179867.97777777776</v>
      </c>
      <c r="S15" s="446"/>
      <c r="T15" s="46">
        <f t="shared" ref="T15:AE15" si="5">SUM(T11:T14)</f>
        <v>176876.97777777776</v>
      </c>
      <c r="U15" s="46">
        <f t="shared" si="5"/>
        <v>179200.97777777776</v>
      </c>
      <c r="V15" s="46">
        <f t="shared" si="5"/>
        <v>176284.98888888888</v>
      </c>
      <c r="W15" s="46">
        <f t="shared" si="5"/>
        <v>173785</v>
      </c>
      <c r="X15" s="46">
        <f t="shared" si="5"/>
        <v>174872</v>
      </c>
      <c r="Y15" s="46">
        <f t="shared" si="5"/>
        <v>172109.24444444446</v>
      </c>
      <c r="Z15" s="46">
        <f t="shared" si="5"/>
        <v>172355.24444444446</v>
      </c>
      <c r="AA15" s="46">
        <f t="shared" si="5"/>
        <v>174086.97777777776</v>
      </c>
      <c r="AB15" s="46">
        <f t="shared" si="5"/>
        <v>177782.97777777776</v>
      </c>
      <c r="AC15" s="46">
        <f t="shared" si="5"/>
        <v>179141.97777777776</v>
      </c>
      <c r="AD15" s="46">
        <f t="shared" si="5"/>
        <v>179847.97777777776</v>
      </c>
      <c r="AE15" s="46">
        <f t="shared" si="5"/>
        <v>180167.97777777776</v>
      </c>
      <c r="AF15" s="446">
        <f t="shared" si="2"/>
        <v>176376.02685185184</v>
      </c>
      <c r="AG15" s="46">
        <f>SUM(AG11:AG14)</f>
        <v>175926.02685185187</v>
      </c>
      <c r="AH15" s="46">
        <f t="shared" ref="AH15:AL15" si="6">SUM(AH11:AH14)</f>
        <v>176226.02685185187</v>
      </c>
      <c r="AI15" s="46">
        <f t="shared" si="6"/>
        <v>176526.02685185187</v>
      </c>
      <c r="AJ15" s="46">
        <f t="shared" si="6"/>
        <v>176826.02685185187</v>
      </c>
      <c r="AK15" s="46">
        <f t="shared" si="6"/>
        <v>177126.02685185187</v>
      </c>
      <c r="AL15" s="46">
        <f t="shared" si="6"/>
        <v>177426.02685185187</v>
      </c>
      <c r="AM15" s="353"/>
      <c r="AN15" s="353"/>
      <c r="AO15" s="353"/>
      <c r="AP15" s="353"/>
    </row>
    <row r="16" spans="2:42" x14ac:dyDescent="0.2">
      <c r="B16" s="447" t="s">
        <v>555</v>
      </c>
      <c r="C16" s="447"/>
      <c r="D16" s="447"/>
      <c r="E16" s="447"/>
      <c r="F16" s="447"/>
      <c r="G16" s="447"/>
      <c r="H16" s="447"/>
      <c r="I16" s="447"/>
      <c r="J16" s="447"/>
      <c r="K16" s="447"/>
      <c r="L16" s="447"/>
      <c r="M16" s="447"/>
      <c r="N16" s="447"/>
      <c r="O16" s="445"/>
      <c r="P16" s="447"/>
      <c r="Q16" s="447"/>
      <c r="R16" s="447"/>
      <c r="S16" s="445"/>
      <c r="T16" s="447"/>
      <c r="U16" s="447"/>
      <c r="V16" s="447"/>
      <c r="W16" s="447"/>
      <c r="X16" s="447"/>
      <c r="Y16" s="447"/>
      <c r="Z16" s="447"/>
      <c r="AA16" s="447"/>
      <c r="AB16" s="447"/>
      <c r="AC16" s="447"/>
      <c r="AD16" s="447"/>
      <c r="AE16" s="447"/>
      <c r="AG16" s="380"/>
      <c r="AH16" s="380"/>
      <c r="AI16" s="380"/>
      <c r="AJ16" s="380"/>
      <c r="AK16" s="380"/>
      <c r="AL16" s="380"/>
      <c r="AM16" s="353"/>
      <c r="AN16" s="353"/>
      <c r="AO16" s="353"/>
      <c r="AP16" s="353"/>
    </row>
    <row r="17" spans="2:39" ht="15.75" x14ac:dyDescent="0.25">
      <c r="B17" s="449" t="s">
        <v>94</v>
      </c>
      <c r="C17" s="46">
        <f>'Monthly Forecast'!J16</f>
        <v>1911616.81</v>
      </c>
      <c r="D17" s="46">
        <f>'Monthly Forecast'!K16</f>
        <v>1996539.06</v>
      </c>
      <c r="E17" s="46">
        <f>'Monthly Forecast'!L16</f>
        <v>1415818.43</v>
      </c>
      <c r="F17" s="46">
        <f>'Monthly Forecast'!M16</f>
        <v>877744.13</v>
      </c>
      <c r="G17" s="46">
        <f>'Monthly Forecast'!N16</f>
        <v>408055.36</v>
      </c>
      <c r="H17" s="46">
        <f>'Monthly Forecast'!O16</f>
        <v>200720.30000000002</v>
      </c>
      <c r="I17" s="46">
        <f>'Monthly Forecast'!P16</f>
        <v>153876.92906564099</v>
      </c>
      <c r="J17" s="46">
        <f>'Monthly Forecast'!Q16</f>
        <v>154737.06557001124</v>
      </c>
      <c r="K17" s="46">
        <f>'Monthly Forecast'!R16</f>
        <v>156316.70990700857</v>
      </c>
      <c r="L17" s="46">
        <f>'Monthly Forecast'!S16</f>
        <v>329676.12480744399</v>
      </c>
      <c r="M17" s="46">
        <f>'Monthly Forecast'!T16</f>
        <v>871951.18591049837</v>
      </c>
      <c r="N17" s="46">
        <f>'Monthly Forecast'!U16</f>
        <v>1520107.4206662732</v>
      </c>
      <c r="O17" s="446">
        <f>SUM(C17:N17)</f>
        <v>9997159.5259268768</v>
      </c>
      <c r="P17" s="46">
        <f>'Monthly Forecast'!V16</f>
        <v>1915258.3181082793</v>
      </c>
      <c r="Q17" s="46">
        <f>'Monthly Forecast'!W16</f>
        <v>2000324.5861089306</v>
      </c>
      <c r="R17" s="46">
        <f>'Monthly Forecast'!X16</f>
        <v>1418507.6527391258</v>
      </c>
      <c r="S17" s="446"/>
      <c r="T17" s="46">
        <f>'Monthly Forecast'!Y16</f>
        <v>879434.00569909997</v>
      </c>
      <c r="U17" s="46">
        <f>'Monthly Forecast'!Z16</f>
        <v>408824.40533803555</v>
      </c>
      <c r="V17" s="46">
        <f>'Monthly Forecast'!AA16</f>
        <v>201104.06382711162</v>
      </c>
      <c r="W17" s="46">
        <f>'Monthly Forecast'!AB16</f>
        <v>154175.24230415092</v>
      </c>
      <c r="X17" s="46">
        <f>'Monthly Forecast'!AC16</f>
        <v>155035.37880852114</v>
      </c>
      <c r="Y17" s="46">
        <f>'Monthly Forecast'!AD16</f>
        <v>156622.79314551849</v>
      </c>
      <c r="Z17" s="46">
        <f>'Monthly Forecast'!AE16</f>
        <v>330320.33804595389</v>
      </c>
      <c r="AA17" s="46">
        <f>'Monthly Forecast'!AF16</f>
        <v>873656.35074900824</v>
      </c>
      <c r="AB17" s="46">
        <f>'Monthly Forecast'!AG16</f>
        <v>1523006.0829047831</v>
      </c>
      <c r="AC17" s="46">
        <f>'Monthly Forecast'!AH16</f>
        <v>1918899.7777467889</v>
      </c>
      <c r="AD17" s="46">
        <f>'Monthly Forecast'!AI16</f>
        <v>2004125.9942474405</v>
      </c>
      <c r="AE17" s="46">
        <f>'Monthly Forecast'!AJ16</f>
        <v>1421181.0898776357</v>
      </c>
      <c r="AF17" s="446">
        <f>SUM(T17:AE17)</f>
        <v>10026385.522694048</v>
      </c>
      <c r="AG17" s="46">
        <f>SUMIFS('Monthly Forecast'!$D$16:$CI$16,'Monthly Forecast'!$D$8:$CI$8,"&gt;="&amp;Dashboard!$L22,'Monthly Forecast'!$D$8:$CI$8,"&lt;="&amp;Dashboard!$M22)</f>
        <v>9991895.6245426629</v>
      </c>
      <c r="AH17" s="46">
        <f>SUMIFS('Monthly Forecast'!$D$16:$CI$16,'Monthly Forecast'!$D$8:$CI$8,"&gt;="&amp;Dashboard!$L23,'Monthly Forecast'!$D$8:$CI$8,"&lt;="&amp;Dashboard!$M23)</f>
        <v>10011021.177462989</v>
      </c>
      <c r="AI17" s="46">
        <f>SUMIFS('Monthly Forecast'!$D$16:$CI$16,'Monthly Forecast'!$D$8:$CI$8,"&gt;="&amp;Dashboard!$L24,'Monthly Forecast'!$D$8:$CI$8,"&lt;="&amp;Dashboard!$M24)</f>
        <v>10030146.499525107</v>
      </c>
      <c r="AJ17" s="46">
        <f>SUMIFS('Monthly Forecast'!$D$16:$CI$16,'Monthly Forecast'!$D$8:$CI$8,"&gt;="&amp;Dashboard!$L25,'Monthly Forecast'!$D$8:$CI$8,"&lt;="&amp;Dashboard!$M25)</f>
        <v>10049272.308187226</v>
      </c>
      <c r="AK17" s="46">
        <f>SUMIFS('Monthly Forecast'!$D$16:$CI$16,'Monthly Forecast'!$D$8:$CI$8,"&gt;="&amp;Dashboard!$L26,'Monthly Forecast'!$D$8:$CI$8,"&lt;="&amp;Dashboard!$M26)</f>
        <v>10068398.621149346</v>
      </c>
      <c r="AL17" s="46">
        <f>SUMIFS('Monthly Forecast'!$D$16:$CI$16,'Monthly Forecast'!$D$8:$CI$8,"&gt;="&amp;Dashboard!$L27,'Monthly Forecast'!$D$8:$CI$8,"&lt;="&amp;Dashboard!$M27)</f>
        <v>10087541.241311464</v>
      </c>
      <c r="AM17" s="353"/>
    </row>
    <row r="18" spans="2:39" ht="15.75" x14ac:dyDescent="0.25">
      <c r="B18" s="449" t="s">
        <v>124</v>
      </c>
      <c r="C18" s="46">
        <f>'Monthly Forecast'!J25+'Monthly Forecast'!J51</f>
        <v>807568.25</v>
      </c>
      <c r="D18" s="46">
        <f>'Monthly Forecast'!K25+'Monthly Forecast'!K51</f>
        <v>835526.42</v>
      </c>
      <c r="E18" s="46">
        <f>'Monthly Forecast'!L25+'Monthly Forecast'!L51</f>
        <v>625113.37</v>
      </c>
      <c r="F18" s="46">
        <f>'Monthly Forecast'!M25+'Monthly Forecast'!M51</f>
        <v>425721.5799999999</v>
      </c>
      <c r="G18" s="46">
        <f>'Monthly Forecast'!N25+'Monthly Forecast'!N51</f>
        <v>256879.33000000002</v>
      </c>
      <c r="H18" s="46">
        <f>'Monthly Forecast'!O25+'Monthly Forecast'!O51</f>
        <v>177329.41</v>
      </c>
      <c r="I18" s="46">
        <f>'Monthly Forecast'!P25+'Monthly Forecast'!P51</f>
        <v>158347.93000000002</v>
      </c>
      <c r="J18" s="46">
        <f>'Monthly Forecast'!Q25+'Monthly Forecast'!Q51</f>
        <v>159554.13</v>
      </c>
      <c r="K18" s="46">
        <f>'Monthly Forecast'!R25+'Monthly Forecast'!R51</f>
        <v>158390.78</v>
      </c>
      <c r="L18" s="46">
        <f>'Monthly Forecast'!S25+'Monthly Forecast'!S51</f>
        <v>218737.8</v>
      </c>
      <c r="M18" s="46">
        <f>'Monthly Forecast'!T25+'Monthly Forecast'!T51</f>
        <v>418787.74999999994</v>
      </c>
      <c r="N18" s="46">
        <f>'Monthly Forecast'!U25+'Monthly Forecast'!U51</f>
        <v>653875.34000000008</v>
      </c>
      <c r="O18" s="446">
        <f t="shared" ref="O18:O21" si="7">SUM(C18:N18)</f>
        <v>4895832.09</v>
      </c>
      <c r="P18" s="46">
        <f>'Monthly Forecast'!V25+'Monthly Forecast'!V51</f>
        <v>807568.25</v>
      </c>
      <c r="Q18" s="46">
        <f>'Monthly Forecast'!W25+'Monthly Forecast'!W51</f>
        <v>835526.42</v>
      </c>
      <c r="R18" s="46">
        <f>'Monthly Forecast'!X25+'Monthly Forecast'!X51</f>
        <v>625113.37</v>
      </c>
      <c r="S18" s="446"/>
      <c r="T18" s="46">
        <f>'Monthly Forecast'!Y25+'Monthly Forecast'!Y51</f>
        <v>425721.5799999999</v>
      </c>
      <c r="U18" s="46">
        <f>'Monthly Forecast'!Z25+'Monthly Forecast'!Z51</f>
        <v>256879.33000000002</v>
      </c>
      <c r="V18" s="46">
        <f>'Monthly Forecast'!AA25+'Monthly Forecast'!AA51</f>
        <v>177329.41</v>
      </c>
      <c r="W18" s="46">
        <f>'Monthly Forecast'!AB25+'Monthly Forecast'!AB51</f>
        <v>158347.93000000002</v>
      </c>
      <c r="X18" s="46">
        <f>'Monthly Forecast'!AC25+'Monthly Forecast'!AC51</f>
        <v>159554.13</v>
      </c>
      <c r="Y18" s="46">
        <f>'Monthly Forecast'!AD25+'Monthly Forecast'!AD51</f>
        <v>158390.78</v>
      </c>
      <c r="Z18" s="46">
        <f>'Monthly Forecast'!AE25+'Monthly Forecast'!AE51</f>
        <v>218737.8</v>
      </c>
      <c r="AA18" s="46">
        <f>'Monthly Forecast'!AF25+'Monthly Forecast'!AF51</f>
        <v>418787.74999999994</v>
      </c>
      <c r="AB18" s="46">
        <f>'Monthly Forecast'!AG25+'Monthly Forecast'!AG51</f>
        <v>653875.34000000008</v>
      </c>
      <c r="AC18" s="46">
        <f>'Monthly Forecast'!AH25+'Monthly Forecast'!AH51</f>
        <v>807568.25</v>
      </c>
      <c r="AD18" s="46">
        <f>'Monthly Forecast'!AI25+'Monthly Forecast'!AI51</f>
        <v>835526.42</v>
      </c>
      <c r="AE18" s="46">
        <f>'Monthly Forecast'!AJ25+'Monthly Forecast'!AJ51</f>
        <v>625113.37</v>
      </c>
      <c r="AF18" s="446">
        <f t="shared" ref="AF18:AF21" si="8">SUM(T18:AE18)</f>
        <v>4895832.09</v>
      </c>
      <c r="AG18" s="46">
        <f>SUMIFS('Monthly Forecast'!$D$25:$CI$25,'Monthly Forecast'!$D$8:$CI$8,"&gt;="&amp;Dashboard!$L22,'Monthly Forecast'!$D$8:$CI$8,"&lt;="&amp;Dashboard!$M22)+SUMIFS('Monthly Forecast'!$D$51:$CI$51,'Monthly Forecast'!$D$8:$CI$8,"&gt;="&amp;Dashboard!$L22,'Monthly Forecast'!$D$8:$CI$8,"&lt;="&amp;Dashboard!$M22)</f>
        <v>4895832.09</v>
      </c>
      <c r="AH18" s="46">
        <f>SUMIFS('Monthly Forecast'!$D$25:$CI$25,'Monthly Forecast'!$D$8:$CI$8,"&gt;="&amp;Dashboard!$L23,'Monthly Forecast'!$D$8:$CI$8,"&lt;="&amp;Dashboard!$M23)+SUMIFS('Monthly Forecast'!$D$51:$CI$51,'Monthly Forecast'!$D$8:$CI$8,"&gt;="&amp;Dashboard!$L23,'Monthly Forecast'!$D$8:$CI$8,"&lt;="&amp;Dashboard!$M23)</f>
        <v>4895832.09</v>
      </c>
      <c r="AI18" s="46">
        <f>SUMIFS('Monthly Forecast'!$D$25:$CI$25,'Monthly Forecast'!$D$8:$CI$8,"&gt;="&amp;Dashboard!$L24,'Monthly Forecast'!$D$8:$CI$8,"&lt;="&amp;Dashboard!$M24)+SUMIFS('Monthly Forecast'!$D$51:$CI$51,'Monthly Forecast'!$D$8:$CI$8,"&gt;="&amp;Dashboard!$L24,'Monthly Forecast'!$D$8:$CI$8,"&lt;="&amp;Dashboard!$M24)</f>
        <v>4895832.09</v>
      </c>
      <c r="AJ18" s="46">
        <f>SUMIFS('Monthly Forecast'!$D$25:$CI$25,'Monthly Forecast'!$D$8:$CI$8,"&gt;="&amp;Dashboard!$L25,'Monthly Forecast'!$D$8:$CI$8,"&lt;="&amp;Dashboard!$M25)+SUMIFS('Monthly Forecast'!$D$51:$CI$51,'Monthly Forecast'!$D$8:$CI$8,"&gt;="&amp;Dashboard!$L25,'Monthly Forecast'!$D$8:$CI$8,"&lt;="&amp;Dashboard!$M25)</f>
        <v>4895832.09</v>
      </c>
      <c r="AK18" s="46">
        <f>SUMIFS('Monthly Forecast'!$D$25:$CI$25,'Monthly Forecast'!$D$8:$CI$8,"&gt;="&amp;Dashboard!$L26,'Monthly Forecast'!$D$8:$CI$8,"&lt;="&amp;Dashboard!$M26)+SUMIFS('Monthly Forecast'!$D$51:$CI$51,'Monthly Forecast'!$D$8:$CI$8,"&gt;="&amp;Dashboard!$L26,'Monthly Forecast'!$D$8:$CI$8,"&lt;="&amp;Dashboard!$M26)</f>
        <v>4895832.09</v>
      </c>
      <c r="AL18" s="46">
        <f>SUMIFS('Monthly Forecast'!$D$25:$CI$25,'Monthly Forecast'!$D$8:$CI$8,"&gt;="&amp;Dashboard!$L27,'Monthly Forecast'!$D$8:$CI$8,"&lt;="&amp;Dashboard!$M27)+SUMIFS('Monthly Forecast'!$D$51:$CI$51,'Monthly Forecast'!$D$8:$CI$8,"&gt;="&amp;Dashboard!$L27,'Monthly Forecast'!$D$8:$CI$8,"&lt;="&amp;Dashboard!$M27)</f>
        <v>4895832.09</v>
      </c>
    </row>
    <row r="19" spans="2:39" ht="15.75" x14ac:dyDescent="0.25">
      <c r="B19" s="449" t="s">
        <v>317</v>
      </c>
      <c r="C19" s="46">
        <f>'Monthly Forecast'!J34+'Monthly Forecast'!J59</f>
        <v>178732.01</v>
      </c>
      <c r="D19" s="46">
        <f>'Monthly Forecast'!K34+'Monthly Forecast'!K59</f>
        <v>122799.52999999998</v>
      </c>
      <c r="E19" s="46">
        <f>'Monthly Forecast'!L34+'Monthly Forecast'!L59</f>
        <v>102872.92</v>
      </c>
      <c r="F19" s="46">
        <f>'Monthly Forecast'!M34+'Monthly Forecast'!M59</f>
        <v>59310.45</v>
      </c>
      <c r="G19" s="46">
        <f>'Monthly Forecast'!N34+'Monthly Forecast'!N59</f>
        <v>59300.590000000004</v>
      </c>
      <c r="H19" s="46">
        <f>'Monthly Forecast'!O34+'Monthly Forecast'!O59</f>
        <v>44558.53</v>
      </c>
      <c r="I19" s="46">
        <f>'Monthly Forecast'!P34+'Monthly Forecast'!P59</f>
        <v>71569.06</v>
      </c>
      <c r="J19" s="46">
        <f>'Monthly Forecast'!Q34+'Monthly Forecast'!Q59</f>
        <v>51379.65</v>
      </c>
      <c r="K19" s="46">
        <f>'Monthly Forecast'!R34+'Monthly Forecast'!R59</f>
        <v>58557.880000000005</v>
      </c>
      <c r="L19" s="46">
        <f>'Monthly Forecast'!S34+'Monthly Forecast'!S59</f>
        <v>43095.759999999995</v>
      </c>
      <c r="M19" s="46">
        <f>'Monthly Forecast'!T34+'Monthly Forecast'!T59</f>
        <v>56359.42</v>
      </c>
      <c r="N19" s="46">
        <f>'Monthly Forecast'!U34+'Monthly Forecast'!U59</f>
        <v>124134.66</v>
      </c>
      <c r="O19" s="446">
        <f t="shared" si="7"/>
        <v>972670.4600000002</v>
      </c>
      <c r="P19" s="46">
        <f>'Monthly Forecast'!V34+'Monthly Forecast'!V59</f>
        <v>178732.01</v>
      </c>
      <c r="Q19" s="46">
        <f>'Monthly Forecast'!W34+'Monthly Forecast'!W59</f>
        <v>122799.52999999998</v>
      </c>
      <c r="R19" s="46">
        <f>'Monthly Forecast'!X34+'Monthly Forecast'!X59</f>
        <v>102872.92</v>
      </c>
      <c r="S19" s="446"/>
      <c r="T19" s="46">
        <f>'Monthly Forecast'!Y34+'Monthly Forecast'!Y59</f>
        <v>59310.45</v>
      </c>
      <c r="U19" s="46">
        <f>'Monthly Forecast'!Z34+'Monthly Forecast'!Z59</f>
        <v>59300.590000000004</v>
      </c>
      <c r="V19" s="46">
        <f>'Monthly Forecast'!AA34+'Monthly Forecast'!AA59</f>
        <v>44558.53</v>
      </c>
      <c r="W19" s="46">
        <f>'Monthly Forecast'!AB34+'Monthly Forecast'!AB59</f>
        <v>71569.06</v>
      </c>
      <c r="X19" s="46">
        <f>'Monthly Forecast'!AC34+'Monthly Forecast'!AC59</f>
        <v>51379.65</v>
      </c>
      <c r="Y19" s="46">
        <f>'Monthly Forecast'!AD34+'Monthly Forecast'!AD59</f>
        <v>58557.880000000005</v>
      </c>
      <c r="Z19" s="46">
        <f>'Monthly Forecast'!AE34+'Monthly Forecast'!AE59</f>
        <v>43095.759999999995</v>
      </c>
      <c r="AA19" s="46">
        <f>'Monthly Forecast'!AF34+'Monthly Forecast'!AF59</f>
        <v>56359.42</v>
      </c>
      <c r="AB19" s="46">
        <f>'Monthly Forecast'!AG34+'Monthly Forecast'!AG59</f>
        <v>124134.66</v>
      </c>
      <c r="AC19" s="46">
        <f>'Monthly Forecast'!AH34+'Monthly Forecast'!AH59</f>
        <v>178732.01</v>
      </c>
      <c r="AD19" s="46">
        <f>'Monthly Forecast'!AI34+'Monthly Forecast'!AI59</f>
        <v>122799.52999999998</v>
      </c>
      <c r="AE19" s="46">
        <f>'Monthly Forecast'!AJ34+'Monthly Forecast'!AJ59</f>
        <v>102872.92</v>
      </c>
      <c r="AF19" s="446">
        <f t="shared" si="8"/>
        <v>972670.46000000008</v>
      </c>
      <c r="AG19" s="46">
        <f>SUMIFS('Monthly Forecast'!$D$34:$CI$34,'Monthly Forecast'!$D$8:$CI$8,"&gt;="&amp;Dashboard!$L22,'Monthly Forecast'!$D$8:$CI$8,"&lt;="&amp;Dashboard!$M22)+SUMIFS('Monthly Forecast'!$D$59:$CI$59,'Monthly Forecast'!$D$8:$CI$8,"&gt;="&amp;Dashboard!$L22,'Monthly Forecast'!$D$8:$CI$8,"&lt;="&amp;Dashboard!$M22)</f>
        <v>972670.46</v>
      </c>
      <c r="AH19" s="46">
        <f>SUMIFS('Monthly Forecast'!$D$34:$CI$34,'Monthly Forecast'!$D$8:$CI$8,"&gt;="&amp;Dashboard!$L23,'Monthly Forecast'!$D$8:$CI$8,"&lt;="&amp;Dashboard!$M23)+SUMIFS('Monthly Forecast'!$D$59:$CI$59,'Monthly Forecast'!$D$8:$CI$8,"&gt;="&amp;Dashboard!$L23,'Monthly Forecast'!$D$8:$CI$8,"&lt;="&amp;Dashboard!$M23)</f>
        <v>972670.46</v>
      </c>
      <c r="AI19" s="46">
        <f>SUMIFS('Monthly Forecast'!$D$34:$CI$34,'Monthly Forecast'!$D$8:$CI$8,"&gt;="&amp;Dashboard!$L24,'Monthly Forecast'!$D$8:$CI$8,"&lt;="&amp;Dashboard!$M24)+SUMIFS('Monthly Forecast'!$D$59:$CI$59,'Monthly Forecast'!$D$8:$CI$8,"&gt;="&amp;Dashboard!$L24,'Monthly Forecast'!$D$8:$CI$8,"&lt;="&amp;Dashboard!$M24)</f>
        <v>972670.46</v>
      </c>
      <c r="AJ19" s="46">
        <f>SUMIFS('Monthly Forecast'!$D$34:$CI$34,'Monthly Forecast'!$D$8:$CI$8,"&gt;="&amp;Dashboard!$L25,'Monthly Forecast'!$D$8:$CI$8,"&lt;="&amp;Dashboard!$M25)+SUMIFS('Monthly Forecast'!$D$59:$CI$59,'Monthly Forecast'!$D$8:$CI$8,"&gt;="&amp;Dashboard!$L25,'Monthly Forecast'!$D$8:$CI$8,"&lt;="&amp;Dashboard!$M25)</f>
        <v>972670.46</v>
      </c>
      <c r="AK19" s="46">
        <f>SUMIFS('Monthly Forecast'!$D$34:$CI$34,'Monthly Forecast'!$D$8:$CI$8,"&gt;="&amp;Dashboard!$L26,'Monthly Forecast'!$D$8:$CI$8,"&lt;="&amp;Dashboard!$M26)+SUMIFS('Monthly Forecast'!$D$59:$CI$59,'Monthly Forecast'!$D$8:$CI$8,"&gt;="&amp;Dashboard!$L26,'Monthly Forecast'!$D$8:$CI$8,"&lt;="&amp;Dashboard!$M26)</f>
        <v>972670.46</v>
      </c>
      <c r="AL19" s="46">
        <f>SUMIFS('Monthly Forecast'!$D$34:$CI$34,'Monthly Forecast'!$D$8:$CI$8,"&gt;="&amp;Dashboard!$L27,'Monthly Forecast'!$D$8:$CI$8,"&lt;="&amp;Dashboard!$M27)+SUMIFS('Monthly Forecast'!$D$59:$CI$59,'Monthly Forecast'!$D$8:$CI$8,"&gt;="&amp;Dashboard!$L27,'Monthly Forecast'!$D$8:$CI$8,"&lt;="&amp;Dashboard!$M27)</f>
        <v>972670.46</v>
      </c>
    </row>
    <row r="20" spans="2:39" ht="15.75" x14ac:dyDescent="0.25">
      <c r="B20" s="449" t="s">
        <v>318</v>
      </c>
      <c r="C20" s="360">
        <f>'Monthly Forecast'!J43</f>
        <v>165658.60999999999</v>
      </c>
      <c r="D20" s="360">
        <f>'Monthly Forecast'!K43</f>
        <v>171037.03999999998</v>
      </c>
      <c r="E20" s="360">
        <f>'Monthly Forecast'!L43</f>
        <v>126778.59</v>
      </c>
      <c r="F20" s="360">
        <f>'Monthly Forecast'!M43</f>
        <v>81989.37</v>
      </c>
      <c r="G20" s="360">
        <f>'Monthly Forecast'!N43</f>
        <v>46989.14</v>
      </c>
      <c r="H20" s="360">
        <f>'Monthly Forecast'!O43</f>
        <v>29794.819999999996</v>
      </c>
      <c r="I20" s="360">
        <f>'Monthly Forecast'!P43</f>
        <v>25964.93</v>
      </c>
      <c r="J20" s="360">
        <f>'Monthly Forecast'!Q43</f>
        <v>27211.56</v>
      </c>
      <c r="K20" s="360">
        <f>'Monthly Forecast'!R43</f>
        <v>26353.82</v>
      </c>
      <c r="L20" s="360">
        <f>'Monthly Forecast'!S43</f>
        <v>41100.239999999998</v>
      </c>
      <c r="M20" s="360">
        <f>'Monthly Forecast'!T43</f>
        <v>85198.180000000008</v>
      </c>
      <c r="N20" s="360">
        <f>'Monthly Forecast'!U43</f>
        <v>135030.37</v>
      </c>
      <c r="O20" s="499">
        <f t="shared" si="7"/>
        <v>963106.67</v>
      </c>
      <c r="P20" s="360">
        <f>'Monthly Forecast'!V43</f>
        <v>165658.60999999999</v>
      </c>
      <c r="Q20" s="360">
        <f>'Monthly Forecast'!W43</f>
        <v>171037.03999999998</v>
      </c>
      <c r="R20" s="360">
        <f>'Monthly Forecast'!X43</f>
        <v>126778.59</v>
      </c>
      <c r="S20" s="499"/>
      <c r="T20" s="360">
        <f>'Monthly Forecast'!Y43</f>
        <v>81989.37</v>
      </c>
      <c r="U20" s="360">
        <f>'Monthly Forecast'!Z43</f>
        <v>46989.14</v>
      </c>
      <c r="V20" s="360">
        <f>'Monthly Forecast'!AA43</f>
        <v>29794.819999999996</v>
      </c>
      <c r="W20" s="360">
        <f>'Monthly Forecast'!AB43</f>
        <v>25964.93</v>
      </c>
      <c r="X20" s="360">
        <f>'Monthly Forecast'!AC43</f>
        <v>27211.56</v>
      </c>
      <c r="Y20" s="360">
        <f>'Monthly Forecast'!AD43</f>
        <v>26353.82</v>
      </c>
      <c r="Z20" s="360">
        <f>'Monthly Forecast'!AE43</f>
        <v>41100.239999999998</v>
      </c>
      <c r="AA20" s="360">
        <f>'Monthly Forecast'!AF43</f>
        <v>85198.180000000008</v>
      </c>
      <c r="AB20" s="360">
        <f>'Monthly Forecast'!AG43</f>
        <v>135030.37</v>
      </c>
      <c r="AC20" s="360">
        <f>'Monthly Forecast'!AH43</f>
        <v>165658.60999999999</v>
      </c>
      <c r="AD20" s="360">
        <f>'Monthly Forecast'!AI43</f>
        <v>171037.03999999998</v>
      </c>
      <c r="AE20" s="360">
        <f>'Monthly Forecast'!AJ43</f>
        <v>126778.59</v>
      </c>
      <c r="AF20" s="499">
        <f t="shared" si="8"/>
        <v>963106.67</v>
      </c>
      <c r="AG20" s="360">
        <f>SUMIFS('Monthly Forecast'!$D$43:$CI$43,'Monthly Forecast'!$D$8:$CI$8,"&gt;="&amp;Dashboard!$L22,'Monthly Forecast'!$D$8:$CI$8,"&lt;="&amp;Dashboard!$M22)</f>
        <v>963106.66999999993</v>
      </c>
      <c r="AH20" s="360">
        <f>SUMIFS('Monthly Forecast'!$D$43:$CI$43,'Monthly Forecast'!$D$8:$CI$8,"&gt;="&amp;Dashboard!$L23,'Monthly Forecast'!$D$8:$CI$8,"&lt;="&amp;Dashboard!$M23)</f>
        <v>963106.66999999993</v>
      </c>
      <c r="AI20" s="360">
        <f>SUMIFS('Monthly Forecast'!$D$43:$CI$43,'Monthly Forecast'!$D$8:$CI$8,"&gt;="&amp;Dashboard!$L24,'Monthly Forecast'!$D$8:$CI$8,"&lt;="&amp;Dashboard!$M24)</f>
        <v>963106.66999999993</v>
      </c>
      <c r="AJ20" s="360">
        <f>SUMIFS('Monthly Forecast'!$D$43:$CI$43,'Monthly Forecast'!$D$8:$CI$8,"&gt;="&amp;Dashboard!$L25,'Monthly Forecast'!$D$8:$CI$8,"&lt;="&amp;Dashboard!$M25)</f>
        <v>963106.66999999993</v>
      </c>
      <c r="AK20" s="360">
        <f>SUMIFS('Monthly Forecast'!$D$43:$CI$43,'Monthly Forecast'!$D$8:$CI$8,"&gt;="&amp;Dashboard!$L26,'Monthly Forecast'!$D$8:$CI$8,"&lt;="&amp;Dashboard!$M26)</f>
        <v>963106.66999999993</v>
      </c>
      <c r="AL20" s="360">
        <f>SUMIFS('Monthly Forecast'!$D$43:$CI$43,'Monthly Forecast'!$D$8:$CI$8,"&gt;="&amp;Dashboard!$L27,'Monthly Forecast'!$D$8:$CI$8,"&lt;="&amp;Dashboard!$M27)</f>
        <v>963106.66999999993</v>
      </c>
    </row>
    <row r="21" spans="2:39" ht="15.75" x14ac:dyDescent="0.25">
      <c r="B21" s="450" t="s">
        <v>19</v>
      </c>
      <c r="C21" s="466">
        <f t="shared" ref="C21:E21" si="9">SUM(C17:C20)</f>
        <v>3063575.68</v>
      </c>
      <c r="D21" s="466">
        <f t="shared" si="9"/>
        <v>3125902.05</v>
      </c>
      <c r="E21" s="466">
        <f t="shared" si="9"/>
        <v>2270583.3099999996</v>
      </c>
      <c r="F21" s="466">
        <f t="shared" ref="F21:R21" si="10">SUM(F17:F20)</f>
        <v>1444765.5299999998</v>
      </c>
      <c r="G21" s="466">
        <f t="shared" si="10"/>
        <v>771224.41999999993</v>
      </c>
      <c r="H21" s="466">
        <f t="shared" si="10"/>
        <v>452403.06</v>
      </c>
      <c r="I21" s="466">
        <f t="shared" si="10"/>
        <v>409758.849065641</v>
      </c>
      <c r="J21" s="466">
        <f t="shared" si="10"/>
        <v>392882.40557001129</v>
      </c>
      <c r="K21" s="466">
        <f t="shared" si="10"/>
        <v>399619.18990700861</v>
      </c>
      <c r="L21" s="466">
        <f t="shared" si="10"/>
        <v>632609.92480744398</v>
      </c>
      <c r="M21" s="466">
        <f t="shared" si="10"/>
        <v>1432296.5359104981</v>
      </c>
      <c r="N21" s="466">
        <f t="shared" si="10"/>
        <v>2433147.7906662738</v>
      </c>
      <c r="O21" s="446">
        <f t="shared" si="7"/>
        <v>16828768.745926876</v>
      </c>
      <c r="P21" s="466">
        <f t="shared" si="10"/>
        <v>3067217.1881082789</v>
      </c>
      <c r="Q21" s="466">
        <f t="shared" si="10"/>
        <v>3129687.5761089306</v>
      </c>
      <c r="R21" s="466">
        <f t="shared" si="10"/>
        <v>2273272.5327391257</v>
      </c>
      <c r="S21" s="446"/>
      <c r="T21" s="466">
        <f t="shared" ref="T21:AE21" si="11">SUM(T17:T20)</f>
        <v>1446455.4056990999</v>
      </c>
      <c r="U21" s="466">
        <f t="shared" si="11"/>
        <v>771993.46533803549</v>
      </c>
      <c r="V21" s="466">
        <f t="shared" si="11"/>
        <v>452786.82382711169</v>
      </c>
      <c r="W21" s="466">
        <f t="shared" si="11"/>
        <v>410057.16230415093</v>
      </c>
      <c r="X21" s="466">
        <f t="shared" si="11"/>
        <v>393180.71880852117</v>
      </c>
      <c r="Y21" s="466">
        <f t="shared" si="11"/>
        <v>399925.2731455185</v>
      </c>
      <c r="Z21" s="466">
        <f t="shared" si="11"/>
        <v>633254.13804595382</v>
      </c>
      <c r="AA21" s="466">
        <f t="shared" si="11"/>
        <v>1434001.700749008</v>
      </c>
      <c r="AB21" s="466">
        <f t="shared" si="11"/>
        <v>2436046.4529047832</v>
      </c>
      <c r="AC21" s="466">
        <f t="shared" si="11"/>
        <v>3070858.6477467888</v>
      </c>
      <c r="AD21" s="466">
        <f t="shared" si="11"/>
        <v>3133488.9842474405</v>
      </c>
      <c r="AE21" s="466">
        <f t="shared" si="11"/>
        <v>2275945.9698776356</v>
      </c>
      <c r="AF21" s="446">
        <f t="shared" si="8"/>
        <v>16857994.742694046</v>
      </c>
      <c r="AG21" s="466">
        <f>SUM(AG17:AG20)</f>
        <v>16823504.84454266</v>
      </c>
      <c r="AH21" s="466">
        <f t="shared" ref="AH21:AL21" si="12">SUM(AH17:AH20)</f>
        <v>16842630.397462986</v>
      </c>
      <c r="AI21" s="466">
        <f t="shared" si="12"/>
        <v>16861755.719525106</v>
      </c>
      <c r="AJ21" s="466">
        <f t="shared" si="12"/>
        <v>16880881.528187223</v>
      </c>
      <c r="AK21" s="466">
        <f t="shared" si="12"/>
        <v>16900007.841149345</v>
      </c>
      <c r="AL21" s="466">
        <f t="shared" si="12"/>
        <v>16919150.461311467</v>
      </c>
    </row>
    <row r="22" spans="2:39" x14ac:dyDescent="0.2"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P22" s="211"/>
      <c r="Q22" s="211"/>
      <c r="R22" s="211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G22" s="211"/>
      <c r="AH22" s="211"/>
      <c r="AI22" s="211"/>
      <c r="AJ22" s="211"/>
      <c r="AK22" s="211"/>
      <c r="AL22" s="211"/>
    </row>
    <row r="23" spans="2:39" x14ac:dyDescent="0.2"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P23" s="211"/>
      <c r="Q23" s="211"/>
      <c r="R23" s="211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52">
        <f t="shared" ref="AF23" si="13">AF17/AF11</f>
        <v>63.782194171297832</v>
      </c>
      <c r="AG23" s="380">
        <f>AG17/AG11</f>
        <v>63.745269052839284</v>
      </c>
      <c r="AH23" s="380">
        <f t="shared" ref="AH23:AL23" si="14">AH17/AH11</f>
        <v>63.745281610871821</v>
      </c>
      <c r="AI23" s="380">
        <f t="shared" si="14"/>
        <v>63.745292653828443</v>
      </c>
      <c r="AJ23" s="380">
        <f t="shared" si="14"/>
        <v>63.745306741394003</v>
      </c>
      <c r="AK23" s="380">
        <f t="shared" si="14"/>
        <v>63.74532396828274</v>
      </c>
      <c r="AL23" s="380">
        <f t="shared" si="14"/>
        <v>63.745444178723261</v>
      </c>
    </row>
    <row r="24" spans="2:39" x14ac:dyDescent="0.2"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P24" s="211"/>
      <c r="Q24" s="211"/>
      <c r="R24" s="211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52">
        <f t="shared" ref="AF24:AG24" si="15">AF18/AF12</f>
        <v>281.06947599068047</v>
      </c>
      <c r="AG24" s="380">
        <f t="shared" si="15"/>
        <v>281.06947599068042</v>
      </c>
      <c r="AH24" s="380">
        <f t="shared" ref="AH24:AL24" si="16">AH18/AH12</f>
        <v>281.06947599068042</v>
      </c>
      <c r="AI24" s="380">
        <f t="shared" si="16"/>
        <v>281.06947599068042</v>
      </c>
      <c r="AJ24" s="380">
        <f t="shared" si="16"/>
        <v>281.06947599068042</v>
      </c>
      <c r="AK24" s="380">
        <f t="shared" si="16"/>
        <v>281.06947599068042</v>
      </c>
      <c r="AL24" s="380">
        <f t="shared" si="16"/>
        <v>281.06947599068042</v>
      </c>
    </row>
    <row r="25" spans="2:39" x14ac:dyDescent="0.2"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P25" s="211"/>
      <c r="Q25" s="211"/>
      <c r="R25" s="211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52">
        <f t="shared" ref="AF25:AG25" si="17">AF19/AF13</f>
        <v>4596.5200547827726</v>
      </c>
      <c r="AG25" s="380">
        <f t="shared" si="17"/>
        <v>4596.5200547827717</v>
      </c>
      <c r="AH25" s="380">
        <f t="shared" ref="AH25:AL25" si="18">AH19/AH13</f>
        <v>4596.5200547827717</v>
      </c>
      <c r="AI25" s="380">
        <f t="shared" si="18"/>
        <v>4596.5200547827717</v>
      </c>
      <c r="AJ25" s="380">
        <f t="shared" si="18"/>
        <v>4596.5200547827717</v>
      </c>
      <c r="AK25" s="380">
        <f t="shared" si="18"/>
        <v>4596.5200547827717</v>
      </c>
      <c r="AL25" s="380">
        <f t="shared" si="18"/>
        <v>4596.5200547827717</v>
      </c>
    </row>
    <row r="26" spans="2:39" x14ac:dyDescent="0.2"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P26" s="211"/>
      <c r="Q26" s="211"/>
      <c r="R26" s="211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52">
        <f t="shared" ref="AF26:AG26" si="19">AF20/AF14</f>
        <v>621.92757036000648</v>
      </c>
      <c r="AG26" s="380">
        <f t="shared" si="19"/>
        <v>621.92757036000648</v>
      </c>
      <c r="AH26" s="380">
        <f t="shared" ref="AH26:AL26" si="20">AH20/AH14</f>
        <v>621.92757036000648</v>
      </c>
      <c r="AI26" s="380">
        <f t="shared" si="20"/>
        <v>621.92757036000648</v>
      </c>
      <c r="AJ26" s="380">
        <f t="shared" si="20"/>
        <v>621.92757036000648</v>
      </c>
      <c r="AK26" s="380">
        <f t="shared" si="20"/>
        <v>621.92757036000648</v>
      </c>
      <c r="AL26" s="380">
        <f t="shared" si="20"/>
        <v>621.92757036000648</v>
      </c>
    </row>
    <row r="27" spans="2:39" x14ac:dyDescent="0.2"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P27" s="211"/>
      <c r="Q27" s="211"/>
      <c r="R27" s="211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52">
        <f t="shared" ref="AF27:AL27" si="21">AF21/AF15</f>
        <v>95.579853133067942</v>
      </c>
      <c r="AG27" s="380">
        <f t="shared" si="21"/>
        <v>95.628288466434881</v>
      </c>
      <c r="AH27" s="380">
        <f t="shared" si="21"/>
        <v>95.574023306001777</v>
      </c>
      <c r="AI27" s="380">
        <f t="shared" si="21"/>
        <v>95.51994128138513</v>
      </c>
      <c r="AJ27" s="380">
        <f t="shared" si="21"/>
        <v>95.466045517893917</v>
      </c>
      <c r="AK27" s="380">
        <f t="shared" si="21"/>
        <v>95.412335169040432</v>
      </c>
      <c r="AL27" s="380">
        <f t="shared" si="21"/>
        <v>95.358898361843544</v>
      </c>
    </row>
    <row r="28" spans="2:39" x14ac:dyDescent="0.2"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P28" s="211"/>
      <c r="Q28" s="211"/>
      <c r="R28" s="211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G28" s="211"/>
      <c r="AH28" s="211"/>
      <c r="AI28" s="211"/>
      <c r="AJ28" s="211"/>
      <c r="AK28" s="211"/>
      <c r="AL28" s="211"/>
    </row>
    <row r="29" spans="2:39" x14ac:dyDescent="0.2">
      <c r="B29" s="502" t="s">
        <v>70</v>
      </c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P29" s="211"/>
      <c r="Q29" s="211"/>
      <c r="R29" s="211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G29" s="211"/>
      <c r="AH29" s="211"/>
      <c r="AI29" s="211"/>
      <c r="AJ29" s="211"/>
      <c r="AK29" s="211"/>
      <c r="AL29" s="211"/>
    </row>
    <row r="30" spans="2:39" x14ac:dyDescent="0.2">
      <c r="B30" s="503" t="s">
        <v>95</v>
      </c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P30" s="211"/>
      <c r="Q30" s="211"/>
      <c r="R30" s="211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G30" s="211"/>
      <c r="AH30" s="211"/>
      <c r="AI30" s="211"/>
      <c r="AJ30" s="211"/>
      <c r="AK30" s="211"/>
      <c r="AL30" s="211"/>
    </row>
    <row r="31" spans="2:39" x14ac:dyDescent="0.2">
      <c r="B31" s="205" t="s">
        <v>626</v>
      </c>
      <c r="C31" s="210">
        <f>'Monthly Forecast'!J64+'Monthly Forecast'!J80</f>
        <v>196</v>
      </c>
      <c r="D31" s="210">
        <f>'Monthly Forecast'!K64+'Monthly Forecast'!K80</f>
        <v>196</v>
      </c>
      <c r="E31" s="210">
        <f>'Monthly Forecast'!L64+'Monthly Forecast'!L80</f>
        <v>196</v>
      </c>
      <c r="F31" s="210">
        <f>'Monthly Forecast'!M64+'Monthly Forecast'!M80</f>
        <v>196</v>
      </c>
      <c r="G31" s="210">
        <f>'Monthly Forecast'!N64+'Monthly Forecast'!N80</f>
        <v>196</v>
      </c>
      <c r="H31" s="210">
        <f>'Monthly Forecast'!O64+'Monthly Forecast'!O80</f>
        <v>196</v>
      </c>
      <c r="I31" s="210">
        <f>'Monthly Forecast'!P64+'Monthly Forecast'!P80</f>
        <v>195</v>
      </c>
      <c r="J31" s="210">
        <f>'Monthly Forecast'!Q64+'Monthly Forecast'!Q80</f>
        <v>195</v>
      </c>
      <c r="K31" s="210">
        <f>'Monthly Forecast'!R64+'Monthly Forecast'!R80</f>
        <v>195</v>
      </c>
      <c r="L31" s="210">
        <f>'Monthly Forecast'!S64+'Monthly Forecast'!S80</f>
        <v>195</v>
      </c>
      <c r="M31" s="210">
        <f>'Monthly Forecast'!T64+'Monthly Forecast'!T80</f>
        <v>196</v>
      </c>
      <c r="N31" s="210">
        <f>'Monthly Forecast'!U64+'Monthly Forecast'!U80</f>
        <v>196</v>
      </c>
      <c r="O31" s="500">
        <f>AVERAGE(C31:N31)</f>
        <v>195.66666666666666</v>
      </c>
      <c r="P31" s="210">
        <f>'Monthly Forecast'!V64+'Monthly Forecast'!V80</f>
        <v>196</v>
      </c>
      <c r="Q31" s="210">
        <f>'Monthly Forecast'!W64+'Monthly Forecast'!W80</f>
        <v>196</v>
      </c>
      <c r="R31" s="210">
        <f>'Monthly Forecast'!X64+'Monthly Forecast'!X80</f>
        <v>196</v>
      </c>
      <c r="T31" s="210">
        <f>'Monthly Forecast'!Y64+'Monthly Forecast'!Y80</f>
        <v>196</v>
      </c>
      <c r="U31" s="210">
        <f>'Monthly Forecast'!Z64+'Monthly Forecast'!Z80</f>
        <v>196</v>
      </c>
      <c r="V31" s="210">
        <f>'Monthly Forecast'!AA64+'Monthly Forecast'!AA80</f>
        <v>196</v>
      </c>
      <c r="W31" s="210">
        <f>'Monthly Forecast'!AB64+'Monthly Forecast'!AB80</f>
        <v>195</v>
      </c>
      <c r="X31" s="210">
        <f>'Monthly Forecast'!AC64+'Monthly Forecast'!AC80</f>
        <v>195</v>
      </c>
      <c r="Y31" s="210">
        <f>'Monthly Forecast'!AD64+'Monthly Forecast'!AD80</f>
        <v>195</v>
      </c>
      <c r="Z31" s="210">
        <f>'Monthly Forecast'!AE64+'Monthly Forecast'!AE80</f>
        <v>195</v>
      </c>
      <c r="AA31" s="210">
        <f>'Monthly Forecast'!AF64+'Monthly Forecast'!AF80</f>
        <v>196</v>
      </c>
      <c r="AB31" s="210">
        <f>'Monthly Forecast'!AG64+'Monthly Forecast'!AG80</f>
        <v>196</v>
      </c>
      <c r="AC31" s="210">
        <f>'Monthly Forecast'!AH64+'Monthly Forecast'!AH80</f>
        <v>196</v>
      </c>
      <c r="AD31" s="210">
        <f>'Monthly Forecast'!AI64+'Monthly Forecast'!AI80</f>
        <v>196</v>
      </c>
      <c r="AE31" s="210">
        <f>'Monthly Forecast'!AJ64+'Monthly Forecast'!AJ80</f>
        <v>196</v>
      </c>
      <c r="AF31" s="500">
        <f>AVERAGE(T31:AE31)</f>
        <v>195.66666666666666</v>
      </c>
      <c r="AG31" s="210">
        <f>AF31</f>
        <v>195.66666666666666</v>
      </c>
      <c r="AH31" s="210">
        <f t="shared" ref="AH31:AL31" si="22">AG31</f>
        <v>195.66666666666666</v>
      </c>
      <c r="AI31" s="210">
        <f t="shared" si="22"/>
        <v>195.66666666666666</v>
      </c>
      <c r="AJ31" s="210">
        <f t="shared" si="22"/>
        <v>195.66666666666666</v>
      </c>
      <c r="AK31" s="210">
        <f t="shared" si="22"/>
        <v>195.66666666666666</v>
      </c>
      <c r="AL31" s="210">
        <f t="shared" si="22"/>
        <v>195.66666666666666</v>
      </c>
    </row>
    <row r="32" spans="2:39" x14ac:dyDescent="0.2">
      <c r="B32" s="205" t="s">
        <v>627</v>
      </c>
      <c r="C32" s="615">
        <f>'Monthly Forecast'!J89</f>
        <v>13.866666666666667</v>
      </c>
      <c r="D32" s="615">
        <f>'Monthly Forecast'!K89</f>
        <v>13.866666666666667</v>
      </c>
      <c r="E32" s="615">
        <f>'Monthly Forecast'!L89</f>
        <v>13.866666666666667</v>
      </c>
      <c r="F32" s="615">
        <f>'Monthly Forecast'!M89</f>
        <v>13.866666666666667</v>
      </c>
      <c r="G32" s="615">
        <f>'Monthly Forecast'!N89</f>
        <v>13.866666666666667</v>
      </c>
      <c r="H32" s="615">
        <f>'Monthly Forecast'!O89</f>
        <v>13.8</v>
      </c>
      <c r="I32" s="615">
        <f>'Monthly Forecast'!P89</f>
        <v>14</v>
      </c>
      <c r="J32" s="615">
        <f>'Monthly Forecast'!Q89</f>
        <v>14</v>
      </c>
      <c r="K32" s="615">
        <f>'Monthly Forecast'!R89</f>
        <v>13.866666666666667</v>
      </c>
      <c r="L32" s="615">
        <f>'Monthly Forecast'!S89</f>
        <v>13.866666666666667</v>
      </c>
      <c r="M32" s="615">
        <f>'Monthly Forecast'!T89</f>
        <v>13.866666666666667</v>
      </c>
      <c r="N32" s="615">
        <f>'Monthly Forecast'!U89</f>
        <v>13.866666666666667</v>
      </c>
      <c r="O32" s="501">
        <f>AVERAGE(C32:N32)</f>
        <v>13.883333333333335</v>
      </c>
      <c r="P32" s="615">
        <f>'Monthly Forecast'!V89</f>
        <v>13.866666666666667</v>
      </c>
      <c r="Q32" s="615">
        <f>'Monthly Forecast'!W89</f>
        <v>13.866666666666667</v>
      </c>
      <c r="R32" s="615">
        <f>'Monthly Forecast'!X89</f>
        <v>13.866666666666667</v>
      </c>
      <c r="T32" s="615">
        <f>'Monthly Forecast'!Y89</f>
        <v>13.866666666666667</v>
      </c>
      <c r="U32" s="615">
        <f>'Monthly Forecast'!Z89</f>
        <v>13.866666666666667</v>
      </c>
      <c r="V32" s="615">
        <f>'Monthly Forecast'!AA89</f>
        <v>13.8</v>
      </c>
      <c r="W32" s="615">
        <f>'Monthly Forecast'!AB89</f>
        <v>14</v>
      </c>
      <c r="X32" s="615">
        <f>'Monthly Forecast'!AC89</f>
        <v>14</v>
      </c>
      <c r="Y32" s="615">
        <f>'Monthly Forecast'!AD89</f>
        <v>13.866666666666667</v>
      </c>
      <c r="Z32" s="615">
        <f>'Monthly Forecast'!AE89</f>
        <v>13.866666666666667</v>
      </c>
      <c r="AA32" s="615">
        <f>'Monthly Forecast'!AF89</f>
        <v>13.866666666666667</v>
      </c>
      <c r="AB32" s="615">
        <f>'Monthly Forecast'!AG89</f>
        <v>13.866666666666667</v>
      </c>
      <c r="AC32" s="615">
        <f>'Monthly Forecast'!AH89</f>
        <v>13.866666666666667</v>
      </c>
      <c r="AD32" s="615">
        <f>'Monthly Forecast'!AI89</f>
        <v>13.866666666666667</v>
      </c>
      <c r="AE32" s="615">
        <f>'Monthly Forecast'!AJ89</f>
        <v>13.866666666666667</v>
      </c>
      <c r="AF32" s="501">
        <f>AVERAGE(T32:AE32)</f>
        <v>13.883333333333338</v>
      </c>
      <c r="AG32" s="615">
        <f t="shared" ref="AG32:AL33" si="23">AF32</f>
        <v>13.883333333333338</v>
      </c>
      <c r="AH32" s="615">
        <f t="shared" si="23"/>
        <v>13.883333333333338</v>
      </c>
      <c r="AI32" s="615">
        <f t="shared" si="23"/>
        <v>13.883333333333338</v>
      </c>
      <c r="AJ32" s="615">
        <f t="shared" si="23"/>
        <v>13.883333333333338</v>
      </c>
      <c r="AK32" s="615">
        <f t="shared" si="23"/>
        <v>13.883333333333338</v>
      </c>
      <c r="AL32" s="615">
        <f t="shared" si="23"/>
        <v>13.883333333333338</v>
      </c>
    </row>
    <row r="33" spans="2:38" x14ac:dyDescent="0.2">
      <c r="B33" s="205" t="s">
        <v>19</v>
      </c>
      <c r="C33" s="210">
        <f>SUM(C31:C32)</f>
        <v>209.86666666666667</v>
      </c>
      <c r="D33" s="210">
        <f t="shared" ref="D33:P33" si="24">SUM(D31:D32)</f>
        <v>209.86666666666667</v>
      </c>
      <c r="E33" s="210">
        <f t="shared" si="24"/>
        <v>209.86666666666667</v>
      </c>
      <c r="F33" s="210">
        <f t="shared" si="24"/>
        <v>209.86666666666667</v>
      </c>
      <c r="G33" s="210">
        <f t="shared" si="24"/>
        <v>209.86666666666667</v>
      </c>
      <c r="H33" s="210">
        <f t="shared" si="24"/>
        <v>209.8</v>
      </c>
      <c r="I33" s="210">
        <f t="shared" si="24"/>
        <v>209</v>
      </c>
      <c r="J33" s="210">
        <f t="shared" si="24"/>
        <v>209</v>
      </c>
      <c r="K33" s="210">
        <f t="shared" si="24"/>
        <v>208.86666666666667</v>
      </c>
      <c r="L33" s="210">
        <f t="shared" si="24"/>
        <v>208.86666666666667</v>
      </c>
      <c r="M33" s="210">
        <f t="shared" si="24"/>
        <v>209.86666666666667</v>
      </c>
      <c r="N33" s="210">
        <f t="shared" si="24"/>
        <v>209.86666666666667</v>
      </c>
      <c r="O33" s="451">
        <f t="shared" si="24"/>
        <v>209.54999999999998</v>
      </c>
      <c r="P33" s="210">
        <f t="shared" si="24"/>
        <v>209.86666666666667</v>
      </c>
      <c r="Q33" s="210">
        <f t="shared" ref="Q33" si="25">SUM(Q31:Q32)</f>
        <v>209.86666666666667</v>
      </c>
      <c r="R33" s="210">
        <f t="shared" ref="R33:T33" si="26">SUM(R31:R32)</f>
        <v>209.86666666666667</v>
      </c>
      <c r="T33" s="210">
        <f t="shared" si="26"/>
        <v>209.86666666666667</v>
      </c>
      <c r="U33" s="210">
        <f t="shared" ref="U33" si="27">SUM(U31:U32)</f>
        <v>209.86666666666667</v>
      </c>
      <c r="V33" s="210">
        <f t="shared" ref="V33" si="28">SUM(V31:V32)</f>
        <v>209.8</v>
      </c>
      <c r="W33" s="210">
        <f t="shared" ref="W33" si="29">SUM(W31:W32)</f>
        <v>209</v>
      </c>
      <c r="X33" s="210">
        <f t="shared" ref="X33" si="30">SUM(X31:X32)</f>
        <v>209</v>
      </c>
      <c r="Y33" s="210">
        <f t="shared" ref="Y33" si="31">SUM(Y31:Y32)</f>
        <v>208.86666666666667</v>
      </c>
      <c r="Z33" s="210">
        <f t="shared" ref="Z33" si="32">SUM(Z31:Z32)</f>
        <v>208.86666666666667</v>
      </c>
      <c r="AA33" s="210">
        <f t="shared" ref="AA33" si="33">SUM(AA31:AA32)</f>
        <v>209.86666666666667</v>
      </c>
      <c r="AB33" s="210">
        <f t="shared" ref="AB33" si="34">SUM(AB31:AB32)</f>
        <v>209.86666666666667</v>
      </c>
      <c r="AC33" s="210">
        <f t="shared" ref="AC33" si="35">SUM(AC31:AC32)</f>
        <v>209.86666666666667</v>
      </c>
      <c r="AD33" s="210">
        <f t="shared" ref="AD33" si="36">SUM(AD31:AD32)</f>
        <v>209.86666666666667</v>
      </c>
      <c r="AE33" s="210">
        <f t="shared" ref="AE33:AF33" si="37">SUM(AE31:AE32)</f>
        <v>209.86666666666667</v>
      </c>
      <c r="AF33" s="446">
        <f t="shared" si="37"/>
        <v>209.54999999999998</v>
      </c>
      <c r="AG33" s="210">
        <f t="shared" si="23"/>
        <v>209.54999999999998</v>
      </c>
      <c r="AH33" s="210">
        <f t="shared" si="23"/>
        <v>209.54999999999998</v>
      </c>
      <c r="AI33" s="210">
        <f t="shared" si="23"/>
        <v>209.54999999999998</v>
      </c>
      <c r="AJ33" s="210">
        <f t="shared" si="23"/>
        <v>209.54999999999998</v>
      </c>
      <c r="AK33" s="210">
        <f t="shared" si="23"/>
        <v>209.54999999999998</v>
      </c>
      <c r="AL33" s="210">
        <f t="shared" si="23"/>
        <v>209.54999999999998</v>
      </c>
    </row>
    <row r="34" spans="2:38" x14ac:dyDescent="0.2"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P34" s="211"/>
      <c r="Q34" s="211"/>
      <c r="R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451"/>
      <c r="AG34" s="211"/>
      <c r="AH34" s="211"/>
      <c r="AI34" s="211"/>
      <c r="AJ34" s="211"/>
      <c r="AK34" s="211"/>
      <c r="AL34" s="211"/>
    </row>
    <row r="35" spans="2:38" x14ac:dyDescent="0.2">
      <c r="B35" s="503" t="s">
        <v>628</v>
      </c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P35" s="211"/>
      <c r="Q35" s="211"/>
      <c r="R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451"/>
      <c r="AG35" s="211"/>
      <c r="AH35" s="211"/>
      <c r="AI35" s="211"/>
      <c r="AJ35" s="211"/>
      <c r="AK35" s="211"/>
      <c r="AL35" s="211"/>
    </row>
    <row r="36" spans="2:38" x14ac:dyDescent="0.2">
      <c r="B36" s="205" t="s">
        <v>626</v>
      </c>
      <c r="C36" s="46">
        <f>'Monthly Forecast'!J71+'Monthly Forecast'!J86+'Monthly Forecast'!J77</f>
        <v>1585511.2028014276</v>
      </c>
      <c r="D36" s="46">
        <f>'Monthly Forecast'!K71+'Monthly Forecast'!K86+'Monthly Forecast'!K77</f>
        <v>1364534.8703202279</v>
      </c>
      <c r="E36" s="46">
        <f>'Monthly Forecast'!L71+'Monthly Forecast'!L86+'Monthly Forecast'!L77</f>
        <v>1484412.7249972119</v>
      </c>
      <c r="F36" s="46">
        <f>'Monthly Forecast'!M71+'Monthly Forecast'!M86+'Monthly Forecast'!M77</f>
        <v>1201207.5414756914</v>
      </c>
      <c r="G36" s="46">
        <f>'Monthly Forecast'!N71+'Monthly Forecast'!N86+'Monthly Forecast'!N77</f>
        <v>1232899.3277624911</v>
      </c>
      <c r="H36" s="46">
        <f>'Monthly Forecast'!O71+'Monthly Forecast'!O86+'Monthly Forecast'!O77</f>
        <v>1182731.2863991151</v>
      </c>
      <c r="I36" s="46">
        <f>'Monthly Forecast'!P71+'Monthly Forecast'!P86+'Monthly Forecast'!P77</f>
        <v>1023709.898249935</v>
      </c>
      <c r="J36" s="46">
        <f>'Monthly Forecast'!Q71+'Monthly Forecast'!Q86+'Monthly Forecast'!Q77</f>
        <v>1137645.345434403</v>
      </c>
      <c r="K36" s="46">
        <f>'Monthly Forecast'!R71+'Monthly Forecast'!R86+'Monthly Forecast'!R77</f>
        <v>1145244.7653289405</v>
      </c>
      <c r="L36" s="46">
        <f>'Monthly Forecast'!S71+'Monthly Forecast'!S86+'Monthly Forecast'!S77</f>
        <v>1240410.8803065862</v>
      </c>
      <c r="M36" s="46">
        <f>'Monthly Forecast'!T71+'Monthly Forecast'!T86+'Monthly Forecast'!T77</f>
        <v>1366873.1862784754</v>
      </c>
      <c r="N36" s="46">
        <f>'Monthly Forecast'!U71+'Monthly Forecast'!U86+'Monthly Forecast'!U77</f>
        <v>1553732.9706454952</v>
      </c>
      <c r="O36" s="446">
        <f>SUM(C36:N36)</f>
        <v>15518914</v>
      </c>
      <c r="P36" s="46">
        <f>'Monthly Forecast'!V71+'Monthly Forecast'!V86+'Monthly Forecast'!V77</f>
        <v>1585511.2028014276</v>
      </c>
      <c r="Q36" s="46">
        <f>'Monthly Forecast'!W71+'Monthly Forecast'!W86+'Monthly Forecast'!W77</f>
        <v>1364534.8703202279</v>
      </c>
      <c r="R36" s="46">
        <f>'Monthly Forecast'!X71+'Monthly Forecast'!X86+'Monthly Forecast'!X77</f>
        <v>1484412.7249972119</v>
      </c>
      <c r="T36" s="46">
        <f>'Monthly Forecast'!Y71+'Monthly Forecast'!Y86+'Monthly Forecast'!Y77</f>
        <v>1201207.5414756914</v>
      </c>
      <c r="U36" s="46">
        <f>'Monthly Forecast'!Z71+'Monthly Forecast'!Z86+'Monthly Forecast'!Z77</f>
        <v>1232899.3277624911</v>
      </c>
      <c r="V36" s="46">
        <f>'Monthly Forecast'!AA71+'Monthly Forecast'!AA86+'Monthly Forecast'!AA77</f>
        <v>1182731.2863991151</v>
      </c>
      <c r="W36" s="46">
        <f>'Monthly Forecast'!AB71+'Monthly Forecast'!AB86+'Monthly Forecast'!AB77</f>
        <v>1023709.898249935</v>
      </c>
      <c r="X36" s="46">
        <f>'Monthly Forecast'!AC71+'Monthly Forecast'!AC86+'Monthly Forecast'!AC77</f>
        <v>1137645.345434403</v>
      </c>
      <c r="Y36" s="46">
        <f>'Monthly Forecast'!AD71+'Monthly Forecast'!AD86+'Monthly Forecast'!AD77</f>
        <v>1145244.7653289405</v>
      </c>
      <c r="Z36" s="46">
        <f>'Monthly Forecast'!AE71+'Monthly Forecast'!AE86+'Monthly Forecast'!AE77</f>
        <v>1240410.8803065862</v>
      </c>
      <c r="AA36" s="46">
        <f>'Monthly Forecast'!AF71+'Monthly Forecast'!AF86+'Monthly Forecast'!AF77</f>
        <v>1366873.1862784754</v>
      </c>
      <c r="AB36" s="46">
        <f>'Monthly Forecast'!AG71+'Monthly Forecast'!AG86+'Monthly Forecast'!AG77</f>
        <v>1553732.9706454952</v>
      </c>
      <c r="AC36" s="46">
        <f>'Monthly Forecast'!AH71+'Monthly Forecast'!AH86+'Monthly Forecast'!AH77</f>
        <v>1585511.2028014276</v>
      </c>
      <c r="AD36" s="46">
        <f>'Monthly Forecast'!AI71+'Monthly Forecast'!AI86+'Monthly Forecast'!AI77</f>
        <v>1364534.8703202279</v>
      </c>
      <c r="AE36" s="46">
        <f>'Monthly Forecast'!AJ71+'Monthly Forecast'!AJ86+'Monthly Forecast'!AJ77</f>
        <v>1484412.7249972119</v>
      </c>
      <c r="AF36" s="446">
        <f>SUM(T36:AE36)</f>
        <v>15518914</v>
      </c>
      <c r="AG36" s="466">
        <f>AF36</f>
        <v>15518914</v>
      </c>
      <c r="AH36" s="466">
        <f t="shared" ref="AH36:AL36" si="38">AG36</f>
        <v>15518914</v>
      </c>
      <c r="AI36" s="466">
        <f t="shared" si="38"/>
        <v>15518914</v>
      </c>
      <c r="AJ36" s="466">
        <f t="shared" si="38"/>
        <v>15518914</v>
      </c>
      <c r="AK36" s="466">
        <f t="shared" si="38"/>
        <v>15518914</v>
      </c>
      <c r="AL36" s="466">
        <f t="shared" si="38"/>
        <v>15518914</v>
      </c>
    </row>
    <row r="37" spans="2:38" x14ac:dyDescent="0.2">
      <c r="B37" s="205" t="s">
        <v>627</v>
      </c>
      <c r="C37" s="360">
        <f>'Monthly Forecast'!J95</f>
        <v>1361392.9403710174</v>
      </c>
      <c r="D37" s="360">
        <f>'Monthly Forecast'!K95</f>
        <v>1137557.662015463</v>
      </c>
      <c r="E37" s="360">
        <f>'Monthly Forecast'!L95</f>
        <v>1208821.8641529251</v>
      </c>
      <c r="F37" s="360">
        <f>'Monthly Forecast'!M95</f>
        <v>1065087.9028069051</v>
      </c>
      <c r="G37" s="360">
        <f>'Monthly Forecast'!N95</f>
        <v>1072108.3960249547</v>
      </c>
      <c r="H37" s="360">
        <f>'Monthly Forecast'!O95</f>
        <v>879127.64366935391</v>
      </c>
      <c r="I37" s="360">
        <f>'Monthly Forecast'!P95</f>
        <v>1136013.1839630897</v>
      </c>
      <c r="J37" s="360">
        <f>'Monthly Forecast'!Q95</f>
        <v>1116463.3515319249</v>
      </c>
      <c r="K37" s="360">
        <f>'Monthly Forecast'!R95</f>
        <v>1115726.1656929413</v>
      </c>
      <c r="L37" s="360">
        <f>'Monthly Forecast'!S95</f>
        <v>1185805.4856220009</v>
      </c>
      <c r="M37" s="360">
        <f>'Monthly Forecast'!T95</f>
        <v>1201011.3578069217</v>
      </c>
      <c r="N37" s="360">
        <f>'Monthly Forecast'!U95</f>
        <v>1343897.0463425026</v>
      </c>
      <c r="O37" s="499">
        <f>SUM(C37:N37)</f>
        <v>13823013</v>
      </c>
      <c r="P37" s="360">
        <f>'Monthly Forecast'!V95</f>
        <v>1361392.9403710174</v>
      </c>
      <c r="Q37" s="360">
        <f>'Monthly Forecast'!W95</f>
        <v>1137557.662015463</v>
      </c>
      <c r="R37" s="360">
        <f>'Monthly Forecast'!X95</f>
        <v>1208821.8641529251</v>
      </c>
      <c r="T37" s="360">
        <f>'Monthly Forecast'!Y95</f>
        <v>1065087.9028069051</v>
      </c>
      <c r="U37" s="360">
        <f>'Monthly Forecast'!Z95</f>
        <v>1072108.3960249547</v>
      </c>
      <c r="V37" s="360">
        <f>'Monthly Forecast'!AA95</f>
        <v>879127.64366935391</v>
      </c>
      <c r="W37" s="360">
        <f>'Monthly Forecast'!AB95</f>
        <v>1136013.1839630897</v>
      </c>
      <c r="X37" s="360">
        <f>'Monthly Forecast'!AC95</f>
        <v>1116463.3515319249</v>
      </c>
      <c r="Y37" s="360">
        <f>'Monthly Forecast'!AD95</f>
        <v>1115726.1656929413</v>
      </c>
      <c r="Z37" s="360">
        <f>'Monthly Forecast'!AE95</f>
        <v>1185805.4856220009</v>
      </c>
      <c r="AA37" s="360">
        <f>'Monthly Forecast'!AF95</f>
        <v>1201011.3578069217</v>
      </c>
      <c r="AB37" s="360">
        <f>'Monthly Forecast'!AG95</f>
        <v>1343897.0463425026</v>
      </c>
      <c r="AC37" s="360">
        <f>'Monthly Forecast'!AH95</f>
        <v>1361392.9403710174</v>
      </c>
      <c r="AD37" s="360">
        <f>'Monthly Forecast'!AI95</f>
        <v>1137557.662015463</v>
      </c>
      <c r="AE37" s="360">
        <f>'Monthly Forecast'!AJ95</f>
        <v>1208821.8641529251</v>
      </c>
      <c r="AF37" s="499">
        <f>SUM(T37:AE37)</f>
        <v>13823013</v>
      </c>
      <c r="AG37" s="616">
        <f t="shared" ref="AG37:AL38" si="39">AF37</f>
        <v>13823013</v>
      </c>
      <c r="AH37" s="616">
        <f t="shared" si="39"/>
        <v>13823013</v>
      </c>
      <c r="AI37" s="616">
        <f t="shared" si="39"/>
        <v>13823013</v>
      </c>
      <c r="AJ37" s="616">
        <f t="shared" si="39"/>
        <v>13823013</v>
      </c>
      <c r="AK37" s="616">
        <f t="shared" si="39"/>
        <v>13823013</v>
      </c>
      <c r="AL37" s="616">
        <f t="shared" si="39"/>
        <v>13823013</v>
      </c>
    </row>
    <row r="38" spans="2:38" x14ac:dyDescent="0.2">
      <c r="B38" s="205" t="s">
        <v>19</v>
      </c>
      <c r="C38" s="46">
        <f>SUM(C36:C37)</f>
        <v>2946904.1431724448</v>
      </c>
      <c r="D38" s="46">
        <f t="shared" ref="D38:P38" si="40">SUM(D36:D37)</f>
        <v>2502092.5323356912</v>
      </c>
      <c r="E38" s="46">
        <f t="shared" si="40"/>
        <v>2693234.5891501373</v>
      </c>
      <c r="F38" s="46">
        <f t="shared" si="40"/>
        <v>2266295.4442825965</v>
      </c>
      <c r="G38" s="46">
        <f t="shared" si="40"/>
        <v>2305007.7237874456</v>
      </c>
      <c r="H38" s="46">
        <f t="shared" si="40"/>
        <v>2061858.9300684691</v>
      </c>
      <c r="I38" s="46">
        <f t="shared" si="40"/>
        <v>2159723.0822130246</v>
      </c>
      <c r="J38" s="46">
        <f t="shared" si="40"/>
        <v>2254108.6969663277</v>
      </c>
      <c r="K38" s="46">
        <f t="shared" si="40"/>
        <v>2260970.9310218818</v>
      </c>
      <c r="L38" s="46">
        <f t="shared" si="40"/>
        <v>2426216.365928587</v>
      </c>
      <c r="M38" s="46">
        <f t="shared" si="40"/>
        <v>2567884.5440853974</v>
      </c>
      <c r="N38" s="46">
        <f t="shared" si="40"/>
        <v>2897630.016987998</v>
      </c>
      <c r="O38" s="446">
        <f t="shared" si="40"/>
        <v>29341927</v>
      </c>
      <c r="P38" s="46">
        <f t="shared" si="40"/>
        <v>2946904.1431724448</v>
      </c>
      <c r="Q38" s="46">
        <f t="shared" ref="Q38" si="41">SUM(Q36:Q37)</f>
        <v>2502092.5323356912</v>
      </c>
      <c r="R38" s="46">
        <f t="shared" ref="R38:T38" si="42">SUM(R36:R37)</f>
        <v>2693234.5891501373</v>
      </c>
      <c r="T38" s="46">
        <f t="shared" si="42"/>
        <v>2266295.4442825965</v>
      </c>
      <c r="U38" s="46">
        <f t="shared" ref="U38" si="43">SUM(U36:U37)</f>
        <v>2305007.7237874456</v>
      </c>
      <c r="V38" s="46">
        <f t="shared" ref="V38" si="44">SUM(V36:V37)</f>
        <v>2061858.9300684691</v>
      </c>
      <c r="W38" s="46">
        <f t="shared" ref="W38" si="45">SUM(W36:W37)</f>
        <v>2159723.0822130246</v>
      </c>
      <c r="X38" s="46">
        <f t="shared" ref="X38" si="46">SUM(X36:X37)</f>
        <v>2254108.6969663277</v>
      </c>
      <c r="Y38" s="46">
        <f t="shared" ref="Y38" si="47">SUM(Y36:Y37)</f>
        <v>2260970.9310218818</v>
      </c>
      <c r="Z38" s="46">
        <f t="shared" ref="Z38" si="48">SUM(Z36:Z37)</f>
        <v>2426216.365928587</v>
      </c>
      <c r="AA38" s="46">
        <f t="shared" ref="AA38" si="49">SUM(AA36:AA37)</f>
        <v>2567884.5440853974</v>
      </c>
      <c r="AB38" s="46">
        <f t="shared" ref="AB38" si="50">SUM(AB36:AB37)</f>
        <v>2897630.016987998</v>
      </c>
      <c r="AC38" s="46">
        <f t="shared" ref="AC38" si="51">SUM(AC36:AC37)</f>
        <v>2946904.1431724448</v>
      </c>
      <c r="AD38" s="46">
        <f t="shared" ref="AD38" si="52">SUM(AD36:AD37)</f>
        <v>2502092.5323356912</v>
      </c>
      <c r="AE38" s="46">
        <f t="shared" ref="AE38:AF38" si="53">SUM(AE36:AE37)</f>
        <v>2693234.5891501373</v>
      </c>
      <c r="AF38" s="446">
        <f t="shared" si="53"/>
        <v>29341927</v>
      </c>
      <c r="AG38" s="466">
        <f t="shared" si="39"/>
        <v>29341927</v>
      </c>
      <c r="AH38" s="466">
        <f t="shared" si="39"/>
        <v>29341927</v>
      </c>
      <c r="AI38" s="466">
        <f t="shared" si="39"/>
        <v>29341927</v>
      </c>
      <c r="AJ38" s="466">
        <f t="shared" si="39"/>
        <v>29341927</v>
      </c>
      <c r="AK38" s="466">
        <f t="shared" si="39"/>
        <v>29341927</v>
      </c>
      <c r="AL38" s="466">
        <f t="shared" si="39"/>
        <v>29341927</v>
      </c>
    </row>
    <row r="39" spans="2:38" x14ac:dyDescent="0.2"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P39" s="211"/>
      <c r="Q39" s="211"/>
      <c r="R39" s="211"/>
      <c r="AG39" s="211"/>
      <c r="AH39" s="211"/>
      <c r="AI39" s="211"/>
      <c r="AJ39" s="211"/>
      <c r="AK39" s="211"/>
      <c r="AL39" s="211"/>
    </row>
    <row r="40" spans="2:38" x14ac:dyDescent="0.2">
      <c r="AG40" s="466">
        <f>AG36/AG31</f>
        <v>79313.018739352643</v>
      </c>
      <c r="AH40" s="466">
        <f t="shared" ref="AH40:AL40" si="54">AH36/AH31</f>
        <v>79313.018739352643</v>
      </c>
      <c r="AI40" s="466">
        <f t="shared" si="54"/>
        <v>79313.018739352643</v>
      </c>
      <c r="AJ40" s="466">
        <f t="shared" si="54"/>
        <v>79313.018739352643</v>
      </c>
      <c r="AK40" s="466">
        <f t="shared" si="54"/>
        <v>79313.018739352643</v>
      </c>
      <c r="AL40" s="466">
        <f t="shared" si="54"/>
        <v>79313.018739352643</v>
      </c>
    </row>
    <row r="41" spans="2:38" x14ac:dyDescent="0.2">
      <c r="AG41" s="466">
        <f t="shared" ref="AG41:AL42" si="55">AG37/AG32</f>
        <v>995655.19807923131</v>
      </c>
      <c r="AH41" s="466">
        <f t="shared" si="55"/>
        <v>995655.19807923131</v>
      </c>
      <c r="AI41" s="466">
        <f t="shared" si="55"/>
        <v>995655.19807923131</v>
      </c>
      <c r="AJ41" s="466">
        <f t="shared" si="55"/>
        <v>995655.19807923131</v>
      </c>
      <c r="AK41" s="466">
        <f t="shared" si="55"/>
        <v>995655.19807923131</v>
      </c>
      <c r="AL41" s="466">
        <f t="shared" si="55"/>
        <v>995655.19807923131</v>
      </c>
    </row>
    <row r="42" spans="2:38" x14ac:dyDescent="0.2">
      <c r="AG42" s="466">
        <f t="shared" si="55"/>
        <v>140023.5122882367</v>
      </c>
      <c r="AH42" s="466">
        <f t="shared" si="55"/>
        <v>140023.5122882367</v>
      </c>
      <c r="AI42" s="466">
        <f t="shared" si="55"/>
        <v>140023.5122882367</v>
      </c>
      <c r="AJ42" s="466">
        <f t="shared" si="55"/>
        <v>140023.5122882367</v>
      </c>
      <c r="AK42" s="466">
        <f t="shared" si="55"/>
        <v>140023.5122882367</v>
      </c>
      <c r="AL42" s="466">
        <f t="shared" si="55"/>
        <v>140023.5122882367</v>
      </c>
    </row>
  </sheetData>
  <mergeCells count="1">
    <mergeCell ref="AG6:AL6"/>
  </mergeCells>
  <phoneticPr fontId="4" type="noConversion"/>
  <pageMargins left="0.75" right="0.75" top="1" bottom="1" header="0.5" footer="0.5"/>
  <pageSetup scale="55" orientation="landscape" r:id="rId1"/>
  <headerFooter alignWithMargins="0">
    <oddFooter>&amp;A&amp;RPage &amp;P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23">
    <tabColor rgb="FF00FF00"/>
  </sheetPr>
  <dimension ref="A1:AV4240"/>
  <sheetViews>
    <sheetView showGridLines="0" view="pageBreakPreview" zoomScale="115" zoomScaleNormal="115" zoomScaleSheetLayoutView="115" workbookViewId="0">
      <pane xSplit="2" ySplit="11" topLeftCell="L72" activePane="bottomRight" state="frozen"/>
      <selection activeCell="E28" sqref="E28"/>
      <selection pane="topRight" activeCell="E28" sqref="E28"/>
      <selection pane="bottomLeft" activeCell="E28" sqref="E28"/>
      <selection pane="bottomRight" activeCell="E28" sqref="E28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3" width="13.5703125" style="3" customWidth="1"/>
    <col min="4" max="4" width="10.42578125" style="3" bestFit="1" customWidth="1"/>
    <col min="5" max="6" width="10" style="3" bestFit="1" customWidth="1"/>
    <col min="7" max="7" width="10.42578125" style="3" bestFit="1" customWidth="1"/>
    <col min="8" max="10" width="10.42578125" style="3" customWidth="1"/>
    <col min="11" max="11" width="10" style="3" bestFit="1" customWidth="1"/>
    <col min="12" max="12" width="10.42578125" style="3" bestFit="1" customWidth="1"/>
    <col min="13" max="13" width="11" style="3" bestFit="1" customWidth="1"/>
    <col min="14" max="14" width="10" style="3" bestFit="1" customWidth="1"/>
    <col min="15" max="15" width="11.140625" style="3" bestFit="1" customWidth="1"/>
    <col min="16" max="16" width="13.42578125" style="3" customWidth="1"/>
    <col min="17" max="17" width="8.5703125" style="3" customWidth="1"/>
    <col min="18" max="18" width="14.85546875" style="3" bestFit="1" customWidth="1"/>
    <col min="19" max="19" width="5.5703125" style="18" customWidth="1"/>
    <col min="20" max="20" width="15.140625" style="18" customWidth="1"/>
    <col min="21" max="21" width="16.42578125" style="18" customWidth="1"/>
    <col min="22" max="22" width="13.85546875" style="18" customWidth="1"/>
    <col min="23" max="23" width="16.5703125" style="18" customWidth="1"/>
    <col min="24" max="24" width="11.5703125" style="18" bestFit="1" customWidth="1"/>
    <col min="25" max="25" width="17.5703125" style="18" customWidth="1"/>
    <col min="26" max="48" width="12.5703125" style="18"/>
    <col min="49" max="16384" width="12.5703125" style="3"/>
  </cols>
  <sheetData>
    <row r="1" spans="1:48" x14ac:dyDescent="0.2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71"/>
      <c r="P1" s="71"/>
      <c r="Q1" s="2"/>
      <c r="R1" s="2"/>
      <c r="S1" s="17"/>
      <c r="T1" s="17"/>
      <c r="U1" s="17"/>
      <c r="V1" s="17"/>
      <c r="W1" s="17"/>
      <c r="X1" s="17"/>
      <c r="Y1" s="17"/>
    </row>
    <row r="2" spans="1:48" s="2" customFormat="1" x14ac:dyDescent="0.2">
      <c r="O2" s="71"/>
      <c r="P2" s="7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</row>
    <row r="3" spans="1:48" s="2" customFormat="1" x14ac:dyDescent="0.2">
      <c r="O3" s="71"/>
      <c r="P3" s="71"/>
      <c r="R3" s="73" t="s">
        <v>719</v>
      </c>
      <c r="S3" s="17"/>
      <c r="T3" s="39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</row>
    <row r="4" spans="1:48" s="2" customFormat="1" x14ac:dyDescent="0.2">
      <c r="A4" s="8"/>
      <c r="B4" s="19"/>
      <c r="C4" s="19"/>
      <c r="D4" s="8"/>
      <c r="E4" s="19"/>
      <c r="F4" s="19"/>
      <c r="G4" s="19"/>
      <c r="H4" s="19"/>
      <c r="I4" s="5" t="s">
        <v>93</v>
      </c>
      <c r="J4" s="19"/>
      <c r="K4" s="19"/>
      <c r="L4" s="19"/>
      <c r="M4" s="19"/>
      <c r="N4" s="19"/>
      <c r="O4" s="72"/>
      <c r="P4" s="72"/>
      <c r="Q4" s="20"/>
      <c r="R4" s="73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</row>
    <row r="5" spans="1:48" s="2" customFormat="1" x14ac:dyDescent="0.2">
      <c r="A5" s="8"/>
      <c r="B5" s="19"/>
      <c r="C5" s="19"/>
      <c r="D5" s="8"/>
      <c r="E5" s="19"/>
      <c r="F5" s="19"/>
      <c r="G5" s="19"/>
      <c r="H5" s="19"/>
      <c r="I5" s="5" t="s">
        <v>217</v>
      </c>
      <c r="J5" s="19"/>
      <c r="K5" s="19"/>
      <c r="L5" s="19"/>
      <c r="M5" s="19"/>
      <c r="N5" s="19"/>
      <c r="O5" s="19"/>
      <c r="P5" s="19"/>
      <c r="Q5" s="20"/>
      <c r="R5" s="19"/>
      <c r="S5" s="17"/>
      <c r="T5" s="17"/>
      <c r="U5" s="17"/>
      <c r="V5" s="17"/>
      <c r="W5" s="22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</row>
    <row r="6" spans="1:48" s="2" customFormat="1" x14ac:dyDescent="0.2">
      <c r="A6" s="8"/>
      <c r="B6" s="19"/>
      <c r="C6" s="19"/>
      <c r="D6" s="19"/>
      <c r="E6" s="19"/>
      <c r="F6" s="19"/>
      <c r="G6" s="19"/>
      <c r="H6" s="19"/>
      <c r="I6" s="5" t="str">
        <f>'Contract &amp; Vol Adj'!I6</f>
        <v>Reference Period - Twelve Months Ending 06/30/2017</v>
      </c>
      <c r="J6" s="19"/>
      <c r="K6" s="19"/>
      <c r="L6" s="19"/>
      <c r="M6" s="19"/>
      <c r="N6" s="19"/>
      <c r="O6" s="19"/>
      <c r="P6" s="19"/>
      <c r="Q6" s="74"/>
      <c r="R6" s="19"/>
      <c r="S6" s="17"/>
      <c r="T6" s="17"/>
      <c r="U6" s="17"/>
      <c r="V6" s="17"/>
      <c r="W6" s="23"/>
      <c r="X6" s="17"/>
      <c r="Y6" s="23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</row>
    <row r="7" spans="1:48" s="2" customFormat="1" x14ac:dyDescent="0.2"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</row>
    <row r="8" spans="1:48" s="2" customFormat="1" x14ac:dyDescent="0.2">
      <c r="A8" s="8" t="s">
        <v>12</v>
      </c>
      <c r="O8" s="5" t="s">
        <v>18</v>
      </c>
      <c r="R8" s="5" t="s">
        <v>19</v>
      </c>
      <c r="S8" s="16"/>
      <c r="T8" s="17"/>
      <c r="U8" s="16"/>
      <c r="V8" s="16"/>
      <c r="W8" s="16"/>
      <c r="X8" s="16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</row>
    <row r="9" spans="1:48" s="2" customFormat="1" x14ac:dyDescent="0.2">
      <c r="A9" s="9" t="s">
        <v>17</v>
      </c>
      <c r="B9" s="10" t="s">
        <v>27</v>
      </c>
      <c r="C9" s="66">
        <f>WNA!C10</f>
        <v>42582</v>
      </c>
      <c r="D9" s="66">
        <f>WNA!D10</f>
        <v>42613</v>
      </c>
      <c r="E9" s="66">
        <f>WNA!E10</f>
        <v>42643</v>
      </c>
      <c r="F9" s="66">
        <f>WNA!F10</f>
        <v>42674</v>
      </c>
      <c r="G9" s="66">
        <f>WNA!G10</f>
        <v>42704</v>
      </c>
      <c r="H9" s="66">
        <f>WNA!H10</f>
        <v>42735</v>
      </c>
      <c r="I9" s="66">
        <f>WNA!I10</f>
        <v>42766</v>
      </c>
      <c r="J9" s="66">
        <f>WNA!J10</f>
        <v>42794</v>
      </c>
      <c r="K9" s="66">
        <f>WNA!K10</f>
        <v>42825</v>
      </c>
      <c r="L9" s="66">
        <f>WNA!L10</f>
        <v>42855</v>
      </c>
      <c r="M9" s="66">
        <f>WNA!M10</f>
        <v>42886</v>
      </c>
      <c r="N9" s="66">
        <f>WNA!N10</f>
        <v>42916</v>
      </c>
      <c r="O9" s="11" t="s">
        <v>20</v>
      </c>
      <c r="P9" s="11" t="s">
        <v>21</v>
      </c>
      <c r="Q9" s="11" t="s">
        <v>6</v>
      </c>
      <c r="R9" s="11" t="s">
        <v>22</v>
      </c>
      <c r="S9" s="16"/>
      <c r="T9" s="694">
        <f t="shared" ref="T9:AE9" si="0">C9</f>
        <v>42582</v>
      </c>
      <c r="U9" s="694">
        <f t="shared" si="0"/>
        <v>42613</v>
      </c>
      <c r="V9" s="694">
        <f t="shared" si="0"/>
        <v>42643</v>
      </c>
      <c r="W9" s="694">
        <f t="shared" si="0"/>
        <v>42674</v>
      </c>
      <c r="X9" s="694">
        <f t="shared" si="0"/>
        <v>42704</v>
      </c>
      <c r="Y9" s="694">
        <f t="shared" si="0"/>
        <v>42735</v>
      </c>
      <c r="Z9" s="694">
        <f t="shared" si="0"/>
        <v>42766</v>
      </c>
      <c r="AA9" s="694">
        <f t="shared" si="0"/>
        <v>42794</v>
      </c>
      <c r="AB9" s="694">
        <f t="shared" si="0"/>
        <v>42825</v>
      </c>
      <c r="AC9" s="694">
        <f t="shared" si="0"/>
        <v>42855</v>
      </c>
      <c r="AD9" s="694">
        <f t="shared" si="0"/>
        <v>42886</v>
      </c>
      <c r="AE9" s="694">
        <f t="shared" si="0"/>
        <v>42916</v>
      </c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</row>
    <row r="10" spans="1:48" s="2" customFormat="1" x14ac:dyDescent="0.2">
      <c r="B10" s="5"/>
      <c r="C10" s="5" t="s">
        <v>13</v>
      </c>
      <c r="D10" s="82" t="s">
        <v>14</v>
      </c>
      <c r="E10" s="82" t="s">
        <v>15</v>
      </c>
      <c r="F10" s="5" t="s">
        <v>16</v>
      </c>
      <c r="G10" s="96" t="s">
        <v>108</v>
      </c>
      <c r="H10" s="97" t="s">
        <v>109</v>
      </c>
      <c r="I10" s="97" t="s">
        <v>110</v>
      </c>
      <c r="J10" s="97" t="s">
        <v>111</v>
      </c>
      <c r="K10" s="97" t="s">
        <v>112</v>
      </c>
      <c r="L10" s="97" t="s">
        <v>113</v>
      </c>
      <c r="M10" s="97" t="s">
        <v>114</v>
      </c>
      <c r="N10" s="97" t="s">
        <v>115</v>
      </c>
      <c r="O10" s="97" t="s">
        <v>116</v>
      </c>
      <c r="P10" s="97" t="s">
        <v>234</v>
      </c>
      <c r="Q10" s="97" t="s">
        <v>235</v>
      </c>
      <c r="R10" s="97" t="s">
        <v>236</v>
      </c>
      <c r="S10" s="82"/>
      <c r="T10" s="17"/>
      <c r="U10" s="17"/>
      <c r="V10" s="16"/>
      <c r="W10" s="17"/>
      <c r="X10" s="17"/>
      <c r="Y10" s="16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</row>
    <row r="11" spans="1:48" s="2" customFormat="1" x14ac:dyDescent="0.2">
      <c r="C11" s="203"/>
      <c r="S11" s="16"/>
      <c r="T11" s="17"/>
      <c r="U11" s="16"/>
      <c r="V11" s="16"/>
      <c r="W11" s="16"/>
      <c r="X11" s="16"/>
      <c r="Y11" s="16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</row>
    <row r="12" spans="1:48" x14ac:dyDescent="0.2">
      <c r="A12" s="5">
        <v>1</v>
      </c>
      <c r="B12" s="36" t="s">
        <v>30</v>
      </c>
      <c r="C12" s="613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16"/>
      <c r="P12" s="16"/>
      <c r="Q12" s="16"/>
      <c r="R12" s="16"/>
      <c r="W12" s="16"/>
      <c r="X12" s="16"/>
      <c r="Y12" s="16"/>
    </row>
    <row r="13" spans="1:48" x14ac:dyDescent="0.2">
      <c r="A13" s="5">
        <v>2</v>
      </c>
      <c r="B13" s="2" t="s">
        <v>23</v>
      </c>
      <c r="C13" s="695">
        <v>154447</v>
      </c>
      <c r="D13" s="695">
        <v>155312</v>
      </c>
      <c r="E13" s="695">
        <v>152910</v>
      </c>
      <c r="F13" s="695">
        <v>153225</v>
      </c>
      <c r="G13" s="695">
        <v>154516</v>
      </c>
      <c r="H13" s="695">
        <v>157890</v>
      </c>
      <c r="I13" s="695">
        <v>158882</v>
      </c>
      <c r="J13" s="695">
        <v>159583</v>
      </c>
      <c r="K13" s="695">
        <v>159839</v>
      </c>
      <c r="L13" s="695">
        <v>157294</v>
      </c>
      <c r="M13" s="695">
        <v>159280</v>
      </c>
      <c r="N13" s="695">
        <v>156889</v>
      </c>
      <c r="O13" s="7">
        <f>SUM(C13:N13)</f>
        <v>1880067</v>
      </c>
      <c r="P13" s="7"/>
      <c r="Q13" s="12">
        <f>'Rate Design'!G12</f>
        <v>19.059999999999999</v>
      </c>
      <c r="R13" s="4">
        <f>O13*Q13</f>
        <v>35834077.019999996</v>
      </c>
    </row>
    <row r="14" spans="1:48" x14ac:dyDescent="0.2">
      <c r="A14" s="5">
        <v>3</v>
      </c>
      <c r="B14" s="2" t="s">
        <v>24</v>
      </c>
      <c r="C14" s="695">
        <v>170126.5</v>
      </c>
      <c r="D14" s="695">
        <v>140915.80000000002</v>
      </c>
      <c r="E14" s="695">
        <v>165532.26</v>
      </c>
      <c r="F14" s="695">
        <v>191440.56000000003</v>
      </c>
      <c r="G14" s="695">
        <v>405114.08</v>
      </c>
      <c r="H14" s="695">
        <v>1413279.82</v>
      </c>
      <c r="I14" s="695">
        <v>1939036.95</v>
      </c>
      <c r="J14" s="695">
        <v>1421821.01</v>
      </c>
      <c r="K14" s="695">
        <v>1036442.22</v>
      </c>
      <c r="L14" s="695">
        <v>767272.25</v>
      </c>
      <c r="M14" s="695">
        <v>307246.25</v>
      </c>
      <c r="N14" s="695">
        <v>198936.30000000002</v>
      </c>
      <c r="O14" s="7"/>
      <c r="P14" s="7">
        <f>SUM(C14:N14)</f>
        <v>8157164</v>
      </c>
      <c r="Q14" s="15">
        <f>'Rate Design'!G19</f>
        <v>1.534</v>
      </c>
      <c r="R14" s="7">
        <f>P14*Q14</f>
        <v>12513089.575999999</v>
      </c>
      <c r="S14" s="75"/>
      <c r="T14" s="366"/>
      <c r="U14" s="366"/>
      <c r="V14" s="366"/>
      <c r="W14" s="366"/>
      <c r="X14" s="366"/>
      <c r="Y14" s="366"/>
      <c r="Z14" s="366"/>
      <c r="AA14" s="366"/>
      <c r="AB14" s="366"/>
      <c r="AC14" s="366"/>
      <c r="AD14" s="366"/>
      <c r="AE14" s="366"/>
    </row>
    <row r="15" spans="1:48" x14ac:dyDescent="0.2">
      <c r="A15" s="5">
        <v>4</v>
      </c>
      <c r="B15" s="2" t="s">
        <v>25</v>
      </c>
      <c r="C15" s="695">
        <v>0</v>
      </c>
      <c r="D15" s="695">
        <v>0</v>
      </c>
      <c r="E15" s="695">
        <v>40.950000000000003</v>
      </c>
      <c r="F15" s="695">
        <v>904.96</v>
      </c>
      <c r="G15" s="695">
        <v>146.03</v>
      </c>
      <c r="H15" s="695">
        <v>28.38</v>
      </c>
      <c r="I15" s="695">
        <v>273.86</v>
      </c>
      <c r="J15" s="695">
        <v>337.05</v>
      </c>
      <c r="K15" s="695">
        <v>737.21</v>
      </c>
      <c r="L15" s="695">
        <v>-502.12</v>
      </c>
      <c r="M15" s="695">
        <v>36.11</v>
      </c>
      <c r="N15" s="695">
        <v>0</v>
      </c>
      <c r="O15" s="2"/>
      <c r="P15" s="7">
        <f>SUM(C15:N15)</f>
        <v>2002.4300000000005</v>
      </c>
      <c r="Q15" s="15">
        <f>'Rate Design'!G20</f>
        <v>0.95</v>
      </c>
      <c r="R15" s="7">
        <f>P15*Q15</f>
        <v>1902.3085000000003</v>
      </c>
      <c r="S15" s="75"/>
      <c r="T15" s="366"/>
      <c r="U15" s="366"/>
      <c r="V15" s="366"/>
      <c r="W15" s="366"/>
      <c r="X15" s="366"/>
      <c r="Y15" s="366"/>
      <c r="Z15" s="366"/>
      <c r="AA15" s="366"/>
      <c r="AB15" s="366"/>
      <c r="AC15" s="366"/>
      <c r="AD15" s="366"/>
      <c r="AE15" s="366"/>
    </row>
    <row r="16" spans="1:48" x14ac:dyDescent="0.2">
      <c r="A16" s="5">
        <v>5</v>
      </c>
      <c r="B16" s="2" t="s">
        <v>81</v>
      </c>
      <c r="C16" s="67">
        <v>0</v>
      </c>
      <c r="D16" s="67">
        <v>0</v>
      </c>
      <c r="E16" s="67">
        <v>0</v>
      </c>
      <c r="F16" s="67"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/>
      <c r="P16" s="7">
        <f>SUM(C16:N16)</f>
        <v>0</v>
      </c>
      <c r="Q16" s="15">
        <f>'Rate Design'!G21</f>
        <v>0.74</v>
      </c>
      <c r="R16" s="7">
        <f>P16*Q16</f>
        <v>0</v>
      </c>
      <c r="S16" s="50"/>
      <c r="T16" s="366"/>
      <c r="U16" s="366"/>
      <c r="V16" s="366"/>
      <c r="W16" s="366"/>
      <c r="X16" s="366"/>
      <c r="Y16" s="366"/>
      <c r="Z16" s="366"/>
      <c r="AA16" s="366"/>
      <c r="AB16" s="366"/>
      <c r="AC16" s="366"/>
      <c r="AD16" s="366"/>
      <c r="AE16" s="366"/>
    </row>
    <row r="17" spans="1:31" x14ac:dyDescent="0.2">
      <c r="A17" s="5">
        <v>6</v>
      </c>
      <c r="B17" s="144" t="s">
        <v>79</v>
      </c>
      <c r="C17" s="705">
        <f>SUM(C14:C16)</f>
        <v>170126.5</v>
      </c>
      <c r="D17" s="705">
        <f t="shared" ref="D17:N17" si="1">SUM(D14:D16)</f>
        <v>140915.80000000002</v>
      </c>
      <c r="E17" s="705">
        <f t="shared" si="1"/>
        <v>165573.21000000002</v>
      </c>
      <c r="F17" s="705">
        <f t="shared" si="1"/>
        <v>192345.52000000002</v>
      </c>
      <c r="G17" s="705">
        <f t="shared" si="1"/>
        <v>405260.11000000004</v>
      </c>
      <c r="H17" s="705">
        <f t="shared" si="1"/>
        <v>1413308.2</v>
      </c>
      <c r="I17" s="705">
        <f t="shared" si="1"/>
        <v>1939310.81</v>
      </c>
      <c r="J17" s="705">
        <f t="shared" si="1"/>
        <v>1422158.06</v>
      </c>
      <c r="K17" s="705">
        <f t="shared" si="1"/>
        <v>1037179.4299999999</v>
      </c>
      <c r="L17" s="705">
        <f t="shared" si="1"/>
        <v>766770.13</v>
      </c>
      <c r="M17" s="705">
        <f t="shared" si="1"/>
        <v>307282.36</v>
      </c>
      <c r="N17" s="705">
        <f t="shared" si="1"/>
        <v>198936.30000000002</v>
      </c>
      <c r="O17" s="145">
        <f>O13</f>
        <v>1880067</v>
      </c>
      <c r="P17" s="145">
        <f>SUM(P14:P16)</f>
        <v>8159166.4299999997</v>
      </c>
      <c r="Q17" s="144"/>
      <c r="R17" s="146">
        <f>SUM(R13:R16)</f>
        <v>48349068.904499993</v>
      </c>
      <c r="S17" s="38"/>
      <c r="V17" s="60"/>
    </row>
    <row r="18" spans="1:31" x14ac:dyDescent="0.2">
      <c r="A18" s="5">
        <v>7</v>
      </c>
      <c r="B18" s="17"/>
      <c r="C18" s="17"/>
      <c r="D18" s="39"/>
      <c r="E18" s="39"/>
      <c r="F18" s="39"/>
      <c r="G18" s="39"/>
      <c r="H18" s="39"/>
      <c r="I18" s="39"/>
      <c r="J18" s="39"/>
      <c r="K18" s="17"/>
      <c r="L18" s="17"/>
      <c r="M18" s="17"/>
      <c r="N18" s="17"/>
      <c r="O18" s="17"/>
      <c r="P18" s="17"/>
      <c r="Q18" s="17"/>
      <c r="R18" s="39"/>
      <c r="S18" s="17"/>
      <c r="T18" s="65"/>
    </row>
    <row r="19" spans="1:31" x14ac:dyDescent="0.2">
      <c r="A19" s="5">
        <v>8</v>
      </c>
      <c r="B19" s="36" t="s">
        <v>31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2"/>
      <c r="P19" s="2"/>
      <c r="Q19" s="2"/>
      <c r="R19" s="2"/>
      <c r="S19" s="45"/>
    </row>
    <row r="20" spans="1:31" x14ac:dyDescent="0.2">
      <c r="A20" s="5">
        <v>9</v>
      </c>
      <c r="B20" s="2" t="s">
        <v>23</v>
      </c>
      <c r="C20" s="695">
        <v>17024</v>
      </c>
      <c r="D20" s="695">
        <v>17149</v>
      </c>
      <c r="E20" s="695">
        <v>16872</v>
      </c>
      <c r="F20" s="695">
        <v>16778</v>
      </c>
      <c r="G20" s="695">
        <v>17200</v>
      </c>
      <c r="H20" s="695">
        <v>17535</v>
      </c>
      <c r="I20" s="695">
        <v>17874</v>
      </c>
      <c r="J20" s="695">
        <v>17890</v>
      </c>
      <c r="K20" s="695">
        <v>17938</v>
      </c>
      <c r="L20" s="695">
        <v>17568</v>
      </c>
      <c r="M20" s="695">
        <v>17819</v>
      </c>
      <c r="N20" s="695">
        <v>17344</v>
      </c>
      <c r="O20" s="7">
        <f>SUM(C20:N20)</f>
        <v>208991</v>
      </c>
      <c r="P20" s="16"/>
      <c r="Q20" s="101">
        <f>'Rate Design'!G13</f>
        <v>49.74</v>
      </c>
      <c r="R20" s="4">
        <f>O20*Q20</f>
        <v>10395212.34</v>
      </c>
      <c r="S20" s="45"/>
      <c r="U20" s="47"/>
    </row>
    <row r="21" spans="1:31" x14ac:dyDescent="0.2">
      <c r="A21" s="5">
        <v>10</v>
      </c>
      <c r="B21" s="2" t="s">
        <v>24</v>
      </c>
      <c r="C21" s="695">
        <v>139670.20000000001</v>
      </c>
      <c r="D21" s="695">
        <v>116779.62</v>
      </c>
      <c r="E21" s="695">
        <v>151910.96</v>
      </c>
      <c r="F21" s="695">
        <v>154465.91</v>
      </c>
      <c r="G21" s="695">
        <v>198486.94999999998</v>
      </c>
      <c r="H21" s="695">
        <v>545670.96000000008</v>
      </c>
      <c r="I21" s="695">
        <v>757608.19</v>
      </c>
      <c r="J21" s="695">
        <v>577780.47</v>
      </c>
      <c r="K21" s="695">
        <v>436544.47</v>
      </c>
      <c r="L21" s="695">
        <v>320695.00999999995</v>
      </c>
      <c r="M21" s="695">
        <v>176218.76</v>
      </c>
      <c r="N21" s="695">
        <v>143837.51999999999</v>
      </c>
      <c r="O21" s="7"/>
      <c r="P21" s="7">
        <f>SUM(C21:N21)</f>
        <v>3719669.0199999991</v>
      </c>
      <c r="Q21" s="15">
        <f>Q14</f>
        <v>1.534</v>
      </c>
      <c r="R21" s="7">
        <f>P21*Q21</f>
        <v>5705972.2766799983</v>
      </c>
      <c r="S21" s="75"/>
      <c r="T21" s="366"/>
      <c r="U21" s="366"/>
      <c r="V21" s="366"/>
      <c r="W21" s="366"/>
      <c r="X21" s="366"/>
      <c r="Y21" s="366"/>
      <c r="Z21" s="366"/>
      <c r="AA21" s="366"/>
      <c r="AB21" s="366"/>
      <c r="AC21" s="366"/>
      <c r="AD21" s="366"/>
      <c r="AE21" s="366"/>
    </row>
    <row r="22" spans="1:31" x14ac:dyDescent="0.2">
      <c r="A22" s="5">
        <v>11</v>
      </c>
      <c r="B22" s="2" t="s">
        <v>25</v>
      </c>
      <c r="C22" s="695">
        <v>24866</v>
      </c>
      <c r="D22" s="695">
        <v>22349.420000000002</v>
      </c>
      <c r="E22" s="695">
        <v>25373.34</v>
      </c>
      <c r="F22" s="695">
        <v>55054.03</v>
      </c>
      <c r="G22" s="695">
        <v>5860.63</v>
      </c>
      <c r="H22" s="695">
        <v>56034.71</v>
      </c>
      <c r="I22" s="695">
        <v>129604.41</v>
      </c>
      <c r="J22" s="695">
        <v>70226.91</v>
      </c>
      <c r="K22" s="695">
        <v>49673.15</v>
      </c>
      <c r="L22" s="695">
        <v>31454.59</v>
      </c>
      <c r="M22" s="695">
        <v>24312.78</v>
      </c>
      <c r="N22" s="695">
        <v>9224.35</v>
      </c>
      <c r="O22" s="7"/>
      <c r="P22" s="7">
        <f>SUM(C22:N22)</f>
        <v>504034.31999999995</v>
      </c>
      <c r="Q22" s="15">
        <f>Q15</f>
        <v>0.95</v>
      </c>
      <c r="R22" s="7">
        <f>P22*Q22</f>
        <v>478832.60399999993</v>
      </c>
      <c r="S22" s="75"/>
      <c r="T22" s="366"/>
      <c r="U22" s="366"/>
      <c r="V22" s="366"/>
      <c r="W22" s="366"/>
      <c r="X22" s="366"/>
      <c r="Y22" s="366"/>
      <c r="Z22" s="366"/>
      <c r="AA22" s="366"/>
      <c r="AB22" s="366"/>
      <c r="AC22" s="366"/>
      <c r="AD22" s="366"/>
      <c r="AE22" s="366"/>
    </row>
    <row r="23" spans="1:31" x14ac:dyDescent="0.2">
      <c r="A23" s="5">
        <v>12</v>
      </c>
      <c r="B23" s="2" t="s">
        <v>81</v>
      </c>
      <c r="C23" s="695">
        <v>0</v>
      </c>
      <c r="D23" s="695">
        <v>0</v>
      </c>
      <c r="E23" s="695">
        <v>0</v>
      </c>
      <c r="F23" s="695">
        <v>2056</v>
      </c>
      <c r="G23" s="695">
        <v>-2056</v>
      </c>
      <c r="H23" s="695">
        <v>0</v>
      </c>
      <c r="I23" s="695">
        <v>0</v>
      </c>
      <c r="J23" s="695">
        <v>0</v>
      </c>
      <c r="K23" s="695">
        <v>0</v>
      </c>
      <c r="L23" s="695">
        <v>0</v>
      </c>
      <c r="M23" s="695">
        <v>0</v>
      </c>
      <c r="N23" s="695">
        <v>0</v>
      </c>
      <c r="O23" s="7"/>
      <c r="P23" s="7">
        <f>SUM(C23:N23)</f>
        <v>0</v>
      </c>
      <c r="Q23" s="15">
        <f>Q16</f>
        <v>0.74</v>
      </c>
      <c r="R23" s="7">
        <f>P23*Q23</f>
        <v>0</v>
      </c>
      <c r="T23" s="366"/>
      <c r="U23" s="366"/>
      <c r="V23" s="366"/>
      <c r="W23" s="366"/>
      <c r="X23" s="366"/>
      <c r="Y23" s="366"/>
      <c r="Z23" s="366"/>
      <c r="AA23" s="366"/>
      <c r="AB23" s="366"/>
      <c r="AC23" s="366"/>
      <c r="AD23" s="366"/>
      <c r="AE23" s="366"/>
    </row>
    <row r="24" spans="1:31" x14ac:dyDescent="0.2">
      <c r="A24" s="5">
        <v>13</v>
      </c>
      <c r="B24" s="33" t="s">
        <v>79</v>
      </c>
      <c r="C24" s="68">
        <f>SUM(C21:C23)</f>
        <v>164536.20000000001</v>
      </c>
      <c r="D24" s="68">
        <f t="shared" ref="D24:N24" si="2">SUM(D21:D23)</f>
        <v>139129.04</v>
      </c>
      <c r="E24" s="68">
        <f t="shared" si="2"/>
        <v>177284.3</v>
      </c>
      <c r="F24" s="68">
        <f t="shared" si="2"/>
        <v>211575.94</v>
      </c>
      <c r="G24" s="68">
        <f t="shared" si="2"/>
        <v>202291.58</v>
      </c>
      <c r="H24" s="68">
        <f t="shared" si="2"/>
        <v>601705.67000000004</v>
      </c>
      <c r="I24" s="68">
        <f t="shared" si="2"/>
        <v>887212.6</v>
      </c>
      <c r="J24" s="68">
        <f t="shared" si="2"/>
        <v>648007.38</v>
      </c>
      <c r="K24" s="68">
        <f t="shared" si="2"/>
        <v>486217.62</v>
      </c>
      <c r="L24" s="68">
        <f t="shared" si="2"/>
        <v>352149.6</v>
      </c>
      <c r="M24" s="68">
        <f t="shared" si="2"/>
        <v>200531.54</v>
      </c>
      <c r="N24" s="68">
        <f t="shared" si="2"/>
        <v>153061.87</v>
      </c>
      <c r="O24" s="32">
        <f>O20</f>
        <v>208991</v>
      </c>
      <c r="P24" s="32">
        <f>SUM(P21:P23)</f>
        <v>4223703.3399999989</v>
      </c>
      <c r="Q24" s="33"/>
      <c r="R24" s="34">
        <f>SUM(R20:R23)</f>
        <v>16580017.220679998</v>
      </c>
      <c r="S24" s="17"/>
      <c r="T24" s="88"/>
      <c r="U24" s="47"/>
    </row>
    <row r="25" spans="1:31" x14ac:dyDescent="0.2">
      <c r="A25" s="5">
        <v>14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pans="1:31" x14ac:dyDescent="0.2">
      <c r="A26" s="5">
        <v>15</v>
      </c>
      <c r="B26" s="36" t="s">
        <v>80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71"/>
      <c r="P26" s="71"/>
      <c r="Q26" s="15"/>
      <c r="R26" s="71"/>
    </row>
    <row r="27" spans="1:31" x14ac:dyDescent="0.2">
      <c r="A27" s="5">
        <v>16</v>
      </c>
      <c r="B27" s="2" t="s">
        <v>23</v>
      </c>
      <c r="C27" s="695">
        <v>182</v>
      </c>
      <c r="D27" s="695">
        <v>207</v>
      </c>
      <c r="E27" s="695">
        <v>192.24444444444444</v>
      </c>
      <c r="F27" s="695">
        <v>188.24444444444444</v>
      </c>
      <c r="G27" s="695">
        <v>202.97777777777779</v>
      </c>
      <c r="H27" s="695">
        <v>194.97777777777779</v>
      </c>
      <c r="I27" s="695">
        <v>220.97777777777779</v>
      </c>
      <c r="J27" s="695">
        <v>208.97777777777779</v>
      </c>
      <c r="K27" s="695">
        <v>210.97777777777779</v>
      </c>
      <c r="L27" s="695">
        <v>193.97777777777779</v>
      </c>
      <c r="M27" s="695">
        <v>210.97777777777779</v>
      </c>
      <c r="N27" s="695">
        <v>202.98888888888888</v>
      </c>
      <c r="O27" s="7">
        <f>SUM(C27:N27)</f>
        <v>2416.3222222222225</v>
      </c>
      <c r="P27" s="16"/>
      <c r="Q27" s="12">
        <f>Q20</f>
        <v>49.74</v>
      </c>
      <c r="R27" s="4">
        <f>O27*Q27</f>
        <v>120187.86733333336</v>
      </c>
      <c r="S27" s="17" t="s">
        <v>689</v>
      </c>
    </row>
    <row r="28" spans="1:31" x14ac:dyDescent="0.2">
      <c r="A28" s="5">
        <v>17</v>
      </c>
      <c r="B28" s="2" t="s">
        <v>24</v>
      </c>
      <c r="C28" s="695">
        <v>8059.21</v>
      </c>
      <c r="D28" s="695">
        <v>9684.57</v>
      </c>
      <c r="E28" s="695">
        <v>10001.689999999999</v>
      </c>
      <c r="F28" s="695">
        <v>9140.5199999999968</v>
      </c>
      <c r="G28" s="695">
        <v>15019.089999999998</v>
      </c>
      <c r="H28" s="695">
        <v>33390.89</v>
      </c>
      <c r="I28" s="695">
        <v>42644.420000000013</v>
      </c>
      <c r="J28" s="695">
        <v>36133.419999999991</v>
      </c>
      <c r="K28" s="695">
        <v>31541.3</v>
      </c>
      <c r="L28" s="695">
        <v>20570.839999999997</v>
      </c>
      <c r="M28" s="695">
        <v>14959.940000000002</v>
      </c>
      <c r="N28" s="695">
        <v>10348.430000000002</v>
      </c>
      <c r="O28" s="7"/>
      <c r="P28" s="7">
        <f>SUM(C28:N28)</f>
        <v>241494.31999999998</v>
      </c>
      <c r="Q28" s="15">
        <f>Q21</f>
        <v>1.534</v>
      </c>
      <c r="R28" s="7">
        <f>P28*Q28</f>
        <v>370452.28687999997</v>
      </c>
      <c r="S28" s="17" t="s">
        <v>689</v>
      </c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</row>
    <row r="29" spans="1:31" x14ac:dyDescent="0.2">
      <c r="A29" s="5">
        <v>18</v>
      </c>
      <c r="B29" s="2" t="s">
        <v>25</v>
      </c>
      <c r="C29" s="695">
        <v>14936.55</v>
      </c>
      <c r="D29" s="695">
        <v>14066.83</v>
      </c>
      <c r="E29" s="695">
        <v>16577</v>
      </c>
      <c r="F29" s="695">
        <v>21027.760000000002</v>
      </c>
      <c r="G29" s="695">
        <v>17823.53</v>
      </c>
      <c r="H29" s="695">
        <v>41269.85</v>
      </c>
      <c r="I29" s="695">
        <v>76699.88</v>
      </c>
      <c r="J29" s="695">
        <v>47025.69</v>
      </c>
      <c r="K29" s="695">
        <v>41290.43</v>
      </c>
      <c r="L29" s="695">
        <v>25828.73</v>
      </c>
      <c r="M29" s="695">
        <v>24667.879999999997</v>
      </c>
      <c r="N29" s="695">
        <v>17608.75</v>
      </c>
      <c r="O29" s="7"/>
      <c r="P29" s="7">
        <f>SUM(C29:N29)</f>
        <v>358822.88</v>
      </c>
      <c r="Q29" s="15">
        <f>Q22</f>
        <v>0.95</v>
      </c>
      <c r="R29" s="7">
        <f>P29*Q29</f>
        <v>340881.73599999998</v>
      </c>
      <c r="S29" s="17" t="s">
        <v>689</v>
      </c>
      <c r="T29" s="366"/>
      <c r="U29" s="366"/>
      <c r="V29" s="366"/>
      <c r="W29" s="366"/>
      <c r="X29" s="366"/>
      <c r="Y29" s="366"/>
      <c r="Z29" s="366"/>
      <c r="AA29" s="366"/>
      <c r="AB29" s="366"/>
      <c r="AC29" s="366"/>
      <c r="AD29" s="366"/>
      <c r="AE29" s="366"/>
    </row>
    <row r="30" spans="1:31" x14ac:dyDescent="0.2">
      <c r="A30" s="5">
        <v>19</v>
      </c>
      <c r="B30" s="2" t="s">
        <v>81</v>
      </c>
      <c r="C30" s="67">
        <v>0</v>
      </c>
      <c r="D30" s="67">
        <v>0</v>
      </c>
      <c r="E30" s="67">
        <v>0</v>
      </c>
      <c r="F30" s="67"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7"/>
      <c r="P30" s="7">
        <f>SUM(C30:N30)</f>
        <v>0</v>
      </c>
      <c r="Q30" s="15">
        <f>Q23</f>
        <v>0.74</v>
      </c>
      <c r="R30" s="7">
        <f>P30*Q30</f>
        <v>0</v>
      </c>
      <c r="S30" s="17" t="s">
        <v>689</v>
      </c>
      <c r="T30" s="366"/>
      <c r="U30" s="366"/>
      <c r="V30" s="366"/>
      <c r="W30" s="366"/>
      <c r="X30" s="366"/>
      <c r="Y30" s="366"/>
      <c r="Z30" s="366"/>
      <c r="AA30" s="366"/>
      <c r="AB30" s="366"/>
      <c r="AC30" s="366"/>
      <c r="AD30" s="366"/>
      <c r="AE30" s="366"/>
    </row>
    <row r="31" spans="1:31" x14ac:dyDescent="0.2">
      <c r="A31" s="5">
        <v>20</v>
      </c>
      <c r="B31" s="33" t="s">
        <v>79</v>
      </c>
      <c r="C31" s="68">
        <f>SUM(C28:C30)</f>
        <v>22995.759999999998</v>
      </c>
      <c r="D31" s="68">
        <f t="shared" ref="D31:N31" si="3">SUM(D28:D30)</f>
        <v>23751.4</v>
      </c>
      <c r="E31" s="68">
        <f t="shared" si="3"/>
        <v>26578.69</v>
      </c>
      <c r="F31" s="68">
        <f t="shared" si="3"/>
        <v>30168.28</v>
      </c>
      <c r="G31" s="68">
        <f t="shared" si="3"/>
        <v>32842.619999999995</v>
      </c>
      <c r="H31" s="68">
        <f t="shared" si="3"/>
        <v>74660.739999999991</v>
      </c>
      <c r="I31" s="68">
        <f t="shared" si="3"/>
        <v>119344.30000000002</v>
      </c>
      <c r="J31" s="68">
        <f t="shared" si="3"/>
        <v>83159.109999999986</v>
      </c>
      <c r="K31" s="68">
        <f t="shared" si="3"/>
        <v>72831.73</v>
      </c>
      <c r="L31" s="68">
        <f t="shared" si="3"/>
        <v>46399.569999999992</v>
      </c>
      <c r="M31" s="68">
        <f t="shared" si="3"/>
        <v>39627.82</v>
      </c>
      <c r="N31" s="68">
        <f t="shared" si="3"/>
        <v>27957.18</v>
      </c>
      <c r="O31" s="32">
        <f>O27</f>
        <v>2416.3222222222225</v>
      </c>
      <c r="P31" s="32">
        <f>SUM(P28:P30)</f>
        <v>600317.19999999995</v>
      </c>
      <c r="Q31" s="33"/>
      <c r="R31" s="34">
        <f>SUM(R27:R30)</f>
        <v>831521.8902133333</v>
      </c>
      <c r="S31" s="27"/>
      <c r="U31" s="47"/>
    </row>
    <row r="32" spans="1:31" x14ac:dyDescent="0.2">
      <c r="A32" s="5">
        <v>21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7"/>
      <c r="U32" s="47"/>
    </row>
    <row r="33" spans="1:31" x14ac:dyDescent="0.2">
      <c r="A33" s="5">
        <v>22</v>
      </c>
      <c r="B33" s="36" t="s">
        <v>82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2"/>
      <c r="P33" s="2"/>
      <c r="Q33" s="15"/>
      <c r="R33" s="61"/>
      <c r="S33" s="27"/>
      <c r="U33" s="47"/>
    </row>
    <row r="34" spans="1:31" x14ac:dyDescent="0.2">
      <c r="A34" s="5">
        <v>23</v>
      </c>
      <c r="B34" s="2" t="s">
        <v>23</v>
      </c>
      <c r="C34" s="695">
        <v>1520</v>
      </c>
      <c r="D34" s="695">
        <v>1593</v>
      </c>
      <c r="E34" s="695">
        <v>1524</v>
      </c>
      <c r="F34" s="695">
        <v>1554</v>
      </c>
      <c r="G34" s="695">
        <v>1556</v>
      </c>
      <c r="H34" s="695">
        <v>1551</v>
      </c>
      <c r="I34" s="695">
        <v>1552</v>
      </c>
      <c r="J34" s="695">
        <v>1546</v>
      </c>
      <c r="K34" s="695">
        <v>1566</v>
      </c>
      <c r="L34" s="695">
        <v>1509</v>
      </c>
      <c r="M34" s="695">
        <v>1576</v>
      </c>
      <c r="N34" s="695">
        <v>1536</v>
      </c>
      <c r="O34" s="7">
        <f>SUM(C34:N34)</f>
        <v>18583</v>
      </c>
      <c r="P34" s="16"/>
      <c r="Q34" s="12">
        <f>Q27</f>
        <v>49.74</v>
      </c>
      <c r="R34" s="4">
        <f>O34*Q34</f>
        <v>924318.42</v>
      </c>
      <c r="S34" s="27"/>
      <c r="T34" s="17"/>
      <c r="U34" s="47"/>
    </row>
    <row r="35" spans="1:31" x14ac:dyDescent="0.2">
      <c r="A35" s="5">
        <v>24</v>
      </c>
      <c r="B35" s="2" t="s">
        <v>24</v>
      </c>
      <c r="C35" s="695">
        <v>21527.88</v>
      </c>
      <c r="D35" s="695">
        <v>20882.870000000003</v>
      </c>
      <c r="E35" s="695">
        <v>27924.579999999998</v>
      </c>
      <c r="F35" s="695">
        <v>27061.660000000003</v>
      </c>
      <c r="G35" s="695">
        <v>42386.92</v>
      </c>
      <c r="H35" s="695">
        <v>103750.7</v>
      </c>
      <c r="I35" s="695">
        <v>130784.74999999997</v>
      </c>
      <c r="J35" s="695">
        <v>105009.11</v>
      </c>
      <c r="K35" s="695">
        <v>84539.14</v>
      </c>
      <c r="L35" s="695">
        <v>63689.66</v>
      </c>
      <c r="M35" s="695">
        <v>36915.01</v>
      </c>
      <c r="N35" s="695">
        <v>23957.01</v>
      </c>
      <c r="O35" s="7"/>
      <c r="P35" s="7">
        <f>SUM(C35:N35)</f>
        <v>688429.29</v>
      </c>
      <c r="Q35" s="15">
        <f>Q28</f>
        <v>1.534</v>
      </c>
      <c r="R35" s="7">
        <f>P35*Q35</f>
        <v>1056050.5308600001</v>
      </c>
      <c r="S35" s="27"/>
      <c r="T35" s="366"/>
      <c r="U35" s="366"/>
      <c r="V35" s="366"/>
      <c r="W35" s="366"/>
      <c r="X35" s="366"/>
      <c r="Y35" s="366"/>
      <c r="Z35" s="366"/>
      <c r="AA35" s="366"/>
      <c r="AB35" s="366"/>
      <c r="AC35" s="366"/>
      <c r="AD35" s="366"/>
      <c r="AE35" s="366"/>
    </row>
    <row r="36" spans="1:31" x14ac:dyDescent="0.2">
      <c r="A36" s="5">
        <v>25</v>
      </c>
      <c r="B36" s="2" t="s">
        <v>25</v>
      </c>
      <c r="C36" s="695">
        <v>1242.05</v>
      </c>
      <c r="D36" s="695">
        <v>1422.69</v>
      </c>
      <c r="E36" s="695">
        <v>3015.2400000000002</v>
      </c>
      <c r="F36" s="695">
        <v>3201.58</v>
      </c>
      <c r="G36" s="695">
        <v>4881.26</v>
      </c>
      <c r="H36" s="695">
        <v>21730.67</v>
      </c>
      <c r="I36" s="695">
        <v>38798.86</v>
      </c>
      <c r="J36" s="695">
        <v>21263.93</v>
      </c>
      <c r="K36" s="695">
        <v>14714.45</v>
      </c>
      <c r="L36" s="695">
        <v>11610.71</v>
      </c>
      <c r="M36" s="695">
        <v>2608.13</v>
      </c>
      <c r="N36" s="695">
        <v>3472.81</v>
      </c>
      <c r="O36" s="7"/>
      <c r="P36" s="7">
        <f>SUM(C36:N36)</f>
        <v>127962.38</v>
      </c>
      <c r="Q36" s="15">
        <f>Q29</f>
        <v>0.95</v>
      </c>
      <c r="R36" s="7">
        <f>P36*Q36</f>
        <v>121564.261</v>
      </c>
      <c r="S36" s="38"/>
      <c r="T36" s="366"/>
      <c r="U36" s="366"/>
      <c r="V36" s="366"/>
      <c r="W36" s="366"/>
      <c r="X36" s="366"/>
      <c r="Y36" s="366"/>
      <c r="Z36" s="366"/>
      <c r="AA36" s="366"/>
      <c r="AB36" s="366"/>
      <c r="AC36" s="366"/>
      <c r="AD36" s="366"/>
      <c r="AE36" s="366"/>
    </row>
    <row r="37" spans="1:31" x14ac:dyDescent="0.2">
      <c r="A37" s="5">
        <v>26</v>
      </c>
      <c r="B37" s="2" t="s">
        <v>81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7"/>
      <c r="P37" s="7">
        <f>SUM(C37:N37)</f>
        <v>0</v>
      </c>
      <c r="Q37" s="15">
        <f>Q30</f>
        <v>0.74</v>
      </c>
      <c r="R37" s="7">
        <f>P37*Q37</f>
        <v>0</v>
      </c>
      <c r="S37" s="27"/>
      <c r="T37" s="366"/>
      <c r="U37" s="366"/>
      <c r="V37" s="366"/>
      <c r="W37" s="366"/>
      <c r="X37" s="366"/>
      <c r="Y37" s="366"/>
      <c r="Z37" s="366"/>
      <c r="AA37" s="366"/>
      <c r="AB37" s="366"/>
      <c r="AC37" s="366"/>
      <c r="AD37" s="366"/>
      <c r="AE37" s="366"/>
    </row>
    <row r="38" spans="1:31" x14ac:dyDescent="0.2">
      <c r="A38" s="5">
        <v>27</v>
      </c>
      <c r="B38" s="33" t="s">
        <v>79</v>
      </c>
      <c r="C38" s="68">
        <f>SUM(C35:C37)</f>
        <v>22769.93</v>
      </c>
      <c r="D38" s="68">
        <f t="shared" ref="D38:N38" si="4">SUM(D35:D37)</f>
        <v>22305.56</v>
      </c>
      <c r="E38" s="68">
        <f t="shared" si="4"/>
        <v>30939.82</v>
      </c>
      <c r="F38" s="68">
        <f t="shared" si="4"/>
        <v>30263.240000000005</v>
      </c>
      <c r="G38" s="68">
        <f t="shared" si="4"/>
        <v>47268.18</v>
      </c>
      <c r="H38" s="68">
        <f t="shared" si="4"/>
        <v>125481.37</v>
      </c>
      <c r="I38" s="68">
        <f t="shared" si="4"/>
        <v>169583.61</v>
      </c>
      <c r="J38" s="68">
        <f t="shared" si="4"/>
        <v>126273.04000000001</v>
      </c>
      <c r="K38" s="68">
        <f t="shared" si="4"/>
        <v>99253.59</v>
      </c>
      <c r="L38" s="68">
        <f t="shared" si="4"/>
        <v>75300.37</v>
      </c>
      <c r="M38" s="68">
        <f t="shared" si="4"/>
        <v>39523.14</v>
      </c>
      <c r="N38" s="68">
        <f t="shared" si="4"/>
        <v>27429.82</v>
      </c>
      <c r="O38" s="32">
        <f>O34</f>
        <v>18583</v>
      </c>
      <c r="P38" s="32">
        <f>SUM(P35:P37)</f>
        <v>816391.67</v>
      </c>
      <c r="Q38" s="33"/>
      <c r="R38" s="34">
        <f>SUM(R34:R37)</f>
        <v>2101933.2118600002</v>
      </c>
      <c r="S38" s="27"/>
    </row>
    <row r="39" spans="1:31" x14ac:dyDescent="0.2">
      <c r="A39" s="5">
        <v>28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75"/>
      <c r="T39" s="27"/>
      <c r="U39" s="47"/>
      <c r="V39" s="75"/>
    </row>
    <row r="40" spans="1:31" x14ac:dyDescent="0.2">
      <c r="A40" s="5">
        <v>29</v>
      </c>
      <c r="B40" s="172" t="s">
        <v>83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75"/>
      <c r="T40" s="27"/>
      <c r="U40" s="47"/>
      <c r="V40" s="75"/>
    </row>
    <row r="41" spans="1:31" x14ac:dyDescent="0.2">
      <c r="A41" s="5">
        <v>30</v>
      </c>
      <c r="B41" s="2" t="s">
        <v>84</v>
      </c>
      <c r="C41" s="695">
        <v>2</v>
      </c>
      <c r="D41" s="695">
        <v>2</v>
      </c>
      <c r="E41" s="695">
        <v>2</v>
      </c>
      <c r="F41" s="695">
        <v>2</v>
      </c>
      <c r="G41" s="695">
        <v>3</v>
      </c>
      <c r="H41" s="695">
        <v>3</v>
      </c>
      <c r="I41" s="695">
        <v>3</v>
      </c>
      <c r="J41" s="695">
        <v>3</v>
      </c>
      <c r="K41" s="695">
        <v>3</v>
      </c>
      <c r="L41" s="695">
        <v>3</v>
      </c>
      <c r="M41" s="695">
        <v>4</v>
      </c>
      <c r="N41" s="695">
        <v>2</v>
      </c>
      <c r="O41" s="7">
        <f>SUM(C41:N41)</f>
        <v>32</v>
      </c>
      <c r="P41" s="16"/>
      <c r="Q41" s="101">
        <f>'Rate Design'!G14</f>
        <v>393.35</v>
      </c>
      <c r="R41" s="4">
        <f>O41*Q41</f>
        <v>12587.2</v>
      </c>
      <c r="U41" s="27"/>
      <c r="V41" s="75"/>
    </row>
    <row r="42" spans="1:31" x14ac:dyDescent="0.2">
      <c r="A42" s="5">
        <v>31</v>
      </c>
      <c r="B42" s="2" t="s">
        <v>85</v>
      </c>
      <c r="C42" s="695">
        <v>15.73</v>
      </c>
      <c r="D42" s="695">
        <v>59.09</v>
      </c>
      <c r="E42" s="695">
        <v>56.48</v>
      </c>
      <c r="F42" s="695">
        <v>50.86</v>
      </c>
      <c r="G42" s="695">
        <v>502.17</v>
      </c>
      <c r="H42" s="695">
        <v>1611.67</v>
      </c>
      <c r="I42" s="695">
        <v>2476.65</v>
      </c>
      <c r="J42" s="695">
        <v>1947.04</v>
      </c>
      <c r="K42" s="695">
        <v>1505.75</v>
      </c>
      <c r="L42" s="695">
        <v>1434.98</v>
      </c>
      <c r="M42" s="695">
        <v>703.79</v>
      </c>
      <c r="N42" s="695">
        <v>14.54</v>
      </c>
      <c r="O42" s="7"/>
      <c r="P42" s="7">
        <f>SUM(C42:N42)</f>
        <v>10378.75</v>
      </c>
      <c r="Q42" s="15">
        <f>'Rate Design'!G27</f>
        <v>0.90900000000000003</v>
      </c>
      <c r="R42" s="7">
        <f>P42*Q42</f>
        <v>9434.2837500000005</v>
      </c>
      <c r="T42" s="366"/>
      <c r="U42" s="366"/>
      <c r="V42" s="366"/>
      <c r="W42" s="366"/>
      <c r="X42" s="366"/>
      <c r="Y42" s="366"/>
      <c r="Z42" s="366"/>
      <c r="AA42" s="366"/>
      <c r="AB42" s="366"/>
      <c r="AC42" s="366"/>
      <c r="AD42" s="366"/>
      <c r="AE42" s="366"/>
    </row>
    <row r="43" spans="1:31" x14ac:dyDescent="0.2">
      <c r="A43" s="5">
        <v>32</v>
      </c>
      <c r="B43" s="2" t="s">
        <v>81</v>
      </c>
      <c r="C43" s="67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7"/>
      <c r="P43" s="7">
        <f>SUM(C43:N43)</f>
        <v>0</v>
      </c>
      <c r="Q43" s="15">
        <f>'Rate Design'!G28</f>
        <v>0.68489999999999995</v>
      </c>
      <c r="R43" s="7">
        <f>P43*Q43</f>
        <v>0</v>
      </c>
      <c r="T43" s="366"/>
      <c r="U43" s="366"/>
      <c r="V43" s="366"/>
      <c r="W43" s="366"/>
      <c r="X43" s="366"/>
      <c r="Y43" s="366"/>
      <c r="Z43" s="366"/>
      <c r="AA43" s="366"/>
      <c r="AB43" s="366"/>
      <c r="AC43" s="366"/>
      <c r="AD43" s="366"/>
      <c r="AE43" s="366"/>
    </row>
    <row r="44" spans="1:31" x14ac:dyDescent="0.2">
      <c r="A44" s="5">
        <v>33</v>
      </c>
      <c r="B44" s="33" t="s">
        <v>79</v>
      </c>
      <c r="C44" s="68">
        <f>SUM(C42:C43)</f>
        <v>15.73</v>
      </c>
      <c r="D44" s="68">
        <f t="shared" ref="D44:N44" si="5">SUM(D42:D43)</f>
        <v>59.09</v>
      </c>
      <c r="E44" s="68">
        <f t="shared" si="5"/>
        <v>56.48</v>
      </c>
      <c r="F44" s="68">
        <f t="shared" si="5"/>
        <v>50.86</v>
      </c>
      <c r="G44" s="68">
        <f t="shared" si="5"/>
        <v>502.17</v>
      </c>
      <c r="H44" s="68">
        <f t="shared" si="5"/>
        <v>1611.67</v>
      </c>
      <c r="I44" s="68">
        <f t="shared" si="5"/>
        <v>2476.65</v>
      </c>
      <c r="J44" s="68">
        <f t="shared" si="5"/>
        <v>1947.04</v>
      </c>
      <c r="K44" s="68">
        <f t="shared" si="5"/>
        <v>1505.75</v>
      </c>
      <c r="L44" s="68">
        <f t="shared" si="5"/>
        <v>1434.98</v>
      </c>
      <c r="M44" s="68">
        <f t="shared" si="5"/>
        <v>703.79</v>
      </c>
      <c r="N44" s="68">
        <f t="shared" si="5"/>
        <v>14.54</v>
      </c>
      <c r="O44" s="32">
        <f>O41</f>
        <v>32</v>
      </c>
      <c r="P44" s="32">
        <f>SUM(P42:P43)</f>
        <v>10378.75</v>
      </c>
      <c r="Q44" s="33"/>
      <c r="R44" s="34">
        <f>SUM(R41:R43)</f>
        <v>22021.483749999999</v>
      </c>
    </row>
    <row r="45" spans="1:31" x14ac:dyDescent="0.2">
      <c r="A45" s="5">
        <v>34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spans="1:31" x14ac:dyDescent="0.2">
      <c r="A46" s="5">
        <v>35</v>
      </c>
      <c r="B46" s="172" t="s">
        <v>86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</row>
    <row r="47" spans="1:31" x14ac:dyDescent="0.2">
      <c r="A47" s="5">
        <v>36</v>
      </c>
      <c r="B47" s="2" t="s">
        <v>84</v>
      </c>
      <c r="C47" s="695">
        <v>9</v>
      </c>
      <c r="D47" s="695">
        <v>8</v>
      </c>
      <c r="E47" s="695">
        <v>8</v>
      </c>
      <c r="F47" s="695">
        <v>7</v>
      </c>
      <c r="G47" s="695">
        <v>8</v>
      </c>
      <c r="H47" s="695">
        <v>8</v>
      </c>
      <c r="I47" s="695">
        <v>9</v>
      </c>
      <c r="J47" s="695">
        <v>16</v>
      </c>
      <c r="K47" s="695">
        <v>10</v>
      </c>
      <c r="L47" s="695">
        <v>8</v>
      </c>
      <c r="M47" s="695">
        <v>10</v>
      </c>
      <c r="N47" s="695">
        <v>9</v>
      </c>
      <c r="O47" s="7">
        <f>SUM(C47:N47)</f>
        <v>110</v>
      </c>
      <c r="P47" s="16"/>
      <c r="Q47" s="101">
        <f>Q41</f>
        <v>393.35</v>
      </c>
      <c r="R47" s="4">
        <f>O47*Q47</f>
        <v>43268.5</v>
      </c>
      <c r="S47" s="17" t="s">
        <v>689</v>
      </c>
    </row>
    <row r="48" spans="1:31" x14ac:dyDescent="0.2">
      <c r="A48" s="5">
        <v>37</v>
      </c>
      <c r="B48" s="2" t="s">
        <v>85</v>
      </c>
      <c r="C48" s="695">
        <v>41347.300000000003</v>
      </c>
      <c r="D48" s="695">
        <v>27820.25</v>
      </c>
      <c r="E48" s="695">
        <v>28622.19</v>
      </c>
      <c r="F48" s="695">
        <v>14615.48</v>
      </c>
      <c r="G48" s="695">
        <v>26032.799999999999</v>
      </c>
      <c r="H48" s="695">
        <v>40530.910000000003</v>
      </c>
      <c r="I48" s="695">
        <v>65530.71</v>
      </c>
      <c r="J48" s="695">
        <v>50051.42</v>
      </c>
      <c r="K48" s="695">
        <v>39184.19</v>
      </c>
      <c r="L48" s="695">
        <v>32345.88</v>
      </c>
      <c r="M48" s="695">
        <v>39177.770000000004</v>
      </c>
      <c r="N48" s="695">
        <v>16531.349999999999</v>
      </c>
      <c r="O48" s="7"/>
      <c r="P48" s="7">
        <f>SUM(C48:N48)</f>
        <v>421790.25</v>
      </c>
      <c r="Q48" s="15">
        <f>Q42</f>
        <v>0.90900000000000003</v>
      </c>
      <c r="R48" s="7">
        <f>P48*Q48</f>
        <v>383407.33725000004</v>
      </c>
      <c r="S48" s="17" t="s">
        <v>689</v>
      </c>
      <c r="T48" s="366"/>
      <c r="U48" s="366"/>
      <c r="V48" s="366"/>
      <c r="W48" s="366"/>
      <c r="X48" s="366"/>
      <c r="Y48" s="366"/>
      <c r="Z48" s="366"/>
      <c r="AA48" s="366"/>
      <c r="AB48" s="366"/>
      <c r="AC48" s="366"/>
      <c r="AD48" s="366"/>
      <c r="AE48" s="366"/>
    </row>
    <row r="49" spans="1:31" x14ac:dyDescent="0.2">
      <c r="A49" s="5">
        <v>38</v>
      </c>
      <c r="B49" s="2" t="s">
        <v>81</v>
      </c>
      <c r="C49" s="695">
        <v>7742</v>
      </c>
      <c r="D49" s="695">
        <v>0</v>
      </c>
      <c r="E49" s="695">
        <v>4795</v>
      </c>
      <c r="F49" s="695">
        <v>0</v>
      </c>
      <c r="G49" s="695">
        <v>0</v>
      </c>
      <c r="H49" s="695">
        <v>12687.01</v>
      </c>
      <c r="I49" s="695">
        <v>48477</v>
      </c>
      <c r="J49" s="695">
        <v>100423</v>
      </c>
      <c r="K49" s="695">
        <v>40007</v>
      </c>
      <c r="L49" s="695">
        <v>38094</v>
      </c>
      <c r="M49" s="695">
        <v>72430</v>
      </c>
      <c r="N49" s="695">
        <v>0</v>
      </c>
      <c r="O49" s="7"/>
      <c r="P49" s="7">
        <f>SUM(C49:N49)</f>
        <v>324655.01</v>
      </c>
      <c r="Q49" s="15">
        <f>Q43</f>
        <v>0.68489999999999995</v>
      </c>
      <c r="R49" s="7">
        <f>P49*Q49</f>
        <v>222356.21634899999</v>
      </c>
      <c r="S49" s="17" t="s">
        <v>689</v>
      </c>
      <c r="T49" s="366"/>
      <c r="U49" s="366"/>
      <c r="V49" s="366"/>
      <c r="W49" s="366"/>
      <c r="X49" s="366"/>
      <c r="Y49" s="366"/>
      <c r="Z49" s="366"/>
      <c r="AA49" s="366"/>
      <c r="AB49" s="366"/>
      <c r="AC49" s="366"/>
      <c r="AD49" s="366"/>
      <c r="AE49" s="366"/>
    </row>
    <row r="50" spans="1:31" x14ac:dyDescent="0.2">
      <c r="A50" s="5">
        <v>39</v>
      </c>
      <c r="B50" s="33" t="s">
        <v>79</v>
      </c>
      <c r="C50" s="68">
        <f>SUM(C48:C49)</f>
        <v>49089.3</v>
      </c>
      <c r="D50" s="68">
        <f t="shared" ref="D50:N50" si="6">SUM(D48:D49)</f>
        <v>27820.25</v>
      </c>
      <c r="E50" s="68">
        <f t="shared" si="6"/>
        <v>33417.19</v>
      </c>
      <c r="F50" s="68">
        <f t="shared" si="6"/>
        <v>14615.48</v>
      </c>
      <c r="G50" s="68">
        <f t="shared" si="6"/>
        <v>26032.799999999999</v>
      </c>
      <c r="H50" s="68">
        <f t="shared" si="6"/>
        <v>53217.920000000006</v>
      </c>
      <c r="I50" s="68">
        <f t="shared" si="6"/>
        <v>114007.70999999999</v>
      </c>
      <c r="J50" s="68">
        <f t="shared" si="6"/>
        <v>150474.41999999998</v>
      </c>
      <c r="K50" s="68">
        <f t="shared" si="6"/>
        <v>79191.19</v>
      </c>
      <c r="L50" s="68">
        <f t="shared" si="6"/>
        <v>70439.88</v>
      </c>
      <c r="M50" s="68">
        <f t="shared" si="6"/>
        <v>111607.77</v>
      </c>
      <c r="N50" s="68">
        <f t="shared" si="6"/>
        <v>16531.349999999999</v>
      </c>
      <c r="O50" s="32">
        <f>O47</f>
        <v>110</v>
      </c>
      <c r="P50" s="32">
        <f>SUM(P48:P49)</f>
        <v>746445.26</v>
      </c>
      <c r="Q50" s="33"/>
      <c r="R50" s="34">
        <f>SUM(R47:R49)</f>
        <v>649032.05359899998</v>
      </c>
    </row>
    <row r="51" spans="1:31" x14ac:dyDescent="0.2">
      <c r="A51" s="5">
        <v>40</v>
      </c>
      <c r="C51" s="20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</row>
    <row r="52" spans="1:31" x14ac:dyDescent="0.2">
      <c r="A52" s="5">
        <v>41</v>
      </c>
      <c r="B52" s="172" t="s">
        <v>88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T52" s="27"/>
      <c r="U52" s="27"/>
      <c r="X52" s="24"/>
      <c r="Y52" s="23"/>
    </row>
    <row r="53" spans="1:31" x14ac:dyDescent="0.2">
      <c r="A53" s="5">
        <v>42</v>
      </c>
      <c r="B53" s="2" t="s">
        <v>87</v>
      </c>
      <c r="C53" s="709">
        <v>123</v>
      </c>
      <c r="D53" s="709">
        <v>123</v>
      </c>
      <c r="E53" s="709">
        <v>123</v>
      </c>
      <c r="F53" s="709">
        <v>123</v>
      </c>
      <c r="G53" s="709">
        <v>124</v>
      </c>
      <c r="H53" s="709">
        <v>124</v>
      </c>
      <c r="I53" s="709">
        <v>124</v>
      </c>
      <c r="J53" s="709">
        <v>124</v>
      </c>
      <c r="K53" s="709">
        <v>124</v>
      </c>
      <c r="L53" s="709">
        <v>124</v>
      </c>
      <c r="M53" s="709">
        <v>124</v>
      </c>
      <c r="N53" s="709">
        <v>125</v>
      </c>
      <c r="O53" s="7">
        <f>SUM(C53:N53)</f>
        <v>1485</v>
      </c>
      <c r="P53" s="2"/>
      <c r="Q53" s="101">
        <f>'Rate Design'!G15</f>
        <v>396.49</v>
      </c>
      <c r="R53" s="4">
        <f>O53*Q53</f>
        <v>588787.65</v>
      </c>
      <c r="S53" s="60"/>
      <c r="T53" s="27"/>
      <c r="U53" s="27"/>
      <c r="X53" s="24"/>
      <c r="Y53" s="23"/>
    </row>
    <row r="54" spans="1:31" x14ac:dyDescent="0.2">
      <c r="A54" s="5">
        <v>43</v>
      </c>
      <c r="B54" s="2" t="s">
        <v>1</v>
      </c>
      <c r="C54" s="710">
        <v>6050</v>
      </c>
      <c r="D54" s="710">
        <v>6050</v>
      </c>
      <c r="E54" s="710">
        <v>6050</v>
      </c>
      <c r="F54" s="710">
        <v>6050</v>
      </c>
      <c r="G54" s="710">
        <v>6100</v>
      </c>
      <c r="H54" s="710">
        <v>6100</v>
      </c>
      <c r="I54" s="710">
        <v>6100</v>
      </c>
      <c r="J54" s="710">
        <v>6100</v>
      </c>
      <c r="K54" s="710">
        <v>6100</v>
      </c>
      <c r="L54" s="710">
        <v>6100</v>
      </c>
      <c r="M54" s="710">
        <v>6100</v>
      </c>
      <c r="N54" s="710">
        <v>6150</v>
      </c>
      <c r="O54" s="2"/>
      <c r="P54" s="2"/>
      <c r="Q54" s="2"/>
      <c r="R54" s="7">
        <f>SUM(C54:N54)</f>
        <v>73050</v>
      </c>
      <c r="S54" s="60"/>
      <c r="U54" s="27"/>
      <c r="X54" s="24"/>
      <c r="Y54" s="23"/>
    </row>
    <row r="55" spans="1:31" x14ac:dyDescent="0.2">
      <c r="A55" s="5">
        <v>44</v>
      </c>
      <c r="B55" s="2" t="s">
        <v>62</v>
      </c>
      <c r="C55" s="710">
        <v>6250</v>
      </c>
      <c r="D55" s="710">
        <v>6275</v>
      </c>
      <c r="E55" s="710">
        <v>6275</v>
      </c>
      <c r="F55" s="710">
        <v>6325</v>
      </c>
      <c r="G55" s="710">
        <v>6400</v>
      </c>
      <c r="H55" s="710">
        <v>6400</v>
      </c>
      <c r="I55" s="710">
        <v>6400</v>
      </c>
      <c r="J55" s="710">
        <v>6400</v>
      </c>
      <c r="K55" s="710">
        <v>6425</v>
      </c>
      <c r="L55" s="710">
        <v>6425</v>
      </c>
      <c r="M55" s="710">
        <v>6425</v>
      </c>
      <c r="N55" s="710">
        <v>6450</v>
      </c>
      <c r="O55" s="2"/>
      <c r="P55" s="2"/>
      <c r="Q55" s="2"/>
      <c r="R55" s="7">
        <f>SUM(C55:N55)</f>
        <v>76450</v>
      </c>
      <c r="S55" s="60"/>
      <c r="U55" s="27"/>
      <c r="X55" s="24"/>
      <c r="Y55" s="23"/>
    </row>
    <row r="56" spans="1:31" x14ac:dyDescent="0.2">
      <c r="A56" s="5">
        <v>45</v>
      </c>
      <c r="B56" s="2" t="s">
        <v>2</v>
      </c>
      <c r="C56" s="710">
        <v>53.1</v>
      </c>
      <c r="D56" s="710">
        <v>155.19999999999999</v>
      </c>
      <c r="E56" s="710">
        <v>121.2</v>
      </c>
      <c r="F56" s="710">
        <v>68.399999999999991</v>
      </c>
      <c r="G56" s="710">
        <v>73.700000000000017</v>
      </c>
      <c r="H56" s="710">
        <v>801.3</v>
      </c>
      <c r="I56" s="710">
        <v>203.00000000000003</v>
      </c>
      <c r="J56" s="710">
        <v>336.8</v>
      </c>
      <c r="K56" s="710">
        <v>356.20000000000005</v>
      </c>
      <c r="L56" s="710">
        <v>87.9</v>
      </c>
      <c r="M56" s="710">
        <v>174.7</v>
      </c>
      <c r="N56" s="710">
        <v>100.1</v>
      </c>
      <c r="O56" s="613"/>
      <c r="P56" s="2"/>
      <c r="Q56" s="2"/>
      <c r="R56" s="7">
        <f>SUM(C56:N56)</f>
        <v>2531.6</v>
      </c>
      <c r="S56" s="60"/>
      <c r="X56" s="24"/>
      <c r="Y56" s="23"/>
    </row>
    <row r="57" spans="1:31" x14ac:dyDescent="0.2">
      <c r="A57" s="5">
        <v>46</v>
      </c>
      <c r="B57" s="2" t="s">
        <v>32</v>
      </c>
      <c r="C57" s="695">
        <v>33603</v>
      </c>
      <c r="D57" s="695">
        <v>33570</v>
      </c>
      <c r="E57" s="695">
        <v>34124</v>
      </c>
      <c r="F57" s="695">
        <v>35162</v>
      </c>
      <c r="G57" s="695">
        <v>36551</v>
      </c>
      <c r="H57" s="695">
        <v>37200</v>
      </c>
      <c r="I57" s="695">
        <v>37014</v>
      </c>
      <c r="J57" s="695">
        <v>37033</v>
      </c>
      <c r="K57" s="695">
        <v>36818</v>
      </c>
      <c r="L57" s="695">
        <v>35568</v>
      </c>
      <c r="M57" s="695">
        <v>34726</v>
      </c>
      <c r="N57" s="695">
        <v>33990</v>
      </c>
      <c r="O57" s="613"/>
      <c r="P57" s="7">
        <f>SUM(C57:N57)</f>
        <v>425359</v>
      </c>
      <c r="Q57" s="15">
        <f>'Rate Design'!G23</f>
        <v>1.6233</v>
      </c>
      <c r="R57" s="7">
        <f>P57*Q57</f>
        <v>690485.26469999994</v>
      </c>
      <c r="S57" s="60"/>
      <c r="T57" s="366">
        <v>6.8361284042747342E-2</v>
      </c>
      <c r="U57" s="366">
        <v>6.1779233517830871E-2</v>
      </c>
      <c r="V57" s="366">
        <v>5.2361360607289797E-2</v>
      </c>
      <c r="W57" s="366">
        <v>5.1463644275542023E-2</v>
      </c>
      <c r="X57" s="366">
        <v>4.3940400838135912E-2</v>
      </c>
      <c r="Y57" s="366">
        <v>4.4755693096773401E-2</v>
      </c>
      <c r="Z57" s="366">
        <v>5.2162142355228501E-2</v>
      </c>
      <c r="AA57" s="366">
        <v>6.5622159143615147E-2</v>
      </c>
      <c r="AB57" s="366">
        <v>6.9653341265996815E-2</v>
      </c>
      <c r="AC57" s="366">
        <v>7.0254824572429334E-2</v>
      </c>
      <c r="AD57" s="366">
        <v>7.0124293880721777E-2</v>
      </c>
      <c r="AE57" s="366">
        <v>7.023794718733159E-2</v>
      </c>
    </row>
    <row r="58" spans="1:31" x14ac:dyDescent="0.2">
      <c r="A58" s="5">
        <v>47</v>
      </c>
      <c r="B58" s="2" t="s">
        <v>33</v>
      </c>
      <c r="C58" s="695">
        <v>348854</v>
      </c>
      <c r="D58" s="695">
        <v>378638</v>
      </c>
      <c r="E58" s="695">
        <v>383355</v>
      </c>
      <c r="F58" s="695">
        <v>416704</v>
      </c>
      <c r="G58" s="695">
        <v>477246</v>
      </c>
      <c r="H58" s="695">
        <v>571484</v>
      </c>
      <c r="I58" s="695">
        <v>568284</v>
      </c>
      <c r="J58" s="695">
        <v>478844</v>
      </c>
      <c r="K58" s="695">
        <v>504965</v>
      </c>
      <c r="L58" s="695">
        <v>391331</v>
      </c>
      <c r="M58" s="695">
        <v>393731</v>
      </c>
      <c r="N58" s="695">
        <v>376099</v>
      </c>
      <c r="O58" s="2"/>
      <c r="P58" s="7">
        <f>SUM(C58:N58)</f>
        <v>5289535</v>
      </c>
      <c r="Q58" s="15">
        <f>'Rate Design'!G24</f>
        <v>1.0052999999999999</v>
      </c>
      <c r="R58" s="7">
        <f>P58*Q58</f>
        <v>5317569.5354999993</v>
      </c>
      <c r="S58" s="60"/>
      <c r="T58" s="366">
        <v>0.76508425770080912</v>
      </c>
      <c r="U58" s="366">
        <v>0.76268654102150912</v>
      </c>
      <c r="V58" s="366">
        <v>0.78169148751231388</v>
      </c>
      <c r="W58" s="366">
        <v>0.77967777177946274</v>
      </c>
      <c r="X58" s="366">
        <v>0.76311160982860826</v>
      </c>
      <c r="Y58" s="366">
        <v>0.77340180255711588</v>
      </c>
      <c r="Z58" s="366">
        <v>0.78346819330743911</v>
      </c>
      <c r="AA58" s="366">
        <v>0.78747333073597892</v>
      </c>
      <c r="AB58" s="366">
        <v>0.79348409413873988</v>
      </c>
      <c r="AC58" s="366">
        <v>0.79183949655178187</v>
      </c>
      <c r="AD58" s="366">
        <v>0.77169865489027178</v>
      </c>
      <c r="AE58" s="366">
        <v>0.7908365460349045</v>
      </c>
    </row>
    <row r="59" spans="1:31" x14ac:dyDescent="0.2">
      <c r="A59" s="5">
        <v>48</v>
      </c>
      <c r="B59" s="2" t="s">
        <v>645</v>
      </c>
      <c r="C59" s="695">
        <v>55103</v>
      </c>
      <c r="D59" s="695">
        <v>77815</v>
      </c>
      <c r="E59" s="695">
        <v>68662</v>
      </c>
      <c r="F59" s="695">
        <v>69506</v>
      </c>
      <c r="G59" s="695">
        <v>96497</v>
      </c>
      <c r="H59" s="695">
        <v>147727</v>
      </c>
      <c r="I59" s="695">
        <v>147427</v>
      </c>
      <c r="J59" s="695">
        <v>121123</v>
      </c>
      <c r="K59" s="695">
        <v>142686</v>
      </c>
      <c r="L59" s="695">
        <v>75543</v>
      </c>
      <c r="M59" s="695">
        <v>82008</v>
      </c>
      <c r="N59" s="695">
        <v>94288</v>
      </c>
      <c r="O59" s="613"/>
      <c r="P59" s="7">
        <f>SUM(C59:N59)</f>
        <v>1178385</v>
      </c>
      <c r="Q59" s="15">
        <f>'Rate Design'!G25</f>
        <v>0.78310000000000002</v>
      </c>
      <c r="R59" s="7">
        <f>P59*Q59</f>
        <v>922793.29350000003</v>
      </c>
      <c r="S59" s="60"/>
      <c r="T59" s="366">
        <v>0.16655445825644352</v>
      </c>
      <c r="U59" s="366">
        <v>0.17553422546066</v>
      </c>
      <c r="V59" s="366">
        <v>0.16594715188039635</v>
      </c>
      <c r="W59" s="366">
        <v>0.16885858394499528</v>
      </c>
      <c r="X59" s="366">
        <v>0.19294798933325585</v>
      </c>
      <c r="Y59" s="366">
        <v>0.18184250434611068</v>
      </c>
      <c r="Z59" s="366">
        <v>0.16436966433733244</v>
      </c>
      <c r="AA59" s="366">
        <v>0.14690451012040592</v>
      </c>
      <c r="AB59" s="366">
        <v>0.1368625645952633</v>
      </c>
      <c r="AC59" s="366">
        <v>0.13790567887578872</v>
      </c>
      <c r="AD59" s="366">
        <v>0.15817705122900641</v>
      </c>
      <c r="AE59" s="366">
        <v>0.13892550677776397</v>
      </c>
    </row>
    <row r="60" spans="1:31" x14ac:dyDescent="0.2">
      <c r="A60" s="5">
        <v>49</v>
      </c>
      <c r="B60" s="33" t="s">
        <v>79</v>
      </c>
      <c r="C60" s="68">
        <f>SUM(C57:C59)</f>
        <v>437560</v>
      </c>
      <c r="D60" s="68">
        <f t="shared" ref="D60:N60" si="7">SUM(D57:D59)</f>
        <v>490023</v>
      </c>
      <c r="E60" s="68">
        <f t="shared" si="7"/>
        <v>486141</v>
      </c>
      <c r="F60" s="68">
        <f t="shared" si="7"/>
        <v>521372</v>
      </c>
      <c r="G60" s="68">
        <f t="shared" si="7"/>
        <v>610294</v>
      </c>
      <c r="H60" s="68">
        <f t="shared" si="7"/>
        <v>756411</v>
      </c>
      <c r="I60" s="68">
        <f t="shared" si="7"/>
        <v>752725</v>
      </c>
      <c r="J60" s="68">
        <f t="shared" si="7"/>
        <v>637000</v>
      </c>
      <c r="K60" s="68">
        <f t="shared" si="7"/>
        <v>684469</v>
      </c>
      <c r="L60" s="68">
        <f t="shared" si="7"/>
        <v>502442</v>
      </c>
      <c r="M60" s="68">
        <f t="shared" si="7"/>
        <v>510465</v>
      </c>
      <c r="N60" s="68">
        <f t="shared" si="7"/>
        <v>504377</v>
      </c>
      <c r="O60" s="32">
        <f>SUM(O53:O59)</f>
        <v>1485</v>
      </c>
      <c r="P60" s="32">
        <f>SUM(P57:P59)</f>
        <v>6893279</v>
      </c>
      <c r="Q60" s="33"/>
      <c r="R60" s="34">
        <f>SUM(R53:R59)</f>
        <v>7671667.3436999992</v>
      </c>
      <c r="Y60" s="23"/>
    </row>
    <row r="61" spans="1:31" x14ac:dyDescent="0.2">
      <c r="A61" s="5">
        <v>50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Y61" s="23"/>
    </row>
    <row r="62" spans="1:31" x14ac:dyDescent="0.2">
      <c r="A62" s="5">
        <v>51</v>
      </c>
      <c r="B62" s="172" t="s">
        <v>647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Y62" s="23"/>
    </row>
    <row r="63" spans="1:31" x14ac:dyDescent="0.2">
      <c r="A63" s="5">
        <v>52</v>
      </c>
      <c r="B63" s="2" t="s">
        <v>32</v>
      </c>
      <c r="C63" s="168">
        <v>0</v>
      </c>
      <c r="D63" s="168">
        <v>0</v>
      </c>
      <c r="E63" s="168">
        <v>0</v>
      </c>
      <c r="F63" s="168">
        <v>0</v>
      </c>
      <c r="G63" s="168">
        <v>0</v>
      </c>
      <c r="H63" s="168">
        <v>0</v>
      </c>
      <c r="I63" s="168">
        <v>0</v>
      </c>
      <c r="J63" s="168">
        <v>0</v>
      </c>
      <c r="K63" s="168">
        <v>0</v>
      </c>
      <c r="L63" s="168">
        <v>0</v>
      </c>
      <c r="M63" s="168">
        <v>0</v>
      </c>
      <c r="N63" s="168">
        <v>0</v>
      </c>
      <c r="O63" s="2"/>
      <c r="P63" s="7">
        <f>SUM(C63:O63)</f>
        <v>0</v>
      </c>
      <c r="Q63" s="511">
        <f>'Rate Design'!S23</f>
        <v>1.1505000000000001</v>
      </c>
      <c r="R63" s="4">
        <f>O63*Q63</f>
        <v>0</v>
      </c>
      <c r="T63" s="366"/>
      <c r="U63" s="366"/>
      <c r="V63" s="366"/>
      <c r="W63" s="366"/>
      <c r="X63" s="366"/>
      <c r="Y63" s="366"/>
      <c r="Z63" s="366"/>
      <c r="AA63" s="366"/>
      <c r="AB63" s="366"/>
      <c r="AC63" s="366"/>
      <c r="AD63" s="366"/>
      <c r="AE63" s="366"/>
    </row>
    <row r="64" spans="1:31" x14ac:dyDescent="0.2">
      <c r="A64" s="5">
        <v>53</v>
      </c>
      <c r="B64" s="2" t="s">
        <v>33</v>
      </c>
      <c r="C64" s="168">
        <v>0</v>
      </c>
      <c r="D64" s="168">
        <v>0</v>
      </c>
      <c r="E64" s="168">
        <v>0</v>
      </c>
      <c r="F64" s="168">
        <v>0</v>
      </c>
      <c r="G64" s="168">
        <v>0</v>
      </c>
      <c r="H64" s="168">
        <v>0</v>
      </c>
      <c r="I64" s="168">
        <v>0</v>
      </c>
      <c r="J64" s="168">
        <v>0</v>
      </c>
      <c r="K64" s="168">
        <v>0</v>
      </c>
      <c r="L64" s="168">
        <v>0</v>
      </c>
      <c r="M64" s="168">
        <v>0</v>
      </c>
      <c r="N64" s="168">
        <v>0</v>
      </c>
      <c r="O64" s="2"/>
      <c r="P64" s="7">
        <f t="shared" ref="P64:P66" si="8">SUM(C64:O64)</f>
        <v>0</v>
      </c>
      <c r="Q64" s="511">
        <f>'Rate Design'!S24</f>
        <v>0.71249999999999991</v>
      </c>
      <c r="R64" s="7">
        <f t="shared" ref="R64:R65" si="9">P64*Q64</f>
        <v>0</v>
      </c>
      <c r="T64" s="366"/>
      <c r="U64" s="366"/>
      <c r="V64" s="366"/>
      <c r="W64" s="366"/>
      <c r="X64" s="366"/>
      <c r="Y64" s="366"/>
      <c r="Z64" s="366"/>
      <c r="AA64" s="366"/>
      <c r="AB64" s="366"/>
      <c r="AC64" s="366"/>
      <c r="AD64" s="366"/>
      <c r="AE64" s="366"/>
    </row>
    <row r="65" spans="1:31" x14ac:dyDescent="0.2">
      <c r="A65" s="5">
        <v>54</v>
      </c>
      <c r="B65" s="2" t="s">
        <v>645</v>
      </c>
      <c r="C65" s="695">
        <v>10434</v>
      </c>
      <c r="D65" s="695">
        <v>16523</v>
      </c>
      <c r="E65" s="695">
        <v>15048</v>
      </c>
      <c r="F65" s="695">
        <v>15000</v>
      </c>
      <c r="G65" s="695">
        <v>16271</v>
      </c>
      <c r="H65" s="695">
        <v>14213</v>
      </c>
      <c r="I65" s="695">
        <v>25293</v>
      </c>
      <c r="J65" s="695">
        <v>18199</v>
      </c>
      <c r="K65" s="695">
        <v>24758</v>
      </c>
      <c r="L65" s="695">
        <v>17435</v>
      </c>
      <c r="M65" s="695">
        <v>19507</v>
      </c>
      <c r="N65" s="695">
        <v>19934</v>
      </c>
      <c r="O65" s="2"/>
      <c r="P65" s="7">
        <f t="shared" si="8"/>
        <v>212615</v>
      </c>
      <c r="Q65" s="614">
        <f>'Rate Design'!S25</f>
        <v>0.55499999999999994</v>
      </c>
      <c r="R65" s="7">
        <f t="shared" si="9"/>
        <v>118001.32499999998</v>
      </c>
      <c r="T65" s="366"/>
      <c r="U65" s="366"/>
      <c r="V65" s="366"/>
      <c r="W65" s="366"/>
      <c r="X65" s="366"/>
      <c r="Y65" s="366"/>
      <c r="Z65" s="366"/>
      <c r="AA65" s="366"/>
      <c r="AB65" s="366"/>
      <c r="AC65" s="366"/>
      <c r="AD65" s="366"/>
      <c r="AE65" s="366"/>
    </row>
    <row r="66" spans="1:31" x14ac:dyDescent="0.2">
      <c r="A66" s="5">
        <v>55</v>
      </c>
      <c r="B66" s="33" t="s">
        <v>79</v>
      </c>
      <c r="C66" s="68">
        <f>SUM(C63:C65)</f>
        <v>10434</v>
      </c>
      <c r="D66" s="68">
        <f t="shared" ref="D66:N66" si="10">SUM(D63:D65)</f>
        <v>16523</v>
      </c>
      <c r="E66" s="68">
        <f t="shared" si="10"/>
        <v>15048</v>
      </c>
      <c r="F66" s="68">
        <f t="shared" si="10"/>
        <v>15000</v>
      </c>
      <c r="G66" s="68">
        <f t="shared" si="10"/>
        <v>16271</v>
      </c>
      <c r="H66" s="68">
        <f t="shared" si="10"/>
        <v>14213</v>
      </c>
      <c r="I66" s="68">
        <f t="shared" si="10"/>
        <v>25293</v>
      </c>
      <c r="J66" s="68">
        <f t="shared" si="10"/>
        <v>18199</v>
      </c>
      <c r="K66" s="68">
        <f t="shared" si="10"/>
        <v>24758</v>
      </c>
      <c r="L66" s="68">
        <f t="shared" si="10"/>
        <v>17435</v>
      </c>
      <c r="M66" s="68">
        <f t="shared" si="10"/>
        <v>19507</v>
      </c>
      <c r="N66" s="68">
        <f t="shared" si="10"/>
        <v>19934</v>
      </c>
      <c r="O66" s="2"/>
      <c r="P66" s="32">
        <f t="shared" si="8"/>
        <v>212615</v>
      </c>
      <c r="Q66" s="33"/>
      <c r="R66" s="34">
        <f>SUM(R63:R65)</f>
        <v>118001.32499999998</v>
      </c>
      <c r="Y66" s="23"/>
    </row>
    <row r="67" spans="1:31" x14ac:dyDescent="0.2">
      <c r="A67" s="5">
        <v>56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Y67" s="23"/>
    </row>
    <row r="68" spans="1:31" x14ac:dyDescent="0.2">
      <c r="A68" s="5">
        <v>57</v>
      </c>
      <c r="B68" s="172" t="s">
        <v>89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Y68" s="23"/>
    </row>
    <row r="69" spans="1:31" x14ac:dyDescent="0.2">
      <c r="A69" s="5">
        <v>58</v>
      </c>
      <c r="B69" s="2" t="s">
        <v>87</v>
      </c>
      <c r="C69" s="709">
        <v>72</v>
      </c>
      <c r="D69" s="709">
        <v>72</v>
      </c>
      <c r="E69" s="709">
        <v>72</v>
      </c>
      <c r="F69" s="709">
        <v>72</v>
      </c>
      <c r="G69" s="709">
        <v>72</v>
      </c>
      <c r="H69" s="709">
        <v>72</v>
      </c>
      <c r="I69" s="709">
        <v>72</v>
      </c>
      <c r="J69" s="709">
        <v>73</v>
      </c>
      <c r="K69" s="709">
        <v>73</v>
      </c>
      <c r="L69" s="709">
        <v>73</v>
      </c>
      <c r="M69" s="709">
        <v>73</v>
      </c>
      <c r="N69" s="709">
        <v>73</v>
      </c>
      <c r="O69" s="7">
        <f>SUM(C69:N69)</f>
        <v>869</v>
      </c>
      <c r="P69" s="16"/>
      <c r="Q69" s="101">
        <f>'Rate Design'!G16</f>
        <v>398.04</v>
      </c>
      <c r="R69" s="4">
        <f>O69*Q69</f>
        <v>345896.76</v>
      </c>
      <c r="X69" s="24"/>
      <c r="Y69" s="23"/>
    </row>
    <row r="70" spans="1:31" x14ac:dyDescent="0.2">
      <c r="A70" s="5">
        <v>59</v>
      </c>
      <c r="B70" s="2" t="s">
        <v>1</v>
      </c>
      <c r="C70" s="710">
        <v>3600</v>
      </c>
      <c r="D70" s="710">
        <v>3600</v>
      </c>
      <c r="E70" s="710">
        <v>3600</v>
      </c>
      <c r="F70" s="710">
        <v>3600</v>
      </c>
      <c r="G70" s="710">
        <v>3600</v>
      </c>
      <c r="H70" s="710">
        <v>3600</v>
      </c>
      <c r="I70" s="710">
        <v>3600</v>
      </c>
      <c r="J70" s="710">
        <v>3650</v>
      </c>
      <c r="K70" s="710">
        <v>3650</v>
      </c>
      <c r="L70" s="710">
        <v>3650</v>
      </c>
      <c r="M70" s="710">
        <v>3650</v>
      </c>
      <c r="N70" s="710">
        <v>3650</v>
      </c>
      <c r="O70" s="2"/>
      <c r="P70" s="2"/>
      <c r="Q70" s="2"/>
      <c r="R70" s="7">
        <f>SUM(C70:N70)</f>
        <v>43450</v>
      </c>
      <c r="X70" s="24"/>
      <c r="Y70" s="23"/>
    </row>
    <row r="71" spans="1:31" x14ac:dyDescent="0.2">
      <c r="A71" s="5">
        <v>60</v>
      </c>
      <c r="B71" s="2" t="s">
        <v>62</v>
      </c>
      <c r="C71" s="710">
        <v>3750</v>
      </c>
      <c r="D71" s="710">
        <v>3750</v>
      </c>
      <c r="E71" s="710">
        <v>3750</v>
      </c>
      <c r="F71" s="710">
        <v>3775</v>
      </c>
      <c r="G71" s="710">
        <v>3775</v>
      </c>
      <c r="H71" s="710">
        <v>3775</v>
      </c>
      <c r="I71" s="710">
        <v>3775</v>
      </c>
      <c r="J71" s="710">
        <v>3875</v>
      </c>
      <c r="K71" s="710">
        <v>3875</v>
      </c>
      <c r="L71" s="710">
        <v>3875</v>
      </c>
      <c r="M71" s="710">
        <v>3875</v>
      </c>
      <c r="N71" s="710">
        <v>3875</v>
      </c>
      <c r="O71" s="2"/>
      <c r="P71" s="2"/>
      <c r="Q71" s="2"/>
      <c r="R71" s="7">
        <f>SUM(C71:N71)</f>
        <v>45725</v>
      </c>
      <c r="X71" s="24"/>
      <c r="Y71" s="23"/>
    </row>
    <row r="72" spans="1:31" x14ac:dyDescent="0.2">
      <c r="A72" s="5">
        <v>61</v>
      </c>
      <c r="B72" s="2" t="s">
        <v>2</v>
      </c>
      <c r="C72" s="710">
        <v>137.5</v>
      </c>
      <c r="D72" s="710">
        <v>263.2</v>
      </c>
      <c r="E72" s="710">
        <v>349.4</v>
      </c>
      <c r="F72" s="710">
        <v>305.7</v>
      </c>
      <c r="G72" s="710">
        <v>445.5</v>
      </c>
      <c r="H72" s="710">
        <v>409.8</v>
      </c>
      <c r="I72" s="710">
        <v>233.2</v>
      </c>
      <c r="J72" s="710">
        <v>234.2</v>
      </c>
      <c r="K72" s="710">
        <v>287</v>
      </c>
      <c r="L72" s="710">
        <v>344.3</v>
      </c>
      <c r="M72" s="710">
        <v>381</v>
      </c>
      <c r="N72" s="710">
        <v>382.1</v>
      </c>
      <c r="O72" s="2"/>
      <c r="P72" s="2"/>
      <c r="Q72" s="2"/>
      <c r="R72" s="7">
        <f>SUM(C72:N72)</f>
        <v>3772.8999999999996</v>
      </c>
      <c r="X72" s="24"/>
      <c r="Y72" s="23"/>
    </row>
    <row r="73" spans="1:31" x14ac:dyDescent="0.2">
      <c r="A73" s="5">
        <v>62</v>
      </c>
      <c r="B73" s="2" t="s">
        <v>46</v>
      </c>
      <c r="C73" s="695">
        <v>365197</v>
      </c>
      <c r="D73" s="695">
        <v>392954</v>
      </c>
      <c r="E73" s="695">
        <v>409666</v>
      </c>
      <c r="F73" s="695">
        <v>429316</v>
      </c>
      <c r="G73" s="695">
        <v>469031</v>
      </c>
      <c r="H73" s="695">
        <v>495538</v>
      </c>
      <c r="I73" s="695">
        <v>479023</v>
      </c>
      <c r="J73" s="695">
        <v>437352</v>
      </c>
      <c r="K73" s="695">
        <v>467340</v>
      </c>
      <c r="L73" s="695">
        <v>425906</v>
      </c>
      <c r="M73" s="695">
        <v>438932</v>
      </c>
      <c r="N73" s="695">
        <v>417537</v>
      </c>
      <c r="O73" s="2"/>
      <c r="P73" s="7">
        <f>SUM(C73:N73)</f>
        <v>5227792</v>
      </c>
      <c r="Q73" s="15">
        <f>'Rate Design'!G30</f>
        <v>0.90310000000000012</v>
      </c>
      <c r="R73" s="7">
        <f>P73*Q73</f>
        <v>4721218.9552000007</v>
      </c>
      <c r="T73" s="366">
        <v>0.68020218949850331</v>
      </c>
      <c r="U73" s="366">
        <v>0.66057218129423534</v>
      </c>
      <c r="V73" s="366">
        <v>0.65877242967287275</v>
      </c>
      <c r="W73" s="366">
        <v>0.66272492305550157</v>
      </c>
      <c r="X73" s="366">
        <v>0.61808488503743819</v>
      </c>
      <c r="Y73" s="366">
        <v>0.64768049513911186</v>
      </c>
      <c r="Z73" s="366">
        <v>0.6279255134646885</v>
      </c>
      <c r="AA73" s="366">
        <v>0.69458383243225741</v>
      </c>
      <c r="AB73" s="366">
        <v>0.68220367464911802</v>
      </c>
      <c r="AC73" s="366">
        <v>0.70167253323380041</v>
      </c>
      <c r="AD73" s="366">
        <v>0.68047013274336288</v>
      </c>
      <c r="AE73" s="366">
        <v>0.65393717869492618</v>
      </c>
    </row>
    <row r="74" spans="1:31" x14ac:dyDescent="0.2">
      <c r="A74" s="5">
        <v>63</v>
      </c>
      <c r="B74" s="2" t="s">
        <v>47</v>
      </c>
      <c r="C74" s="695">
        <v>159238</v>
      </c>
      <c r="D74" s="695">
        <v>188257</v>
      </c>
      <c r="E74" s="695">
        <v>181757</v>
      </c>
      <c r="F74" s="695">
        <v>222098</v>
      </c>
      <c r="G74" s="695">
        <v>227754</v>
      </c>
      <c r="H74" s="695">
        <v>246997</v>
      </c>
      <c r="I74" s="695">
        <v>273786</v>
      </c>
      <c r="J74" s="695">
        <v>215301</v>
      </c>
      <c r="K74" s="695">
        <v>252266</v>
      </c>
      <c r="L74" s="695">
        <v>198017</v>
      </c>
      <c r="M74" s="695">
        <v>204975</v>
      </c>
      <c r="N74" s="695">
        <v>227598</v>
      </c>
      <c r="O74" s="2"/>
      <c r="P74" s="7">
        <f>SUM(C74:N74)</f>
        <v>2598044</v>
      </c>
      <c r="Q74" s="15">
        <f>'Rate Design'!G31</f>
        <v>0.68049999999999999</v>
      </c>
      <c r="R74" s="7">
        <f>P74*Q74</f>
        <v>1767968.942</v>
      </c>
      <c r="T74" s="366">
        <v>0.31979781050149669</v>
      </c>
      <c r="U74" s="366">
        <v>0.33942781870576461</v>
      </c>
      <c r="V74" s="366">
        <v>0.34122757032712725</v>
      </c>
      <c r="W74" s="366">
        <v>0.33727507694449843</v>
      </c>
      <c r="X74" s="366">
        <v>0.38191511496256186</v>
      </c>
      <c r="Y74" s="366">
        <v>0.35231950486088809</v>
      </c>
      <c r="Z74" s="366">
        <v>0.37207448653531144</v>
      </c>
      <c r="AA74" s="366">
        <v>0.30541616756774254</v>
      </c>
      <c r="AB74" s="366">
        <v>0.31779632535088193</v>
      </c>
      <c r="AC74" s="366">
        <v>0.29832746676619959</v>
      </c>
      <c r="AD74" s="366">
        <v>0.31952986725663718</v>
      </c>
      <c r="AE74" s="366">
        <v>0.34606282130507382</v>
      </c>
    </row>
    <row r="75" spans="1:31" x14ac:dyDescent="0.2">
      <c r="A75" s="5">
        <v>64</v>
      </c>
      <c r="B75" s="33" t="s">
        <v>79</v>
      </c>
      <c r="C75" s="68">
        <f>SUM(C73:C74)</f>
        <v>524435</v>
      </c>
      <c r="D75" s="68">
        <f t="shared" ref="D75:N75" si="11">SUM(D73:D74)</f>
        <v>581211</v>
      </c>
      <c r="E75" s="68">
        <f t="shared" si="11"/>
        <v>591423</v>
      </c>
      <c r="F75" s="68">
        <f t="shared" si="11"/>
        <v>651414</v>
      </c>
      <c r="G75" s="68">
        <f t="shared" si="11"/>
        <v>696785</v>
      </c>
      <c r="H75" s="68">
        <f t="shared" si="11"/>
        <v>742535</v>
      </c>
      <c r="I75" s="68">
        <f t="shared" si="11"/>
        <v>752809</v>
      </c>
      <c r="J75" s="68">
        <f t="shared" si="11"/>
        <v>652653</v>
      </c>
      <c r="K75" s="68">
        <f t="shared" si="11"/>
        <v>719606</v>
      </c>
      <c r="L75" s="68">
        <f t="shared" si="11"/>
        <v>623923</v>
      </c>
      <c r="M75" s="68">
        <f t="shared" si="11"/>
        <v>643907</v>
      </c>
      <c r="N75" s="68">
        <f t="shared" si="11"/>
        <v>645135</v>
      </c>
      <c r="O75" s="32">
        <f>O69</f>
        <v>869</v>
      </c>
      <c r="P75" s="32">
        <f>SUM(P73:P74)</f>
        <v>7825836</v>
      </c>
      <c r="Q75" s="33"/>
      <c r="R75" s="34">
        <f>SUM(R69:R74)</f>
        <v>6928032.5572000006</v>
      </c>
      <c r="X75" s="24"/>
      <c r="Y75" s="23"/>
    </row>
    <row r="76" spans="1:31" x14ac:dyDescent="0.2">
      <c r="A76" s="5">
        <v>65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472"/>
      <c r="X76" s="24"/>
      <c r="Y76" s="23"/>
    </row>
    <row r="77" spans="1:31" x14ac:dyDescent="0.2">
      <c r="A77" s="5">
        <v>66</v>
      </c>
      <c r="B77" s="172" t="s">
        <v>90</v>
      </c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2"/>
      <c r="P77" s="2"/>
      <c r="Q77" s="2"/>
      <c r="R77" s="148"/>
      <c r="X77" s="24"/>
      <c r="Y77" s="23"/>
    </row>
    <row r="78" spans="1:31" x14ac:dyDescent="0.2">
      <c r="A78" s="5">
        <v>67</v>
      </c>
      <c r="B78" s="2" t="s">
        <v>87</v>
      </c>
      <c r="C78" s="709">
        <v>15</v>
      </c>
      <c r="D78" s="709">
        <v>15</v>
      </c>
      <c r="E78" s="709">
        <v>14.866666666666667</v>
      </c>
      <c r="F78" s="709">
        <v>14.866666666666667</v>
      </c>
      <c r="G78" s="709">
        <v>14.866666666666667</v>
      </c>
      <c r="H78" s="709">
        <v>14.866666666666667</v>
      </c>
      <c r="I78" s="709">
        <v>14.866666666666667</v>
      </c>
      <c r="J78" s="709">
        <v>13.866666666666667</v>
      </c>
      <c r="K78" s="709">
        <v>13.866666666666667</v>
      </c>
      <c r="L78" s="709">
        <v>13.866666666666667</v>
      </c>
      <c r="M78" s="709">
        <v>13.866666666666667</v>
      </c>
      <c r="N78" s="709">
        <v>13.8</v>
      </c>
      <c r="O78" s="7">
        <f>SUM(C78:N78)</f>
        <v>173.60000000000005</v>
      </c>
      <c r="P78" s="16"/>
      <c r="Q78" s="101">
        <f>'Rate Design'!G17</f>
        <v>375</v>
      </c>
      <c r="R78" s="4">
        <f>O78*Q78</f>
        <v>65100.000000000022</v>
      </c>
      <c r="S78" s="60"/>
      <c r="X78" s="24"/>
      <c r="Y78" s="23"/>
    </row>
    <row r="79" spans="1:31" x14ac:dyDescent="0.2">
      <c r="A79" s="5">
        <v>68</v>
      </c>
      <c r="B79" s="2" t="s">
        <v>1</v>
      </c>
      <c r="C79" s="710">
        <v>700</v>
      </c>
      <c r="D79" s="710">
        <v>700</v>
      </c>
      <c r="E79" s="710">
        <v>700</v>
      </c>
      <c r="F79" s="710">
        <v>700</v>
      </c>
      <c r="G79" s="710">
        <v>700</v>
      </c>
      <c r="H79" s="710">
        <v>700</v>
      </c>
      <c r="I79" s="710">
        <v>700</v>
      </c>
      <c r="J79" s="710">
        <v>650</v>
      </c>
      <c r="K79" s="710">
        <v>650</v>
      </c>
      <c r="L79" s="710">
        <v>650</v>
      </c>
      <c r="M79" s="710">
        <v>650</v>
      </c>
      <c r="N79" s="710">
        <v>650</v>
      </c>
      <c r="O79" s="2"/>
      <c r="P79" s="2"/>
      <c r="Q79" s="2"/>
      <c r="R79" s="7">
        <f>SUM(C79:N79)</f>
        <v>8150</v>
      </c>
      <c r="X79" s="24"/>
      <c r="Y79" s="23"/>
    </row>
    <row r="80" spans="1:31" x14ac:dyDescent="0.2">
      <c r="A80" s="5">
        <v>69</v>
      </c>
      <c r="B80" s="2" t="s">
        <v>62</v>
      </c>
      <c r="C80" s="710">
        <v>725</v>
      </c>
      <c r="D80" s="710">
        <v>725</v>
      </c>
      <c r="E80" s="710">
        <v>725</v>
      </c>
      <c r="F80" s="710">
        <v>725</v>
      </c>
      <c r="G80" s="710">
        <v>875</v>
      </c>
      <c r="H80" s="710">
        <v>875</v>
      </c>
      <c r="I80" s="710">
        <v>875</v>
      </c>
      <c r="J80" s="710">
        <v>775</v>
      </c>
      <c r="K80" s="710">
        <v>775</v>
      </c>
      <c r="L80" s="710">
        <v>775</v>
      </c>
      <c r="M80" s="710">
        <v>775</v>
      </c>
      <c r="N80" s="710">
        <v>775</v>
      </c>
      <c r="O80" s="2"/>
      <c r="P80" s="2"/>
      <c r="Q80" s="2"/>
      <c r="R80" s="7">
        <f>SUM(C80:N80)</f>
        <v>9400</v>
      </c>
      <c r="X80" s="24"/>
      <c r="Y80" s="23"/>
    </row>
    <row r="81" spans="1:24" x14ac:dyDescent="0.2">
      <c r="A81" s="5">
        <v>70</v>
      </c>
      <c r="B81" s="2" t="s">
        <v>629</v>
      </c>
      <c r="C81" s="710">
        <v>2029.4</v>
      </c>
      <c r="D81" s="710">
        <v>2635.4000000000005</v>
      </c>
      <c r="E81" s="710">
        <v>2262.2999999999997</v>
      </c>
      <c r="F81" s="710">
        <v>4988.5</v>
      </c>
      <c r="G81" s="710">
        <v>4624.2</v>
      </c>
      <c r="H81" s="710">
        <v>15795.399999999998</v>
      </c>
      <c r="I81" s="710">
        <v>6225.5000000000009</v>
      </c>
      <c r="J81" s="710">
        <v>6311.7999999999993</v>
      </c>
      <c r="K81" s="710">
        <v>7403.4000000000005</v>
      </c>
      <c r="L81" s="710">
        <v>8223</v>
      </c>
      <c r="M81" s="710">
        <v>4727.3</v>
      </c>
      <c r="N81" s="710">
        <v>4258</v>
      </c>
      <c r="O81" s="2"/>
      <c r="P81" s="2"/>
      <c r="Q81" s="2"/>
      <c r="R81" s="7">
        <f>SUM(C81:N81)</f>
        <v>69484.200000000012</v>
      </c>
      <c r="X81" s="24"/>
    </row>
    <row r="82" spans="1:24" x14ac:dyDescent="0.2">
      <c r="A82" s="5">
        <v>71</v>
      </c>
      <c r="B82" s="2" t="s">
        <v>91</v>
      </c>
      <c r="C82" s="695">
        <v>1157069</v>
      </c>
      <c r="D82" s="695">
        <v>1136909</v>
      </c>
      <c r="E82" s="695">
        <v>1137334</v>
      </c>
      <c r="F82" s="695">
        <v>1211366</v>
      </c>
      <c r="G82" s="695">
        <v>1193259</v>
      </c>
      <c r="H82" s="695">
        <v>1336249</v>
      </c>
      <c r="I82" s="695">
        <v>1352820</v>
      </c>
      <c r="J82" s="695">
        <v>1129306</v>
      </c>
      <c r="K82" s="695">
        <v>1200429</v>
      </c>
      <c r="L82" s="695">
        <v>1057015</v>
      </c>
      <c r="M82" s="695">
        <v>1063770</v>
      </c>
      <c r="N82" s="695">
        <v>871787</v>
      </c>
      <c r="O82" s="2"/>
      <c r="P82" s="7">
        <f>SUM(C82:N82)</f>
        <v>13847313</v>
      </c>
      <c r="Q82" s="70" t="s">
        <v>61</v>
      </c>
      <c r="R82" s="7"/>
      <c r="X82" s="24"/>
    </row>
    <row r="83" spans="1:24" x14ac:dyDescent="0.2">
      <c r="A83" s="5">
        <v>72</v>
      </c>
      <c r="B83" s="2" t="s">
        <v>92</v>
      </c>
      <c r="C83" s="710">
        <v>112537.96</v>
      </c>
      <c r="D83" s="710">
        <v>111971.57</v>
      </c>
      <c r="E83" s="710">
        <v>111575.86000000002</v>
      </c>
      <c r="F83" s="710">
        <v>117732.60999999999</v>
      </c>
      <c r="G83" s="710">
        <v>149830.70000000001</v>
      </c>
      <c r="H83" s="710">
        <v>157112.90000000002</v>
      </c>
      <c r="I83" s="710">
        <v>163560.77000000002</v>
      </c>
      <c r="J83" s="710">
        <v>139860.9</v>
      </c>
      <c r="K83" s="710">
        <v>151368.48000000001</v>
      </c>
      <c r="L83" s="710">
        <v>143504.47999999998</v>
      </c>
      <c r="M83" s="710">
        <v>149710.53999999998</v>
      </c>
      <c r="N83" s="710">
        <v>132359.09</v>
      </c>
      <c r="O83" s="2"/>
      <c r="P83" s="7"/>
      <c r="Q83" s="70"/>
      <c r="R83" s="7">
        <f>SUM(C83:N83)</f>
        <v>1641125.86</v>
      </c>
    </row>
    <row r="84" spans="1:24" x14ac:dyDescent="0.2">
      <c r="A84" s="5">
        <v>73</v>
      </c>
      <c r="B84" s="33" t="s">
        <v>79</v>
      </c>
      <c r="C84" s="68">
        <f>C82</f>
        <v>1157069</v>
      </c>
      <c r="D84" s="68">
        <f t="shared" ref="D84:N84" si="12">D82</f>
        <v>1136909</v>
      </c>
      <c r="E84" s="68">
        <f t="shared" si="12"/>
        <v>1137334</v>
      </c>
      <c r="F84" s="68">
        <f t="shared" si="12"/>
        <v>1211366</v>
      </c>
      <c r="G84" s="68">
        <f t="shared" si="12"/>
        <v>1193259</v>
      </c>
      <c r="H84" s="68">
        <f t="shared" si="12"/>
        <v>1336249</v>
      </c>
      <c r="I84" s="68">
        <f t="shared" si="12"/>
        <v>1352820</v>
      </c>
      <c r="J84" s="68">
        <f t="shared" si="12"/>
        <v>1129306</v>
      </c>
      <c r="K84" s="68">
        <f t="shared" si="12"/>
        <v>1200429</v>
      </c>
      <c r="L84" s="68">
        <f t="shared" si="12"/>
        <v>1057015</v>
      </c>
      <c r="M84" s="68">
        <f t="shared" si="12"/>
        <v>1063770</v>
      </c>
      <c r="N84" s="68">
        <f t="shared" si="12"/>
        <v>871787</v>
      </c>
      <c r="O84" s="32">
        <f>O78</f>
        <v>173.60000000000005</v>
      </c>
      <c r="P84" s="32">
        <f>P82</f>
        <v>13847313</v>
      </c>
      <c r="Q84" s="33"/>
      <c r="R84" s="34">
        <f>SUM(R78:R83)</f>
        <v>1793260.06</v>
      </c>
    </row>
    <row r="85" spans="1:24" x14ac:dyDescent="0.2"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</row>
    <row r="86" spans="1:24" x14ac:dyDescent="0.2">
      <c r="C86" s="2"/>
      <c r="D86" s="2"/>
      <c r="E86" s="2"/>
      <c r="F86" s="2"/>
      <c r="G86" s="2"/>
      <c r="H86" s="2"/>
      <c r="I86" s="5"/>
      <c r="J86" s="2"/>
      <c r="K86" s="2"/>
      <c r="L86" s="2"/>
      <c r="M86" s="2"/>
      <c r="N86" s="2"/>
      <c r="O86" s="2"/>
      <c r="P86" s="2"/>
      <c r="Q86" s="2"/>
      <c r="R86" s="2"/>
    </row>
    <row r="87" spans="1:24" x14ac:dyDescent="0.2">
      <c r="A87" s="5"/>
      <c r="C87" s="192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2"/>
      <c r="P87" s="2"/>
      <c r="Q87" s="2"/>
      <c r="R87" s="2"/>
      <c r="S87" s="17"/>
      <c r="T87" s="17"/>
    </row>
    <row r="88" spans="1:24" x14ac:dyDescent="0.2">
      <c r="A88" s="5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2"/>
      <c r="R88" s="67"/>
      <c r="S88" s="17"/>
      <c r="T88" s="17"/>
    </row>
    <row r="89" spans="1:24" x14ac:dyDescent="0.2">
      <c r="A89" s="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71"/>
      <c r="P89" s="71"/>
      <c r="Q89" s="2"/>
      <c r="R89" s="61"/>
      <c r="S89" s="127"/>
      <c r="T89" s="17"/>
    </row>
    <row r="90" spans="1:24" x14ac:dyDescent="0.2">
      <c r="A90" s="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17"/>
      <c r="T90" s="17"/>
    </row>
    <row r="91" spans="1:24" x14ac:dyDescent="0.2">
      <c r="A91" s="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67"/>
      <c r="P91" s="67"/>
      <c r="Q91" s="2"/>
      <c r="R91" s="61"/>
      <c r="S91" s="17"/>
      <c r="T91" s="17"/>
    </row>
    <row r="92" spans="1:24" x14ac:dyDescent="0.2">
      <c r="A92" s="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67"/>
      <c r="Q92" s="2"/>
      <c r="R92" s="2"/>
      <c r="S92" s="17"/>
      <c r="T92" s="17"/>
    </row>
    <row r="93" spans="1:24" x14ac:dyDescent="0.2">
      <c r="A93" s="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17"/>
      <c r="T93" s="17"/>
    </row>
    <row r="94" spans="1:24" x14ac:dyDescent="0.2">
      <c r="A94" s="5"/>
      <c r="C94" s="2"/>
      <c r="D94" s="2"/>
      <c r="E94" s="2"/>
      <c r="F94" s="2"/>
      <c r="G94" s="2"/>
      <c r="H94" s="2"/>
      <c r="I94" s="2"/>
      <c r="J94" s="2"/>
      <c r="K94" s="2"/>
      <c r="L94" s="2"/>
      <c r="M94" s="71"/>
      <c r="N94" s="2"/>
      <c r="O94" s="2"/>
      <c r="P94" s="71"/>
      <c r="Q94" s="2"/>
      <c r="R94" s="71"/>
      <c r="S94" s="38"/>
      <c r="T94" s="17"/>
    </row>
    <row r="95" spans="1:24" x14ac:dyDescent="0.2">
      <c r="A95" s="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17"/>
      <c r="T95" s="17"/>
    </row>
    <row r="96" spans="1:24" x14ac:dyDescent="0.2">
      <c r="A96" s="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197"/>
      <c r="Q96" s="2"/>
      <c r="R96" s="2"/>
      <c r="S96" s="17"/>
      <c r="T96" s="17"/>
    </row>
    <row r="97" spans="1:25" x14ac:dyDescent="0.2">
      <c r="A97" s="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61"/>
      <c r="Q97" s="2"/>
      <c r="R97" s="2"/>
      <c r="S97" s="17"/>
      <c r="T97" s="17"/>
    </row>
    <row r="98" spans="1:25" x14ac:dyDescent="0.2">
      <c r="A98" s="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198"/>
      <c r="Q98" s="2"/>
      <c r="R98" s="198"/>
      <c r="S98" s="17"/>
      <c r="T98" s="17"/>
    </row>
    <row r="99" spans="1:25" x14ac:dyDescent="0.2">
      <c r="A99" s="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61"/>
      <c r="S99" s="17"/>
      <c r="T99" s="17"/>
    </row>
    <row r="100" spans="1:25" x14ac:dyDescent="0.2">
      <c r="A100" s="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198"/>
      <c r="S100" s="17"/>
      <c r="T100" s="17"/>
    </row>
    <row r="101" spans="1:25" x14ac:dyDescent="0.2">
      <c r="A101" s="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17"/>
      <c r="T101" s="17"/>
    </row>
    <row r="102" spans="1:25" x14ac:dyDescent="0.2">
      <c r="A102" s="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17"/>
      <c r="T102" s="17"/>
      <c r="Y102" s="23"/>
    </row>
    <row r="103" spans="1:25" x14ac:dyDescent="0.2">
      <c r="A103" s="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17"/>
      <c r="T103" s="17"/>
      <c r="Y103" s="23"/>
    </row>
    <row r="104" spans="1:25" x14ac:dyDescent="0.2">
      <c r="A104" s="17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197"/>
      <c r="S104" s="17"/>
      <c r="T104" s="17"/>
      <c r="Y104" s="23"/>
    </row>
    <row r="105" spans="1:25" x14ac:dyDescent="0.2">
      <c r="A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2"/>
      <c r="P105" s="2"/>
      <c r="Q105" s="2"/>
      <c r="R105" s="2"/>
      <c r="S105" s="17"/>
      <c r="T105" s="17"/>
      <c r="X105" s="24"/>
      <c r="Y105" s="23"/>
    </row>
    <row r="106" spans="1:25" x14ac:dyDescent="0.2">
      <c r="A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2"/>
      <c r="P106" s="2"/>
      <c r="Q106" s="12"/>
      <c r="R106" s="4"/>
      <c r="S106" s="38"/>
      <c r="T106" s="17"/>
      <c r="X106" s="24"/>
      <c r="Y106" s="23"/>
    </row>
    <row r="107" spans="1:25" x14ac:dyDescent="0.2">
      <c r="A107" s="1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7"/>
      <c r="P107" s="2"/>
      <c r="Q107" s="12"/>
      <c r="R107" s="7"/>
      <c r="S107" s="38"/>
      <c r="T107" s="17"/>
      <c r="X107" s="24"/>
      <c r="Y107" s="23"/>
    </row>
    <row r="108" spans="1:25" x14ac:dyDescent="0.2">
      <c r="A108" s="17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5"/>
      <c r="R108" s="71"/>
      <c r="S108" s="38"/>
      <c r="T108" s="17"/>
      <c r="X108" s="24"/>
      <c r="Y108" s="23"/>
    </row>
    <row r="109" spans="1:25" x14ac:dyDescent="0.2">
      <c r="A109" s="17"/>
      <c r="P109" s="58"/>
      <c r="Q109" s="14"/>
      <c r="R109" s="7"/>
      <c r="S109" s="53"/>
      <c r="T109" s="47"/>
      <c r="X109" s="24"/>
      <c r="Y109" s="23"/>
    </row>
    <row r="110" spans="1:25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23"/>
      <c r="Q110" s="24"/>
      <c r="R110" s="23"/>
      <c r="S110" s="53"/>
      <c r="T110" s="24"/>
      <c r="U110" s="17"/>
      <c r="V110" s="17"/>
      <c r="W110" s="23"/>
      <c r="X110" s="24"/>
      <c r="Y110" s="23"/>
    </row>
    <row r="111" spans="1:25" x14ac:dyDescent="0.2">
      <c r="A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P111" s="23"/>
      <c r="Q111" s="24"/>
      <c r="R111" s="23"/>
      <c r="S111" s="53"/>
      <c r="T111" s="24"/>
      <c r="U111" s="17"/>
      <c r="V111" s="17"/>
      <c r="W111" s="23"/>
      <c r="X111" s="24"/>
      <c r="Y111" s="23"/>
    </row>
    <row r="112" spans="1:25" x14ac:dyDescent="0.2">
      <c r="A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P112" s="23"/>
      <c r="Q112" s="24"/>
      <c r="R112" s="23"/>
      <c r="S112" s="53"/>
      <c r="T112" s="24"/>
      <c r="U112" s="17"/>
      <c r="V112" s="17"/>
      <c r="W112" s="23"/>
      <c r="X112" s="24"/>
      <c r="Y112" s="23"/>
    </row>
    <row r="113" spans="1:25" x14ac:dyDescent="0.2">
      <c r="A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23"/>
      <c r="P113" s="23"/>
      <c r="Q113" s="24"/>
      <c r="R113" s="23"/>
      <c r="S113" s="38"/>
      <c r="T113" s="23"/>
      <c r="U113" s="38"/>
      <c r="V113" s="17"/>
      <c r="W113" s="23"/>
      <c r="X113" s="24"/>
      <c r="Y113" s="23"/>
    </row>
    <row r="114" spans="1:25" x14ac:dyDescent="0.2">
      <c r="A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P114" s="23"/>
      <c r="Q114" s="24"/>
      <c r="R114" s="23"/>
      <c r="S114" s="38"/>
      <c r="T114" s="23"/>
      <c r="U114" s="38"/>
      <c r="V114" s="17"/>
      <c r="W114" s="23"/>
      <c r="X114" s="24"/>
      <c r="Y114" s="23"/>
    </row>
    <row r="115" spans="1:25" x14ac:dyDescent="0.2">
      <c r="A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P115" s="23"/>
      <c r="Q115" s="24"/>
      <c r="R115" s="23"/>
      <c r="S115" s="38"/>
      <c r="T115" s="24"/>
      <c r="U115" s="52"/>
      <c r="V115" s="17"/>
      <c r="W115" s="23"/>
      <c r="X115" s="24"/>
      <c r="Y115" s="23"/>
    </row>
    <row r="116" spans="1:25" x14ac:dyDescent="0.2">
      <c r="A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23"/>
      <c r="P116" s="23"/>
      <c r="Q116" s="24"/>
      <c r="R116" s="23"/>
      <c r="S116" s="38"/>
      <c r="T116" s="24"/>
      <c r="U116" s="17"/>
      <c r="V116" s="17"/>
      <c r="W116" s="23"/>
      <c r="X116" s="24"/>
      <c r="Y116" s="23"/>
    </row>
    <row r="117" spans="1:25" x14ac:dyDescent="0.2">
      <c r="A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P117" s="23"/>
      <c r="Q117" s="24"/>
      <c r="R117" s="23"/>
      <c r="S117" s="38"/>
      <c r="T117" s="24"/>
      <c r="U117" s="17"/>
      <c r="V117" s="17"/>
      <c r="W117" s="23"/>
      <c r="X117" s="24"/>
      <c r="Y117" s="23"/>
    </row>
    <row r="118" spans="1:25" x14ac:dyDescent="0.2">
      <c r="A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P118" s="23"/>
      <c r="Q118" s="24"/>
      <c r="R118" s="23"/>
      <c r="S118" s="38"/>
      <c r="T118" s="24"/>
      <c r="U118" s="17"/>
      <c r="V118" s="17"/>
      <c r="W118" s="23"/>
      <c r="X118" s="24"/>
      <c r="Y118" s="23"/>
    </row>
    <row r="119" spans="1:25" x14ac:dyDescent="0.2">
      <c r="A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23"/>
      <c r="Q119" s="24"/>
      <c r="R119" s="23"/>
      <c r="S119" s="53"/>
      <c r="T119" s="24"/>
      <c r="U119" s="17"/>
      <c r="V119" s="17"/>
      <c r="W119" s="23"/>
      <c r="X119" s="24"/>
      <c r="Y119" s="23"/>
    </row>
    <row r="120" spans="1:25" x14ac:dyDescent="0.2">
      <c r="A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P120" s="23"/>
      <c r="Q120" s="24"/>
      <c r="R120" s="23"/>
      <c r="S120" s="53"/>
      <c r="T120" s="24"/>
      <c r="U120" s="17"/>
      <c r="V120" s="17"/>
      <c r="W120" s="23"/>
      <c r="X120" s="24"/>
      <c r="Y120" s="23"/>
    </row>
    <row r="121" spans="1:25" x14ac:dyDescent="0.2">
      <c r="A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P121" s="23"/>
      <c r="Q121" s="24"/>
      <c r="R121" s="23"/>
      <c r="S121" s="53"/>
      <c r="T121" s="17"/>
      <c r="U121" s="17"/>
      <c r="V121" s="17"/>
      <c r="W121" s="17"/>
      <c r="X121" s="24"/>
      <c r="Y121" s="23"/>
    </row>
    <row r="122" spans="1:25" x14ac:dyDescent="0.2">
      <c r="A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23"/>
      <c r="Q122" s="24"/>
      <c r="R122" s="23"/>
      <c r="S122" s="53"/>
      <c r="T122" s="17"/>
      <c r="U122" s="17"/>
      <c r="V122" s="17"/>
      <c r="W122" s="17"/>
      <c r="X122" s="24"/>
      <c r="Y122" s="23"/>
    </row>
    <row r="123" spans="1:25" x14ac:dyDescent="0.2">
      <c r="A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P123" s="77"/>
      <c r="Q123" s="79"/>
      <c r="R123" s="23"/>
      <c r="S123" s="53"/>
      <c r="T123" s="17"/>
      <c r="U123" s="17"/>
      <c r="V123" s="17"/>
      <c r="W123" s="17"/>
      <c r="X123" s="24"/>
      <c r="Y123" s="23"/>
    </row>
    <row r="124" spans="1:25" x14ac:dyDescent="0.2">
      <c r="A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P124" s="45"/>
      <c r="Q124" s="24"/>
      <c r="R124" s="23"/>
      <c r="S124" s="38"/>
      <c r="T124" s="23"/>
      <c r="U124" s="17"/>
      <c r="V124" s="52"/>
      <c r="W124" s="23"/>
      <c r="X124" s="24"/>
      <c r="Y124" s="23"/>
    </row>
    <row r="125" spans="1:25" x14ac:dyDescent="0.2">
      <c r="A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45"/>
      <c r="Q125" s="79"/>
      <c r="R125" s="23"/>
      <c r="S125" s="38"/>
      <c r="T125" s="49"/>
      <c r="U125" s="17"/>
      <c r="V125" s="52"/>
      <c r="W125" s="23"/>
      <c r="X125" s="24"/>
      <c r="Y125" s="23"/>
    </row>
    <row r="126" spans="1:25" x14ac:dyDescent="0.2">
      <c r="A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P126" s="23"/>
      <c r="Q126" s="24"/>
      <c r="R126" s="23"/>
      <c r="S126" s="38"/>
      <c r="T126" s="24"/>
      <c r="U126" s="17"/>
      <c r="V126" s="17"/>
      <c r="W126" s="23"/>
      <c r="X126" s="24"/>
      <c r="Y126" s="23"/>
    </row>
    <row r="127" spans="1:25" x14ac:dyDescent="0.2">
      <c r="A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P127" s="23"/>
      <c r="Q127" s="79"/>
      <c r="R127" s="23"/>
      <c r="S127" s="38"/>
      <c r="T127" s="24"/>
      <c r="U127" s="17"/>
      <c r="V127" s="17"/>
      <c r="W127" s="23"/>
      <c r="X127" s="24"/>
      <c r="Y127" s="23"/>
    </row>
    <row r="128" spans="1:25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23"/>
      <c r="Q128" s="24"/>
      <c r="R128" s="23"/>
      <c r="S128" s="38"/>
      <c r="T128" s="24"/>
      <c r="U128" s="17"/>
      <c r="V128" s="17"/>
      <c r="W128" s="23"/>
      <c r="X128" s="24"/>
      <c r="Y128" s="23"/>
    </row>
    <row r="129" spans="1:25" x14ac:dyDescent="0.2">
      <c r="A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P129" s="23"/>
      <c r="Q129" s="79"/>
      <c r="R129" s="23"/>
      <c r="S129" s="38"/>
      <c r="T129" s="23"/>
      <c r="U129" s="17"/>
      <c r="V129" s="17"/>
      <c r="W129" s="23"/>
      <c r="X129" s="24"/>
      <c r="Y129" s="23"/>
    </row>
    <row r="130" spans="1:25" x14ac:dyDescent="0.2">
      <c r="A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P130" s="17"/>
      <c r="Q130" s="24"/>
      <c r="R130" s="23"/>
      <c r="S130" s="38"/>
      <c r="T130" s="24"/>
      <c r="U130" s="17"/>
      <c r="V130" s="17"/>
      <c r="W130" s="23"/>
      <c r="X130" s="24"/>
      <c r="Y130" s="23"/>
    </row>
    <row r="131" spans="1:25" x14ac:dyDescent="0.2">
      <c r="A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77"/>
      <c r="P131" s="17"/>
      <c r="Q131" s="24"/>
      <c r="R131" s="23"/>
      <c r="S131" s="38"/>
      <c r="T131" s="24"/>
      <c r="U131" s="17"/>
      <c r="V131" s="17"/>
      <c r="W131" s="23"/>
      <c r="X131" s="24"/>
      <c r="Y131" s="23"/>
    </row>
    <row r="132" spans="1:25" x14ac:dyDescent="0.2">
      <c r="A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P132" s="77"/>
      <c r="Q132" s="24"/>
      <c r="R132" s="23"/>
      <c r="S132" s="53"/>
      <c r="T132" s="24"/>
      <c r="U132" s="17"/>
      <c r="V132" s="17"/>
      <c r="W132" s="23"/>
      <c r="X132" s="24"/>
      <c r="Y132" s="23"/>
    </row>
    <row r="133" spans="1:25" x14ac:dyDescent="0.2">
      <c r="A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P133" s="45"/>
      <c r="Q133" s="80"/>
      <c r="R133" s="23"/>
      <c r="S133" s="38"/>
      <c r="T133" s="24"/>
      <c r="U133" s="17"/>
      <c r="V133" s="17"/>
      <c r="W133" s="23"/>
      <c r="X133" s="24"/>
      <c r="Y133" s="23"/>
    </row>
    <row r="134" spans="1:25" x14ac:dyDescent="0.2">
      <c r="A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38"/>
      <c r="P134" s="38"/>
      <c r="Q134" s="17"/>
      <c r="R134" s="39"/>
      <c r="S134" s="38"/>
      <c r="T134" s="49"/>
      <c r="U134" s="17"/>
      <c r="V134" s="17"/>
      <c r="W134" s="23"/>
      <c r="X134" s="24"/>
      <c r="Y134" s="23"/>
    </row>
    <row r="135" spans="1:25" x14ac:dyDescent="0.2">
      <c r="A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P135" s="23"/>
      <c r="Q135" s="24"/>
      <c r="R135" s="23"/>
      <c r="S135" s="45"/>
      <c r="T135" s="24"/>
      <c r="U135" s="17"/>
      <c r="V135" s="17"/>
      <c r="W135" s="23"/>
      <c r="X135" s="24"/>
      <c r="Y135" s="23"/>
    </row>
    <row r="136" spans="1:25" x14ac:dyDescent="0.2">
      <c r="A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P136" s="23"/>
      <c r="Q136" s="24"/>
      <c r="R136" s="23"/>
      <c r="S136" s="23"/>
      <c r="T136" s="24"/>
      <c r="U136" s="17"/>
      <c r="V136" s="17"/>
      <c r="W136" s="23"/>
      <c r="X136" s="24"/>
      <c r="Y136" s="23"/>
    </row>
    <row r="137" spans="1:25" x14ac:dyDescent="0.2">
      <c r="A137" s="17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23"/>
      <c r="P137" s="23"/>
      <c r="Q137" s="24"/>
      <c r="R137" s="23"/>
      <c r="S137" s="17"/>
      <c r="T137" s="24"/>
      <c r="U137" s="17"/>
      <c r="V137" s="17"/>
      <c r="W137" s="23"/>
      <c r="X137" s="24"/>
      <c r="Y137" s="23"/>
    </row>
    <row r="138" spans="1:25" x14ac:dyDescent="0.2">
      <c r="A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P138" s="23"/>
      <c r="Q138" s="56"/>
      <c r="R138" s="23"/>
      <c r="S138" s="17"/>
      <c r="T138" s="49"/>
      <c r="U138" s="17"/>
      <c r="V138" s="17"/>
      <c r="W138" s="23"/>
      <c r="X138" s="24"/>
      <c r="Y138" s="23"/>
    </row>
    <row r="139" spans="1:25" x14ac:dyDescent="0.2">
      <c r="A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P139" s="23"/>
      <c r="Q139" s="49"/>
      <c r="R139" s="17"/>
      <c r="S139" s="38"/>
      <c r="T139" s="49"/>
      <c r="U139" s="17"/>
      <c r="V139" s="17"/>
      <c r="W139" s="23"/>
      <c r="X139" s="24"/>
      <c r="Y139" s="23"/>
    </row>
    <row r="140" spans="1:25" x14ac:dyDescent="0.2">
      <c r="A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23"/>
      <c r="P140" s="23"/>
      <c r="Q140" s="80"/>
      <c r="R140" s="38"/>
      <c r="S140" s="38"/>
      <c r="T140" s="64"/>
      <c r="U140" s="17"/>
      <c r="V140" s="17"/>
      <c r="W140" s="23"/>
      <c r="X140" s="24"/>
      <c r="Y140" s="23"/>
    </row>
    <row r="141" spans="1:25" x14ac:dyDescent="0.2">
      <c r="A141" s="17"/>
    </row>
    <row r="142" spans="1:25" x14ac:dyDescent="0.2">
      <c r="A142" s="17"/>
    </row>
    <row r="143" spans="1:25" x14ac:dyDescent="0.2">
      <c r="A143" s="17"/>
    </row>
    <row r="144" spans="1:25" x14ac:dyDescent="0.2">
      <c r="A144" s="17"/>
    </row>
    <row r="145" spans="1:25" x14ac:dyDescent="0.2">
      <c r="A145" s="17"/>
    </row>
    <row r="146" spans="1:25" x14ac:dyDescent="0.2">
      <c r="A146" s="17"/>
    </row>
    <row r="147" spans="1:25" x14ac:dyDescent="0.2">
      <c r="A147" s="17"/>
    </row>
    <row r="148" spans="1:25" x14ac:dyDescent="0.2">
      <c r="A148" s="17"/>
    </row>
    <row r="149" spans="1:25" x14ac:dyDescent="0.2">
      <c r="A149" s="17"/>
    </row>
    <row r="150" spans="1:25" x14ac:dyDescent="0.2">
      <c r="A150" s="17"/>
    </row>
    <row r="151" spans="1:25" x14ac:dyDescent="0.2">
      <c r="A151" s="17"/>
    </row>
    <row r="152" spans="1:25" x14ac:dyDescent="0.2">
      <c r="A152" s="17"/>
    </row>
    <row r="153" spans="1:25" x14ac:dyDescent="0.2">
      <c r="A153" s="17"/>
    </row>
    <row r="154" spans="1:25" x14ac:dyDescent="0.2">
      <c r="A154" s="17"/>
    </row>
    <row r="155" spans="1:25" x14ac:dyDescent="0.2">
      <c r="A155" s="17"/>
    </row>
    <row r="156" spans="1:25" x14ac:dyDescent="0.2">
      <c r="A156" s="17"/>
    </row>
    <row r="157" spans="1:25" x14ac:dyDescent="0.2">
      <c r="A157" s="17"/>
    </row>
    <row r="158" spans="1:25" x14ac:dyDescent="0.2">
      <c r="A158" s="17"/>
    </row>
    <row r="159" spans="1:25" x14ac:dyDescent="0.2">
      <c r="A159" s="17"/>
    </row>
    <row r="160" spans="1:25" x14ac:dyDescent="0.2">
      <c r="A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P160" s="23"/>
      <c r="Q160" s="24"/>
      <c r="R160" s="23"/>
      <c r="S160" s="38"/>
      <c r="T160" s="24"/>
      <c r="U160" s="17"/>
      <c r="V160" s="17"/>
      <c r="W160" s="23"/>
      <c r="X160" s="24"/>
      <c r="Y160" s="23"/>
    </row>
    <row r="161" spans="1:25" x14ac:dyDescent="0.2">
      <c r="A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P161" s="23"/>
      <c r="Q161" s="24"/>
      <c r="R161" s="23"/>
      <c r="S161" s="38"/>
      <c r="T161" s="24"/>
      <c r="U161" s="17"/>
      <c r="V161" s="17"/>
      <c r="W161" s="23"/>
      <c r="X161" s="24"/>
      <c r="Y161" s="23"/>
    </row>
    <row r="162" spans="1:25" x14ac:dyDescent="0.2">
      <c r="A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23"/>
      <c r="P162" s="23"/>
      <c r="Q162" s="24"/>
      <c r="R162" s="23"/>
      <c r="S162" s="38"/>
      <c r="T162" s="24"/>
      <c r="U162" s="17"/>
      <c r="V162" s="17"/>
      <c r="W162" s="23"/>
      <c r="X162" s="24"/>
      <c r="Y162" s="23"/>
    </row>
    <row r="163" spans="1:25" x14ac:dyDescent="0.2">
      <c r="A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P163" s="23"/>
      <c r="Q163" s="24"/>
      <c r="R163" s="23"/>
      <c r="S163" s="38"/>
      <c r="T163" s="24"/>
      <c r="U163" s="17"/>
      <c r="V163" s="17"/>
      <c r="W163" s="23"/>
      <c r="X163" s="24"/>
      <c r="Y163" s="23"/>
    </row>
    <row r="164" spans="1:25" x14ac:dyDescent="0.2">
      <c r="A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P164" s="23"/>
      <c r="Q164" s="24"/>
      <c r="R164" s="23"/>
      <c r="S164" s="38"/>
      <c r="T164" s="24"/>
      <c r="U164" s="17"/>
      <c r="V164" s="17"/>
      <c r="W164" s="23"/>
      <c r="X164" s="24"/>
      <c r="Y164" s="23"/>
    </row>
    <row r="165" spans="1:25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23"/>
      <c r="P165" s="23"/>
      <c r="Q165" s="24"/>
      <c r="R165" s="23"/>
      <c r="S165" s="38"/>
      <c r="T165" s="24"/>
      <c r="U165" s="17"/>
      <c r="V165" s="17"/>
      <c r="W165" s="23"/>
      <c r="X165" s="24"/>
      <c r="Y165" s="23"/>
    </row>
    <row r="166" spans="1:25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23"/>
      <c r="Q166" s="24"/>
      <c r="R166" s="23"/>
      <c r="S166" s="38"/>
      <c r="T166" s="24"/>
      <c r="U166" s="17"/>
      <c r="V166" s="17"/>
      <c r="W166" s="23"/>
      <c r="X166" s="24"/>
      <c r="Y166" s="23"/>
    </row>
    <row r="167" spans="1:25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23"/>
      <c r="P167" s="23"/>
      <c r="Q167" s="24"/>
      <c r="R167" s="23"/>
      <c r="S167" s="38"/>
      <c r="T167" s="24"/>
      <c r="U167" s="17"/>
      <c r="V167" s="17"/>
      <c r="W167" s="23"/>
      <c r="X167" s="24"/>
      <c r="Y167" s="23"/>
    </row>
    <row r="168" spans="1:25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23"/>
      <c r="P168" s="23"/>
      <c r="Q168" s="24"/>
      <c r="R168" s="23"/>
      <c r="S168" s="38"/>
      <c r="T168" s="23"/>
      <c r="U168" s="38"/>
      <c r="V168" s="17"/>
      <c r="W168" s="23"/>
      <c r="X168" s="24"/>
      <c r="Y168" s="23"/>
    </row>
    <row r="169" spans="1:25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23"/>
      <c r="P169" s="23"/>
      <c r="Q169" s="79"/>
      <c r="R169" s="23"/>
      <c r="S169" s="38"/>
      <c r="T169" s="23"/>
      <c r="U169" s="38"/>
      <c r="V169" s="17"/>
      <c r="W169" s="23"/>
      <c r="X169" s="24"/>
      <c r="Y169" s="23"/>
    </row>
    <row r="170" spans="1:25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23"/>
      <c r="P170" s="23"/>
      <c r="Q170" s="24"/>
      <c r="R170" s="23"/>
      <c r="S170" s="38"/>
      <c r="T170" s="24"/>
      <c r="U170" s="17"/>
      <c r="V170" s="17"/>
      <c r="W170" s="23"/>
      <c r="X170" s="24"/>
      <c r="Y170" s="23"/>
    </row>
    <row r="171" spans="1:25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23"/>
      <c r="P171" s="23"/>
      <c r="Q171" s="79"/>
      <c r="R171" s="23"/>
      <c r="S171" s="38"/>
      <c r="T171" s="24"/>
      <c r="U171" s="17"/>
      <c r="V171" s="17"/>
      <c r="W171" s="23"/>
      <c r="X171" s="24"/>
      <c r="Y171" s="23"/>
    </row>
    <row r="172" spans="1:25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23"/>
      <c r="P172" s="23"/>
      <c r="Q172" s="24"/>
      <c r="R172" s="23"/>
      <c r="S172" s="38"/>
      <c r="T172" s="24"/>
      <c r="U172" s="17"/>
      <c r="V172" s="17"/>
      <c r="W172" s="23"/>
      <c r="X172" s="24"/>
      <c r="Y172" s="23"/>
    </row>
    <row r="173" spans="1:25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23"/>
      <c r="P173" s="23"/>
      <c r="Q173" s="79"/>
      <c r="R173" s="23"/>
      <c r="S173" s="38"/>
      <c r="T173" s="24"/>
      <c r="U173" s="17"/>
      <c r="V173" s="17"/>
      <c r="W173" s="23"/>
      <c r="X173" s="24"/>
      <c r="Y173" s="23"/>
    </row>
    <row r="174" spans="1:25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23"/>
      <c r="P174" s="23"/>
      <c r="Q174" s="24"/>
      <c r="R174" s="23"/>
      <c r="S174" s="38"/>
      <c r="T174" s="24"/>
      <c r="U174" s="17"/>
      <c r="V174" s="17"/>
      <c r="W174" s="23"/>
      <c r="X174" s="24"/>
      <c r="Y174" s="23"/>
    </row>
    <row r="175" spans="1:25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23"/>
      <c r="P175" s="23"/>
      <c r="Q175" s="24"/>
      <c r="R175" s="23"/>
      <c r="S175" s="38"/>
      <c r="T175" s="24"/>
      <c r="U175" s="17"/>
      <c r="V175" s="17"/>
      <c r="W175" s="23"/>
      <c r="X175" s="24"/>
      <c r="Y175" s="23"/>
    </row>
    <row r="176" spans="1:25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23"/>
      <c r="P176" s="23"/>
      <c r="Q176" s="24"/>
      <c r="R176" s="23"/>
      <c r="S176" s="38"/>
      <c r="T176" s="24"/>
      <c r="U176" s="17"/>
      <c r="V176" s="17"/>
      <c r="W176" s="23"/>
      <c r="X176" s="24"/>
      <c r="Y176" s="22"/>
    </row>
    <row r="177" spans="1:26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23"/>
      <c r="P177" s="23"/>
      <c r="Q177" s="80"/>
      <c r="R177" s="23"/>
      <c r="S177" s="38"/>
      <c r="T177" s="24"/>
      <c r="U177" s="17"/>
      <c r="V177" s="17"/>
      <c r="W177" s="23"/>
      <c r="X177" s="24"/>
      <c r="Y177" s="23"/>
    </row>
    <row r="178" spans="1:26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38"/>
      <c r="P178" s="38"/>
      <c r="Q178" s="17"/>
      <c r="R178" s="39"/>
      <c r="S178" s="38"/>
      <c r="T178" s="24"/>
      <c r="U178" s="17"/>
      <c r="V178" s="17"/>
      <c r="W178" s="23"/>
      <c r="X178" s="24"/>
      <c r="Y178" s="17"/>
    </row>
    <row r="179" spans="1:26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23"/>
      <c r="P179" s="23"/>
      <c r="Q179" s="56"/>
      <c r="R179" s="23"/>
      <c r="S179" s="17"/>
      <c r="T179" s="24"/>
      <c r="U179" s="17"/>
      <c r="V179" s="17"/>
      <c r="W179" s="23"/>
      <c r="X179" s="25"/>
      <c r="Y179" s="16"/>
    </row>
    <row r="180" spans="1:26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38"/>
      <c r="Q180" s="17"/>
      <c r="R180" s="17"/>
      <c r="S180" s="17"/>
      <c r="T180" s="24"/>
      <c r="U180" s="17"/>
      <c r="V180" s="17"/>
      <c r="W180" s="23"/>
      <c r="X180" s="24"/>
      <c r="Y180" s="16"/>
    </row>
    <row r="181" spans="1:26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23"/>
      <c r="P181" s="23"/>
      <c r="Q181" s="24"/>
      <c r="R181" s="23"/>
      <c r="S181" s="17"/>
      <c r="T181" s="24"/>
      <c r="U181" s="17"/>
      <c r="V181" s="17"/>
      <c r="W181" s="23"/>
      <c r="X181" s="17"/>
    </row>
    <row r="182" spans="1:26" x14ac:dyDescent="0.2">
      <c r="A182" s="17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23"/>
      <c r="P182" s="23"/>
      <c r="Q182" s="24"/>
      <c r="R182" s="22"/>
      <c r="S182" s="23"/>
      <c r="T182" s="24"/>
      <c r="U182" s="17"/>
      <c r="V182" s="17"/>
      <c r="W182" s="23"/>
      <c r="X182" s="17"/>
    </row>
    <row r="183" spans="1:26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23"/>
      <c r="P183" s="23"/>
      <c r="Q183" s="24"/>
      <c r="R183" s="23"/>
      <c r="S183" s="17"/>
      <c r="T183" s="24"/>
      <c r="U183" s="17"/>
      <c r="V183" s="17"/>
      <c r="W183" s="23"/>
      <c r="X183" s="16"/>
    </row>
    <row r="184" spans="1:26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23"/>
      <c r="P184" s="24"/>
      <c r="Q184" s="17"/>
      <c r="R184" s="23"/>
      <c r="S184" s="64"/>
      <c r="T184" s="24"/>
      <c r="U184" s="17"/>
      <c r="V184" s="17"/>
      <c r="W184" s="23"/>
      <c r="X184" s="17"/>
    </row>
    <row r="185" spans="1:26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23"/>
      <c r="P185" s="23"/>
      <c r="Q185" s="24"/>
      <c r="R185" s="23"/>
      <c r="S185" s="17"/>
      <c r="T185" s="24"/>
      <c r="U185" s="17"/>
      <c r="V185" s="17"/>
      <c r="W185" s="23"/>
      <c r="X185" s="17"/>
    </row>
    <row r="186" spans="1:26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81"/>
      <c r="P186" s="23"/>
      <c r="Q186" s="49"/>
      <c r="R186" s="23"/>
      <c r="S186" s="17"/>
      <c r="T186" s="24"/>
      <c r="U186" s="17"/>
      <c r="V186" s="17"/>
      <c r="W186" s="23"/>
      <c r="X186" s="17"/>
    </row>
    <row r="187" spans="1:26" x14ac:dyDescent="0.2">
      <c r="A187" s="17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23"/>
      <c r="P187" s="17"/>
      <c r="Q187" s="17"/>
      <c r="R187" s="23"/>
      <c r="S187" s="17"/>
      <c r="T187" s="24"/>
      <c r="U187" s="17"/>
      <c r="V187" s="17"/>
      <c r="W187" s="23"/>
      <c r="X187" s="17"/>
    </row>
    <row r="188" spans="1:26" x14ac:dyDescent="0.2">
      <c r="A188" s="17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23"/>
      <c r="P188" s="23"/>
      <c r="Q188" s="17"/>
      <c r="R188" s="23"/>
      <c r="S188" s="17"/>
      <c r="T188" s="24"/>
      <c r="U188" s="17"/>
      <c r="V188" s="17"/>
      <c r="W188" s="23"/>
      <c r="X188" s="17"/>
    </row>
    <row r="189" spans="1:26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23"/>
      <c r="P189" s="23"/>
      <c r="Q189" s="24"/>
      <c r="R189" s="23"/>
      <c r="S189" s="23"/>
      <c r="T189" s="24"/>
      <c r="U189" s="17"/>
      <c r="V189" s="17"/>
      <c r="W189" s="23"/>
      <c r="X189" s="17"/>
    </row>
    <row r="190" spans="1:26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23"/>
      <c r="P190" s="17"/>
      <c r="Q190" s="17"/>
      <c r="R190" s="17"/>
      <c r="S190" s="23"/>
      <c r="T190" s="24"/>
      <c r="U190" s="17"/>
      <c r="V190" s="17"/>
      <c r="W190" s="23"/>
      <c r="X190" s="17"/>
      <c r="Z190" s="27"/>
    </row>
    <row r="191" spans="1:26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23"/>
      <c r="P191" s="17"/>
      <c r="Q191" s="17"/>
      <c r="R191" s="38"/>
      <c r="S191" s="23"/>
      <c r="T191" s="63"/>
      <c r="U191" s="17"/>
      <c r="V191" s="17"/>
      <c r="W191" s="23"/>
      <c r="X191" s="17"/>
      <c r="Z191" s="27"/>
    </row>
    <row r="192" spans="1:26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23"/>
      <c r="P192" s="23"/>
      <c r="Q192" s="28"/>
      <c r="R192" s="23"/>
      <c r="S192" s="17"/>
      <c r="T192" s="24"/>
      <c r="U192" s="17"/>
      <c r="V192" s="17"/>
      <c r="W192" s="23"/>
      <c r="X192" s="17"/>
      <c r="Z192" s="27"/>
    </row>
    <row r="193" spans="1:24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38"/>
      <c r="P193" s="31"/>
      <c r="Q193" s="54"/>
      <c r="R193" s="31"/>
      <c r="S193" s="17"/>
      <c r="T193" s="24"/>
      <c r="U193" s="17"/>
      <c r="V193" s="17"/>
      <c r="W193" s="23"/>
      <c r="X193" s="17"/>
    </row>
    <row r="194" spans="1:24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38"/>
      <c r="P194" s="38"/>
      <c r="Q194" s="17"/>
      <c r="R194" s="31"/>
      <c r="S194" s="62"/>
      <c r="T194" s="24"/>
      <c r="U194" s="17"/>
      <c r="V194" s="17"/>
      <c r="W194" s="23"/>
      <c r="X194" s="17"/>
    </row>
    <row r="195" spans="1:24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23"/>
      <c r="Q195" s="17"/>
      <c r="R195" s="31"/>
      <c r="S195" s="17"/>
      <c r="T195" s="24"/>
      <c r="U195" s="17"/>
      <c r="V195" s="17"/>
      <c r="W195" s="23"/>
      <c r="X195" s="17"/>
    </row>
    <row r="196" spans="1:24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23"/>
      <c r="P196" s="23"/>
      <c r="Q196" s="17"/>
      <c r="R196" s="31"/>
      <c r="S196" s="17"/>
      <c r="T196" s="24"/>
      <c r="U196" s="17"/>
      <c r="V196" s="17"/>
      <c r="W196" s="23"/>
      <c r="X196" s="17"/>
    </row>
    <row r="197" spans="1:24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23"/>
      <c r="P197" s="23"/>
      <c r="Q197" s="17"/>
      <c r="R197" s="31"/>
      <c r="S197" s="38"/>
      <c r="T197" s="24"/>
      <c r="U197" s="17"/>
      <c r="V197" s="17"/>
      <c r="W197" s="23"/>
      <c r="X197" s="17"/>
    </row>
    <row r="198" spans="1:24" x14ac:dyDescent="0.2">
      <c r="A198" s="17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23"/>
      <c r="P198" s="23"/>
      <c r="Q198" s="56"/>
      <c r="R198" s="22"/>
      <c r="S198" s="17"/>
      <c r="T198" s="24"/>
      <c r="U198" s="17"/>
      <c r="V198" s="17"/>
      <c r="W198" s="23"/>
      <c r="X198" s="17"/>
    </row>
    <row r="199" spans="1:24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23"/>
      <c r="P199" s="23"/>
      <c r="Q199" s="56"/>
      <c r="R199" s="22"/>
      <c r="S199" s="38"/>
      <c r="T199" s="24"/>
      <c r="U199" s="17"/>
      <c r="V199" s="17"/>
      <c r="W199" s="23"/>
      <c r="X199" s="17"/>
    </row>
    <row r="200" spans="1:24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23"/>
      <c r="P200" s="23"/>
      <c r="Q200" s="57"/>
      <c r="R200" s="23"/>
      <c r="S200" s="17"/>
      <c r="T200" s="24"/>
      <c r="U200" s="17"/>
      <c r="V200" s="17"/>
      <c r="W200" s="23"/>
      <c r="X200" s="17"/>
    </row>
    <row r="201" spans="1:24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23"/>
      <c r="Q201" s="17"/>
      <c r="R201" s="23"/>
      <c r="S201" s="17"/>
      <c r="T201" s="24"/>
      <c r="U201" s="17"/>
      <c r="V201" s="17"/>
      <c r="W201" s="23"/>
      <c r="X201" s="17"/>
    </row>
    <row r="202" spans="1:24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23"/>
      <c r="Q202" s="17"/>
      <c r="R202" s="23"/>
      <c r="S202" s="17"/>
      <c r="T202" s="24"/>
      <c r="U202" s="17"/>
      <c r="V202" s="17"/>
      <c r="W202" s="23"/>
      <c r="X202" s="17"/>
    </row>
    <row r="203" spans="1:24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23"/>
      <c r="Q203" s="17"/>
      <c r="R203" s="23"/>
      <c r="S203" s="17"/>
      <c r="T203" s="24"/>
      <c r="U203" s="17"/>
      <c r="V203" s="17"/>
      <c r="W203" s="23"/>
      <c r="X203" s="17"/>
    </row>
    <row r="204" spans="1:24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23"/>
      <c r="Q204" s="17"/>
      <c r="R204" s="23"/>
      <c r="S204" s="17"/>
      <c r="T204" s="24"/>
      <c r="U204" s="17"/>
      <c r="V204" s="17"/>
      <c r="W204" s="23"/>
      <c r="X204" s="17"/>
    </row>
    <row r="205" spans="1:24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23"/>
      <c r="Q205" s="17"/>
      <c r="R205" s="23"/>
      <c r="S205" s="17"/>
      <c r="T205" s="24"/>
      <c r="U205" s="17"/>
      <c r="V205" s="17"/>
      <c r="W205" s="23"/>
      <c r="X205" s="17"/>
    </row>
    <row r="206" spans="1:24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23"/>
      <c r="Q206" s="17"/>
      <c r="R206" s="23"/>
      <c r="S206" s="17"/>
      <c r="T206" s="24"/>
      <c r="U206" s="17"/>
      <c r="V206" s="17"/>
      <c r="W206" s="23"/>
      <c r="X206" s="17"/>
    </row>
    <row r="207" spans="1:24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23"/>
      <c r="Q207" s="17"/>
      <c r="R207" s="23"/>
      <c r="S207" s="17"/>
      <c r="T207" s="24"/>
      <c r="U207" s="17"/>
      <c r="V207" s="17"/>
      <c r="W207" s="23"/>
      <c r="X207" s="17"/>
    </row>
    <row r="208" spans="1:24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23"/>
      <c r="Q208" s="17"/>
      <c r="R208" s="23"/>
      <c r="S208" s="17"/>
      <c r="T208" s="24"/>
      <c r="U208" s="17"/>
      <c r="V208" s="17"/>
      <c r="W208" s="23"/>
      <c r="X208" s="17"/>
    </row>
    <row r="209" spans="1:24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23"/>
      <c r="Q209" s="17"/>
      <c r="R209" s="23"/>
      <c r="S209" s="17"/>
      <c r="T209" s="24"/>
      <c r="U209" s="17"/>
      <c r="V209" s="17"/>
      <c r="W209" s="23"/>
      <c r="X209" s="17"/>
    </row>
    <row r="210" spans="1:24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23"/>
      <c r="Q210" s="17"/>
      <c r="R210" s="23"/>
      <c r="S210" s="17"/>
      <c r="T210" s="24"/>
      <c r="U210" s="17"/>
      <c r="V210" s="17"/>
      <c r="W210" s="23"/>
      <c r="X210" s="17"/>
    </row>
    <row r="211" spans="1:24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38"/>
      <c r="P211" s="38"/>
      <c r="Q211" s="17"/>
      <c r="R211" s="39"/>
      <c r="S211" s="17"/>
      <c r="T211" s="24"/>
      <c r="U211" s="17"/>
      <c r="V211" s="17"/>
      <c r="W211" s="23"/>
      <c r="X211" s="17"/>
    </row>
    <row r="212" spans="1:24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</row>
    <row r="213" spans="1:24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</row>
    <row r="214" spans="1:24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</row>
    <row r="215" spans="1:24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24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24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24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24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24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24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24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24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24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  <row r="657" spans="1:18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</row>
    <row r="658" spans="1:18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</row>
    <row r="659" spans="1:18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</row>
    <row r="660" spans="1:18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</row>
    <row r="661" spans="1:18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</row>
    <row r="662" spans="1:18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</row>
    <row r="663" spans="1:18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</row>
    <row r="664" spans="1:18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</row>
    <row r="665" spans="1:18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</row>
    <row r="666" spans="1:18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</row>
    <row r="667" spans="1:18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</row>
    <row r="668" spans="1:18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</row>
    <row r="669" spans="1:18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</row>
    <row r="670" spans="1:18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</row>
    <row r="671" spans="1:18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</row>
    <row r="672" spans="1:18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</row>
    <row r="673" spans="1:18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</row>
    <row r="674" spans="1:18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</row>
    <row r="675" spans="1:18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</row>
    <row r="676" spans="1:18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</row>
    <row r="677" spans="1:18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</row>
    <row r="678" spans="1:18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</row>
    <row r="679" spans="1:18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</row>
    <row r="680" spans="1:18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</row>
    <row r="681" spans="1:18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</row>
    <row r="682" spans="1:18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</row>
    <row r="683" spans="1:18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</row>
    <row r="684" spans="1:18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</row>
    <row r="685" spans="1:18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</row>
    <row r="686" spans="1:18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</row>
    <row r="687" spans="1:18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</row>
    <row r="688" spans="1:18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</row>
    <row r="689" spans="1:18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</row>
    <row r="690" spans="1:18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</row>
    <row r="691" spans="1:18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</row>
    <row r="692" spans="1:18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</row>
    <row r="693" spans="1:18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</row>
    <row r="694" spans="1:18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</row>
    <row r="695" spans="1:18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</row>
    <row r="696" spans="1:18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</row>
    <row r="697" spans="1:18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</row>
    <row r="698" spans="1:18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</row>
    <row r="699" spans="1:18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</row>
    <row r="700" spans="1:18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</row>
    <row r="701" spans="1:18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</row>
    <row r="702" spans="1:18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</row>
    <row r="703" spans="1:18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</row>
    <row r="704" spans="1:18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</row>
    <row r="705" spans="1:18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</row>
    <row r="706" spans="1:18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</row>
    <row r="707" spans="1:18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</row>
    <row r="708" spans="1:18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</row>
    <row r="709" spans="1:18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</row>
    <row r="710" spans="1:18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</row>
    <row r="711" spans="1:18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</row>
    <row r="712" spans="1:18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</row>
    <row r="713" spans="1:18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</row>
    <row r="714" spans="1:18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</row>
    <row r="715" spans="1:18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</row>
    <row r="716" spans="1:18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</row>
    <row r="717" spans="1:18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</row>
    <row r="718" spans="1:18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</row>
    <row r="719" spans="1:18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</row>
    <row r="720" spans="1:18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</row>
    <row r="721" spans="1:18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</row>
    <row r="722" spans="1:18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</row>
    <row r="723" spans="1:18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</row>
    <row r="724" spans="1:18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</row>
    <row r="725" spans="1:18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</row>
    <row r="726" spans="1:18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</row>
    <row r="727" spans="1:18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</row>
    <row r="728" spans="1:18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</row>
    <row r="729" spans="1:18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</row>
    <row r="730" spans="1:18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</row>
    <row r="731" spans="1:18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</row>
    <row r="732" spans="1:18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</row>
    <row r="733" spans="1:18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</row>
    <row r="734" spans="1:18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</row>
    <row r="735" spans="1:18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</row>
    <row r="736" spans="1:18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</row>
    <row r="737" spans="1:18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</row>
    <row r="738" spans="1:18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</row>
    <row r="739" spans="1:18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</row>
    <row r="740" spans="1:18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</row>
    <row r="741" spans="1:18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</row>
    <row r="742" spans="1:18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</row>
    <row r="743" spans="1:18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</row>
    <row r="744" spans="1:18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</row>
    <row r="745" spans="1:18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</row>
    <row r="746" spans="1:18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</row>
    <row r="747" spans="1:18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</row>
    <row r="748" spans="1:18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</row>
    <row r="749" spans="1:18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</row>
    <row r="750" spans="1:18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</row>
    <row r="751" spans="1:18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</row>
    <row r="752" spans="1:18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</row>
    <row r="753" spans="1:18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</row>
    <row r="754" spans="1:18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</row>
    <row r="755" spans="1:18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</row>
    <row r="756" spans="1:18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</row>
    <row r="757" spans="1:18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</row>
    <row r="758" spans="1:18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</row>
    <row r="759" spans="1:18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</row>
    <row r="760" spans="1:18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</row>
    <row r="761" spans="1:18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</row>
    <row r="762" spans="1:18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</row>
    <row r="763" spans="1:18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</row>
    <row r="764" spans="1:18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</row>
    <row r="765" spans="1:18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</row>
    <row r="766" spans="1:18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</row>
    <row r="767" spans="1:18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</row>
    <row r="768" spans="1:18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</row>
    <row r="769" spans="1:18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</row>
    <row r="770" spans="1:18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</row>
    <row r="771" spans="1:18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</row>
    <row r="772" spans="1:18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</row>
    <row r="773" spans="1:18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</row>
    <row r="774" spans="1:18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</row>
    <row r="775" spans="1:18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</row>
    <row r="776" spans="1:18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</row>
    <row r="777" spans="1:18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</row>
    <row r="778" spans="1:18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</row>
    <row r="779" spans="1:18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</row>
    <row r="780" spans="1:18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</row>
    <row r="781" spans="1:18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</row>
    <row r="782" spans="1:18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</row>
    <row r="783" spans="1:18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</row>
    <row r="784" spans="1:18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</row>
    <row r="785" spans="1:18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</row>
    <row r="786" spans="1:18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</row>
    <row r="787" spans="1:18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</row>
    <row r="788" spans="1:18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</row>
    <row r="789" spans="1:18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</row>
    <row r="790" spans="1:18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</row>
    <row r="791" spans="1:18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</row>
    <row r="792" spans="1:18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</row>
    <row r="793" spans="1:18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</row>
    <row r="794" spans="1:18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</row>
    <row r="795" spans="1:18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</row>
    <row r="796" spans="1:18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</row>
    <row r="797" spans="1:18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</row>
    <row r="798" spans="1:18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</row>
    <row r="799" spans="1:18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</row>
    <row r="800" spans="1:18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</row>
    <row r="801" spans="1:18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</row>
    <row r="802" spans="1:18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</row>
    <row r="803" spans="1:18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</row>
    <row r="804" spans="1:18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</row>
    <row r="805" spans="1:18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</row>
    <row r="806" spans="1:18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</row>
    <row r="807" spans="1:18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</row>
    <row r="808" spans="1:18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</row>
    <row r="809" spans="1:18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</row>
    <row r="810" spans="1:18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</row>
    <row r="811" spans="1:18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</row>
    <row r="812" spans="1:18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</row>
    <row r="813" spans="1:18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</row>
    <row r="814" spans="1:18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</row>
    <row r="815" spans="1:18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</row>
    <row r="816" spans="1:18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</row>
    <row r="817" spans="1:18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</row>
    <row r="818" spans="1:18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</row>
    <row r="819" spans="1:18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</row>
    <row r="820" spans="1:18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</row>
    <row r="821" spans="1:18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</row>
    <row r="822" spans="1:18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</row>
    <row r="823" spans="1:18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</row>
    <row r="824" spans="1:18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</row>
    <row r="825" spans="1:18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</row>
    <row r="826" spans="1:18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</row>
    <row r="827" spans="1:18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</row>
    <row r="828" spans="1:18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</row>
    <row r="829" spans="1:18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</row>
    <row r="830" spans="1:18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</row>
    <row r="831" spans="1:18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</row>
    <row r="832" spans="1:18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</row>
    <row r="833" spans="1:18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</row>
    <row r="834" spans="1:18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</row>
    <row r="835" spans="1:18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</row>
    <row r="836" spans="1:18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</row>
    <row r="837" spans="1:18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</row>
    <row r="838" spans="1:18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</row>
    <row r="839" spans="1:18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</row>
    <row r="840" spans="1:18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</row>
    <row r="841" spans="1:18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</row>
    <row r="842" spans="1:18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</row>
    <row r="843" spans="1:18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</row>
    <row r="844" spans="1:18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</row>
    <row r="845" spans="1:18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</row>
    <row r="846" spans="1:18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</row>
    <row r="847" spans="1:18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</row>
    <row r="848" spans="1:18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</row>
    <row r="849" spans="1:18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</row>
    <row r="850" spans="1:18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</row>
    <row r="851" spans="1:18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</row>
    <row r="852" spans="1:18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</row>
    <row r="853" spans="1:18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</row>
    <row r="854" spans="1:18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</row>
    <row r="855" spans="1:18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</row>
    <row r="856" spans="1:18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</row>
    <row r="857" spans="1:18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</row>
    <row r="858" spans="1:18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</row>
    <row r="859" spans="1:18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</row>
    <row r="860" spans="1:18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</row>
    <row r="861" spans="1:18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</row>
    <row r="862" spans="1:18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</row>
    <row r="863" spans="1:18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</row>
    <row r="864" spans="1:18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</row>
    <row r="865" spans="1:18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</row>
    <row r="866" spans="1:18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</row>
    <row r="867" spans="1:18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</row>
    <row r="868" spans="1:18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</row>
    <row r="869" spans="1:18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</row>
    <row r="870" spans="1:18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</row>
    <row r="871" spans="1:18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</row>
    <row r="872" spans="1:18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</row>
    <row r="873" spans="1:18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</row>
    <row r="874" spans="1:18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</row>
    <row r="875" spans="1:18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</row>
    <row r="876" spans="1:18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</row>
    <row r="877" spans="1:18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</row>
    <row r="878" spans="1:18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</row>
    <row r="879" spans="1:18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</row>
    <row r="880" spans="1:18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</row>
    <row r="881" spans="1:18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</row>
    <row r="882" spans="1:18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</row>
    <row r="883" spans="1:18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</row>
    <row r="884" spans="1:18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</row>
    <row r="885" spans="1:18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</row>
    <row r="886" spans="1:18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</row>
    <row r="887" spans="1:18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</row>
    <row r="888" spans="1:18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</row>
    <row r="889" spans="1:18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</row>
    <row r="890" spans="1:18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</row>
    <row r="891" spans="1:18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</row>
    <row r="892" spans="1:18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</row>
    <row r="893" spans="1:18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</row>
    <row r="894" spans="1:18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</row>
    <row r="895" spans="1:18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</row>
    <row r="896" spans="1:18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</row>
    <row r="897" spans="1:18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</row>
    <row r="898" spans="1:18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</row>
    <row r="899" spans="1:18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</row>
    <row r="900" spans="1:18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</row>
    <row r="901" spans="1:18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</row>
    <row r="902" spans="1:18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</row>
    <row r="903" spans="1:18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</row>
    <row r="904" spans="1:18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</row>
    <row r="905" spans="1:18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</row>
    <row r="906" spans="1:18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</row>
    <row r="907" spans="1:18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</row>
    <row r="908" spans="1:18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</row>
    <row r="909" spans="1:18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</row>
    <row r="910" spans="1:18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</row>
    <row r="911" spans="1:18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</row>
    <row r="912" spans="1:18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</row>
    <row r="913" spans="1:18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</row>
    <row r="914" spans="1:18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</row>
    <row r="915" spans="1:18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</row>
    <row r="916" spans="1:18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</row>
    <row r="917" spans="1:18" x14ac:dyDescent="0.2">
      <c r="A917" s="17"/>
      <c r="B917" s="17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</row>
    <row r="918" spans="1:18" x14ac:dyDescent="0.2">
      <c r="A918" s="17"/>
      <c r="B918" s="17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</row>
    <row r="919" spans="1:18" x14ac:dyDescent="0.2">
      <c r="A919" s="17"/>
      <c r="B919" s="17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</row>
    <row r="920" spans="1:18" x14ac:dyDescent="0.2">
      <c r="A920" s="17"/>
      <c r="B920" s="17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</row>
    <row r="921" spans="1:18" x14ac:dyDescent="0.2">
      <c r="A921" s="17"/>
      <c r="B921" s="17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</row>
    <row r="922" spans="1:18" x14ac:dyDescent="0.2">
      <c r="A922" s="17"/>
      <c r="B922" s="17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</row>
    <row r="923" spans="1:18" x14ac:dyDescent="0.2">
      <c r="A923" s="17"/>
      <c r="B923" s="17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</row>
    <row r="924" spans="1:18" x14ac:dyDescent="0.2">
      <c r="A924" s="17"/>
      <c r="B924" s="17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</row>
    <row r="925" spans="1:18" x14ac:dyDescent="0.2">
      <c r="A925" s="17"/>
      <c r="B925" s="17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</row>
    <row r="926" spans="1:18" x14ac:dyDescent="0.2">
      <c r="A926" s="17"/>
      <c r="B926" s="17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</row>
    <row r="927" spans="1:18" x14ac:dyDescent="0.2">
      <c r="A927" s="17"/>
      <c r="B927" s="17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</row>
    <row r="928" spans="1:18" x14ac:dyDescent="0.2">
      <c r="A928" s="17"/>
      <c r="B928" s="17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</row>
    <row r="929" spans="1:18" x14ac:dyDescent="0.2">
      <c r="A929" s="17"/>
      <c r="B929" s="17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</row>
    <row r="930" spans="1:18" x14ac:dyDescent="0.2">
      <c r="A930" s="17"/>
      <c r="B930" s="17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</row>
    <row r="931" spans="1:18" x14ac:dyDescent="0.2">
      <c r="A931" s="17"/>
      <c r="B931" s="17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</row>
    <row r="932" spans="1:18" x14ac:dyDescent="0.2">
      <c r="A932" s="17"/>
      <c r="B932" s="17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</row>
    <row r="933" spans="1:18" x14ac:dyDescent="0.2">
      <c r="A933" s="17"/>
      <c r="B933" s="17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</row>
    <row r="934" spans="1:18" x14ac:dyDescent="0.2">
      <c r="A934" s="17"/>
      <c r="B934" s="17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</row>
    <row r="935" spans="1:18" x14ac:dyDescent="0.2">
      <c r="A935" s="17"/>
      <c r="B935" s="17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</row>
    <row r="936" spans="1:18" x14ac:dyDescent="0.2">
      <c r="A936" s="17"/>
      <c r="B936" s="17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</row>
    <row r="937" spans="1:18" x14ac:dyDescent="0.2">
      <c r="A937" s="17"/>
      <c r="B937" s="17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</row>
    <row r="938" spans="1:18" x14ac:dyDescent="0.2">
      <c r="A938" s="17"/>
      <c r="B938" s="17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</row>
    <row r="939" spans="1:18" x14ac:dyDescent="0.2">
      <c r="A939" s="17"/>
      <c r="B939" s="17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</row>
    <row r="940" spans="1:18" x14ac:dyDescent="0.2">
      <c r="A940" s="17"/>
      <c r="B940" s="17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</row>
    <row r="941" spans="1:18" x14ac:dyDescent="0.2">
      <c r="A941" s="17"/>
      <c r="B941" s="17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</row>
    <row r="942" spans="1:18" x14ac:dyDescent="0.2">
      <c r="A942" s="17"/>
      <c r="B942" s="17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</row>
    <row r="943" spans="1:18" x14ac:dyDescent="0.2">
      <c r="A943" s="17"/>
      <c r="B943" s="17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</row>
    <row r="944" spans="1:18" x14ac:dyDescent="0.2">
      <c r="A944" s="17"/>
      <c r="B944" s="17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</row>
    <row r="945" spans="1:18" x14ac:dyDescent="0.2">
      <c r="A945" s="17"/>
      <c r="B945" s="17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</row>
    <row r="946" spans="1:18" x14ac:dyDescent="0.2">
      <c r="A946" s="17"/>
      <c r="B946" s="17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</row>
    <row r="947" spans="1:18" x14ac:dyDescent="0.2">
      <c r="A947" s="17"/>
      <c r="B947" s="17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</row>
    <row r="948" spans="1:18" x14ac:dyDescent="0.2">
      <c r="A948" s="17"/>
      <c r="B948" s="17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</row>
    <row r="949" spans="1:18" x14ac:dyDescent="0.2">
      <c r="A949" s="17"/>
      <c r="B949" s="17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</row>
    <row r="950" spans="1:18" x14ac:dyDescent="0.2">
      <c r="A950" s="17"/>
      <c r="B950" s="17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</row>
    <row r="951" spans="1:18" x14ac:dyDescent="0.2">
      <c r="A951" s="17"/>
      <c r="B951" s="17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</row>
    <row r="952" spans="1:18" x14ac:dyDescent="0.2">
      <c r="A952" s="17"/>
      <c r="B952" s="17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</row>
    <row r="953" spans="1:18" x14ac:dyDescent="0.2">
      <c r="A953" s="17"/>
      <c r="B953" s="17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</row>
    <row r="954" spans="1:18" x14ac:dyDescent="0.2">
      <c r="A954" s="17"/>
      <c r="B954" s="17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</row>
    <row r="955" spans="1:18" x14ac:dyDescent="0.2">
      <c r="A955" s="17"/>
      <c r="B955" s="17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</row>
    <row r="956" spans="1:18" x14ac:dyDescent="0.2">
      <c r="A956" s="17"/>
      <c r="B956" s="17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</row>
    <row r="957" spans="1:18" x14ac:dyDescent="0.2">
      <c r="A957" s="17"/>
      <c r="B957" s="17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</row>
    <row r="958" spans="1:18" x14ac:dyDescent="0.2">
      <c r="A958" s="17"/>
      <c r="B958" s="17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</row>
    <row r="959" spans="1:18" x14ac:dyDescent="0.2">
      <c r="A959" s="17"/>
      <c r="B959" s="17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</row>
    <row r="960" spans="1:18" x14ac:dyDescent="0.2">
      <c r="A960" s="17"/>
      <c r="B960" s="17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</row>
    <row r="961" spans="1:18" x14ac:dyDescent="0.2">
      <c r="A961" s="17"/>
      <c r="B961" s="17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</row>
    <row r="962" spans="1:18" x14ac:dyDescent="0.2">
      <c r="A962" s="17"/>
      <c r="B962" s="17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</row>
    <row r="963" spans="1:18" x14ac:dyDescent="0.2">
      <c r="A963" s="17"/>
      <c r="B963" s="17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</row>
    <row r="964" spans="1:18" x14ac:dyDescent="0.2">
      <c r="A964" s="17"/>
      <c r="B964" s="17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</row>
    <row r="965" spans="1:18" x14ac:dyDescent="0.2">
      <c r="A965" s="17"/>
      <c r="B965" s="17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</row>
    <row r="966" spans="1:18" x14ac:dyDescent="0.2">
      <c r="A966" s="17"/>
      <c r="B966" s="17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</row>
    <row r="967" spans="1:18" x14ac:dyDescent="0.2">
      <c r="A967" s="17"/>
      <c r="B967" s="17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</row>
    <row r="968" spans="1:18" x14ac:dyDescent="0.2">
      <c r="A968" s="17"/>
      <c r="B968" s="17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</row>
    <row r="969" spans="1:18" x14ac:dyDescent="0.2">
      <c r="A969" s="17"/>
      <c r="B969" s="17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</row>
    <row r="970" spans="1:18" x14ac:dyDescent="0.2">
      <c r="A970" s="17"/>
      <c r="B970" s="17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</row>
    <row r="971" spans="1:18" x14ac:dyDescent="0.2">
      <c r="A971" s="17"/>
      <c r="B971" s="17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</row>
    <row r="972" spans="1:18" x14ac:dyDescent="0.2">
      <c r="A972" s="17"/>
      <c r="B972" s="17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</row>
    <row r="973" spans="1:18" x14ac:dyDescent="0.2">
      <c r="A973" s="17"/>
      <c r="B973" s="17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</row>
    <row r="974" spans="1:18" x14ac:dyDescent="0.2">
      <c r="A974" s="17"/>
      <c r="B974" s="17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</row>
    <row r="975" spans="1:18" x14ac:dyDescent="0.2">
      <c r="A975" s="17"/>
      <c r="B975" s="17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</row>
    <row r="976" spans="1:18" x14ac:dyDescent="0.2">
      <c r="A976" s="17"/>
      <c r="B976" s="17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</row>
    <row r="977" spans="1:18" x14ac:dyDescent="0.2">
      <c r="A977" s="17"/>
      <c r="B977" s="17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</row>
    <row r="978" spans="1:18" x14ac:dyDescent="0.2">
      <c r="A978" s="17"/>
      <c r="B978" s="17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</row>
    <row r="979" spans="1:18" x14ac:dyDescent="0.2">
      <c r="A979" s="17"/>
      <c r="B979" s="17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</row>
    <row r="980" spans="1:18" x14ac:dyDescent="0.2">
      <c r="A980" s="17"/>
      <c r="B980" s="17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</row>
    <row r="981" spans="1:18" x14ac:dyDescent="0.2">
      <c r="A981" s="17"/>
      <c r="B981" s="17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</row>
    <row r="982" spans="1:18" x14ac:dyDescent="0.2">
      <c r="A982" s="17"/>
      <c r="B982" s="17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</row>
    <row r="983" spans="1:18" x14ac:dyDescent="0.2">
      <c r="A983" s="17"/>
      <c r="B983" s="17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</row>
    <row r="984" spans="1:18" x14ac:dyDescent="0.2">
      <c r="A984" s="17"/>
      <c r="B984" s="17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</row>
    <row r="985" spans="1:18" x14ac:dyDescent="0.2">
      <c r="A985" s="17"/>
      <c r="B985" s="17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</row>
    <row r="986" spans="1:18" x14ac:dyDescent="0.2">
      <c r="A986" s="17"/>
      <c r="B986" s="17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</row>
    <row r="987" spans="1:18" x14ac:dyDescent="0.2">
      <c r="A987" s="17"/>
      <c r="B987" s="17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</row>
    <row r="988" spans="1:18" x14ac:dyDescent="0.2">
      <c r="A988" s="17"/>
      <c r="B988" s="17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</row>
    <row r="989" spans="1:18" x14ac:dyDescent="0.2">
      <c r="A989" s="17"/>
      <c r="B989" s="17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</row>
    <row r="990" spans="1:18" x14ac:dyDescent="0.2">
      <c r="A990" s="17"/>
      <c r="B990" s="17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</row>
    <row r="991" spans="1:18" x14ac:dyDescent="0.2">
      <c r="A991" s="17"/>
      <c r="B991" s="17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</row>
    <row r="992" spans="1:18" x14ac:dyDescent="0.2">
      <c r="A992" s="17"/>
      <c r="B992" s="17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</row>
    <row r="993" spans="1:18" x14ac:dyDescent="0.2">
      <c r="A993" s="17"/>
      <c r="B993" s="17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</row>
    <row r="994" spans="1:18" x14ac:dyDescent="0.2">
      <c r="A994" s="17"/>
      <c r="B994" s="17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</row>
    <row r="995" spans="1:18" x14ac:dyDescent="0.2">
      <c r="A995" s="17"/>
      <c r="B995" s="17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</row>
    <row r="996" spans="1:18" x14ac:dyDescent="0.2">
      <c r="A996" s="17"/>
      <c r="B996" s="17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</row>
    <row r="997" spans="1:18" x14ac:dyDescent="0.2">
      <c r="A997" s="17"/>
      <c r="B997" s="17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</row>
    <row r="998" spans="1:18" x14ac:dyDescent="0.2">
      <c r="A998" s="17"/>
      <c r="B998" s="17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</row>
    <row r="999" spans="1:18" x14ac:dyDescent="0.2">
      <c r="A999" s="17"/>
      <c r="B999" s="17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</row>
    <row r="1000" spans="1:18" x14ac:dyDescent="0.2">
      <c r="A1000" s="17"/>
      <c r="B1000" s="17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</row>
    <row r="1001" spans="1:18" x14ac:dyDescent="0.2">
      <c r="A1001" s="17"/>
      <c r="B1001" s="17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</row>
    <row r="1002" spans="1:18" x14ac:dyDescent="0.2">
      <c r="A1002" s="17"/>
      <c r="B1002" s="17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</row>
    <row r="1003" spans="1:18" x14ac:dyDescent="0.2">
      <c r="A1003" s="17"/>
      <c r="B1003" s="17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</row>
    <row r="1004" spans="1:18" x14ac:dyDescent="0.2">
      <c r="A1004" s="17"/>
      <c r="B1004" s="17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</row>
    <row r="1005" spans="1:18" x14ac:dyDescent="0.2">
      <c r="A1005" s="17"/>
      <c r="B1005" s="17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</row>
    <row r="1006" spans="1:18" x14ac:dyDescent="0.2">
      <c r="A1006" s="17"/>
      <c r="B1006" s="17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</row>
    <row r="1007" spans="1:18" x14ac:dyDescent="0.2">
      <c r="A1007" s="17"/>
      <c r="B1007" s="17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</row>
    <row r="1008" spans="1:18" x14ac:dyDescent="0.2">
      <c r="A1008" s="17"/>
      <c r="B1008" s="17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</row>
    <row r="1009" spans="1:18" x14ac:dyDescent="0.2">
      <c r="A1009" s="17"/>
      <c r="B1009" s="17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</row>
    <row r="1010" spans="1:18" x14ac:dyDescent="0.2">
      <c r="A1010" s="17"/>
      <c r="B1010" s="17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</row>
    <row r="1011" spans="1:18" x14ac:dyDescent="0.2">
      <c r="A1011" s="17"/>
      <c r="B1011" s="17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</row>
    <row r="1012" spans="1:18" x14ac:dyDescent="0.2">
      <c r="A1012" s="17"/>
      <c r="B1012" s="17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</row>
    <row r="1013" spans="1:18" x14ac:dyDescent="0.2">
      <c r="A1013" s="17"/>
      <c r="B1013" s="17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</row>
    <row r="1014" spans="1:18" x14ac:dyDescent="0.2">
      <c r="A1014" s="17"/>
      <c r="B1014" s="17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</row>
    <row r="1015" spans="1:18" x14ac:dyDescent="0.2">
      <c r="A1015" s="17"/>
      <c r="B1015" s="17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</row>
    <row r="1016" spans="1:18" x14ac:dyDescent="0.2">
      <c r="A1016" s="17"/>
      <c r="B1016" s="17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</row>
    <row r="1017" spans="1:18" x14ac:dyDescent="0.2">
      <c r="A1017" s="17"/>
      <c r="B1017" s="17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</row>
    <row r="1018" spans="1:18" x14ac:dyDescent="0.2">
      <c r="A1018" s="17"/>
      <c r="B1018" s="17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</row>
    <row r="1019" spans="1:18" x14ac:dyDescent="0.2">
      <c r="A1019" s="17"/>
      <c r="B1019" s="17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</row>
    <row r="1020" spans="1:18" x14ac:dyDescent="0.2">
      <c r="A1020" s="17"/>
      <c r="B1020" s="17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</row>
    <row r="1021" spans="1:18" x14ac:dyDescent="0.2">
      <c r="A1021" s="17"/>
      <c r="B1021" s="17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</row>
    <row r="1022" spans="1:18" x14ac:dyDescent="0.2">
      <c r="A1022" s="17"/>
      <c r="B1022" s="17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</row>
    <row r="1023" spans="1:18" x14ac:dyDescent="0.2">
      <c r="A1023" s="17"/>
      <c r="B1023" s="17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</row>
    <row r="1024" spans="1:18" x14ac:dyDescent="0.2">
      <c r="A1024" s="17"/>
      <c r="B1024" s="17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</row>
    <row r="1025" spans="1:18" x14ac:dyDescent="0.2">
      <c r="A1025" s="17"/>
      <c r="B1025" s="17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</row>
    <row r="1026" spans="1:18" x14ac:dyDescent="0.2">
      <c r="A1026" s="17"/>
      <c r="B1026" s="17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</row>
    <row r="1027" spans="1:18" x14ac:dyDescent="0.2">
      <c r="A1027" s="17"/>
      <c r="B1027" s="17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</row>
    <row r="1028" spans="1:18" x14ac:dyDescent="0.2">
      <c r="A1028" s="17"/>
      <c r="B1028" s="17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</row>
    <row r="1029" spans="1:18" x14ac:dyDescent="0.2">
      <c r="A1029" s="17"/>
      <c r="B1029" s="17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</row>
    <row r="1030" spans="1:18" x14ac:dyDescent="0.2">
      <c r="A1030" s="17"/>
      <c r="B1030" s="17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</row>
    <row r="1031" spans="1:18" x14ac:dyDescent="0.2">
      <c r="A1031" s="17"/>
      <c r="B1031" s="17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</row>
    <row r="1032" spans="1:18" x14ac:dyDescent="0.2">
      <c r="A1032" s="17"/>
      <c r="B1032" s="17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</row>
    <row r="1033" spans="1:18" x14ac:dyDescent="0.2">
      <c r="A1033" s="17"/>
      <c r="B1033" s="17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</row>
    <row r="1034" spans="1:18" x14ac:dyDescent="0.2">
      <c r="A1034" s="17"/>
      <c r="B1034" s="17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</row>
    <row r="1035" spans="1:18" x14ac:dyDescent="0.2">
      <c r="A1035" s="17"/>
      <c r="B1035" s="17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</row>
    <row r="1036" spans="1:18" x14ac:dyDescent="0.2">
      <c r="A1036" s="17"/>
      <c r="B1036" s="17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</row>
    <row r="1037" spans="1:18" x14ac:dyDescent="0.2">
      <c r="A1037" s="17"/>
      <c r="B1037" s="17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</row>
    <row r="1038" spans="1:18" x14ac:dyDescent="0.2">
      <c r="A1038" s="17"/>
      <c r="B1038" s="17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</row>
    <row r="1039" spans="1:18" x14ac:dyDescent="0.2">
      <c r="A1039" s="17"/>
      <c r="B1039" s="17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</row>
    <row r="1040" spans="1:18" x14ac:dyDescent="0.2">
      <c r="A1040" s="17"/>
      <c r="B1040" s="17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</row>
    <row r="1041" spans="1:18" x14ac:dyDescent="0.2">
      <c r="A1041" s="17"/>
      <c r="B1041" s="17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</row>
    <row r="1042" spans="1:18" x14ac:dyDescent="0.2">
      <c r="A1042" s="17"/>
      <c r="B1042" s="17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</row>
    <row r="1043" spans="1:18" x14ac:dyDescent="0.2">
      <c r="A1043" s="17"/>
      <c r="B1043" s="17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</row>
    <row r="1044" spans="1:18" x14ac:dyDescent="0.2">
      <c r="A1044" s="17"/>
      <c r="B1044" s="17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</row>
    <row r="1045" spans="1:18" x14ac:dyDescent="0.2">
      <c r="A1045" s="17"/>
      <c r="B1045" s="17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</row>
    <row r="1046" spans="1:18" x14ac:dyDescent="0.2">
      <c r="A1046" s="17"/>
      <c r="B1046" s="17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</row>
    <row r="1047" spans="1:18" x14ac:dyDescent="0.2">
      <c r="A1047" s="17"/>
      <c r="B1047" s="17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</row>
    <row r="1048" spans="1:18" x14ac:dyDescent="0.2">
      <c r="A1048" s="17"/>
      <c r="B1048" s="17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</row>
    <row r="1049" spans="1:18" x14ac:dyDescent="0.2">
      <c r="A1049" s="17"/>
      <c r="B1049" s="17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</row>
    <row r="1050" spans="1:18" x14ac:dyDescent="0.2">
      <c r="A1050" s="17"/>
      <c r="B1050" s="17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</row>
    <row r="1051" spans="1:18" x14ac:dyDescent="0.2">
      <c r="A1051" s="17"/>
      <c r="B1051" s="17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</row>
    <row r="1052" spans="1:18" x14ac:dyDescent="0.2">
      <c r="A1052" s="17"/>
      <c r="B1052" s="17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</row>
    <row r="1053" spans="1:18" x14ac:dyDescent="0.2">
      <c r="A1053" s="17"/>
      <c r="B1053" s="17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</row>
    <row r="1054" spans="1:18" x14ac:dyDescent="0.2">
      <c r="A1054" s="17"/>
      <c r="B1054" s="17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</row>
    <row r="1055" spans="1:18" x14ac:dyDescent="0.2">
      <c r="A1055" s="17"/>
      <c r="B1055" s="17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</row>
    <row r="1056" spans="1:18" x14ac:dyDescent="0.2">
      <c r="A1056" s="17"/>
      <c r="B1056" s="17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</row>
    <row r="1057" spans="1:18" x14ac:dyDescent="0.2">
      <c r="A1057" s="17"/>
      <c r="B1057" s="17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</row>
    <row r="1058" spans="1:18" x14ac:dyDescent="0.2">
      <c r="A1058" s="17"/>
      <c r="B1058" s="17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</row>
    <row r="1059" spans="1:18" x14ac:dyDescent="0.2">
      <c r="A1059" s="17"/>
      <c r="B1059" s="17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</row>
    <row r="1060" spans="1:18" x14ac:dyDescent="0.2">
      <c r="A1060" s="17"/>
      <c r="B1060" s="17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</row>
    <row r="1061" spans="1:18" x14ac:dyDescent="0.2">
      <c r="A1061" s="17"/>
      <c r="B1061" s="17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</row>
    <row r="1062" spans="1:18" x14ac:dyDescent="0.2">
      <c r="A1062" s="17"/>
      <c r="B1062" s="17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</row>
    <row r="1063" spans="1:18" x14ac:dyDescent="0.2">
      <c r="A1063" s="17"/>
      <c r="B1063" s="17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</row>
    <row r="1064" spans="1:18" x14ac:dyDescent="0.2">
      <c r="A1064" s="17"/>
      <c r="B1064" s="17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</row>
    <row r="1065" spans="1:18" x14ac:dyDescent="0.2">
      <c r="A1065" s="17"/>
      <c r="B1065" s="17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</row>
    <row r="1066" spans="1:18" x14ac:dyDescent="0.2">
      <c r="A1066" s="17"/>
      <c r="B1066" s="17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</row>
    <row r="1067" spans="1:18" x14ac:dyDescent="0.2">
      <c r="A1067" s="17"/>
      <c r="B1067" s="17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</row>
    <row r="1068" spans="1:18" x14ac:dyDescent="0.2">
      <c r="A1068" s="17"/>
      <c r="B1068" s="17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</row>
    <row r="1069" spans="1:18" x14ac:dyDescent="0.2">
      <c r="A1069" s="17"/>
      <c r="B1069" s="17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</row>
    <row r="1070" spans="1:18" x14ac:dyDescent="0.2">
      <c r="A1070" s="17"/>
      <c r="B1070" s="17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</row>
    <row r="1071" spans="1:18" x14ac:dyDescent="0.2">
      <c r="A1071" s="17"/>
      <c r="B1071" s="17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</row>
    <row r="1072" spans="1:18" x14ac:dyDescent="0.2">
      <c r="A1072" s="17"/>
      <c r="B1072" s="17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</row>
    <row r="1073" spans="1:18" x14ac:dyDescent="0.2">
      <c r="A1073" s="17"/>
      <c r="B1073" s="17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</row>
    <row r="1074" spans="1:18" x14ac:dyDescent="0.2">
      <c r="A1074" s="17"/>
      <c r="B1074" s="17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</row>
    <row r="1075" spans="1:18" x14ac:dyDescent="0.2">
      <c r="A1075" s="17"/>
      <c r="B1075" s="17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</row>
    <row r="1076" spans="1:18" x14ac:dyDescent="0.2">
      <c r="A1076" s="17"/>
      <c r="B1076" s="17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</row>
    <row r="1077" spans="1:18" x14ac:dyDescent="0.2">
      <c r="A1077" s="17"/>
      <c r="B1077" s="17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</row>
    <row r="1078" spans="1:18" x14ac:dyDescent="0.2">
      <c r="A1078" s="17"/>
      <c r="B1078" s="17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</row>
    <row r="1079" spans="1:18" x14ac:dyDescent="0.2">
      <c r="A1079" s="17"/>
      <c r="B1079" s="17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</row>
    <row r="1080" spans="1:18" x14ac:dyDescent="0.2">
      <c r="A1080" s="17"/>
      <c r="B1080" s="17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</row>
    <row r="1081" spans="1:18" x14ac:dyDescent="0.2">
      <c r="A1081" s="17"/>
      <c r="B1081" s="17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</row>
    <row r="1082" spans="1:18" x14ac:dyDescent="0.2">
      <c r="A1082" s="17"/>
      <c r="B1082" s="17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</row>
    <row r="1083" spans="1:18" x14ac:dyDescent="0.2">
      <c r="A1083" s="17"/>
      <c r="B1083" s="17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</row>
    <row r="1084" spans="1:18" x14ac:dyDescent="0.2">
      <c r="A1084" s="17"/>
      <c r="B1084" s="17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</row>
    <row r="1085" spans="1:18" x14ac:dyDescent="0.2">
      <c r="A1085" s="17"/>
      <c r="B1085" s="17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</row>
    <row r="1086" spans="1:18" x14ac:dyDescent="0.2">
      <c r="A1086" s="17"/>
      <c r="B1086" s="17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</row>
    <row r="1087" spans="1:18" x14ac:dyDescent="0.2">
      <c r="A1087" s="17"/>
      <c r="B1087" s="17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</row>
    <row r="1088" spans="1:18" x14ac:dyDescent="0.2">
      <c r="A1088" s="17"/>
      <c r="B1088" s="17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</row>
    <row r="1089" spans="1:18" x14ac:dyDescent="0.2">
      <c r="A1089" s="17"/>
      <c r="B1089" s="17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</row>
    <row r="1090" spans="1:18" x14ac:dyDescent="0.2">
      <c r="A1090" s="17"/>
      <c r="B1090" s="17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</row>
    <row r="1091" spans="1:18" x14ac:dyDescent="0.2">
      <c r="A1091" s="17"/>
      <c r="B1091" s="17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</row>
    <row r="1092" spans="1:18" x14ac:dyDescent="0.2">
      <c r="A1092" s="17"/>
      <c r="B1092" s="17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</row>
    <row r="1093" spans="1:18" x14ac:dyDescent="0.2">
      <c r="A1093" s="17"/>
      <c r="B1093" s="17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</row>
    <row r="1094" spans="1:18" x14ac:dyDescent="0.2">
      <c r="A1094" s="17"/>
      <c r="B1094" s="17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</row>
    <row r="1095" spans="1:18" x14ac:dyDescent="0.2">
      <c r="A1095" s="17"/>
      <c r="B1095" s="17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</row>
    <row r="1096" spans="1:18" x14ac:dyDescent="0.2">
      <c r="A1096" s="17"/>
      <c r="B1096" s="17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</row>
    <row r="1097" spans="1:18" x14ac:dyDescent="0.2">
      <c r="A1097" s="17"/>
      <c r="B1097" s="17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</row>
    <row r="1098" spans="1:18" x14ac:dyDescent="0.2">
      <c r="A1098" s="17"/>
      <c r="B1098" s="17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</row>
    <row r="1099" spans="1:18" x14ac:dyDescent="0.2">
      <c r="A1099" s="17"/>
      <c r="B1099" s="17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</row>
    <row r="1100" spans="1:18" x14ac:dyDescent="0.2">
      <c r="A1100" s="17"/>
      <c r="B1100" s="17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</row>
    <row r="1101" spans="1:18" x14ac:dyDescent="0.2">
      <c r="A1101" s="17"/>
      <c r="B1101" s="17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</row>
    <row r="1102" spans="1:18" x14ac:dyDescent="0.2">
      <c r="A1102" s="17"/>
      <c r="B1102" s="17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</row>
    <row r="1103" spans="1:18" x14ac:dyDescent="0.2">
      <c r="A1103" s="17"/>
      <c r="B1103" s="17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</row>
    <row r="1104" spans="1:18" x14ac:dyDescent="0.2">
      <c r="A1104" s="17"/>
      <c r="B1104" s="17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</row>
    <row r="1105" spans="1:18" x14ac:dyDescent="0.2">
      <c r="A1105" s="17"/>
      <c r="B1105" s="17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</row>
    <row r="1106" spans="1:18" x14ac:dyDescent="0.2">
      <c r="A1106" s="17"/>
      <c r="B1106" s="17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</row>
    <row r="1107" spans="1:18" x14ac:dyDescent="0.2">
      <c r="A1107" s="17"/>
      <c r="B1107" s="17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</row>
    <row r="1108" spans="1:18" x14ac:dyDescent="0.2">
      <c r="A1108" s="17"/>
      <c r="B1108" s="17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</row>
    <row r="1109" spans="1:18" x14ac:dyDescent="0.2">
      <c r="A1109" s="17"/>
      <c r="B1109" s="17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</row>
    <row r="1110" spans="1:18" x14ac:dyDescent="0.2">
      <c r="A1110" s="17"/>
      <c r="B1110" s="17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</row>
    <row r="1111" spans="1:18" x14ac:dyDescent="0.2">
      <c r="A1111" s="17"/>
      <c r="B1111" s="17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</row>
    <row r="1112" spans="1:18" x14ac:dyDescent="0.2">
      <c r="A1112" s="17"/>
      <c r="B1112" s="17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</row>
    <row r="1113" spans="1:18" x14ac:dyDescent="0.2">
      <c r="A1113" s="17"/>
      <c r="B1113" s="17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</row>
    <row r="1114" spans="1:18" x14ac:dyDescent="0.2">
      <c r="A1114" s="17"/>
      <c r="B1114" s="17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</row>
    <row r="1115" spans="1:18" x14ac:dyDescent="0.2">
      <c r="A1115" s="17"/>
      <c r="B1115" s="17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</row>
    <row r="1116" spans="1:18" x14ac:dyDescent="0.2">
      <c r="A1116" s="17"/>
      <c r="B1116" s="17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</row>
    <row r="1117" spans="1:18" x14ac:dyDescent="0.2">
      <c r="A1117" s="17"/>
      <c r="B1117" s="17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</row>
    <row r="1118" spans="1:18" x14ac:dyDescent="0.2">
      <c r="A1118" s="17"/>
      <c r="B1118" s="17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</row>
    <row r="1119" spans="1:18" x14ac:dyDescent="0.2">
      <c r="A1119" s="17"/>
      <c r="B1119" s="17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</row>
    <row r="1120" spans="1:18" x14ac:dyDescent="0.2">
      <c r="A1120" s="17"/>
      <c r="B1120" s="17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</row>
    <row r="1121" spans="1:18" x14ac:dyDescent="0.2">
      <c r="A1121" s="17"/>
      <c r="B1121" s="17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</row>
    <row r="1122" spans="1:18" x14ac:dyDescent="0.2">
      <c r="A1122" s="17"/>
      <c r="B1122" s="17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</row>
    <row r="1123" spans="1:18" x14ac:dyDescent="0.2">
      <c r="A1123" s="17"/>
      <c r="B1123" s="17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</row>
    <row r="1124" spans="1:18" x14ac:dyDescent="0.2">
      <c r="A1124" s="17"/>
      <c r="B1124" s="17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</row>
    <row r="1125" spans="1:18" x14ac:dyDescent="0.2">
      <c r="A1125" s="17"/>
      <c r="B1125" s="17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</row>
    <row r="1126" spans="1:18" x14ac:dyDescent="0.2">
      <c r="A1126" s="17"/>
      <c r="B1126" s="17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</row>
    <row r="1127" spans="1:18" x14ac:dyDescent="0.2">
      <c r="A1127" s="17"/>
      <c r="B1127" s="17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</row>
    <row r="1128" spans="1:18" x14ac:dyDescent="0.2">
      <c r="A1128" s="17"/>
      <c r="B1128" s="17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</row>
    <row r="1129" spans="1:18" x14ac:dyDescent="0.2">
      <c r="A1129" s="17"/>
      <c r="B1129" s="17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</row>
    <row r="1130" spans="1:18" x14ac:dyDescent="0.2">
      <c r="A1130" s="17"/>
      <c r="B1130" s="17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</row>
    <row r="1131" spans="1:18" x14ac:dyDescent="0.2">
      <c r="A1131" s="17"/>
      <c r="B1131" s="17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</row>
    <row r="1132" spans="1:18" x14ac:dyDescent="0.2">
      <c r="A1132" s="17"/>
      <c r="B1132" s="17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</row>
    <row r="1133" spans="1:18" x14ac:dyDescent="0.2">
      <c r="A1133" s="17"/>
      <c r="B1133" s="17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</row>
    <row r="1134" spans="1:18" x14ac:dyDescent="0.2">
      <c r="A1134" s="17"/>
      <c r="B1134" s="17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</row>
    <row r="1135" spans="1:18" x14ac:dyDescent="0.2">
      <c r="A1135" s="17"/>
      <c r="B1135" s="17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</row>
    <row r="1136" spans="1:18" x14ac:dyDescent="0.2">
      <c r="A1136" s="17"/>
      <c r="B1136" s="17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</row>
    <row r="1137" spans="1:18" x14ac:dyDescent="0.2">
      <c r="A1137" s="17"/>
      <c r="B1137" s="17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</row>
    <row r="1138" spans="1:18" x14ac:dyDescent="0.2">
      <c r="A1138" s="17"/>
      <c r="B1138" s="17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</row>
    <row r="1139" spans="1:18" x14ac:dyDescent="0.2">
      <c r="A1139" s="17"/>
      <c r="B1139" s="17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</row>
    <row r="1140" spans="1:18" x14ac:dyDescent="0.2">
      <c r="A1140" s="17"/>
      <c r="B1140" s="17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</row>
    <row r="1141" spans="1:18" x14ac:dyDescent="0.2">
      <c r="A1141" s="17"/>
      <c r="B1141" s="17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</row>
    <row r="1142" spans="1:18" x14ac:dyDescent="0.2">
      <c r="A1142" s="17"/>
      <c r="B1142" s="17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</row>
    <row r="1143" spans="1:18" x14ac:dyDescent="0.2">
      <c r="A1143" s="17"/>
      <c r="B1143" s="17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</row>
    <row r="1144" spans="1:18" x14ac:dyDescent="0.2">
      <c r="A1144" s="17"/>
      <c r="B1144" s="17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</row>
    <row r="1145" spans="1:18" x14ac:dyDescent="0.2">
      <c r="A1145" s="17"/>
      <c r="B1145" s="17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</row>
    <row r="1146" spans="1:18" x14ac:dyDescent="0.2">
      <c r="A1146" s="17"/>
      <c r="B1146" s="17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</row>
    <row r="1147" spans="1:18" x14ac:dyDescent="0.2">
      <c r="A1147" s="17"/>
      <c r="B1147" s="17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</row>
    <row r="1148" spans="1:18" x14ac:dyDescent="0.2">
      <c r="A1148" s="17"/>
      <c r="B1148" s="17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</row>
    <row r="1149" spans="1:18" x14ac:dyDescent="0.2">
      <c r="A1149" s="17"/>
      <c r="B1149" s="17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</row>
    <row r="1150" spans="1:18" x14ac:dyDescent="0.2">
      <c r="A1150" s="17"/>
      <c r="B1150" s="17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</row>
    <row r="1151" spans="1:18" x14ac:dyDescent="0.2">
      <c r="A1151" s="17"/>
      <c r="B1151" s="17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</row>
    <row r="1152" spans="1:18" x14ac:dyDescent="0.2">
      <c r="A1152" s="17"/>
      <c r="B1152" s="17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</row>
    <row r="1153" spans="1:18" x14ac:dyDescent="0.2">
      <c r="A1153" s="17"/>
      <c r="B1153" s="17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</row>
    <row r="1154" spans="1:18" x14ac:dyDescent="0.2">
      <c r="A1154" s="17"/>
      <c r="B1154" s="17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</row>
    <row r="1155" spans="1:18" x14ac:dyDescent="0.2">
      <c r="A1155" s="17"/>
      <c r="B1155" s="17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</row>
    <row r="1156" spans="1:18" x14ac:dyDescent="0.2">
      <c r="A1156" s="17"/>
      <c r="B1156" s="17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</row>
    <row r="1157" spans="1:18" x14ac:dyDescent="0.2">
      <c r="A1157" s="17"/>
      <c r="B1157" s="17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</row>
    <row r="1158" spans="1:18" x14ac:dyDescent="0.2">
      <c r="A1158" s="17"/>
      <c r="B1158" s="17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</row>
    <row r="1159" spans="1:18" x14ac:dyDescent="0.2">
      <c r="A1159" s="17"/>
      <c r="B1159" s="17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</row>
    <row r="1160" spans="1:18" x14ac:dyDescent="0.2">
      <c r="A1160" s="17"/>
      <c r="B1160" s="17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</row>
    <row r="1161" spans="1:18" x14ac:dyDescent="0.2">
      <c r="A1161" s="17"/>
      <c r="B1161" s="17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</row>
    <row r="1162" spans="1:18" x14ac:dyDescent="0.2">
      <c r="A1162" s="17"/>
      <c r="B1162" s="17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</row>
    <row r="1163" spans="1:18" x14ac:dyDescent="0.2">
      <c r="A1163" s="17"/>
      <c r="B1163" s="17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</row>
    <row r="1164" spans="1:18" x14ac:dyDescent="0.2">
      <c r="A1164" s="17"/>
      <c r="B1164" s="17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</row>
    <row r="1165" spans="1:18" x14ac:dyDescent="0.2">
      <c r="A1165" s="17"/>
      <c r="B1165" s="17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</row>
    <row r="1166" spans="1:18" x14ac:dyDescent="0.2">
      <c r="A1166" s="17"/>
      <c r="B1166" s="17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</row>
    <row r="1167" spans="1:18" x14ac:dyDescent="0.2">
      <c r="A1167" s="17"/>
      <c r="B1167" s="17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</row>
    <row r="1168" spans="1:18" x14ac:dyDescent="0.2">
      <c r="A1168" s="17"/>
      <c r="B1168" s="17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</row>
    <row r="1169" spans="1:18" x14ac:dyDescent="0.2">
      <c r="A1169" s="17"/>
      <c r="B1169" s="17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</row>
    <row r="1170" spans="1:18" x14ac:dyDescent="0.2">
      <c r="A1170" s="17"/>
      <c r="B1170" s="17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</row>
    <row r="1171" spans="1:18" x14ac:dyDescent="0.2">
      <c r="A1171" s="17"/>
      <c r="B1171" s="17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</row>
    <row r="1172" spans="1:18" x14ac:dyDescent="0.2">
      <c r="A1172" s="17"/>
      <c r="B1172" s="17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</row>
    <row r="1173" spans="1:18" x14ac:dyDescent="0.2">
      <c r="A1173" s="17"/>
      <c r="B1173" s="17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</row>
    <row r="1174" spans="1:18" x14ac:dyDescent="0.2">
      <c r="A1174" s="17"/>
      <c r="B1174" s="17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</row>
    <row r="1175" spans="1:18" x14ac:dyDescent="0.2">
      <c r="A1175" s="17"/>
      <c r="B1175" s="17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</row>
    <row r="1176" spans="1:18" x14ac:dyDescent="0.2">
      <c r="A1176" s="17"/>
      <c r="B1176" s="17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</row>
    <row r="1177" spans="1:18" x14ac:dyDescent="0.2">
      <c r="A1177" s="17"/>
      <c r="B1177" s="17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</row>
    <row r="1178" spans="1:18" x14ac:dyDescent="0.2">
      <c r="A1178" s="17"/>
      <c r="B1178" s="17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</row>
    <row r="1179" spans="1:18" x14ac:dyDescent="0.2">
      <c r="A1179" s="17"/>
      <c r="B1179" s="17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</row>
    <row r="1180" spans="1:18" x14ac:dyDescent="0.2">
      <c r="A1180" s="17"/>
      <c r="B1180" s="17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</row>
    <row r="1181" spans="1:18" x14ac:dyDescent="0.2">
      <c r="A1181" s="17"/>
      <c r="B1181" s="17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</row>
    <row r="1182" spans="1:18" x14ac:dyDescent="0.2">
      <c r="A1182" s="17"/>
      <c r="B1182" s="17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</row>
    <row r="1183" spans="1:18" x14ac:dyDescent="0.2">
      <c r="A1183" s="17"/>
      <c r="B1183" s="17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</row>
    <row r="1184" spans="1:18" x14ac:dyDescent="0.2">
      <c r="A1184" s="17"/>
      <c r="B1184" s="17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</row>
    <row r="1185" spans="1:18" x14ac:dyDescent="0.2">
      <c r="A1185" s="17"/>
      <c r="B1185" s="17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</row>
    <row r="1186" spans="1:18" x14ac:dyDescent="0.2">
      <c r="A1186" s="17"/>
      <c r="B1186" s="17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</row>
    <row r="1187" spans="1:18" x14ac:dyDescent="0.2">
      <c r="A1187" s="17"/>
      <c r="B1187" s="17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</row>
    <row r="1188" spans="1:18" x14ac:dyDescent="0.2">
      <c r="A1188" s="17"/>
      <c r="B1188" s="17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</row>
    <row r="1189" spans="1:18" x14ac:dyDescent="0.2">
      <c r="A1189" s="17"/>
      <c r="B1189" s="17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</row>
    <row r="1190" spans="1:18" x14ac:dyDescent="0.2">
      <c r="A1190" s="17"/>
      <c r="B1190" s="17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</row>
    <row r="1191" spans="1:18" x14ac:dyDescent="0.2">
      <c r="A1191" s="17"/>
      <c r="B1191" s="17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</row>
    <row r="1192" spans="1:18" x14ac:dyDescent="0.2">
      <c r="A1192" s="17"/>
      <c r="B1192" s="17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</row>
    <row r="1193" spans="1:18" x14ac:dyDescent="0.2">
      <c r="A1193" s="17"/>
      <c r="B1193" s="17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</row>
    <row r="1194" spans="1:18" x14ac:dyDescent="0.2">
      <c r="A1194" s="17"/>
      <c r="B1194" s="17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</row>
    <row r="1195" spans="1:18" x14ac:dyDescent="0.2">
      <c r="A1195" s="17"/>
      <c r="B1195" s="17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</row>
    <row r="1196" spans="1:18" x14ac:dyDescent="0.2">
      <c r="A1196" s="17"/>
      <c r="B1196" s="17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</row>
    <row r="1197" spans="1:18" x14ac:dyDescent="0.2">
      <c r="A1197" s="17"/>
      <c r="B1197" s="17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</row>
    <row r="1198" spans="1:18" x14ac:dyDescent="0.2">
      <c r="A1198" s="17"/>
      <c r="B1198" s="17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</row>
    <row r="1199" spans="1:18" x14ac:dyDescent="0.2">
      <c r="A1199" s="17"/>
      <c r="B1199" s="17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</row>
    <row r="1200" spans="1:18" x14ac:dyDescent="0.2">
      <c r="A1200" s="17"/>
      <c r="B1200" s="17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</row>
    <row r="1201" spans="1:18" x14ac:dyDescent="0.2">
      <c r="A1201" s="17"/>
      <c r="B1201" s="17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</row>
    <row r="1202" spans="1:18" x14ac:dyDescent="0.2">
      <c r="A1202" s="17"/>
      <c r="B1202" s="17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</row>
    <row r="1203" spans="1:18" x14ac:dyDescent="0.2">
      <c r="A1203" s="17"/>
      <c r="B1203" s="17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</row>
    <row r="1204" spans="1:18" x14ac:dyDescent="0.2">
      <c r="A1204" s="17"/>
      <c r="B1204" s="17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</row>
    <row r="1205" spans="1:18" x14ac:dyDescent="0.2">
      <c r="A1205" s="17"/>
      <c r="B1205" s="17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</row>
    <row r="1206" spans="1:18" x14ac:dyDescent="0.2">
      <c r="A1206" s="17"/>
      <c r="B1206" s="17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</row>
    <row r="1207" spans="1:18" x14ac:dyDescent="0.2">
      <c r="A1207" s="17"/>
      <c r="B1207" s="17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</row>
    <row r="1208" spans="1:18" x14ac:dyDescent="0.2">
      <c r="A1208" s="17"/>
      <c r="B1208" s="17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</row>
    <row r="1209" spans="1:18" x14ac:dyDescent="0.2">
      <c r="A1209" s="17"/>
      <c r="B1209" s="17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</row>
    <row r="1210" spans="1:18" x14ac:dyDescent="0.2">
      <c r="A1210" s="17"/>
      <c r="B1210" s="17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</row>
    <row r="1211" spans="1:18" x14ac:dyDescent="0.2">
      <c r="A1211" s="17"/>
      <c r="B1211" s="17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</row>
    <row r="1212" spans="1:18" x14ac:dyDescent="0.2">
      <c r="A1212" s="17"/>
      <c r="B1212" s="17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</row>
    <row r="1213" spans="1:18" x14ac:dyDescent="0.2">
      <c r="A1213" s="17"/>
      <c r="B1213" s="17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</row>
    <row r="1214" spans="1:18" x14ac:dyDescent="0.2">
      <c r="A1214" s="17"/>
      <c r="B1214" s="17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</row>
    <row r="1215" spans="1:18" x14ac:dyDescent="0.2">
      <c r="A1215" s="17"/>
      <c r="B1215" s="17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</row>
    <row r="1216" spans="1:18" x14ac:dyDescent="0.2">
      <c r="A1216" s="17"/>
      <c r="B1216" s="17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</row>
    <row r="1217" spans="1:18" x14ac:dyDescent="0.2">
      <c r="A1217" s="17"/>
      <c r="B1217" s="17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</row>
    <row r="1218" spans="1:18" x14ac:dyDescent="0.2">
      <c r="A1218" s="17"/>
      <c r="B1218" s="17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</row>
    <row r="1219" spans="1:18" x14ac:dyDescent="0.2">
      <c r="A1219" s="17"/>
      <c r="B1219" s="17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</row>
    <row r="1220" spans="1:18" x14ac:dyDescent="0.2">
      <c r="A1220" s="17"/>
      <c r="B1220" s="17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</row>
    <row r="1221" spans="1:18" x14ac:dyDescent="0.2">
      <c r="A1221" s="17"/>
      <c r="B1221" s="17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</row>
    <row r="1222" spans="1:18" x14ac:dyDescent="0.2">
      <c r="A1222" s="17"/>
      <c r="B1222" s="17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</row>
    <row r="1223" spans="1:18" x14ac:dyDescent="0.2">
      <c r="A1223" s="17"/>
      <c r="B1223" s="17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</row>
    <row r="1224" spans="1:18" x14ac:dyDescent="0.2">
      <c r="A1224" s="17"/>
      <c r="B1224" s="17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</row>
    <row r="1225" spans="1:18" x14ac:dyDescent="0.2">
      <c r="A1225" s="17"/>
      <c r="B1225" s="17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</row>
    <row r="1226" spans="1:18" x14ac:dyDescent="0.2">
      <c r="A1226" s="17"/>
      <c r="B1226" s="17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</row>
    <row r="1227" spans="1:18" x14ac:dyDescent="0.2">
      <c r="A1227" s="17"/>
      <c r="B1227" s="17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</row>
    <row r="1228" spans="1:18" x14ac:dyDescent="0.2">
      <c r="A1228" s="17"/>
      <c r="B1228" s="17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</row>
    <row r="1229" spans="1:18" x14ac:dyDescent="0.2">
      <c r="A1229" s="17"/>
      <c r="B1229" s="17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</row>
    <row r="1230" spans="1:18" x14ac:dyDescent="0.2">
      <c r="A1230" s="17"/>
      <c r="B1230" s="17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</row>
    <row r="1231" spans="1:18" x14ac:dyDescent="0.2">
      <c r="A1231" s="17"/>
      <c r="B1231" s="17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</row>
    <row r="1232" spans="1:18" x14ac:dyDescent="0.2">
      <c r="A1232" s="17"/>
      <c r="B1232" s="17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</row>
    <row r="1233" spans="1:18" x14ac:dyDescent="0.2">
      <c r="A1233" s="17"/>
      <c r="B1233" s="17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</row>
    <row r="1234" spans="1:18" x14ac:dyDescent="0.2">
      <c r="A1234" s="17"/>
      <c r="B1234" s="17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</row>
    <row r="1235" spans="1:18" x14ac:dyDescent="0.2">
      <c r="A1235" s="17"/>
      <c r="B1235" s="17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</row>
    <row r="1236" spans="1:18" x14ac:dyDescent="0.2">
      <c r="A1236" s="17"/>
      <c r="B1236" s="17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</row>
    <row r="1237" spans="1:18" x14ac:dyDescent="0.2">
      <c r="A1237" s="17"/>
      <c r="B1237" s="17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</row>
    <row r="1238" spans="1:18" x14ac:dyDescent="0.2">
      <c r="A1238" s="17"/>
      <c r="B1238" s="17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</row>
    <row r="1239" spans="1:18" x14ac:dyDescent="0.2">
      <c r="A1239" s="17"/>
      <c r="B1239" s="17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</row>
    <row r="1240" spans="1:18" x14ac:dyDescent="0.2">
      <c r="A1240" s="17"/>
      <c r="B1240" s="17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</row>
    <row r="1241" spans="1:18" x14ac:dyDescent="0.2">
      <c r="A1241" s="17"/>
      <c r="B1241" s="17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</row>
    <row r="1242" spans="1:18" x14ac:dyDescent="0.2">
      <c r="A1242" s="17"/>
      <c r="B1242" s="17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</row>
    <row r="1243" spans="1:18" x14ac:dyDescent="0.2">
      <c r="A1243" s="17"/>
      <c r="B1243" s="17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</row>
    <row r="1244" spans="1:18" x14ac:dyDescent="0.2">
      <c r="A1244" s="17"/>
      <c r="B1244" s="17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</row>
    <row r="1245" spans="1:18" x14ac:dyDescent="0.2">
      <c r="A1245" s="17"/>
      <c r="B1245" s="17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</row>
    <row r="1246" spans="1:18" x14ac:dyDescent="0.2">
      <c r="A1246" s="17"/>
      <c r="B1246" s="17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</row>
    <row r="1247" spans="1:18" x14ac:dyDescent="0.2">
      <c r="A1247" s="17"/>
      <c r="B1247" s="17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</row>
    <row r="1248" spans="1:18" x14ac:dyDescent="0.2">
      <c r="A1248" s="17"/>
      <c r="B1248" s="17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</row>
    <row r="1249" spans="1:18" x14ac:dyDescent="0.2">
      <c r="A1249" s="17"/>
      <c r="B1249" s="17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</row>
    <row r="1250" spans="1:18" x14ac:dyDescent="0.2">
      <c r="A1250" s="17"/>
      <c r="B1250" s="17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</row>
    <row r="1251" spans="1:18" x14ac:dyDescent="0.2">
      <c r="A1251" s="17"/>
      <c r="B1251" s="17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</row>
    <row r="1252" spans="1:18" x14ac:dyDescent="0.2">
      <c r="A1252" s="17"/>
      <c r="B1252" s="17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</row>
    <row r="1253" spans="1:18" x14ac:dyDescent="0.2">
      <c r="A1253" s="17"/>
      <c r="B1253" s="17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</row>
    <row r="1254" spans="1:18" x14ac:dyDescent="0.2">
      <c r="A1254" s="17"/>
      <c r="B1254" s="17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</row>
    <row r="1255" spans="1:18" x14ac:dyDescent="0.2">
      <c r="A1255" s="17"/>
      <c r="B1255" s="17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</row>
    <row r="1256" spans="1:18" x14ac:dyDescent="0.2">
      <c r="A1256" s="17"/>
      <c r="B1256" s="17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</row>
    <row r="1257" spans="1:18" x14ac:dyDescent="0.2">
      <c r="A1257" s="17"/>
      <c r="B1257" s="17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</row>
    <row r="1258" spans="1:18" x14ac:dyDescent="0.2">
      <c r="A1258" s="17"/>
      <c r="B1258" s="17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</row>
    <row r="1259" spans="1:18" x14ac:dyDescent="0.2">
      <c r="A1259" s="17"/>
      <c r="B1259" s="17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</row>
    <row r="1260" spans="1:18" x14ac:dyDescent="0.2">
      <c r="A1260" s="17"/>
      <c r="B1260" s="17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</row>
    <row r="1261" spans="1:18" x14ac:dyDescent="0.2">
      <c r="A1261" s="17"/>
      <c r="B1261" s="17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</row>
    <row r="1262" spans="1:18" x14ac:dyDescent="0.2">
      <c r="A1262" s="17"/>
      <c r="B1262" s="17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</row>
    <row r="1263" spans="1:18" x14ac:dyDescent="0.2">
      <c r="A1263" s="17"/>
      <c r="B1263" s="17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</row>
    <row r="1264" spans="1:18" x14ac:dyDescent="0.2">
      <c r="A1264" s="17"/>
      <c r="B1264" s="17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</row>
    <row r="1265" spans="1:18" x14ac:dyDescent="0.2">
      <c r="A1265" s="17"/>
      <c r="B1265" s="17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</row>
    <row r="1266" spans="1:18" x14ac:dyDescent="0.2">
      <c r="A1266" s="17"/>
      <c r="B1266" s="17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</row>
    <row r="1267" spans="1:18" x14ac:dyDescent="0.2">
      <c r="A1267" s="17"/>
      <c r="B1267" s="17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</row>
    <row r="1268" spans="1:18" x14ac:dyDescent="0.2">
      <c r="A1268" s="17"/>
      <c r="B1268" s="17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</row>
    <row r="1269" spans="1:18" x14ac:dyDescent="0.2">
      <c r="A1269" s="17"/>
      <c r="B1269" s="17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</row>
    <row r="1270" spans="1:18" x14ac:dyDescent="0.2">
      <c r="A1270" s="17"/>
      <c r="B1270" s="17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</row>
    <row r="1271" spans="1:18" x14ac:dyDescent="0.2">
      <c r="A1271" s="17"/>
      <c r="B1271" s="17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</row>
    <row r="1272" spans="1:18" x14ac:dyDescent="0.2">
      <c r="A1272" s="17"/>
      <c r="B1272" s="17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</row>
    <row r="1273" spans="1:18" x14ac:dyDescent="0.2">
      <c r="A1273" s="17"/>
      <c r="B1273" s="17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</row>
    <row r="1274" spans="1:18" x14ac:dyDescent="0.2">
      <c r="A1274" s="17"/>
      <c r="B1274" s="17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</row>
    <row r="1275" spans="1:18" x14ac:dyDescent="0.2">
      <c r="A1275" s="17"/>
      <c r="B1275" s="17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</row>
    <row r="1276" spans="1:18" x14ac:dyDescent="0.2">
      <c r="A1276" s="17"/>
      <c r="B1276" s="17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</row>
    <row r="1277" spans="1:18" x14ac:dyDescent="0.2">
      <c r="A1277" s="17"/>
      <c r="B1277" s="17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</row>
    <row r="1278" spans="1:18" x14ac:dyDescent="0.2">
      <c r="A1278" s="17"/>
      <c r="B1278" s="17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</row>
    <row r="1279" spans="1:18" x14ac:dyDescent="0.2">
      <c r="A1279" s="17"/>
      <c r="B1279" s="17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</row>
    <row r="1280" spans="1:18" x14ac:dyDescent="0.2">
      <c r="A1280" s="17"/>
      <c r="B1280" s="17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</row>
    <row r="1281" spans="1:18" x14ac:dyDescent="0.2">
      <c r="A1281" s="17"/>
      <c r="B1281" s="17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</row>
    <row r="1282" spans="1:18" x14ac:dyDescent="0.2">
      <c r="A1282" s="17"/>
      <c r="B1282" s="17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</row>
    <row r="1283" spans="1:18" x14ac:dyDescent="0.2">
      <c r="A1283" s="17"/>
      <c r="B1283" s="17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</row>
    <row r="1284" spans="1:18" x14ac:dyDescent="0.2">
      <c r="A1284" s="17"/>
      <c r="B1284" s="17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</row>
    <row r="1285" spans="1:18" x14ac:dyDescent="0.2">
      <c r="A1285" s="17"/>
      <c r="B1285" s="17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</row>
    <row r="1286" spans="1:18" x14ac:dyDescent="0.2">
      <c r="A1286" s="17"/>
      <c r="B1286" s="17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</row>
    <row r="1287" spans="1:18" x14ac:dyDescent="0.2">
      <c r="A1287" s="17"/>
      <c r="B1287" s="17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</row>
    <row r="1288" spans="1:18" x14ac:dyDescent="0.2">
      <c r="A1288" s="17"/>
      <c r="B1288" s="17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</row>
    <row r="1289" spans="1:18" x14ac:dyDescent="0.2">
      <c r="A1289" s="17"/>
      <c r="B1289" s="17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</row>
    <row r="1290" spans="1:18" x14ac:dyDescent="0.2">
      <c r="A1290" s="17"/>
      <c r="B1290" s="17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</row>
    <row r="1291" spans="1:18" x14ac:dyDescent="0.2">
      <c r="A1291" s="17"/>
      <c r="B1291" s="17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</row>
    <row r="1292" spans="1:18" x14ac:dyDescent="0.2">
      <c r="A1292" s="17"/>
      <c r="B1292" s="17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</row>
    <row r="1293" spans="1:18" x14ac:dyDescent="0.2">
      <c r="A1293" s="17"/>
      <c r="B1293" s="17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</row>
    <row r="1294" spans="1:18" x14ac:dyDescent="0.2">
      <c r="A1294" s="17"/>
      <c r="B1294" s="17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</row>
    <row r="1295" spans="1:18" x14ac:dyDescent="0.2">
      <c r="A1295" s="17"/>
      <c r="B1295" s="17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</row>
    <row r="1296" spans="1:18" x14ac:dyDescent="0.2">
      <c r="A1296" s="17"/>
      <c r="B1296" s="17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</row>
    <row r="1297" spans="1:18" x14ac:dyDescent="0.2">
      <c r="A1297" s="17"/>
      <c r="B1297" s="17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</row>
    <row r="1298" spans="1:18" x14ac:dyDescent="0.2">
      <c r="A1298" s="17"/>
      <c r="B1298" s="17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</row>
    <row r="1299" spans="1:18" x14ac:dyDescent="0.2">
      <c r="A1299" s="17"/>
      <c r="B1299" s="17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</row>
    <row r="1300" spans="1:18" x14ac:dyDescent="0.2">
      <c r="A1300" s="17"/>
      <c r="B1300" s="17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</row>
    <row r="1301" spans="1:18" x14ac:dyDescent="0.2">
      <c r="A1301" s="17"/>
      <c r="B1301" s="17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</row>
    <row r="1302" spans="1:18" x14ac:dyDescent="0.2">
      <c r="A1302" s="17"/>
      <c r="B1302" s="17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</row>
    <row r="1303" spans="1:18" x14ac:dyDescent="0.2">
      <c r="A1303" s="17"/>
      <c r="B1303" s="17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</row>
    <row r="1304" spans="1:18" x14ac:dyDescent="0.2">
      <c r="A1304" s="17"/>
      <c r="B1304" s="17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</row>
    <row r="1305" spans="1:18" x14ac:dyDescent="0.2">
      <c r="A1305" s="17"/>
      <c r="B1305" s="17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</row>
    <row r="1306" spans="1:18" x14ac:dyDescent="0.2">
      <c r="A1306" s="17"/>
      <c r="B1306" s="17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</row>
    <row r="1307" spans="1:18" x14ac:dyDescent="0.2">
      <c r="A1307" s="17"/>
      <c r="B1307" s="17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</row>
    <row r="1308" spans="1:18" x14ac:dyDescent="0.2">
      <c r="A1308" s="17"/>
      <c r="B1308" s="17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</row>
    <row r="1309" spans="1:18" x14ac:dyDescent="0.2">
      <c r="A1309" s="17"/>
      <c r="B1309" s="17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</row>
    <row r="1310" spans="1:18" x14ac:dyDescent="0.2">
      <c r="A1310" s="17"/>
      <c r="B1310" s="17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</row>
    <row r="1311" spans="1:18" x14ac:dyDescent="0.2">
      <c r="A1311" s="17"/>
      <c r="B1311" s="17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</row>
    <row r="1312" spans="1:18" x14ac:dyDescent="0.2">
      <c r="A1312" s="17"/>
      <c r="B1312" s="17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</row>
    <row r="1313" spans="1:18" x14ac:dyDescent="0.2">
      <c r="A1313" s="17"/>
      <c r="B1313" s="17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</row>
    <row r="1314" spans="1:18" x14ac:dyDescent="0.2">
      <c r="A1314" s="17"/>
      <c r="B1314" s="17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</row>
    <row r="1315" spans="1:18" x14ac:dyDescent="0.2">
      <c r="A1315" s="17"/>
      <c r="B1315" s="17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</row>
    <row r="1316" spans="1:18" x14ac:dyDescent="0.2">
      <c r="A1316" s="17"/>
      <c r="B1316" s="17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</row>
    <row r="1317" spans="1:18" x14ac:dyDescent="0.2">
      <c r="A1317" s="17"/>
      <c r="B1317" s="17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</row>
    <row r="1318" spans="1:18" x14ac:dyDescent="0.2">
      <c r="A1318" s="17"/>
      <c r="B1318" s="17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</row>
    <row r="1319" spans="1:18" x14ac:dyDescent="0.2">
      <c r="A1319" s="17"/>
      <c r="B1319" s="17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</row>
    <row r="1320" spans="1:18" x14ac:dyDescent="0.2">
      <c r="A1320" s="17"/>
      <c r="B1320" s="17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</row>
    <row r="1321" spans="1:18" x14ac:dyDescent="0.2">
      <c r="A1321" s="17"/>
      <c r="B1321" s="17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</row>
    <row r="1322" spans="1:18" x14ac:dyDescent="0.2">
      <c r="A1322" s="17"/>
      <c r="B1322" s="17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</row>
    <row r="1323" spans="1:18" x14ac:dyDescent="0.2">
      <c r="A1323" s="17"/>
      <c r="B1323" s="17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</row>
    <row r="1324" spans="1:18" x14ac:dyDescent="0.2">
      <c r="A1324" s="17"/>
      <c r="B1324" s="17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</row>
    <row r="1325" spans="1:18" x14ac:dyDescent="0.2">
      <c r="A1325" s="17"/>
      <c r="B1325" s="17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</row>
    <row r="1326" spans="1:18" x14ac:dyDescent="0.2">
      <c r="A1326" s="17"/>
      <c r="B1326" s="17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</row>
    <row r="1327" spans="1:18" x14ac:dyDescent="0.2">
      <c r="A1327" s="17"/>
      <c r="B1327" s="17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</row>
    <row r="1328" spans="1:18" x14ac:dyDescent="0.2">
      <c r="A1328" s="17"/>
      <c r="B1328" s="17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</row>
    <row r="1329" spans="1:18" x14ac:dyDescent="0.2">
      <c r="A1329" s="17"/>
      <c r="B1329" s="17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</row>
    <row r="1330" spans="1:18" x14ac:dyDescent="0.2">
      <c r="A1330" s="17"/>
      <c r="B1330" s="17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</row>
    <row r="1331" spans="1:18" x14ac:dyDescent="0.2">
      <c r="A1331" s="17"/>
      <c r="B1331" s="17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</row>
    <row r="1332" spans="1:18" x14ac:dyDescent="0.2">
      <c r="A1332" s="17"/>
      <c r="B1332" s="17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</row>
    <row r="1333" spans="1:18" x14ac:dyDescent="0.2">
      <c r="A1333" s="17"/>
      <c r="B1333" s="17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</row>
    <row r="1334" spans="1:18" x14ac:dyDescent="0.2">
      <c r="A1334" s="17"/>
      <c r="B1334" s="17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</row>
    <row r="1335" spans="1:18" x14ac:dyDescent="0.2">
      <c r="A1335" s="17"/>
      <c r="B1335" s="17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</row>
    <row r="1336" spans="1:18" x14ac:dyDescent="0.2">
      <c r="A1336" s="17"/>
      <c r="B1336" s="17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</row>
    <row r="1337" spans="1:18" x14ac:dyDescent="0.2">
      <c r="A1337" s="17"/>
      <c r="B1337" s="17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</row>
    <row r="1338" spans="1:18" x14ac:dyDescent="0.2">
      <c r="A1338" s="17"/>
      <c r="B1338" s="17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</row>
    <row r="1339" spans="1:18" x14ac:dyDescent="0.2">
      <c r="A1339" s="17"/>
      <c r="B1339" s="17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</row>
    <row r="1340" spans="1:18" x14ac:dyDescent="0.2">
      <c r="A1340" s="17"/>
      <c r="B1340" s="17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</row>
    <row r="1341" spans="1:18" x14ac:dyDescent="0.2">
      <c r="A1341" s="17"/>
      <c r="B1341" s="17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</row>
    <row r="1342" spans="1:18" x14ac:dyDescent="0.2">
      <c r="A1342" s="17"/>
      <c r="B1342" s="17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</row>
    <row r="1343" spans="1:18" x14ac:dyDescent="0.2">
      <c r="A1343" s="17"/>
      <c r="B1343" s="17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</row>
    <row r="1344" spans="1:18" x14ac:dyDescent="0.2">
      <c r="A1344" s="17"/>
      <c r="B1344" s="17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</row>
    <row r="1345" spans="1:18" x14ac:dyDescent="0.2">
      <c r="A1345" s="17"/>
      <c r="B1345" s="17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</row>
    <row r="1346" spans="1:18" x14ac:dyDescent="0.2">
      <c r="A1346" s="17"/>
      <c r="B1346" s="17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</row>
    <row r="1347" spans="1:18" x14ac:dyDescent="0.2">
      <c r="A1347" s="17"/>
      <c r="B1347" s="17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</row>
    <row r="1348" spans="1:18" x14ac:dyDescent="0.2">
      <c r="A1348" s="17"/>
      <c r="B1348" s="17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</row>
    <row r="1349" spans="1:18" x14ac:dyDescent="0.2">
      <c r="A1349" s="17"/>
      <c r="B1349" s="17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</row>
    <row r="1350" spans="1:18" x14ac:dyDescent="0.2">
      <c r="A1350" s="17"/>
      <c r="B1350" s="17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</row>
    <row r="1351" spans="1:18" x14ac:dyDescent="0.2">
      <c r="A1351" s="17"/>
      <c r="B1351" s="17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</row>
    <row r="1352" spans="1:18" x14ac:dyDescent="0.2">
      <c r="A1352" s="17"/>
      <c r="B1352" s="17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</row>
    <row r="1353" spans="1:18" x14ac:dyDescent="0.2">
      <c r="A1353" s="17"/>
      <c r="B1353" s="17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</row>
    <row r="1354" spans="1:18" x14ac:dyDescent="0.2">
      <c r="A1354" s="17"/>
      <c r="B1354" s="17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</row>
    <row r="1355" spans="1:18" x14ac:dyDescent="0.2">
      <c r="A1355" s="17"/>
      <c r="B1355" s="17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</row>
    <row r="1356" spans="1:18" x14ac:dyDescent="0.2">
      <c r="A1356" s="17"/>
      <c r="B1356" s="17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</row>
    <row r="1357" spans="1:18" x14ac:dyDescent="0.2">
      <c r="A1357" s="17"/>
      <c r="B1357" s="17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</row>
    <row r="1358" spans="1:18" x14ac:dyDescent="0.2">
      <c r="A1358" s="17"/>
      <c r="B1358" s="17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</row>
    <row r="1359" spans="1:18" x14ac:dyDescent="0.2">
      <c r="A1359" s="17"/>
      <c r="B1359" s="17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</row>
    <row r="1360" spans="1:18" x14ac:dyDescent="0.2">
      <c r="A1360" s="17"/>
      <c r="B1360" s="17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</row>
    <row r="1361" spans="1:18" x14ac:dyDescent="0.2">
      <c r="A1361" s="17"/>
      <c r="B1361" s="17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</row>
    <row r="1362" spans="1:18" x14ac:dyDescent="0.2">
      <c r="A1362" s="17"/>
      <c r="B1362" s="17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</row>
    <row r="1363" spans="1:18" x14ac:dyDescent="0.2">
      <c r="A1363" s="17"/>
      <c r="B1363" s="17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</row>
    <row r="1364" spans="1:18" x14ac:dyDescent="0.2">
      <c r="A1364" s="17"/>
      <c r="B1364" s="17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</row>
    <row r="1365" spans="1:18" x14ac:dyDescent="0.2">
      <c r="A1365" s="17"/>
      <c r="B1365" s="17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</row>
    <row r="1366" spans="1:18" x14ac:dyDescent="0.2">
      <c r="A1366" s="17"/>
      <c r="B1366" s="17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</row>
    <row r="1367" spans="1:18" x14ac:dyDescent="0.2">
      <c r="A1367" s="17"/>
      <c r="B1367" s="17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</row>
    <row r="1368" spans="1:18" x14ac:dyDescent="0.2">
      <c r="A1368" s="17"/>
      <c r="B1368" s="17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</row>
    <row r="1369" spans="1:18" x14ac:dyDescent="0.2">
      <c r="A1369" s="17"/>
      <c r="B1369" s="17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</row>
    <row r="1370" spans="1:18" x14ac:dyDescent="0.2">
      <c r="A1370" s="17"/>
      <c r="B1370" s="17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</row>
    <row r="1371" spans="1:18" x14ac:dyDescent="0.2">
      <c r="A1371" s="17"/>
      <c r="B1371" s="17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</row>
    <row r="1372" spans="1:18" x14ac:dyDescent="0.2">
      <c r="A1372" s="17"/>
      <c r="B1372" s="17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</row>
    <row r="1373" spans="1:18" x14ac:dyDescent="0.2">
      <c r="A1373" s="17"/>
      <c r="B1373" s="17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</row>
    <row r="1374" spans="1:18" x14ac:dyDescent="0.2">
      <c r="A1374" s="17"/>
      <c r="B1374" s="17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</row>
    <row r="1375" spans="1:18" x14ac:dyDescent="0.2">
      <c r="A1375" s="17"/>
      <c r="B1375" s="17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</row>
    <row r="1376" spans="1:18" x14ac:dyDescent="0.2">
      <c r="A1376" s="17"/>
      <c r="B1376" s="17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</row>
    <row r="1377" spans="1:18" x14ac:dyDescent="0.2">
      <c r="A1377" s="17"/>
      <c r="B1377" s="17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</row>
    <row r="1378" spans="1:18" x14ac:dyDescent="0.2">
      <c r="A1378" s="17"/>
      <c r="B1378" s="17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</row>
    <row r="1379" spans="1:18" x14ac:dyDescent="0.2">
      <c r="A1379" s="17"/>
      <c r="B1379" s="17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</row>
    <row r="1380" spans="1:18" x14ac:dyDescent="0.2">
      <c r="A1380" s="17"/>
      <c r="B1380" s="17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</row>
    <row r="1381" spans="1:18" x14ac:dyDescent="0.2">
      <c r="A1381" s="17"/>
      <c r="B1381" s="17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</row>
    <row r="1382" spans="1:18" x14ac:dyDescent="0.2">
      <c r="A1382" s="17"/>
      <c r="B1382" s="17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</row>
    <row r="1383" spans="1:18" x14ac:dyDescent="0.2">
      <c r="A1383" s="17"/>
      <c r="B1383" s="17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</row>
    <row r="1384" spans="1:18" x14ac:dyDescent="0.2">
      <c r="A1384" s="17"/>
      <c r="B1384" s="17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</row>
    <row r="1385" spans="1:18" x14ac:dyDescent="0.2">
      <c r="A1385" s="17"/>
      <c r="B1385" s="17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</row>
    <row r="1386" spans="1:18" x14ac:dyDescent="0.2">
      <c r="A1386" s="17"/>
      <c r="B1386" s="17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</row>
    <row r="1387" spans="1:18" x14ac:dyDescent="0.2">
      <c r="A1387" s="17"/>
      <c r="B1387" s="17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</row>
    <row r="1388" spans="1:18" x14ac:dyDescent="0.2">
      <c r="A1388" s="17"/>
      <c r="B1388" s="17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</row>
    <row r="1389" spans="1:18" x14ac:dyDescent="0.2">
      <c r="A1389" s="17"/>
      <c r="B1389" s="17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</row>
    <row r="1390" spans="1:18" x14ac:dyDescent="0.2">
      <c r="A1390" s="17"/>
      <c r="B1390" s="17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</row>
    <row r="1391" spans="1:18" x14ac:dyDescent="0.2">
      <c r="A1391" s="17"/>
      <c r="B1391" s="17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</row>
    <row r="1392" spans="1:18" x14ac:dyDescent="0.2">
      <c r="A1392" s="17"/>
      <c r="B1392" s="17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</row>
    <row r="1393" spans="1:18" x14ac:dyDescent="0.2">
      <c r="A1393" s="17"/>
      <c r="B1393" s="17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</row>
    <row r="1394" spans="1:18" x14ac:dyDescent="0.2">
      <c r="A1394" s="17"/>
      <c r="B1394" s="17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</row>
    <row r="1395" spans="1:18" x14ac:dyDescent="0.2">
      <c r="A1395" s="17"/>
      <c r="B1395" s="17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</row>
    <row r="1396" spans="1:18" x14ac:dyDescent="0.2">
      <c r="A1396" s="17"/>
      <c r="B1396" s="17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</row>
    <row r="1397" spans="1:18" x14ac:dyDescent="0.2">
      <c r="A1397" s="17"/>
      <c r="B1397" s="17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</row>
    <row r="1398" spans="1:18" x14ac:dyDescent="0.2">
      <c r="A1398" s="17"/>
      <c r="B1398" s="17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</row>
    <row r="1399" spans="1:18" x14ac:dyDescent="0.2">
      <c r="A1399" s="17"/>
      <c r="B1399" s="17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</row>
    <row r="1400" spans="1:18" x14ac:dyDescent="0.2">
      <c r="A1400" s="17"/>
      <c r="B1400" s="17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</row>
    <row r="1401" spans="1:18" x14ac:dyDescent="0.2">
      <c r="A1401" s="17"/>
      <c r="B1401" s="17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</row>
    <row r="1402" spans="1:18" x14ac:dyDescent="0.2">
      <c r="A1402" s="17"/>
      <c r="B1402" s="17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</row>
    <row r="1403" spans="1:18" x14ac:dyDescent="0.2">
      <c r="A1403" s="17"/>
      <c r="B1403" s="17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</row>
    <row r="1404" spans="1:18" x14ac:dyDescent="0.2">
      <c r="A1404" s="17"/>
      <c r="B1404" s="17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</row>
    <row r="1405" spans="1:18" x14ac:dyDescent="0.2">
      <c r="A1405" s="17"/>
      <c r="B1405" s="17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</row>
    <row r="1406" spans="1:18" x14ac:dyDescent="0.2">
      <c r="A1406" s="17"/>
      <c r="B1406" s="17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</row>
    <row r="1407" spans="1:18" x14ac:dyDescent="0.2">
      <c r="A1407" s="17"/>
      <c r="B1407" s="17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</row>
    <row r="1408" spans="1:18" x14ac:dyDescent="0.2">
      <c r="A1408" s="17"/>
      <c r="B1408" s="17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</row>
    <row r="1409" spans="1:18" x14ac:dyDescent="0.2">
      <c r="A1409" s="17"/>
      <c r="B1409" s="17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</row>
    <row r="1410" spans="1:18" x14ac:dyDescent="0.2">
      <c r="A1410" s="17"/>
      <c r="B1410" s="17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</row>
    <row r="1411" spans="1:18" x14ac:dyDescent="0.2">
      <c r="A1411" s="17"/>
      <c r="B1411" s="17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</row>
    <row r="1412" spans="1:18" x14ac:dyDescent="0.2">
      <c r="A1412" s="17"/>
      <c r="B1412" s="17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</row>
    <row r="1413" spans="1:18" x14ac:dyDescent="0.2">
      <c r="A1413" s="17"/>
      <c r="B1413" s="17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</row>
    <row r="1414" spans="1:18" x14ac:dyDescent="0.2">
      <c r="A1414" s="17"/>
      <c r="B1414" s="17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</row>
    <row r="1415" spans="1:18" x14ac:dyDescent="0.2">
      <c r="A1415" s="17"/>
      <c r="B1415" s="17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</row>
    <row r="1416" spans="1:18" x14ac:dyDescent="0.2">
      <c r="A1416" s="17"/>
      <c r="B1416" s="17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</row>
    <row r="1417" spans="1:18" x14ac:dyDescent="0.2">
      <c r="A1417" s="17"/>
      <c r="B1417" s="17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</row>
    <row r="1418" spans="1:18" x14ac:dyDescent="0.2">
      <c r="A1418" s="17"/>
      <c r="B1418" s="17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</row>
    <row r="1419" spans="1:18" x14ac:dyDescent="0.2">
      <c r="A1419" s="17"/>
      <c r="B1419" s="17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</row>
    <row r="1420" spans="1:18" x14ac:dyDescent="0.2">
      <c r="A1420" s="17"/>
      <c r="B1420" s="17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</row>
    <row r="1421" spans="1:18" x14ac:dyDescent="0.2">
      <c r="A1421" s="17"/>
      <c r="B1421" s="17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</row>
    <row r="1422" spans="1:18" x14ac:dyDescent="0.2">
      <c r="A1422" s="17"/>
      <c r="B1422" s="17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</row>
    <row r="1423" spans="1:18" x14ac:dyDescent="0.2">
      <c r="A1423" s="17"/>
      <c r="B1423" s="17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</row>
    <row r="1424" spans="1:18" x14ac:dyDescent="0.2">
      <c r="A1424" s="17"/>
      <c r="B1424" s="17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</row>
    <row r="1425" spans="1:18" x14ac:dyDescent="0.2">
      <c r="A1425" s="17"/>
      <c r="B1425" s="17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</row>
    <row r="1426" spans="1:18" x14ac:dyDescent="0.2">
      <c r="A1426" s="17"/>
      <c r="B1426" s="17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</row>
    <row r="1427" spans="1:18" x14ac:dyDescent="0.2">
      <c r="A1427" s="17"/>
      <c r="B1427" s="17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</row>
    <row r="1428" spans="1:18" x14ac:dyDescent="0.2">
      <c r="A1428" s="17"/>
      <c r="B1428" s="17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</row>
    <row r="1429" spans="1:18" x14ac:dyDescent="0.2">
      <c r="A1429" s="17"/>
      <c r="B1429" s="17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</row>
    <row r="1430" spans="1:18" x14ac:dyDescent="0.2">
      <c r="A1430" s="17"/>
      <c r="B1430" s="17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</row>
    <row r="1431" spans="1:18" x14ac:dyDescent="0.2">
      <c r="A1431" s="17"/>
      <c r="B1431" s="17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</row>
    <row r="1432" spans="1:18" x14ac:dyDescent="0.2">
      <c r="A1432" s="17"/>
      <c r="B1432" s="17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</row>
    <row r="1433" spans="1:18" x14ac:dyDescent="0.2">
      <c r="A1433" s="17"/>
      <c r="B1433" s="17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</row>
    <row r="1434" spans="1:18" x14ac:dyDescent="0.2">
      <c r="A1434" s="17"/>
      <c r="B1434" s="17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</row>
    <row r="1435" spans="1:18" x14ac:dyDescent="0.2">
      <c r="A1435" s="17"/>
      <c r="B1435" s="17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</row>
    <row r="1436" spans="1:18" x14ac:dyDescent="0.2">
      <c r="A1436" s="17"/>
      <c r="B1436" s="17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</row>
    <row r="1437" spans="1:18" x14ac:dyDescent="0.2">
      <c r="A1437" s="17"/>
      <c r="B1437" s="17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</row>
    <row r="1438" spans="1:18" x14ac:dyDescent="0.2">
      <c r="A1438" s="17"/>
      <c r="B1438" s="17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</row>
    <row r="1439" spans="1:18" x14ac:dyDescent="0.2">
      <c r="A1439" s="17"/>
      <c r="B1439" s="17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</row>
    <row r="1440" spans="1:18" x14ac:dyDescent="0.2">
      <c r="A1440" s="17"/>
      <c r="B1440" s="17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</row>
    <row r="1441" spans="1:18" x14ac:dyDescent="0.2">
      <c r="A1441" s="17"/>
      <c r="B1441" s="17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</row>
    <row r="1442" spans="1:18" x14ac:dyDescent="0.2">
      <c r="A1442" s="17"/>
      <c r="B1442" s="17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</row>
    <row r="1443" spans="1:18" x14ac:dyDescent="0.2">
      <c r="A1443" s="17"/>
      <c r="B1443" s="17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</row>
    <row r="1444" spans="1:18" x14ac:dyDescent="0.2">
      <c r="A1444" s="17"/>
      <c r="B1444" s="17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</row>
    <row r="1445" spans="1:18" x14ac:dyDescent="0.2">
      <c r="A1445" s="17"/>
      <c r="B1445" s="17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</row>
    <row r="1446" spans="1:18" x14ac:dyDescent="0.2">
      <c r="A1446" s="17"/>
      <c r="B1446" s="17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</row>
    <row r="1447" spans="1:18" x14ac:dyDescent="0.2">
      <c r="A1447" s="17"/>
      <c r="B1447" s="17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</row>
    <row r="1448" spans="1:18" x14ac:dyDescent="0.2">
      <c r="A1448" s="17"/>
      <c r="B1448" s="17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</row>
    <row r="1449" spans="1:18" x14ac:dyDescent="0.2">
      <c r="A1449" s="17"/>
      <c r="B1449" s="17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</row>
    <row r="1450" spans="1:18" x14ac:dyDescent="0.2">
      <c r="A1450" s="17"/>
      <c r="B1450" s="17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</row>
    <row r="1451" spans="1:18" x14ac:dyDescent="0.2">
      <c r="A1451" s="17"/>
      <c r="B1451" s="17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</row>
    <row r="1452" spans="1:18" x14ac:dyDescent="0.2">
      <c r="A1452" s="17"/>
      <c r="B1452" s="17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</row>
    <row r="1453" spans="1:18" x14ac:dyDescent="0.2">
      <c r="A1453" s="17"/>
      <c r="B1453" s="17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</row>
    <row r="1454" spans="1:18" x14ac:dyDescent="0.2">
      <c r="A1454" s="17"/>
      <c r="B1454" s="17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</row>
    <row r="1455" spans="1:18" x14ac:dyDescent="0.2">
      <c r="A1455" s="17"/>
      <c r="B1455" s="17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</row>
    <row r="1456" spans="1:18" x14ac:dyDescent="0.2">
      <c r="A1456" s="17"/>
      <c r="B1456" s="17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</row>
    <row r="1457" spans="1:18" x14ac:dyDescent="0.2">
      <c r="A1457" s="17"/>
      <c r="B1457" s="17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</row>
    <row r="1458" spans="1:18" x14ac:dyDescent="0.2">
      <c r="A1458" s="17"/>
      <c r="B1458" s="17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</row>
    <row r="1459" spans="1:18" x14ac:dyDescent="0.2">
      <c r="A1459" s="17"/>
      <c r="B1459" s="17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</row>
    <row r="1460" spans="1:18" x14ac:dyDescent="0.2">
      <c r="A1460" s="17"/>
      <c r="B1460" s="17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</row>
    <row r="1461" spans="1:18" x14ac:dyDescent="0.2">
      <c r="A1461" s="17"/>
      <c r="B1461" s="17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</row>
    <row r="1462" spans="1:18" x14ac:dyDescent="0.2">
      <c r="A1462" s="17"/>
      <c r="B1462" s="17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</row>
    <row r="1463" spans="1:18" x14ac:dyDescent="0.2">
      <c r="A1463" s="17"/>
      <c r="B1463" s="17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</row>
    <row r="1464" spans="1:18" x14ac:dyDescent="0.2">
      <c r="A1464" s="17"/>
      <c r="B1464" s="17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</row>
    <row r="1465" spans="1:18" x14ac:dyDescent="0.2">
      <c r="A1465" s="17"/>
      <c r="B1465" s="17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</row>
    <row r="1466" spans="1:18" x14ac:dyDescent="0.2">
      <c r="A1466" s="17"/>
      <c r="B1466" s="17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</row>
    <row r="1467" spans="1:18" x14ac:dyDescent="0.2">
      <c r="A1467" s="17"/>
      <c r="B1467" s="17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</row>
    <row r="1468" spans="1:18" x14ac:dyDescent="0.2">
      <c r="A1468" s="17"/>
      <c r="B1468" s="17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</row>
    <row r="1469" spans="1:18" x14ac:dyDescent="0.2">
      <c r="A1469" s="17"/>
      <c r="B1469" s="17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</row>
    <row r="1470" spans="1:18" x14ac:dyDescent="0.2">
      <c r="A1470" s="17"/>
      <c r="B1470" s="17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</row>
    <row r="1471" spans="1:18" x14ac:dyDescent="0.2">
      <c r="A1471" s="17"/>
      <c r="B1471" s="17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</row>
    <row r="1472" spans="1:18" x14ac:dyDescent="0.2">
      <c r="A1472" s="17"/>
      <c r="B1472" s="17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</row>
    <row r="1473" spans="1:18" x14ac:dyDescent="0.2">
      <c r="A1473" s="17"/>
      <c r="B1473" s="17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</row>
    <row r="1474" spans="1:18" x14ac:dyDescent="0.2">
      <c r="A1474" s="17"/>
      <c r="B1474" s="17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</row>
    <row r="1475" spans="1:18" x14ac:dyDescent="0.2">
      <c r="A1475" s="17"/>
      <c r="B1475" s="17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</row>
    <row r="1476" spans="1:18" x14ac:dyDescent="0.2">
      <c r="A1476" s="17"/>
      <c r="B1476" s="17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</row>
    <row r="1477" spans="1:18" x14ac:dyDescent="0.2">
      <c r="A1477" s="17"/>
      <c r="B1477" s="17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</row>
    <row r="1478" spans="1:18" x14ac:dyDescent="0.2">
      <c r="A1478" s="17"/>
      <c r="B1478" s="17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</row>
    <row r="1479" spans="1:18" x14ac:dyDescent="0.2">
      <c r="A1479" s="17"/>
      <c r="B1479" s="17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</row>
    <row r="1480" spans="1:18" x14ac:dyDescent="0.2">
      <c r="A1480" s="17"/>
      <c r="B1480" s="17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</row>
    <row r="1481" spans="1:18" x14ac:dyDescent="0.2">
      <c r="A1481" s="17"/>
      <c r="B1481" s="17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</row>
    <row r="1482" spans="1:18" x14ac:dyDescent="0.2">
      <c r="A1482" s="17"/>
      <c r="B1482" s="17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</row>
    <row r="1483" spans="1:18" x14ac:dyDescent="0.2">
      <c r="A1483" s="17"/>
      <c r="B1483" s="17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</row>
    <row r="1484" spans="1:18" x14ac:dyDescent="0.2">
      <c r="A1484" s="17"/>
      <c r="B1484" s="17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</row>
    <row r="1485" spans="1:18" x14ac:dyDescent="0.2">
      <c r="A1485" s="17"/>
      <c r="B1485" s="17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</row>
    <row r="1486" spans="1:18" x14ac:dyDescent="0.2">
      <c r="A1486" s="17"/>
      <c r="B1486" s="17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</row>
    <row r="1487" spans="1:18" x14ac:dyDescent="0.2">
      <c r="A1487" s="17"/>
      <c r="B1487" s="17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</row>
    <row r="1488" spans="1:18" x14ac:dyDescent="0.2">
      <c r="A1488" s="17"/>
      <c r="B1488" s="17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</row>
    <row r="1489" spans="1:18" x14ac:dyDescent="0.2">
      <c r="A1489" s="17"/>
      <c r="B1489" s="17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</row>
    <row r="1490" spans="1:18" x14ac:dyDescent="0.2">
      <c r="A1490" s="17"/>
      <c r="B1490" s="17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</row>
    <row r="1491" spans="1:18" x14ac:dyDescent="0.2">
      <c r="A1491" s="17"/>
      <c r="B1491" s="17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</row>
    <row r="1492" spans="1:18" x14ac:dyDescent="0.2">
      <c r="A1492" s="17"/>
      <c r="B1492" s="17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</row>
    <row r="1493" spans="1:18" x14ac:dyDescent="0.2">
      <c r="A1493" s="17"/>
      <c r="B1493" s="17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</row>
    <row r="1494" spans="1:18" x14ac:dyDescent="0.2">
      <c r="A1494" s="17"/>
      <c r="B1494" s="17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</row>
    <row r="1495" spans="1:18" x14ac:dyDescent="0.2">
      <c r="A1495" s="17"/>
      <c r="B1495" s="17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</row>
    <row r="1496" spans="1:18" x14ac:dyDescent="0.2">
      <c r="A1496" s="17"/>
      <c r="B1496" s="17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</row>
    <row r="1497" spans="1:18" x14ac:dyDescent="0.2">
      <c r="A1497" s="17"/>
      <c r="B1497" s="17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</row>
    <row r="1498" spans="1:18" x14ac:dyDescent="0.2">
      <c r="A1498" s="17"/>
      <c r="B1498" s="17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</row>
    <row r="1499" spans="1:18" x14ac:dyDescent="0.2">
      <c r="A1499" s="17"/>
      <c r="B1499" s="17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</row>
    <row r="1500" spans="1:18" x14ac:dyDescent="0.2">
      <c r="A1500" s="17"/>
      <c r="B1500" s="17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</row>
    <row r="1501" spans="1:18" x14ac:dyDescent="0.2">
      <c r="A1501" s="17"/>
      <c r="B1501" s="17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</row>
    <row r="1502" spans="1:18" x14ac:dyDescent="0.2">
      <c r="A1502" s="17"/>
      <c r="B1502" s="17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</row>
    <row r="1503" spans="1:18" x14ac:dyDescent="0.2">
      <c r="A1503" s="17"/>
      <c r="B1503" s="17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</row>
    <row r="1504" spans="1:18" x14ac:dyDescent="0.2">
      <c r="A1504" s="17"/>
      <c r="B1504" s="17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</row>
    <row r="1505" spans="1:18" x14ac:dyDescent="0.2">
      <c r="A1505" s="17"/>
      <c r="B1505" s="17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</row>
    <row r="1506" spans="1:18" x14ac:dyDescent="0.2">
      <c r="A1506" s="17"/>
      <c r="B1506" s="17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</row>
    <row r="1507" spans="1:18" x14ac:dyDescent="0.2">
      <c r="A1507" s="17"/>
      <c r="B1507" s="17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</row>
    <row r="1508" spans="1:18" x14ac:dyDescent="0.2">
      <c r="A1508" s="17"/>
      <c r="B1508" s="17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</row>
    <row r="1509" spans="1:18" x14ac:dyDescent="0.2">
      <c r="A1509" s="17"/>
      <c r="B1509" s="17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</row>
    <row r="1510" spans="1:18" x14ac:dyDescent="0.2">
      <c r="A1510" s="17"/>
      <c r="B1510" s="17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</row>
    <row r="1511" spans="1:18" x14ac:dyDescent="0.2">
      <c r="A1511" s="17"/>
      <c r="B1511" s="17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</row>
    <row r="1512" spans="1:18" x14ac:dyDescent="0.2">
      <c r="A1512" s="17"/>
      <c r="B1512" s="17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</row>
    <row r="1513" spans="1:18" x14ac:dyDescent="0.2">
      <c r="A1513" s="17"/>
      <c r="B1513" s="17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</row>
    <row r="1514" spans="1:18" x14ac:dyDescent="0.2">
      <c r="A1514" s="17"/>
      <c r="B1514" s="17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</row>
    <row r="1515" spans="1:18" x14ac:dyDescent="0.2">
      <c r="A1515" s="17"/>
      <c r="B1515" s="17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</row>
    <row r="1516" spans="1:18" x14ac:dyDescent="0.2">
      <c r="A1516" s="17"/>
      <c r="B1516" s="17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</row>
    <row r="1517" spans="1:18" x14ac:dyDescent="0.2">
      <c r="A1517" s="17"/>
      <c r="B1517" s="17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</row>
    <row r="1518" spans="1:18" x14ac:dyDescent="0.2">
      <c r="A1518" s="17"/>
      <c r="B1518" s="17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</row>
    <row r="1519" spans="1:18" x14ac:dyDescent="0.2">
      <c r="A1519" s="17"/>
      <c r="B1519" s="17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</row>
    <row r="1520" spans="1:18" x14ac:dyDescent="0.2">
      <c r="A1520" s="17"/>
      <c r="B1520" s="17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</row>
    <row r="1521" spans="1:18" x14ac:dyDescent="0.2">
      <c r="A1521" s="17"/>
      <c r="B1521" s="17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</row>
    <row r="1522" spans="1:18" x14ac:dyDescent="0.2">
      <c r="A1522" s="17"/>
      <c r="B1522" s="17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</row>
    <row r="1523" spans="1:18" x14ac:dyDescent="0.2">
      <c r="A1523" s="17"/>
      <c r="B1523" s="17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</row>
    <row r="1524" spans="1:18" x14ac:dyDescent="0.2">
      <c r="A1524" s="17"/>
      <c r="B1524" s="17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</row>
    <row r="1525" spans="1:18" x14ac:dyDescent="0.2">
      <c r="A1525" s="17"/>
      <c r="B1525" s="17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</row>
    <row r="1526" spans="1:18" x14ac:dyDescent="0.2">
      <c r="A1526" s="17"/>
      <c r="B1526" s="17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</row>
    <row r="1527" spans="1:18" x14ac:dyDescent="0.2">
      <c r="A1527" s="17"/>
      <c r="B1527" s="17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</row>
    <row r="1528" spans="1:18" x14ac:dyDescent="0.2">
      <c r="A1528" s="17"/>
      <c r="B1528" s="17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</row>
    <row r="1529" spans="1:18" x14ac:dyDescent="0.2">
      <c r="A1529" s="17"/>
      <c r="B1529" s="17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</row>
    <row r="1530" spans="1:18" x14ac:dyDescent="0.2">
      <c r="A1530" s="17"/>
      <c r="B1530" s="17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</row>
    <row r="1531" spans="1:18" x14ac:dyDescent="0.2">
      <c r="A1531" s="17"/>
      <c r="B1531" s="17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</row>
    <row r="1532" spans="1:18" x14ac:dyDescent="0.2">
      <c r="A1532" s="17"/>
      <c r="B1532" s="17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</row>
    <row r="1533" spans="1:18" x14ac:dyDescent="0.2">
      <c r="A1533" s="17"/>
      <c r="B1533" s="17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</row>
    <row r="1534" spans="1:18" x14ac:dyDescent="0.2">
      <c r="A1534" s="17"/>
      <c r="B1534" s="17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</row>
    <row r="1535" spans="1:18" x14ac:dyDescent="0.2">
      <c r="A1535" s="17"/>
      <c r="B1535" s="17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</row>
    <row r="1536" spans="1:18" x14ac:dyDescent="0.2">
      <c r="A1536" s="17"/>
      <c r="B1536" s="17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</row>
    <row r="1537" spans="1:18" x14ac:dyDescent="0.2">
      <c r="A1537" s="17"/>
      <c r="B1537" s="17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</row>
    <row r="1538" spans="1:18" x14ac:dyDescent="0.2">
      <c r="A1538" s="17"/>
      <c r="B1538" s="17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</row>
    <row r="1539" spans="1:18" x14ac:dyDescent="0.2">
      <c r="A1539" s="17"/>
      <c r="B1539" s="17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</row>
    <row r="1540" spans="1:18" x14ac:dyDescent="0.2">
      <c r="A1540" s="17"/>
      <c r="B1540" s="17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</row>
    <row r="1541" spans="1:18" x14ac:dyDescent="0.2">
      <c r="A1541" s="17"/>
      <c r="B1541" s="17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</row>
    <row r="1542" spans="1:18" x14ac:dyDescent="0.2">
      <c r="A1542" s="17"/>
      <c r="B1542" s="17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</row>
    <row r="1543" spans="1:18" x14ac:dyDescent="0.2">
      <c r="A1543" s="17"/>
      <c r="B1543" s="17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</row>
    <row r="1544" spans="1:18" x14ac:dyDescent="0.2">
      <c r="A1544" s="17"/>
      <c r="B1544" s="17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</row>
    <row r="1545" spans="1:18" x14ac:dyDescent="0.2">
      <c r="A1545" s="17"/>
      <c r="B1545" s="17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</row>
    <row r="1546" spans="1:18" x14ac:dyDescent="0.2">
      <c r="A1546" s="17"/>
      <c r="B1546" s="17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</row>
    <row r="1547" spans="1:18" x14ac:dyDescent="0.2">
      <c r="A1547" s="17"/>
      <c r="B1547" s="17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</row>
    <row r="1548" spans="1:18" x14ac:dyDescent="0.2">
      <c r="A1548" s="17"/>
      <c r="B1548" s="17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</row>
    <row r="1549" spans="1:18" x14ac:dyDescent="0.2">
      <c r="A1549" s="17"/>
      <c r="B1549" s="17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</row>
    <row r="1550" spans="1:18" x14ac:dyDescent="0.2">
      <c r="A1550" s="17"/>
      <c r="B1550" s="17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</row>
    <row r="1551" spans="1:18" x14ac:dyDescent="0.2">
      <c r="A1551" s="17"/>
      <c r="B1551" s="17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</row>
    <row r="1552" spans="1:18" x14ac:dyDescent="0.2">
      <c r="A1552" s="17"/>
      <c r="B1552" s="17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</row>
    <row r="1553" spans="1:18" x14ac:dyDescent="0.2">
      <c r="A1553" s="17"/>
      <c r="B1553" s="17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</row>
    <row r="1554" spans="1:18" x14ac:dyDescent="0.2">
      <c r="A1554" s="17"/>
      <c r="B1554" s="17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</row>
    <row r="1555" spans="1:18" x14ac:dyDescent="0.2">
      <c r="A1555" s="17"/>
      <c r="B1555" s="17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</row>
    <row r="1556" spans="1:18" x14ac:dyDescent="0.2">
      <c r="A1556" s="17"/>
      <c r="B1556" s="17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</row>
    <row r="1557" spans="1:18" x14ac:dyDescent="0.2">
      <c r="A1557" s="17"/>
      <c r="B1557" s="17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</row>
    <row r="1558" spans="1:18" x14ac:dyDescent="0.2">
      <c r="A1558" s="17"/>
      <c r="B1558" s="17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</row>
    <row r="1559" spans="1:18" x14ac:dyDescent="0.2">
      <c r="A1559" s="17"/>
      <c r="B1559" s="17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</row>
    <row r="1560" spans="1:18" x14ac:dyDescent="0.2">
      <c r="A1560" s="17"/>
      <c r="B1560" s="17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</row>
    <row r="1561" spans="1:18" x14ac:dyDescent="0.2">
      <c r="A1561" s="17"/>
      <c r="B1561" s="17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</row>
    <row r="1562" spans="1:18" x14ac:dyDescent="0.2">
      <c r="A1562" s="17"/>
      <c r="B1562" s="17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</row>
    <row r="1563" spans="1:18" x14ac:dyDescent="0.2">
      <c r="A1563" s="17"/>
      <c r="B1563" s="17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</row>
    <row r="1564" spans="1:18" x14ac:dyDescent="0.2">
      <c r="A1564" s="17"/>
      <c r="B1564" s="17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</row>
    <row r="1565" spans="1:18" x14ac:dyDescent="0.2">
      <c r="A1565" s="17"/>
      <c r="B1565" s="17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</row>
    <row r="1566" spans="1:18" x14ac:dyDescent="0.2">
      <c r="A1566" s="17"/>
      <c r="B1566" s="17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</row>
    <row r="1567" spans="1:18" x14ac:dyDescent="0.2">
      <c r="A1567" s="17"/>
      <c r="B1567" s="17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</row>
    <row r="1568" spans="1:18" x14ac:dyDescent="0.2">
      <c r="A1568" s="17"/>
      <c r="B1568" s="17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</row>
    <row r="1569" spans="1:18" x14ac:dyDescent="0.2">
      <c r="A1569" s="17"/>
      <c r="B1569" s="17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</row>
    <row r="1570" spans="1:18" x14ac:dyDescent="0.2">
      <c r="A1570" s="17"/>
      <c r="B1570" s="17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</row>
    <row r="1571" spans="1:18" x14ac:dyDescent="0.2">
      <c r="A1571" s="17"/>
      <c r="B1571" s="17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</row>
    <row r="1572" spans="1:18" x14ac:dyDescent="0.2">
      <c r="A1572" s="17"/>
      <c r="B1572" s="17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</row>
    <row r="1573" spans="1:18" x14ac:dyDescent="0.2">
      <c r="A1573" s="17"/>
      <c r="B1573" s="17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</row>
    <row r="1574" spans="1:18" x14ac:dyDescent="0.2">
      <c r="A1574" s="17"/>
      <c r="B1574" s="17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</row>
    <row r="1575" spans="1:18" x14ac:dyDescent="0.2">
      <c r="A1575" s="17"/>
      <c r="B1575" s="17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</row>
    <row r="1576" spans="1:18" x14ac:dyDescent="0.2">
      <c r="A1576" s="17"/>
      <c r="B1576" s="17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</row>
    <row r="1577" spans="1:18" x14ac:dyDescent="0.2">
      <c r="A1577" s="17"/>
      <c r="B1577" s="17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</row>
    <row r="1578" spans="1:18" x14ac:dyDescent="0.2">
      <c r="A1578" s="17"/>
      <c r="B1578" s="17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</row>
    <row r="1579" spans="1:18" x14ac:dyDescent="0.2">
      <c r="A1579" s="17"/>
      <c r="B1579" s="17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</row>
    <row r="1580" spans="1:18" x14ac:dyDescent="0.2">
      <c r="A1580" s="17"/>
      <c r="B1580" s="17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</row>
    <row r="1581" spans="1:18" x14ac:dyDescent="0.2">
      <c r="A1581" s="17"/>
      <c r="B1581" s="17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</row>
    <row r="1582" spans="1:18" x14ac:dyDescent="0.2">
      <c r="A1582" s="17"/>
      <c r="B1582" s="17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</row>
    <row r="1583" spans="1:18" x14ac:dyDescent="0.2">
      <c r="A1583" s="17"/>
      <c r="B1583" s="17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</row>
    <row r="1584" spans="1:18" x14ac:dyDescent="0.2">
      <c r="A1584" s="17"/>
      <c r="B1584" s="17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</row>
    <row r="1585" spans="1:18" x14ac:dyDescent="0.2">
      <c r="A1585" s="17"/>
      <c r="B1585" s="17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</row>
    <row r="1586" spans="1:18" x14ac:dyDescent="0.2">
      <c r="A1586" s="17"/>
      <c r="B1586" s="17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</row>
    <row r="1587" spans="1:18" x14ac:dyDescent="0.2">
      <c r="A1587" s="17"/>
      <c r="B1587" s="17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</row>
    <row r="1588" spans="1:18" x14ac:dyDescent="0.2">
      <c r="A1588" s="17"/>
      <c r="B1588" s="17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</row>
    <row r="1589" spans="1:18" x14ac:dyDescent="0.2">
      <c r="A1589" s="17"/>
      <c r="B1589" s="17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</row>
    <row r="1590" spans="1:18" x14ac:dyDescent="0.2">
      <c r="A1590" s="17"/>
      <c r="B1590" s="17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</row>
    <row r="1591" spans="1:18" x14ac:dyDescent="0.2">
      <c r="A1591" s="17"/>
      <c r="B1591" s="17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</row>
    <row r="1592" spans="1:18" x14ac:dyDescent="0.2">
      <c r="A1592" s="17"/>
      <c r="B1592" s="17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</row>
    <row r="1593" spans="1:18" x14ac:dyDescent="0.2">
      <c r="A1593" s="17"/>
      <c r="B1593" s="17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</row>
    <row r="1594" spans="1:18" x14ac:dyDescent="0.2">
      <c r="A1594" s="17"/>
      <c r="B1594" s="17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</row>
    <row r="1595" spans="1:18" x14ac:dyDescent="0.2">
      <c r="A1595" s="17"/>
      <c r="B1595" s="17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</row>
    <row r="1596" spans="1:18" x14ac:dyDescent="0.2">
      <c r="A1596" s="17"/>
      <c r="B1596" s="17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</row>
    <row r="1597" spans="1:18" x14ac:dyDescent="0.2">
      <c r="A1597" s="17"/>
      <c r="B1597" s="17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</row>
    <row r="1598" spans="1:18" x14ac:dyDescent="0.2">
      <c r="A1598" s="17"/>
      <c r="B1598" s="17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</row>
    <row r="1599" spans="1:18" x14ac:dyDescent="0.2">
      <c r="A1599" s="17"/>
      <c r="B1599" s="17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</row>
    <row r="1600" spans="1:18" x14ac:dyDescent="0.2">
      <c r="A1600" s="17"/>
      <c r="B1600" s="17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</row>
    <row r="1601" spans="1:18" x14ac:dyDescent="0.2">
      <c r="A1601" s="17"/>
      <c r="B1601" s="17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</row>
    <row r="1602" spans="1:18" x14ac:dyDescent="0.2">
      <c r="A1602" s="17"/>
      <c r="B1602" s="17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</row>
    <row r="1603" spans="1:18" x14ac:dyDescent="0.2">
      <c r="A1603" s="17"/>
      <c r="B1603" s="17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</row>
    <row r="1604" spans="1:18" x14ac:dyDescent="0.2">
      <c r="A1604" s="17"/>
      <c r="B1604" s="17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</row>
    <row r="1605" spans="1:18" x14ac:dyDescent="0.2">
      <c r="A1605" s="17"/>
      <c r="B1605" s="17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</row>
    <row r="1606" spans="1:18" x14ac:dyDescent="0.2">
      <c r="A1606" s="17"/>
      <c r="B1606" s="17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</row>
    <row r="1607" spans="1:18" x14ac:dyDescent="0.2">
      <c r="A1607" s="17"/>
      <c r="B1607" s="17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</row>
    <row r="1608" spans="1:18" x14ac:dyDescent="0.2">
      <c r="A1608" s="17"/>
      <c r="B1608" s="17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</row>
    <row r="1609" spans="1:18" x14ac:dyDescent="0.2">
      <c r="A1609" s="17"/>
      <c r="B1609" s="17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</row>
    <row r="1610" spans="1:18" x14ac:dyDescent="0.2">
      <c r="A1610" s="17"/>
      <c r="B1610" s="17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</row>
    <row r="1611" spans="1:18" x14ac:dyDescent="0.2">
      <c r="A1611" s="17"/>
      <c r="B1611" s="17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</row>
    <row r="1612" spans="1:18" x14ac:dyDescent="0.2">
      <c r="A1612" s="17"/>
      <c r="B1612" s="17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</row>
    <row r="1613" spans="1:18" x14ac:dyDescent="0.2">
      <c r="A1613" s="17"/>
      <c r="B1613" s="17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</row>
    <row r="1614" spans="1:18" x14ac:dyDescent="0.2">
      <c r="A1614" s="17"/>
      <c r="B1614" s="17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</row>
    <row r="1615" spans="1:18" x14ac:dyDescent="0.2">
      <c r="A1615" s="17"/>
      <c r="B1615" s="17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</row>
    <row r="1616" spans="1:18" x14ac:dyDescent="0.2">
      <c r="A1616" s="17"/>
      <c r="B1616" s="17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</row>
    <row r="1617" spans="1:18" x14ac:dyDescent="0.2">
      <c r="A1617" s="17"/>
      <c r="B1617" s="17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</row>
    <row r="1618" spans="1:18" x14ac:dyDescent="0.2">
      <c r="A1618" s="17"/>
      <c r="B1618" s="17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</row>
    <row r="1619" spans="1:18" x14ac:dyDescent="0.2">
      <c r="A1619" s="17"/>
      <c r="B1619" s="17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</row>
    <row r="1620" spans="1:18" x14ac:dyDescent="0.2">
      <c r="A1620" s="17"/>
      <c r="B1620" s="17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</row>
    <row r="1621" spans="1:18" x14ac:dyDescent="0.2">
      <c r="A1621" s="17"/>
      <c r="B1621" s="17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</row>
    <row r="1622" spans="1:18" x14ac:dyDescent="0.2">
      <c r="A1622" s="17"/>
      <c r="B1622" s="17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</row>
    <row r="1623" spans="1:18" x14ac:dyDescent="0.2">
      <c r="A1623" s="17"/>
      <c r="B1623" s="17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</row>
    <row r="1624" spans="1:18" x14ac:dyDescent="0.2">
      <c r="A1624" s="17"/>
      <c r="B1624" s="17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</row>
    <row r="1625" spans="1:18" x14ac:dyDescent="0.2">
      <c r="A1625" s="17"/>
      <c r="B1625" s="17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</row>
    <row r="1626" spans="1:18" x14ac:dyDescent="0.2">
      <c r="A1626" s="17"/>
      <c r="B1626" s="17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</row>
    <row r="1627" spans="1:18" x14ac:dyDescent="0.2">
      <c r="A1627" s="17"/>
      <c r="B1627" s="17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</row>
    <row r="1628" spans="1:18" x14ac:dyDescent="0.2">
      <c r="A1628" s="17"/>
      <c r="B1628" s="17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</row>
    <row r="1629" spans="1:18" x14ac:dyDescent="0.2">
      <c r="A1629" s="17"/>
      <c r="B1629" s="17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</row>
    <row r="1630" spans="1:18" x14ac:dyDescent="0.2">
      <c r="A1630" s="17"/>
      <c r="B1630" s="17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</row>
    <row r="1631" spans="1:18" x14ac:dyDescent="0.2">
      <c r="A1631" s="17"/>
      <c r="B1631" s="17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</row>
    <row r="1632" spans="1:18" x14ac:dyDescent="0.2">
      <c r="A1632" s="17"/>
      <c r="B1632" s="17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</row>
    <row r="1633" spans="1:18" x14ac:dyDescent="0.2">
      <c r="A1633" s="17"/>
      <c r="B1633" s="17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</row>
    <row r="1634" spans="1:18" x14ac:dyDescent="0.2">
      <c r="A1634" s="17"/>
      <c r="B1634" s="17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</row>
    <row r="1635" spans="1:18" x14ac:dyDescent="0.2">
      <c r="A1635" s="17"/>
      <c r="B1635" s="17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</row>
    <row r="1636" spans="1:18" x14ac:dyDescent="0.2">
      <c r="A1636" s="17"/>
      <c r="B1636" s="17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</row>
    <row r="1637" spans="1:18" x14ac:dyDescent="0.2">
      <c r="A1637" s="17"/>
      <c r="B1637" s="17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</row>
    <row r="1638" spans="1:18" x14ac:dyDescent="0.2">
      <c r="A1638" s="17"/>
      <c r="B1638" s="17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</row>
    <row r="1639" spans="1:18" x14ac:dyDescent="0.2">
      <c r="A1639" s="17"/>
      <c r="B1639" s="17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</row>
    <row r="1640" spans="1:18" x14ac:dyDescent="0.2">
      <c r="A1640" s="17"/>
      <c r="B1640" s="17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</row>
    <row r="1641" spans="1:18" x14ac:dyDescent="0.2">
      <c r="A1641" s="17"/>
      <c r="B1641" s="17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</row>
    <row r="1642" spans="1:18" x14ac:dyDescent="0.2">
      <c r="A1642" s="17"/>
      <c r="B1642" s="17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</row>
    <row r="1643" spans="1:18" x14ac:dyDescent="0.2">
      <c r="A1643" s="17"/>
      <c r="B1643" s="17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</row>
    <row r="1644" spans="1:18" x14ac:dyDescent="0.2">
      <c r="A1644" s="17"/>
      <c r="B1644" s="17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</row>
    <row r="1645" spans="1:18" x14ac:dyDescent="0.2">
      <c r="A1645" s="17"/>
      <c r="B1645" s="17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</row>
    <row r="1646" spans="1:18" x14ac:dyDescent="0.2">
      <c r="A1646" s="17"/>
      <c r="B1646" s="17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</row>
    <row r="1647" spans="1:18" x14ac:dyDescent="0.2">
      <c r="A1647" s="17"/>
      <c r="B1647" s="17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</row>
    <row r="1648" spans="1:18" x14ac:dyDescent="0.2">
      <c r="A1648" s="17"/>
      <c r="B1648" s="17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</row>
    <row r="1649" spans="1:18" x14ac:dyDescent="0.2">
      <c r="A1649" s="17"/>
      <c r="B1649" s="17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</row>
    <row r="1650" spans="1:18" x14ac:dyDescent="0.2">
      <c r="A1650" s="17"/>
      <c r="B1650" s="17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</row>
    <row r="1651" spans="1:18" x14ac:dyDescent="0.2">
      <c r="A1651" s="17"/>
      <c r="B1651" s="17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</row>
    <row r="1652" spans="1:18" x14ac:dyDescent="0.2">
      <c r="A1652" s="17"/>
      <c r="B1652" s="17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</row>
    <row r="1653" spans="1:18" x14ac:dyDescent="0.2">
      <c r="A1653" s="17"/>
      <c r="B1653" s="17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</row>
    <row r="1654" spans="1:18" x14ac:dyDescent="0.2">
      <c r="A1654" s="17"/>
      <c r="B1654" s="17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</row>
    <row r="1655" spans="1:18" x14ac:dyDescent="0.2">
      <c r="A1655" s="17"/>
      <c r="B1655" s="17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</row>
    <row r="1656" spans="1:18" x14ac:dyDescent="0.2">
      <c r="A1656" s="17"/>
      <c r="B1656" s="17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</row>
    <row r="1657" spans="1:18" x14ac:dyDescent="0.2">
      <c r="A1657" s="17"/>
      <c r="B1657" s="17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</row>
    <row r="1658" spans="1:18" x14ac:dyDescent="0.2">
      <c r="A1658" s="17"/>
      <c r="B1658" s="17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</row>
    <row r="1659" spans="1:18" x14ac:dyDescent="0.2">
      <c r="A1659" s="17"/>
      <c r="B1659" s="17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</row>
    <row r="1660" spans="1:18" x14ac:dyDescent="0.2">
      <c r="A1660" s="17"/>
      <c r="B1660" s="17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</row>
    <row r="1661" spans="1:18" x14ac:dyDescent="0.2">
      <c r="A1661" s="17"/>
      <c r="B1661" s="17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</row>
    <row r="1662" spans="1:18" x14ac:dyDescent="0.2">
      <c r="A1662" s="17"/>
      <c r="B1662" s="17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</row>
    <row r="1663" spans="1:18" x14ac:dyDescent="0.2">
      <c r="A1663" s="17"/>
      <c r="B1663" s="17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</row>
    <row r="1664" spans="1:18" x14ac:dyDescent="0.2">
      <c r="A1664" s="17"/>
      <c r="B1664" s="17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</row>
    <row r="1665" spans="1:18" x14ac:dyDescent="0.2">
      <c r="A1665" s="17"/>
      <c r="B1665" s="17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</row>
    <row r="1666" spans="1:18" x14ac:dyDescent="0.2">
      <c r="A1666" s="17"/>
      <c r="B1666" s="17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</row>
    <row r="1667" spans="1:18" x14ac:dyDescent="0.2">
      <c r="A1667" s="17"/>
      <c r="B1667" s="17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</row>
    <row r="1668" spans="1:18" x14ac:dyDescent="0.2">
      <c r="A1668" s="17"/>
      <c r="B1668" s="17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</row>
    <row r="1669" spans="1:18" x14ac:dyDescent="0.2">
      <c r="A1669" s="17"/>
      <c r="B1669" s="17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</row>
    <row r="1670" spans="1:18" x14ac:dyDescent="0.2">
      <c r="A1670" s="17"/>
      <c r="B1670" s="17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</row>
    <row r="1671" spans="1:18" x14ac:dyDescent="0.2">
      <c r="A1671" s="17"/>
      <c r="B1671" s="17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</row>
    <row r="1672" spans="1:18" x14ac:dyDescent="0.2">
      <c r="A1672" s="17"/>
      <c r="B1672" s="17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</row>
    <row r="1673" spans="1:18" x14ac:dyDescent="0.2">
      <c r="A1673" s="17"/>
      <c r="B1673" s="17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</row>
    <row r="1674" spans="1:18" x14ac:dyDescent="0.2">
      <c r="A1674" s="17"/>
      <c r="B1674" s="17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</row>
    <row r="1675" spans="1:18" x14ac:dyDescent="0.2">
      <c r="A1675" s="17"/>
      <c r="B1675" s="17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</row>
    <row r="1676" spans="1:18" x14ac:dyDescent="0.2">
      <c r="A1676" s="17"/>
      <c r="B1676" s="17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</row>
    <row r="1677" spans="1:18" x14ac:dyDescent="0.2">
      <c r="A1677" s="17"/>
      <c r="B1677" s="17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</row>
    <row r="1678" spans="1:18" x14ac:dyDescent="0.2">
      <c r="A1678" s="17"/>
      <c r="B1678" s="17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</row>
    <row r="1679" spans="1:18" x14ac:dyDescent="0.2">
      <c r="A1679" s="17"/>
      <c r="B1679" s="17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</row>
    <row r="1680" spans="1:18" x14ac:dyDescent="0.2">
      <c r="A1680" s="17"/>
      <c r="B1680" s="17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</row>
    <row r="1681" spans="1:18" x14ac:dyDescent="0.2">
      <c r="A1681" s="17"/>
      <c r="B1681" s="17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</row>
    <row r="1682" spans="1:18" x14ac:dyDescent="0.2">
      <c r="A1682" s="17"/>
      <c r="B1682" s="17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</row>
    <row r="1683" spans="1:18" x14ac:dyDescent="0.2">
      <c r="A1683" s="17"/>
      <c r="B1683" s="17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</row>
    <row r="1684" spans="1:18" x14ac:dyDescent="0.2">
      <c r="A1684" s="17"/>
      <c r="B1684" s="17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</row>
    <row r="1685" spans="1:18" x14ac:dyDescent="0.2">
      <c r="A1685" s="17"/>
      <c r="B1685" s="17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</row>
    <row r="1686" spans="1:18" x14ac:dyDescent="0.2">
      <c r="A1686" s="17"/>
      <c r="B1686" s="17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</row>
    <row r="1687" spans="1:18" x14ac:dyDescent="0.2">
      <c r="A1687" s="17"/>
      <c r="B1687" s="17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</row>
    <row r="1688" spans="1:18" x14ac:dyDescent="0.2">
      <c r="A1688" s="17"/>
      <c r="B1688" s="17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</row>
    <row r="1689" spans="1:18" x14ac:dyDescent="0.2">
      <c r="A1689" s="17"/>
      <c r="B1689" s="17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</row>
    <row r="1690" spans="1:18" x14ac:dyDescent="0.2">
      <c r="A1690" s="17"/>
      <c r="B1690" s="17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</row>
    <row r="1691" spans="1:18" x14ac:dyDescent="0.2">
      <c r="A1691" s="17"/>
      <c r="B1691" s="17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</row>
    <row r="1692" spans="1:18" x14ac:dyDescent="0.2">
      <c r="A1692" s="17"/>
      <c r="B1692" s="17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</row>
    <row r="1693" spans="1:18" x14ac:dyDescent="0.2">
      <c r="A1693" s="17"/>
      <c r="B1693" s="17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</row>
    <row r="1694" spans="1:18" x14ac:dyDescent="0.2">
      <c r="A1694" s="17"/>
      <c r="B1694" s="17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</row>
    <row r="1695" spans="1:18" x14ac:dyDescent="0.2">
      <c r="A1695" s="17"/>
      <c r="B1695" s="17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</row>
    <row r="1696" spans="1:18" x14ac:dyDescent="0.2">
      <c r="A1696" s="17"/>
      <c r="B1696" s="17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</row>
    <row r="1697" spans="1:18" x14ac:dyDescent="0.2">
      <c r="A1697" s="17"/>
      <c r="B1697" s="17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</row>
    <row r="1698" spans="1:18" x14ac:dyDescent="0.2">
      <c r="A1698" s="17"/>
      <c r="B1698" s="17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</row>
    <row r="1699" spans="1:18" x14ac:dyDescent="0.2">
      <c r="A1699" s="17"/>
      <c r="B1699" s="17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</row>
    <row r="1700" spans="1:18" x14ac:dyDescent="0.2">
      <c r="A1700" s="17"/>
      <c r="B1700" s="17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</row>
    <row r="1701" spans="1:18" x14ac:dyDescent="0.2">
      <c r="A1701" s="17"/>
      <c r="B1701" s="17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</row>
    <row r="1702" spans="1:18" x14ac:dyDescent="0.2">
      <c r="A1702" s="17"/>
      <c r="B1702" s="17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</row>
    <row r="1703" spans="1:18" x14ac:dyDescent="0.2">
      <c r="A1703" s="17"/>
      <c r="B1703" s="17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</row>
    <row r="1704" spans="1:18" x14ac:dyDescent="0.2">
      <c r="A1704" s="17"/>
      <c r="B1704" s="17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</row>
    <row r="1705" spans="1:18" x14ac:dyDescent="0.2">
      <c r="A1705" s="17"/>
      <c r="B1705" s="17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</row>
    <row r="1706" spans="1:18" x14ac:dyDescent="0.2">
      <c r="A1706" s="17"/>
      <c r="B1706" s="17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</row>
    <row r="1707" spans="1:18" x14ac:dyDescent="0.2">
      <c r="A1707" s="17"/>
      <c r="B1707" s="17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</row>
    <row r="1708" spans="1:18" x14ac:dyDescent="0.2">
      <c r="A1708" s="17"/>
      <c r="B1708" s="17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</row>
    <row r="1709" spans="1:18" x14ac:dyDescent="0.2">
      <c r="A1709" s="17"/>
      <c r="B1709" s="17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</row>
    <row r="1710" spans="1:18" x14ac:dyDescent="0.2">
      <c r="A1710" s="17"/>
      <c r="B1710" s="17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</row>
    <row r="1711" spans="1:18" x14ac:dyDescent="0.2">
      <c r="A1711" s="17"/>
      <c r="B1711" s="17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</row>
    <row r="1712" spans="1:18" x14ac:dyDescent="0.2">
      <c r="A1712" s="17"/>
      <c r="B1712" s="17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</row>
    <row r="1713" spans="1:18" x14ac:dyDescent="0.2">
      <c r="A1713" s="17"/>
      <c r="B1713" s="17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</row>
    <row r="1714" spans="1:18" x14ac:dyDescent="0.2">
      <c r="A1714" s="17"/>
      <c r="B1714" s="17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</row>
    <row r="1715" spans="1:18" x14ac:dyDescent="0.2">
      <c r="A1715" s="17"/>
      <c r="B1715" s="17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</row>
    <row r="1716" spans="1:18" x14ac:dyDescent="0.2">
      <c r="A1716" s="17"/>
      <c r="B1716" s="17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</row>
    <row r="1717" spans="1:18" x14ac:dyDescent="0.2">
      <c r="A1717" s="17"/>
      <c r="B1717" s="17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</row>
    <row r="1718" spans="1:18" x14ac:dyDescent="0.2">
      <c r="A1718" s="17"/>
      <c r="B1718" s="17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</row>
    <row r="1719" spans="1:18" x14ac:dyDescent="0.2">
      <c r="A1719" s="17"/>
      <c r="B1719" s="17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</row>
    <row r="1720" spans="1:18" x14ac:dyDescent="0.2">
      <c r="A1720" s="17"/>
      <c r="B1720" s="17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</row>
    <row r="1721" spans="1:18" x14ac:dyDescent="0.2">
      <c r="A1721" s="17"/>
      <c r="B1721" s="17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</row>
    <row r="1722" spans="1:18" x14ac:dyDescent="0.2">
      <c r="A1722" s="17"/>
      <c r="B1722" s="17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</row>
    <row r="1723" spans="1:18" x14ac:dyDescent="0.2">
      <c r="A1723" s="17"/>
      <c r="B1723" s="17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</row>
    <row r="1724" spans="1:18" x14ac:dyDescent="0.2">
      <c r="A1724" s="17"/>
      <c r="B1724" s="17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</row>
    <row r="1725" spans="1:18" x14ac:dyDescent="0.2">
      <c r="A1725" s="17"/>
      <c r="B1725" s="17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</row>
    <row r="1726" spans="1:18" x14ac:dyDescent="0.2">
      <c r="A1726" s="17"/>
      <c r="B1726" s="17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</row>
    <row r="1727" spans="1:18" x14ac:dyDescent="0.2">
      <c r="A1727" s="17"/>
      <c r="B1727" s="17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</row>
    <row r="1728" spans="1:18" x14ac:dyDescent="0.2">
      <c r="A1728" s="17"/>
      <c r="B1728" s="17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</row>
    <row r="1729" spans="1:18" x14ac:dyDescent="0.2">
      <c r="A1729" s="17"/>
      <c r="B1729" s="17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</row>
    <row r="1730" spans="1:18" x14ac:dyDescent="0.2">
      <c r="A1730" s="17"/>
      <c r="B1730" s="17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</row>
    <row r="1731" spans="1:18" x14ac:dyDescent="0.2">
      <c r="A1731" s="17"/>
      <c r="B1731" s="17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</row>
    <row r="1732" spans="1:18" x14ac:dyDescent="0.2">
      <c r="A1732" s="17"/>
      <c r="B1732" s="17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</row>
    <row r="1733" spans="1:18" x14ac:dyDescent="0.2">
      <c r="A1733" s="17"/>
      <c r="B1733" s="17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</row>
    <row r="1734" spans="1:18" x14ac:dyDescent="0.2">
      <c r="A1734" s="17"/>
      <c r="B1734" s="17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</row>
    <row r="1735" spans="1:18" x14ac:dyDescent="0.2">
      <c r="A1735" s="17"/>
      <c r="B1735" s="17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</row>
    <row r="1736" spans="1:18" x14ac:dyDescent="0.2">
      <c r="A1736" s="17"/>
      <c r="B1736" s="17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</row>
    <row r="1737" spans="1:18" x14ac:dyDescent="0.2">
      <c r="A1737" s="17"/>
      <c r="B1737" s="17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</row>
    <row r="1738" spans="1:18" x14ac:dyDescent="0.2">
      <c r="A1738" s="17"/>
      <c r="B1738" s="17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</row>
    <row r="1739" spans="1:18" x14ac:dyDescent="0.2">
      <c r="A1739" s="17"/>
      <c r="B1739" s="17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</row>
    <row r="1740" spans="1:18" x14ac:dyDescent="0.2">
      <c r="A1740" s="17"/>
      <c r="B1740" s="17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</row>
    <row r="1741" spans="1:18" x14ac:dyDescent="0.2">
      <c r="A1741" s="17"/>
      <c r="B1741" s="17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</row>
    <row r="1742" spans="1:18" x14ac:dyDescent="0.2">
      <c r="A1742" s="17"/>
      <c r="B1742" s="17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</row>
    <row r="1743" spans="1:18" x14ac:dyDescent="0.2">
      <c r="A1743" s="17"/>
      <c r="B1743" s="17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</row>
    <row r="1744" spans="1:18" x14ac:dyDescent="0.2">
      <c r="A1744" s="17"/>
      <c r="B1744" s="17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</row>
    <row r="1745" spans="1:18" x14ac:dyDescent="0.2">
      <c r="A1745" s="17"/>
      <c r="B1745" s="17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</row>
    <row r="1746" spans="1:18" x14ac:dyDescent="0.2">
      <c r="A1746" s="17"/>
      <c r="B1746" s="17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</row>
    <row r="1747" spans="1:18" x14ac:dyDescent="0.2">
      <c r="A1747" s="17"/>
      <c r="B1747" s="17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</row>
    <row r="1748" spans="1:18" x14ac:dyDescent="0.2">
      <c r="A1748" s="17"/>
      <c r="B1748" s="17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</row>
    <row r="1749" spans="1:18" x14ac:dyDescent="0.2">
      <c r="A1749" s="17"/>
      <c r="B1749" s="17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</row>
    <row r="1750" spans="1:18" x14ac:dyDescent="0.2">
      <c r="A1750" s="17"/>
      <c r="B1750" s="17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</row>
    <row r="1751" spans="1:18" x14ac:dyDescent="0.2">
      <c r="A1751" s="17"/>
      <c r="B1751" s="17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</row>
    <row r="1752" spans="1:18" x14ac:dyDescent="0.2">
      <c r="A1752" s="17"/>
      <c r="B1752" s="17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</row>
    <row r="1753" spans="1:18" x14ac:dyDescent="0.2">
      <c r="A1753" s="17"/>
      <c r="B1753" s="17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</row>
    <row r="1754" spans="1:18" x14ac:dyDescent="0.2">
      <c r="A1754" s="17"/>
      <c r="B1754" s="17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</row>
    <row r="1755" spans="1:18" x14ac:dyDescent="0.2">
      <c r="A1755" s="17"/>
      <c r="B1755" s="17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</row>
    <row r="1756" spans="1:18" x14ac:dyDescent="0.2">
      <c r="A1756" s="17"/>
      <c r="B1756" s="17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</row>
    <row r="1757" spans="1:18" x14ac:dyDescent="0.2">
      <c r="A1757" s="17"/>
      <c r="B1757" s="17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</row>
    <row r="1758" spans="1:18" x14ac:dyDescent="0.2">
      <c r="A1758" s="17"/>
      <c r="B1758" s="17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</row>
    <row r="1759" spans="1:18" x14ac:dyDescent="0.2">
      <c r="A1759" s="17"/>
      <c r="B1759" s="17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</row>
    <row r="1760" spans="1:18" x14ac:dyDescent="0.2">
      <c r="A1760" s="17"/>
      <c r="B1760" s="17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</row>
    <row r="1761" spans="1:18" x14ac:dyDescent="0.2">
      <c r="A1761" s="17"/>
      <c r="B1761" s="17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</row>
    <row r="1762" spans="1:18" x14ac:dyDescent="0.2">
      <c r="A1762" s="17"/>
      <c r="B1762" s="17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</row>
    <row r="1763" spans="1:18" x14ac:dyDescent="0.2">
      <c r="A1763" s="17"/>
      <c r="B1763" s="17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</row>
    <row r="1764" spans="1:18" x14ac:dyDescent="0.2">
      <c r="A1764" s="17"/>
      <c r="B1764" s="17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</row>
    <row r="1765" spans="1:18" x14ac:dyDescent="0.2">
      <c r="A1765" s="17"/>
      <c r="B1765" s="17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</row>
    <row r="1766" spans="1:18" x14ac:dyDescent="0.2">
      <c r="A1766" s="17"/>
      <c r="B1766" s="17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</row>
    <row r="1767" spans="1:18" x14ac:dyDescent="0.2">
      <c r="A1767" s="17"/>
      <c r="B1767" s="17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</row>
    <row r="1768" spans="1:18" x14ac:dyDescent="0.2">
      <c r="A1768" s="17"/>
      <c r="B1768" s="17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</row>
    <row r="1769" spans="1:18" x14ac:dyDescent="0.2">
      <c r="A1769" s="17"/>
      <c r="B1769" s="17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</row>
    <row r="1770" spans="1:18" x14ac:dyDescent="0.2">
      <c r="A1770" s="17"/>
      <c r="B1770" s="17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</row>
    <row r="1771" spans="1:18" x14ac:dyDescent="0.2">
      <c r="A1771" s="17"/>
      <c r="B1771" s="17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</row>
    <row r="1772" spans="1:18" x14ac:dyDescent="0.2">
      <c r="A1772" s="17"/>
      <c r="B1772" s="17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</row>
    <row r="1773" spans="1:18" x14ac:dyDescent="0.2">
      <c r="A1773" s="17"/>
      <c r="B1773" s="17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</row>
    <row r="1774" spans="1:18" x14ac:dyDescent="0.2">
      <c r="A1774" s="17"/>
      <c r="B1774" s="17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</row>
    <row r="1775" spans="1:18" x14ac:dyDescent="0.2">
      <c r="A1775" s="17"/>
      <c r="B1775" s="17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</row>
    <row r="1776" spans="1:18" x14ac:dyDescent="0.2">
      <c r="A1776" s="17"/>
      <c r="B1776" s="17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</row>
    <row r="1777" spans="1:18" x14ac:dyDescent="0.2">
      <c r="A1777" s="17"/>
      <c r="B1777" s="17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</row>
    <row r="1778" spans="1:18" x14ac:dyDescent="0.2">
      <c r="A1778" s="17"/>
      <c r="B1778" s="17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</row>
    <row r="1779" spans="1:18" x14ac:dyDescent="0.2">
      <c r="A1779" s="17"/>
      <c r="B1779" s="17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</row>
    <row r="1780" spans="1:18" x14ac:dyDescent="0.2">
      <c r="A1780" s="17"/>
      <c r="B1780" s="17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</row>
    <row r="1781" spans="1:18" x14ac:dyDescent="0.2">
      <c r="A1781" s="17"/>
      <c r="B1781" s="17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</row>
    <row r="1782" spans="1:18" x14ac:dyDescent="0.2">
      <c r="A1782" s="17"/>
      <c r="B1782" s="17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</row>
    <row r="1783" spans="1:18" x14ac:dyDescent="0.2">
      <c r="A1783" s="17"/>
      <c r="B1783" s="17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</row>
    <row r="1784" spans="1:18" x14ac:dyDescent="0.2">
      <c r="A1784" s="17"/>
      <c r="B1784" s="17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</row>
    <row r="1785" spans="1:18" x14ac:dyDescent="0.2">
      <c r="A1785" s="17"/>
      <c r="B1785" s="17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</row>
    <row r="1786" spans="1:18" x14ac:dyDescent="0.2">
      <c r="A1786" s="17"/>
      <c r="B1786" s="17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</row>
    <row r="1787" spans="1:18" x14ac:dyDescent="0.2">
      <c r="A1787" s="17"/>
      <c r="B1787" s="17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</row>
    <row r="1788" spans="1:18" x14ac:dyDescent="0.2">
      <c r="A1788" s="17"/>
      <c r="B1788" s="17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</row>
    <row r="1789" spans="1:18" x14ac:dyDescent="0.2">
      <c r="A1789" s="17"/>
      <c r="B1789" s="17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</row>
    <row r="1790" spans="1:18" x14ac:dyDescent="0.2">
      <c r="A1790" s="17"/>
      <c r="B1790" s="17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</row>
    <row r="1791" spans="1:18" x14ac:dyDescent="0.2">
      <c r="A1791" s="17"/>
      <c r="B1791" s="17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</row>
    <row r="1792" spans="1:18" x14ac:dyDescent="0.2">
      <c r="A1792" s="17"/>
      <c r="B1792" s="17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</row>
    <row r="1793" spans="1:18" x14ac:dyDescent="0.2">
      <c r="A1793" s="17"/>
      <c r="B1793" s="17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</row>
    <row r="1794" spans="1:18" x14ac:dyDescent="0.2">
      <c r="A1794" s="17"/>
      <c r="B1794" s="17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</row>
    <row r="1795" spans="1:18" x14ac:dyDescent="0.2">
      <c r="A1795" s="17"/>
      <c r="B1795" s="17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</row>
    <row r="1796" spans="1:18" x14ac:dyDescent="0.2">
      <c r="A1796" s="17"/>
      <c r="B1796" s="17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</row>
    <row r="1797" spans="1:18" x14ac:dyDescent="0.2">
      <c r="A1797" s="17"/>
      <c r="B1797" s="17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</row>
    <row r="1798" spans="1:18" x14ac:dyDescent="0.2">
      <c r="A1798" s="17"/>
      <c r="B1798" s="17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</row>
    <row r="1799" spans="1:18" x14ac:dyDescent="0.2">
      <c r="A1799" s="17"/>
      <c r="B1799" s="17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</row>
    <row r="1800" spans="1:18" x14ac:dyDescent="0.2">
      <c r="A1800" s="17"/>
      <c r="B1800" s="17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</row>
    <row r="1801" spans="1:18" x14ac:dyDescent="0.2">
      <c r="A1801" s="17"/>
      <c r="B1801" s="17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</row>
    <row r="1802" spans="1:18" x14ac:dyDescent="0.2">
      <c r="A1802" s="17"/>
      <c r="B1802" s="17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</row>
    <row r="1803" spans="1:18" x14ac:dyDescent="0.2">
      <c r="A1803" s="17"/>
      <c r="B1803" s="17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</row>
    <row r="1804" spans="1:18" x14ac:dyDescent="0.2">
      <c r="A1804" s="17"/>
      <c r="B1804" s="17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</row>
    <row r="1805" spans="1:18" x14ac:dyDescent="0.2">
      <c r="A1805" s="17"/>
      <c r="B1805" s="17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</row>
    <row r="1806" spans="1:18" x14ac:dyDescent="0.2">
      <c r="A1806" s="17"/>
      <c r="B1806" s="17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</row>
    <row r="1807" spans="1:18" x14ac:dyDescent="0.2">
      <c r="A1807" s="17"/>
      <c r="B1807" s="17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</row>
    <row r="1808" spans="1:18" x14ac:dyDescent="0.2">
      <c r="A1808" s="17"/>
      <c r="B1808" s="17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</row>
    <row r="1809" spans="1:18" x14ac:dyDescent="0.2">
      <c r="A1809" s="17"/>
      <c r="B1809" s="17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</row>
    <row r="1810" spans="1:18" x14ac:dyDescent="0.2">
      <c r="A1810" s="17"/>
      <c r="B1810" s="17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</row>
    <row r="1811" spans="1:18" x14ac:dyDescent="0.2">
      <c r="A1811" s="17"/>
      <c r="B1811" s="17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</row>
    <row r="1812" spans="1:18" x14ac:dyDescent="0.2">
      <c r="A1812" s="17"/>
      <c r="B1812" s="17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</row>
    <row r="1813" spans="1:18" x14ac:dyDescent="0.2">
      <c r="A1813" s="17"/>
      <c r="B1813" s="17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</row>
    <row r="1814" spans="1:18" x14ac:dyDescent="0.2">
      <c r="A1814" s="17"/>
      <c r="B1814" s="17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</row>
    <row r="1815" spans="1:18" x14ac:dyDescent="0.2">
      <c r="A1815" s="17"/>
      <c r="B1815" s="17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</row>
    <row r="1816" spans="1:18" x14ac:dyDescent="0.2">
      <c r="A1816" s="17"/>
      <c r="B1816" s="17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</row>
    <row r="1817" spans="1:18" x14ac:dyDescent="0.2">
      <c r="A1817" s="17"/>
      <c r="B1817" s="17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</row>
    <row r="1818" spans="1:18" x14ac:dyDescent="0.2">
      <c r="A1818" s="17"/>
      <c r="B1818" s="17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</row>
    <row r="1819" spans="1:18" x14ac:dyDescent="0.2">
      <c r="A1819" s="17"/>
      <c r="B1819" s="17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</row>
    <row r="1820" spans="1:18" x14ac:dyDescent="0.2">
      <c r="A1820" s="17"/>
      <c r="B1820" s="17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</row>
    <row r="1821" spans="1:18" x14ac:dyDescent="0.2">
      <c r="A1821" s="17"/>
      <c r="B1821" s="17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</row>
    <row r="1822" spans="1:18" x14ac:dyDescent="0.2">
      <c r="A1822" s="17"/>
      <c r="B1822" s="17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</row>
    <row r="1823" spans="1:18" x14ac:dyDescent="0.2">
      <c r="A1823" s="17"/>
      <c r="B1823" s="17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</row>
    <row r="1824" spans="1:18" x14ac:dyDescent="0.2">
      <c r="A1824" s="17"/>
      <c r="B1824" s="17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</row>
    <row r="1825" spans="1:18" x14ac:dyDescent="0.2">
      <c r="A1825" s="17"/>
      <c r="B1825" s="17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</row>
    <row r="1826" spans="1:18" x14ac:dyDescent="0.2">
      <c r="A1826" s="17"/>
      <c r="B1826" s="17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</row>
    <row r="1827" spans="1:18" x14ac:dyDescent="0.2">
      <c r="A1827" s="17"/>
      <c r="B1827" s="17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</row>
    <row r="1828" spans="1:18" x14ac:dyDescent="0.2">
      <c r="A1828" s="17"/>
      <c r="B1828" s="17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</row>
    <row r="1829" spans="1:18" x14ac:dyDescent="0.2">
      <c r="A1829" s="17"/>
      <c r="B1829" s="17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</row>
    <row r="1830" spans="1:18" x14ac:dyDescent="0.2">
      <c r="A1830" s="17"/>
      <c r="B1830" s="17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</row>
    <row r="1831" spans="1:18" x14ac:dyDescent="0.2">
      <c r="A1831" s="17"/>
      <c r="B1831" s="17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</row>
    <row r="1832" spans="1:18" x14ac:dyDescent="0.2">
      <c r="A1832" s="17"/>
      <c r="B1832" s="17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</row>
    <row r="1833" spans="1:18" x14ac:dyDescent="0.2">
      <c r="A1833" s="17"/>
      <c r="B1833" s="17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</row>
    <row r="1834" spans="1:18" x14ac:dyDescent="0.2">
      <c r="A1834" s="17"/>
      <c r="B1834" s="17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</row>
    <row r="1835" spans="1:18" x14ac:dyDescent="0.2">
      <c r="A1835" s="17"/>
      <c r="B1835" s="17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</row>
    <row r="1836" spans="1:18" x14ac:dyDescent="0.2">
      <c r="A1836" s="17"/>
      <c r="B1836" s="17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</row>
    <row r="1837" spans="1:18" x14ac:dyDescent="0.2">
      <c r="A1837" s="17"/>
      <c r="B1837" s="17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</row>
    <row r="1838" spans="1:18" x14ac:dyDescent="0.2">
      <c r="A1838" s="17"/>
      <c r="B1838" s="17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</row>
    <row r="1839" spans="1:18" x14ac:dyDescent="0.2">
      <c r="A1839" s="17"/>
      <c r="B1839" s="17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</row>
    <row r="1840" spans="1:18" x14ac:dyDescent="0.2">
      <c r="A1840" s="17"/>
      <c r="B1840" s="17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</row>
    <row r="1841" spans="1:18" x14ac:dyDescent="0.2">
      <c r="A1841" s="17"/>
      <c r="B1841" s="17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</row>
    <row r="1842" spans="1:18" x14ac:dyDescent="0.2">
      <c r="A1842" s="17"/>
      <c r="B1842" s="17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</row>
    <row r="1843" spans="1:18" x14ac:dyDescent="0.2">
      <c r="A1843" s="17"/>
      <c r="B1843" s="17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</row>
    <row r="1844" spans="1:18" x14ac:dyDescent="0.2">
      <c r="A1844" s="17"/>
      <c r="B1844" s="17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</row>
    <row r="1845" spans="1:18" x14ac:dyDescent="0.2">
      <c r="A1845" s="17"/>
      <c r="B1845" s="17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</row>
    <row r="1846" spans="1:18" x14ac:dyDescent="0.2">
      <c r="A1846" s="17"/>
      <c r="B1846" s="17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</row>
    <row r="1847" spans="1:18" x14ac:dyDescent="0.2">
      <c r="A1847" s="17"/>
      <c r="B1847" s="17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</row>
    <row r="1848" spans="1:18" x14ac:dyDescent="0.2">
      <c r="A1848" s="17"/>
      <c r="B1848" s="17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</row>
    <row r="1849" spans="1:18" x14ac:dyDescent="0.2">
      <c r="A1849" s="17"/>
      <c r="B1849" s="17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</row>
    <row r="1850" spans="1:18" x14ac:dyDescent="0.2">
      <c r="A1850" s="17"/>
      <c r="B1850" s="17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</row>
    <row r="1851" spans="1:18" x14ac:dyDescent="0.2">
      <c r="A1851" s="17"/>
      <c r="B1851" s="17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</row>
    <row r="1852" spans="1:18" x14ac:dyDescent="0.2">
      <c r="A1852" s="17"/>
      <c r="B1852" s="17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</row>
    <row r="1853" spans="1:18" x14ac:dyDescent="0.2">
      <c r="A1853" s="17"/>
      <c r="B1853" s="17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</row>
    <row r="1854" spans="1:18" x14ac:dyDescent="0.2">
      <c r="A1854" s="17"/>
      <c r="B1854" s="17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</row>
    <row r="1855" spans="1:18" x14ac:dyDescent="0.2">
      <c r="A1855" s="17"/>
      <c r="B1855" s="17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</row>
    <row r="1856" spans="1:18" x14ac:dyDescent="0.2">
      <c r="A1856" s="17"/>
      <c r="B1856" s="17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</row>
    <row r="1857" spans="1:18" x14ac:dyDescent="0.2">
      <c r="A1857" s="17"/>
      <c r="B1857" s="17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</row>
    <row r="1858" spans="1:18" x14ac:dyDescent="0.2">
      <c r="A1858" s="17"/>
      <c r="B1858" s="17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</row>
    <row r="1859" spans="1:18" x14ac:dyDescent="0.2">
      <c r="A1859" s="17"/>
      <c r="B1859" s="17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</row>
    <row r="1860" spans="1:18" x14ac:dyDescent="0.2">
      <c r="A1860" s="17"/>
      <c r="B1860" s="17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</row>
    <row r="1861" spans="1:18" x14ac:dyDescent="0.2">
      <c r="A1861" s="17"/>
      <c r="B1861" s="17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</row>
    <row r="1862" spans="1:18" x14ac:dyDescent="0.2">
      <c r="A1862" s="17"/>
      <c r="B1862" s="17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</row>
    <row r="1863" spans="1:18" x14ac:dyDescent="0.2">
      <c r="A1863" s="17"/>
      <c r="B1863" s="17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</row>
    <row r="1864" spans="1:18" x14ac:dyDescent="0.2">
      <c r="A1864" s="17"/>
      <c r="B1864" s="17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</row>
    <row r="1865" spans="1:18" x14ac:dyDescent="0.2">
      <c r="A1865" s="17"/>
      <c r="B1865" s="17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</row>
    <row r="1866" spans="1:18" x14ac:dyDescent="0.2">
      <c r="A1866" s="17"/>
      <c r="B1866" s="17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</row>
    <row r="1867" spans="1:18" x14ac:dyDescent="0.2">
      <c r="A1867" s="17"/>
      <c r="B1867" s="17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</row>
    <row r="1868" spans="1:18" x14ac:dyDescent="0.2">
      <c r="A1868" s="17"/>
      <c r="B1868" s="17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</row>
    <row r="1869" spans="1:18" x14ac:dyDescent="0.2">
      <c r="A1869" s="17"/>
      <c r="B1869" s="17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</row>
    <row r="1870" spans="1:18" x14ac:dyDescent="0.2">
      <c r="A1870" s="17"/>
      <c r="B1870" s="17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</row>
    <row r="1871" spans="1:18" x14ac:dyDescent="0.2">
      <c r="A1871" s="17"/>
      <c r="B1871" s="17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</row>
    <row r="1872" spans="1:18" x14ac:dyDescent="0.2">
      <c r="A1872" s="17"/>
      <c r="B1872" s="17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</row>
    <row r="1873" spans="1:18" x14ac:dyDescent="0.2">
      <c r="A1873" s="17"/>
      <c r="B1873" s="17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</row>
    <row r="1874" spans="1:18" x14ac:dyDescent="0.2">
      <c r="A1874" s="17"/>
      <c r="B1874" s="17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</row>
    <row r="1875" spans="1:18" x14ac:dyDescent="0.2">
      <c r="A1875" s="17"/>
      <c r="B1875" s="17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</row>
    <row r="1876" spans="1:18" x14ac:dyDescent="0.2">
      <c r="A1876" s="17"/>
      <c r="B1876" s="17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</row>
    <row r="1877" spans="1:18" x14ac:dyDescent="0.2">
      <c r="A1877" s="17"/>
      <c r="B1877" s="17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</row>
    <row r="1878" spans="1:18" x14ac:dyDescent="0.2">
      <c r="A1878" s="17"/>
      <c r="B1878" s="17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</row>
    <row r="1879" spans="1:18" x14ac:dyDescent="0.2">
      <c r="A1879" s="17"/>
      <c r="B1879" s="17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</row>
    <row r="1880" spans="1:18" x14ac:dyDescent="0.2">
      <c r="A1880" s="17"/>
      <c r="B1880" s="17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</row>
    <row r="1881" spans="1:18" x14ac:dyDescent="0.2">
      <c r="A1881" s="17"/>
      <c r="B1881" s="17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</row>
    <row r="1882" spans="1:18" x14ac:dyDescent="0.2">
      <c r="A1882" s="17"/>
      <c r="B1882" s="17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</row>
    <row r="1883" spans="1:18" x14ac:dyDescent="0.2">
      <c r="A1883" s="17"/>
      <c r="B1883" s="17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</row>
    <row r="1884" spans="1:18" x14ac:dyDescent="0.2">
      <c r="A1884" s="17"/>
      <c r="B1884" s="17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</row>
    <row r="1885" spans="1:18" x14ac:dyDescent="0.2">
      <c r="A1885" s="17"/>
      <c r="B1885" s="17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</row>
    <row r="1886" spans="1:18" x14ac:dyDescent="0.2">
      <c r="A1886" s="17"/>
      <c r="B1886" s="17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</row>
    <row r="1887" spans="1:18" x14ac:dyDescent="0.2">
      <c r="A1887" s="17"/>
      <c r="B1887" s="17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</row>
    <row r="1888" spans="1:18" x14ac:dyDescent="0.2">
      <c r="A1888" s="17"/>
      <c r="B1888" s="17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</row>
    <row r="1889" spans="1:18" x14ac:dyDescent="0.2">
      <c r="A1889" s="17"/>
      <c r="B1889" s="17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</row>
    <row r="1890" spans="1:18" x14ac:dyDescent="0.2">
      <c r="A1890" s="17"/>
      <c r="B1890" s="17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</row>
    <row r="1891" spans="1:18" x14ac:dyDescent="0.2">
      <c r="A1891" s="17"/>
      <c r="B1891" s="17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</row>
    <row r="1892" spans="1:18" x14ac:dyDescent="0.2">
      <c r="A1892" s="17"/>
      <c r="B1892" s="17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</row>
    <row r="1893" spans="1:18" x14ac:dyDescent="0.2">
      <c r="A1893" s="17"/>
      <c r="B1893" s="17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</row>
    <row r="1894" spans="1:18" x14ac:dyDescent="0.2">
      <c r="A1894" s="17"/>
      <c r="B1894" s="17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</row>
    <row r="1895" spans="1:18" x14ac:dyDescent="0.2">
      <c r="A1895" s="17"/>
      <c r="B1895" s="17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</row>
    <row r="1896" spans="1:18" x14ac:dyDescent="0.2">
      <c r="A1896" s="17"/>
      <c r="B1896" s="17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</row>
    <row r="1897" spans="1:18" x14ac:dyDescent="0.2">
      <c r="A1897" s="17"/>
      <c r="B1897" s="17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</row>
    <row r="1898" spans="1:18" x14ac:dyDescent="0.2">
      <c r="A1898" s="17"/>
      <c r="B1898" s="17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</row>
    <row r="1899" spans="1:18" x14ac:dyDescent="0.2">
      <c r="A1899" s="17"/>
      <c r="B1899" s="17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</row>
    <row r="1900" spans="1:18" x14ac:dyDescent="0.2">
      <c r="A1900" s="17"/>
      <c r="B1900" s="17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</row>
    <row r="1901" spans="1:18" x14ac:dyDescent="0.2">
      <c r="A1901" s="17"/>
      <c r="B1901" s="17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</row>
    <row r="1902" spans="1:18" x14ac:dyDescent="0.2">
      <c r="A1902" s="17"/>
      <c r="B1902" s="17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</row>
    <row r="1903" spans="1:18" x14ac:dyDescent="0.2">
      <c r="A1903" s="17"/>
      <c r="B1903" s="17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</row>
    <row r="1904" spans="1:18" x14ac:dyDescent="0.2">
      <c r="A1904" s="17"/>
      <c r="B1904" s="17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</row>
    <row r="1905" spans="1:18" x14ac:dyDescent="0.2">
      <c r="A1905" s="17"/>
      <c r="B1905" s="17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</row>
    <row r="1906" spans="1:18" x14ac:dyDescent="0.2">
      <c r="A1906" s="17"/>
      <c r="B1906" s="17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</row>
    <row r="1907" spans="1:18" x14ac:dyDescent="0.2">
      <c r="A1907" s="17"/>
      <c r="B1907" s="17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</row>
    <row r="1908" spans="1:18" x14ac:dyDescent="0.2">
      <c r="A1908" s="17"/>
      <c r="B1908" s="17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</row>
    <row r="1909" spans="1:18" x14ac:dyDescent="0.2">
      <c r="A1909" s="17"/>
      <c r="B1909" s="17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</row>
    <row r="1910" spans="1:18" x14ac:dyDescent="0.2">
      <c r="A1910" s="17"/>
      <c r="B1910" s="17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</row>
    <row r="1911" spans="1:18" x14ac:dyDescent="0.2">
      <c r="A1911" s="17"/>
      <c r="B1911" s="17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</row>
    <row r="1912" spans="1:18" x14ac:dyDescent="0.2">
      <c r="A1912" s="17"/>
      <c r="B1912" s="17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</row>
    <row r="1913" spans="1:18" x14ac:dyDescent="0.2">
      <c r="A1913" s="17"/>
      <c r="B1913" s="17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</row>
    <row r="1914" spans="1:18" x14ac:dyDescent="0.2">
      <c r="A1914" s="17"/>
      <c r="B1914" s="17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</row>
    <row r="1915" spans="1:18" x14ac:dyDescent="0.2">
      <c r="A1915" s="17"/>
      <c r="B1915" s="17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</row>
    <row r="1916" spans="1:18" x14ac:dyDescent="0.2">
      <c r="A1916" s="17"/>
      <c r="B1916" s="17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</row>
    <row r="1917" spans="1:18" x14ac:dyDescent="0.2">
      <c r="A1917" s="17"/>
      <c r="B1917" s="17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</row>
    <row r="1918" spans="1:18" x14ac:dyDescent="0.2">
      <c r="A1918" s="17"/>
      <c r="B1918" s="17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</row>
    <row r="1919" spans="1:18" x14ac:dyDescent="0.2">
      <c r="A1919" s="17"/>
      <c r="B1919" s="17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</row>
    <row r="1920" spans="1:18" x14ac:dyDescent="0.2">
      <c r="A1920" s="17"/>
      <c r="B1920" s="17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</row>
    <row r="1921" spans="1:18" x14ac:dyDescent="0.2">
      <c r="A1921" s="17"/>
      <c r="B1921" s="17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</row>
    <row r="1922" spans="1:18" x14ac:dyDescent="0.2">
      <c r="A1922" s="17"/>
      <c r="B1922" s="17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</row>
    <row r="1923" spans="1:18" x14ac:dyDescent="0.2">
      <c r="A1923" s="17"/>
      <c r="B1923" s="17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</row>
    <row r="1924" spans="1:18" x14ac:dyDescent="0.2">
      <c r="A1924" s="17"/>
      <c r="B1924" s="17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</row>
    <row r="1925" spans="1:18" x14ac:dyDescent="0.2">
      <c r="A1925" s="17"/>
      <c r="B1925" s="17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</row>
    <row r="1926" spans="1:18" x14ac:dyDescent="0.2">
      <c r="A1926" s="17"/>
      <c r="B1926" s="17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</row>
    <row r="1927" spans="1:18" x14ac:dyDescent="0.2">
      <c r="A1927" s="17"/>
      <c r="B1927" s="17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</row>
    <row r="1928" spans="1:18" x14ac:dyDescent="0.2">
      <c r="A1928" s="17"/>
      <c r="B1928" s="17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</row>
    <row r="1929" spans="1:18" x14ac:dyDescent="0.2">
      <c r="A1929" s="17"/>
      <c r="B1929" s="17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</row>
    <row r="1930" spans="1:18" x14ac:dyDescent="0.2">
      <c r="A1930" s="17"/>
      <c r="B1930" s="17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</row>
    <row r="1931" spans="1:18" x14ac:dyDescent="0.2">
      <c r="A1931" s="17"/>
      <c r="B1931" s="17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</row>
    <row r="1932" spans="1:18" x14ac:dyDescent="0.2">
      <c r="A1932" s="17"/>
      <c r="B1932" s="17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</row>
    <row r="1933" spans="1:18" x14ac:dyDescent="0.2">
      <c r="A1933" s="17"/>
      <c r="B1933" s="17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</row>
    <row r="1934" spans="1:18" x14ac:dyDescent="0.2">
      <c r="A1934" s="17"/>
      <c r="B1934" s="17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</row>
    <row r="1935" spans="1:18" x14ac:dyDescent="0.2">
      <c r="A1935" s="17"/>
      <c r="B1935" s="17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</row>
    <row r="1936" spans="1:18" x14ac:dyDescent="0.2">
      <c r="A1936" s="17"/>
      <c r="B1936" s="17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</row>
    <row r="1937" spans="1:18" x14ac:dyDescent="0.2">
      <c r="A1937" s="17"/>
      <c r="B1937" s="17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</row>
    <row r="1938" spans="1:18" x14ac:dyDescent="0.2">
      <c r="A1938" s="17"/>
      <c r="B1938" s="17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</row>
    <row r="1939" spans="1:18" x14ac:dyDescent="0.2">
      <c r="A1939" s="17"/>
      <c r="B1939" s="17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</row>
    <row r="1940" spans="1:18" x14ac:dyDescent="0.2">
      <c r="A1940" s="17"/>
      <c r="B1940" s="17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</row>
    <row r="1941" spans="1:18" x14ac:dyDescent="0.2">
      <c r="A1941" s="17"/>
      <c r="B1941" s="17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</row>
    <row r="1942" spans="1:18" x14ac:dyDescent="0.2">
      <c r="A1942" s="17"/>
      <c r="B1942" s="17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</row>
    <row r="1943" spans="1:18" x14ac:dyDescent="0.2">
      <c r="A1943" s="17"/>
      <c r="B1943" s="17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</row>
    <row r="1944" spans="1:18" x14ac:dyDescent="0.2">
      <c r="A1944" s="17"/>
      <c r="B1944" s="17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</row>
    <row r="1945" spans="1:18" x14ac:dyDescent="0.2">
      <c r="A1945" s="17"/>
      <c r="B1945" s="17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</row>
    <row r="1946" spans="1:18" x14ac:dyDescent="0.2">
      <c r="A1946" s="17"/>
      <c r="B1946" s="17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</row>
    <row r="1947" spans="1:18" x14ac:dyDescent="0.2">
      <c r="A1947" s="17"/>
      <c r="B1947" s="17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</row>
    <row r="1948" spans="1:18" x14ac:dyDescent="0.2">
      <c r="A1948" s="17"/>
      <c r="B1948" s="17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</row>
    <row r="1949" spans="1:18" x14ac:dyDescent="0.2">
      <c r="A1949" s="17"/>
      <c r="B1949" s="17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</row>
    <row r="1950" spans="1:18" x14ac:dyDescent="0.2">
      <c r="A1950" s="17"/>
      <c r="B1950" s="17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</row>
    <row r="1951" spans="1:18" x14ac:dyDescent="0.2">
      <c r="A1951" s="17"/>
      <c r="B1951" s="17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</row>
    <row r="1952" spans="1:18" x14ac:dyDescent="0.2">
      <c r="A1952" s="17"/>
      <c r="B1952" s="17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</row>
    <row r="1953" spans="1:18" x14ac:dyDescent="0.2">
      <c r="A1953" s="17"/>
      <c r="B1953" s="17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</row>
    <row r="1954" spans="1:18" x14ac:dyDescent="0.2">
      <c r="A1954" s="17"/>
      <c r="B1954" s="17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</row>
    <row r="1955" spans="1:18" x14ac:dyDescent="0.2">
      <c r="A1955" s="17"/>
      <c r="B1955" s="17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</row>
    <row r="1956" spans="1:18" x14ac:dyDescent="0.2">
      <c r="A1956" s="17"/>
      <c r="B1956" s="17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</row>
    <row r="1957" spans="1:18" x14ac:dyDescent="0.2">
      <c r="A1957" s="17"/>
      <c r="B1957" s="17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</row>
    <row r="1958" spans="1:18" x14ac:dyDescent="0.2">
      <c r="A1958" s="17"/>
      <c r="B1958" s="17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</row>
    <row r="1959" spans="1:18" x14ac:dyDescent="0.2">
      <c r="A1959" s="17"/>
      <c r="B1959" s="17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</row>
    <row r="1960" spans="1:18" x14ac:dyDescent="0.2">
      <c r="A1960" s="17"/>
      <c r="B1960" s="17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</row>
    <row r="1961" spans="1:18" x14ac:dyDescent="0.2">
      <c r="A1961" s="17"/>
      <c r="B1961" s="17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</row>
    <row r="1962" spans="1:18" x14ac:dyDescent="0.2">
      <c r="A1962" s="17"/>
      <c r="B1962" s="17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</row>
    <row r="1963" spans="1:18" x14ac:dyDescent="0.2">
      <c r="A1963" s="17"/>
      <c r="B1963" s="17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</row>
    <row r="1964" spans="1:18" x14ac:dyDescent="0.2">
      <c r="A1964" s="17"/>
      <c r="B1964" s="17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</row>
    <row r="1965" spans="1:18" x14ac:dyDescent="0.2">
      <c r="A1965" s="17"/>
      <c r="B1965" s="17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</row>
    <row r="1966" spans="1:18" x14ac:dyDescent="0.2">
      <c r="A1966" s="17"/>
      <c r="B1966" s="17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</row>
    <row r="1967" spans="1:18" x14ac:dyDescent="0.2">
      <c r="A1967" s="17"/>
      <c r="B1967" s="17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</row>
    <row r="1968" spans="1:18" x14ac:dyDescent="0.2">
      <c r="A1968" s="17"/>
      <c r="B1968" s="17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</row>
    <row r="1969" spans="1:18" x14ac:dyDescent="0.2">
      <c r="A1969" s="17"/>
      <c r="B1969" s="17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</row>
    <row r="1970" spans="1:18" x14ac:dyDescent="0.2">
      <c r="A1970" s="17"/>
      <c r="B1970" s="17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</row>
    <row r="1971" spans="1:18" x14ac:dyDescent="0.2">
      <c r="A1971" s="17"/>
      <c r="B1971" s="17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</row>
    <row r="1972" spans="1:18" x14ac:dyDescent="0.2">
      <c r="A1972" s="17"/>
      <c r="B1972" s="17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</row>
    <row r="1973" spans="1:18" x14ac:dyDescent="0.2">
      <c r="A1973" s="17"/>
      <c r="B1973" s="17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</row>
    <row r="1974" spans="1:18" x14ac:dyDescent="0.2">
      <c r="A1974" s="17"/>
      <c r="B1974" s="17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</row>
    <row r="1975" spans="1:18" x14ac:dyDescent="0.2">
      <c r="A1975" s="17"/>
      <c r="B1975" s="17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</row>
    <row r="1976" spans="1:18" x14ac:dyDescent="0.2">
      <c r="A1976" s="17"/>
      <c r="B1976" s="17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</row>
    <row r="1977" spans="1:18" x14ac:dyDescent="0.2">
      <c r="A1977" s="17"/>
      <c r="B1977" s="17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</row>
    <row r="1978" spans="1:18" x14ac:dyDescent="0.2">
      <c r="A1978" s="17"/>
      <c r="B1978" s="17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</row>
    <row r="1979" spans="1:18" x14ac:dyDescent="0.2">
      <c r="A1979" s="17"/>
      <c r="B1979" s="17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</row>
    <row r="1980" spans="1:18" x14ac:dyDescent="0.2">
      <c r="A1980" s="17"/>
      <c r="B1980" s="17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</row>
    <row r="1981" spans="1:18" x14ac:dyDescent="0.2">
      <c r="A1981" s="17"/>
      <c r="B1981" s="17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</row>
    <row r="1982" spans="1:18" x14ac:dyDescent="0.2">
      <c r="A1982" s="17"/>
      <c r="B1982" s="17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</row>
    <row r="1983" spans="1:18" x14ac:dyDescent="0.2">
      <c r="A1983" s="17"/>
      <c r="B1983" s="17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</row>
    <row r="1984" spans="1:18" x14ac:dyDescent="0.2">
      <c r="A1984" s="17"/>
      <c r="B1984" s="17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</row>
    <row r="1985" spans="1:18" x14ac:dyDescent="0.2">
      <c r="A1985" s="17"/>
      <c r="B1985" s="17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</row>
    <row r="1986" spans="1:18" x14ac:dyDescent="0.2">
      <c r="A1986" s="17"/>
      <c r="B1986" s="17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</row>
    <row r="1987" spans="1:18" x14ac:dyDescent="0.2">
      <c r="A1987" s="17"/>
      <c r="B1987" s="17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</row>
    <row r="1988" spans="1:18" x14ac:dyDescent="0.2">
      <c r="A1988" s="17"/>
      <c r="B1988" s="17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</row>
    <row r="1989" spans="1:18" x14ac:dyDescent="0.2">
      <c r="A1989" s="17"/>
      <c r="B1989" s="17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</row>
    <row r="1990" spans="1:18" x14ac:dyDescent="0.2">
      <c r="A1990" s="17"/>
      <c r="B1990" s="17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</row>
    <row r="1991" spans="1:18" x14ac:dyDescent="0.2">
      <c r="A1991" s="17"/>
      <c r="B1991" s="17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</row>
    <row r="1992" spans="1:18" x14ac:dyDescent="0.2">
      <c r="A1992" s="17"/>
      <c r="B1992" s="17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</row>
    <row r="1993" spans="1:18" x14ac:dyDescent="0.2">
      <c r="A1993" s="17"/>
      <c r="B1993" s="17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</row>
    <row r="1994" spans="1:18" x14ac:dyDescent="0.2">
      <c r="A1994" s="17"/>
      <c r="B1994" s="17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</row>
    <row r="1995" spans="1:18" x14ac:dyDescent="0.2">
      <c r="A1995" s="17"/>
      <c r="B1995" s="17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</row>
    <row r="1996" spans="1:18" x14ac:dyDescent="0.2">
      <c r="A1996" s="17"/>
      <c r="B1996" s="17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</row>
    <row r="1997" spans="1:18" x14ac:dyDescent="0.2">
      <c r="A1997" s="17"/>
      <c r="B1997" s="17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</row>
    <row r="1998" spans="1:18" x14ac:dyDescent="0.2">
      <c r="A1998" s="17"/>
      <c r="B1998" s="17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</row>
    <row r="1999" spans="1:18" x14ac:dyDescent="0.2">
      <c r="A1999" s="17"/>
      <c r="B1999" s="17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</row>
    <row r="2000" spans="1:18" x14ac:dyDescent="0.2">
      <c r="A2000" s="17"/>
      <c r="B2000" s="17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</row>
    <row r="2001" spans="1:18" x14ac:dyDescent="0.2">
      <c r="A2001" s="17"/>
      <c r="B2001" s="17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</row>
    <row r="2002" spans="1:18" x14ac:dyDescent="0.2">
      <c r="A2002" s="17"/>
      <c r="B2002" s="17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</row>
    <row r="2003" spans="1:18" x14ac:dyDescent="0.2">
      <c r="A2003" s="17"/>
      <c r="B2003" s="17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</row>
    <row r="2004" spans="1:18" x14ac:dyDescent="0.2">
      <c r="A2004" s="17"/>
      <c r="B2004" s="17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</row>
    <row r="2005" spans="1:18" x14ac:dyDescent="0.2">
      <c r="A2005" s="17"/>
      <c r="B2005" s="17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</row>
    <row r="2006" spans="1:18" x14ac:dyDescent="0.2">
      <c r="A2006" s="17"/>
      <c r="B2006" s="17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</row>
    <row r="2007" spans="1:18" x14ac:dyDescent="0.2">
      <c r="A2007" s="17"/>
      <c r="B2007" s="17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</row>
    <row r="2008" spans="1:18" x14ac:dyDescent="0.2">
      <c r="A2008" s="17"/>
      <c r="B2008" s="17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</row>
    <row r="2009" spans="1:18" x14ac:dyDescent="0.2">
      <c r="A2009" s="17"/>
      <c r="B2009" s="17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</row>
    <row r="2010" spans="1:18" x14ac:dyDescent="0.2">
      <c r="A2010" s="17"/>
      <c r="B2010" s="17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</row>
    <row r="2011" spans="1:18" x14ac:dyDescent="0.2">
      <c r="A2011" s="17"/>
      <c r="B2011" s="17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</row>
    <row r="2012" spans="1:18" x14ac:dyDescent="0.2">
      <c r="A2012" s="17"/>
      <c r="B2012" s="17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</row>
    <row r="2013" spans="1:18" x14ac:dyDescent="0.2">
      <c r="A2013" s="17"/>
      <c r="B2013" s="17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</row>
    <row r="2014" spans="1:18" x14ac:dyDescent="0.2">
      <c r="A2014" s="17"/>
      <c r="B2014" s="17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</row>
    <row r="2015" spans="1:18" x14ac:dyDescent="0.2">
      <c r="A2015" s="17"/>
      <c r="B2015" s="17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</row>
    <row r="2016" spans="1:18" x14ac:dyDescent="0.2">
      <c r="A2016" s="17"/>
      <c r="B2016" s="17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</row>
    <row r="2017" spans="1:18" x14ac:dyDescent="0.2">
      <c r="A2017" s="17"/>
      <c r="B2017" s="17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</row>
    <row r="2018" spans="1:18" x14ac:dyDescent="0.2">
      <c r="A2018" s="17"/>
      <c r="B2018" s="17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</row>
    <row r="2019" spans="1:18" x14ac:dyDescent="0.2">
      <c r="A2019" s="17"/>
      <c r="B2019" s="17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</row>
    <row r="2020" spans="1:18" x14ac:dyDescent="0.2">
      <c r="A2020" s="17"/>
      <c r="B2020" s="17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</row>
    <row r="2021" spans="1:18" x14ac:dyDescent="0.2">
      <c r="A2021" s="17"/>
      <c r="B2021" s="17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</row>
    <row r="2022" spans="1:18" x14ac:dyDescent="0.2">
      <c r="A2022" s="17"/>
      <c r="B2022" s="17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</row>
    <row r="2023" spans="1:18" x14ac:dyDescent="0.2">
      <c r="A2023" s="17"/>
      <c r="B2023" s="17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</row>
    <row r="2024" spans="1:18" x14ac:dyDescent="0.2">
      <c r="A2024" s="17"/>
      <c r="B2024" s="17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</row>
    <row r="2025" spans="1:18" x14ac:dyDescent="0.2">
      <c r="A2025" s="17"/>
      <c r="B2025" s="17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</row>
    <row r="2026" spans="1:18" x14ac:dyDescent="0.2">
      <c r="A2026" s="17"/>
      <c r="B2026" s="17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</row>
    <row r="2027" spans="1:18" x14ac:dyDescent="0.2">
      <c r="A2027" s="17"/>
      <c r="B2027" s="17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</row>
    <row r="2028" spans="1:18" x14ac:dyDescent="0.2">
      <c r="A2028" s="17"/>
      <c r="B2028" s="17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</row>
    <row r="2029" spans="1:18" x14ac:dyDescent="0.2">
      <c r="A2029" s="17"/>
      <c r="B2029" s="17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</row>
    <row r="2030" spans="1:18" x14ac:dyDescent="0.2">
      <c r="A2030" s="17"/>
      <c r="B2030" s="17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</row>
    <row r="2031" spans="1:18" x14ac:dyDescent="0.2">
      <c r="A2031" s="17"/>
      <c r="B2031" s="17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</row>
    <row r="2032" spans="1:18" x14ac:dyDescent="0.2">
      <c r="A2032" s="17"/>
      <c r="B2032" s="17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</row>
    <row r="2033" spans="1:18" x14ac:dyDescent="0.2">
      <c r="A2033" s="17"/>
      <c r="B2033" s="17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</row>
    <row r="2034" spans="1:18" x14ac:dyDescent="0.2">
      <c r="A2034" s="17"/>
      <c r="B2034" s="17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</row>
    <row r="2035" spans="1:18" x14ac:dyDescent="0.2">
      <c r="A2035" s="17"/>
      <c r="B2035" s="17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</row>
    <row r="2036" spans="1:18" x14ac:dyDescent="0.2">
      <c r="A2036" s="17"/>
      <c r="B2036" s="17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</row>
    <row r="2037" spans="1:18" x14ac:dyDescent="0.2">
      <c r="A2037" s="17"/>
      <c r="B2037" s="17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</row>
    <row r="2038" spans="1:18" x14ac:dyDescent="0.2">
      <c r="A2038" s="17"/>
      <c r="B2038" s="17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</row>
    <row r="2039" spans="1:18" x14ac:dyDescent="0.2">
      <c r="A2039" s="17"/>
      <c r="B2039" s="17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</row>
    <row r="2040" spans="1:18" x14ac:dyDescent="0.2">
      <c r="A2040" s="17"/>
      <c r="B2040" s="17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</row>
    <row r="2041" spans="1:18" x14ac:dyDescent="0.2">
      <c r="A2041" s="17"/>
      <c r="B2041" s="17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</row>
    <row r="2042" spans="1:18" x14ac:dyDescent="0.2">
      <c r="A2042" s="17"/>
      <c r="B2042" s="17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</row>
    <row r="2043" spans="1:18" x14ac:dyDescent="0.2">
      <c r="A2043" s="17"/>
      <c r="B2043" s="17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</row>
    <row r="2044" spans="1:18" x14ac:dyDescent="0.2">
      <c r="A2044" s="17"/>
      <c r="B2044" s="17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</row>
    <row r="2045" spans="1:18" x14ac:dyDescent="0.2">
      <c r="A2045" s="17"/>
      <c r="B2045" s="17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</row>
    <row r="2046" spans="1:18" x14ac:dyDescent="0.2">
      <c r="A2046" s="17"/>
      <c r="B2046" s="17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</row>
    <row r="2047" spans="1:18" x14ac:dyDescent="0.2">
      <c r="A2047" s="17"/>
      <c r="B2047" s="17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</row>
    <row r="2048" spans="1:18" x14ac:dyDescent="0.2">
      <c r="A2048" s="17"/>
      <c r="B2048" s="17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</row>
    <row r="2049" spans="1:18" x14ac:dyDescent="0.2">
      <c r="A2049" s="17"/>
      <c r="B2049" s="17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</row>
    <row r="2050" spans="1:18" x14ac:dyDescent="0.2">
      <c r="A2050" s="17"/>
      <c r="B2050" s="17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</row>
    <row r="2051" spans="1:18" x14ac:dyDescent="0.2">
      <c r="A2051" s="17"/>
      <c r="B2051" s="17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</row>
    <row r="2052" spans="1:18" x14ac:dyDescent="0.2">
      <c r="A2052" s="17"/>
      <c r="B2052" s="17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</row>
    <row r="2053" spans="1:18" x14ac:dyDescent="0.2">
      <c r="A2053" s="17"/>
      <c r="B2053" s="17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</row>
    <row r="2054" spans="1:18" x14ac:dyDescent="0.2">
      <c r="A2054" s="17"/>
      <c r="B2054" s="17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</row>
    <row r="2055" spans="1:18" x14ac:dyDescent="0.2">
      <c r="A2055" s="17"/>
      <c r="B2055" s="17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</row>
    <row r="2056" spans="1:18" x14ac:dyDescent="0.2">
      <c r="A2056" s="17"/>
      <c r="B2056" s="17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</row>
    <row r="2057" spans="1:18" x14ac:dyDescent="0.2">
      <c r="A2057" s="17"/>
      <c r="B2057" s="17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</row>
    <row r="2058" spans="1:18" x14ac:dyDescent="0.2">
      <c r="A2058" s="17"/>
      <c r="B2058" s="17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</row>
    <row r="2059" spans="1:18" x14ac:dyDescent="0.2">
      <c r="A2059" s="17"/>
      <c r="B2059" s="17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</row>
    <row r="2060" spans="1:18" x14ac:dyDescent="0.2">
      <c r="A2060" s="17"/>
      <c r="B2060" s="17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</row>
    <row r="2061" spans="1:18" x14ac:dyDescent="0.2">
      <c r="A2061" s="17"/>
      <c r="B2061" s="17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</row>
    <row r="2062" spans="1:18" x14ac:dyDescent="0.2">
      <c r="A2062" s="17"/>
      <c r="B2062" s="17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</row>
    <row r="2063" spans="1:18" x14ac:dyDescent="0.2">
      <c r="A2063" s="17"/>
      <c r="B2063" s="17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</row>
    <row r="2064" spans="1:18" x14ac:dyDescent="0.2">
      <c r="A2064" s="17"/>
      <c r="B2064" s="17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</row>
    <row r="2065" spans="1:18" x14ac:dyDescent="0.2">
      <c r="A2065" s="17"/>
      <c r="B2065" s="17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</row>
    <row r="2066" spans="1:18" x14ac:dyDescent="0.2">
      <c r="A2066" s="17"/>
      <c r="B2066" s="17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</row>
    <row r="2067" spans="1:18" x14ac:dyDescent="0.2">
      <c r="A2067" s="17"/>
      <c r="B2067" s="17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</row>
    <row r="2068" spans="1:18" x14ac:dyDescent="0.2">
      <c r="A2068" s="17"/>
      <c r="B2068" s="17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</row>
    <row r="2069" spans="1:18" x14ac:dyDescent="0.2">
      <c r="A2069" s="17"/>
      <c r="B2069" s="17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</row>
    <row r="2070" spans="1:18" x14ac:dyDescent="0.2">
      <c r="A2070" s="17"/>
      <c r="B2070" s="17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</row>
    <row r="2071" spans="1:18" x14ac:dyDescent="0.2">
      <c r="A2071" s="17"/>
      <c r="B2071" s="17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</row>
    <row r="2072" spans="1:18" x14ac:dyDescent="0.2">
      <c r="A2072" s="17"/>
      <c r="B2072" s="17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</row>
    <row r="2073" spans="1:18" x14ac:dyDescent="0.2">
      <c r="A2073" s="17"/>
      <c r="B2073" s="17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</row>
    <row r="2074" spans="1:18" x14ac:dyDescent="0.2">
      <c r="A2074" s="17"/>
      <c r="B2074" s="17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</row>
    <row r="2075" spans="1:18" x14ac:dyDescent="0.2">
      <c r="A2075" s="17"/>
      <c r="B2075" s="17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</row>
    <row r="2076" spans="1:18" x14ac:dyDescent="0.2">
      <c r="A2076" s="17"/>
      <c r="B2076" s="17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</row>
    <row r="2077" spans="1:18" x14ac:dyDescent="0.2">
      <c r="A2077" s="17"/>
      <c r="B2077" s="17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</row>
    <row r="2078" spans="1:18" x14ac:dyDescent="0.2">
      <c r="A2078" s="17"/>
      <c r="B2078" s="17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</row>
    <row r="2079" spans="1:18" x14ac:dyDescent="0.2">
      <c r="A2079" s="17"/>
      <c r="B2079" s="17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</row>
    <row r="2080" spans="1:18" x14ac:dyDescent="0.2">
      <c r="A2080" s="17"/>
      <c r="B2080" s="17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</row>
    <row r="2081" spans="1:18" x14ac:dyDescent="0.2">
      <c r="A2081" s="17"/>
      <c r="B2081" s="17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</row>
    <row r="2082" spans="1:18" x14ac:dyDescent="0.2">
      <c r="A2082" s="17"/>
      <c r="B2082" s="17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</row>
    <row r="2083" spans="1:18" x14ac:dyDescent="0.2">
      <c r="A2083" s="17"/>
      <c r="B2083" s="17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</row>
    <row r="2084" spans="1:18" x14ac:dyDescent="0.2">
      <c r="A2084" s="17"/>
      <c r="B2084" s="17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</row>
    <row r="2085" spans="1:18" x14ac:dyDescent="0.2">
      <c r="A2085" s="17"/>
      <c r="B2085" s="17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</row>
    <row r="2086" spans="1:18" x14ac:dyDescent="0.2">
      <c r="A2086" s="17"/>
      <c r="B2086" s="17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</row>
    <row r="2087" spans="1:18" x14ac:dyDescent="0.2">
      <c r="A2087" s="17"/>
      <c r="B2087" s="17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</row>
    <row r="2088" spans="1:18" x14ac:dyDescent="0.2">
      <c r="A2088" s="17"/>
      <c r="B2088" s="17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</row>
    <row r="2089" spans="1:18" x14ac:dyDescent="0.2">
      <c r="A2089" s="17"/>
      <c r="B2089" s="17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</row>
    <row r="2090" spans="1:18" x14ac:dyDescent="0.2">
      <c r="A2090" s="17"/>
      <c r="B2090" s="17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</row>
    <row r="2091" spans="1:18" x14ac:dyDescent="0.2">
      <c r="A2091" s="17"/>
      <c r="B2091" s="17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</row>
    <row r="2092" spans="1:18" x14ac:dyDescent="0.2">
      <c r="A2092" s="17"/>
      <c r="B2092" s="17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</row>
    <row r="2093" spans="1:18" x14ac:dyDescent="0.2">
      <c r="A2093" s="17"/>
      <c r="B2093" s="17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</row>
    <row r="2094" spans="1:18" x14ac:dyDescent="0.2">
      <c r="A2094" s="17"/>
      <c r="B2094" s="17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</row>
    <row r="2095" spans="1:18" x14ac:dyDescent="0.2">
      <c r="A2095" s="17"/>
      <c r="B2095" s="17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</row>
    <row r="2096" spans="1:18" x14ac:dyDescent="0.2">
      <c r="A2096" s="17"/>
      <c r="B2096" s="17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</row>
    <row r="2097" spans="1:18" x14ac:dyDescent="0.2">
      <c r="A2097" s="17"/>
      <c r="B2097" s="17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</row>
    <row r="2098" spans="1:18" x14ac:dyDescent="0.2">
      <c r="A2098" s="17"/>
      <c r="B2098" s="17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</row>
    <row r="2099" spans="1:18" x14ac:dyDescent="0.2">
      <c r="A2099" s="17"/>
      <c r="B2099" s="17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</row>
    <row r="2100" spans="1:18" x14ac:dyDescent="0.2">
      <c r="A2100" s="17"/>
      <c r="B2100" s="17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</row>
    <row r="2101" spans="1:18" x14ac:dyDescent="0.2">
      <c r="A2101" s="17"/>
      <c r="B2101" s="17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</row>
    <row r="2102" spans="1:18" x14ac:dyDescent="0.2">
      <c r="A2102" s="17"/>
      <c r="B2102" s="17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</row>
    <row r="2103" spans="1:18" x14ac:dyDescent="0.2">
      <c r="A2103" s="17"/>
      <c r="B2103" s="17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</row>
    <row r="2104" spans="1:18" x14ac:dyDescent="0.2">
      <c r="A2104" s="17"/>
      <c r="B2104" s="17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</row>
    <row r="2105" spans="1:18" x14ac:dyDescent="0.2">
      <c r="A2105" s="17"/>
      <c r="B2105" s="17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</row>
    <row r="2106" spans="1:18" x14ac:dyDescent="0.2">
      <c r="A2106" s="17"/>
      <c r="B2106" s="17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</row>
    <row r="2107" spans="1:18" x14ac:dyDescent="0.2">
      <c r="A2107" s="17"/>
      <c r="B2107" s="17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</row>
    <row r="2108" spans="1:18" x14ac:dyDescent="0.2">
      <c r="A2108" s="17"/>
      <c r="B2108" s="17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</row>
    <row r="2109" spans="1:18" x14ac:dyDescent="0.2">
      <c r="A2109" s="17"/>
      <c r="B2109" s="17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</row>
    <row r="2110" spans="1:18" x14ac:dyDescent="0.2">
      <c r="A2110" s="17"/>
      <c r="B2110" s="17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</row>
    <row r="2111" spans="1:18" x14ac:dyDescent="0.2">
      <c r="A2111" s="17"/>
      <c r="B2111" s="17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</row>
    <row r="2112" spans="1:18" x14ac:dyDescent="0.2">
      <c r="A2112" s="17"/>
      <c r="B2112" s="17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</row>
    <row r="2113" spans="1:18" x14ac:dyDescent="0.2">
      <c r="A2113" s="17"/>
      <c r="B2113" s="17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</row>
    <row r="2114" spans="1:18" x14ac:dyDescent="0.2">
      <c r="A2114" s="17"/>
      <c r="B2114" s="17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</row>
    <row r="2115" spans="1:18" x14ac:dyDescent="0.2">
      <c r="A2115" s="17"/>
      <c r="B2115" s="17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</row>
    <row r="2116" spans="1:18" x14ac:dyDescent="0.2">
      <c r="A2116" s="17"/>
      <c r="B2116" s="17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</row>
    <row r="2117" spans="1:18" x14ac:dyDescent="0.2">
      <c r="A2117" s="17"/>
      <c r="B2117" s="17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</row>
    <row r="2118" spans="1:18" x14ac:dyDescent="0.2">
      <c r="A2118" s="17"/>
      <c r="B2118" s="17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</row>
    <row r="2119" spans="1:18" x14ac:dyDescent="0.2">
      <c r="A2119" s="17"/>
      <c r="B2119" s="17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</row>
    <row r="2120" spans="1:18" x14ac:dyDescent="0.2">
      <c r="A2120" s="17"/>
      <c r="B2120" s="17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</row>
    <row r="2121" spans="1:18" x14ac:dyDescent="0.2">
      <c r="A2121" s="17"/>
      <c r="B2121" s="17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</row>
    <row r="2122" spans="1:18" x14ac:dyDescent="0.2">
      <c r="A2122" s="17"/>
      <c r="B2122" s="17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</row>
    <row r="2123" spans="1:18" x14ac:dyDescent="0.2">
      <c r="A2123" s="17"/>
      <c r="B2123" s="17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</row>
    <row r="2124" spans="1:18" x14ac:dyDescent="0.2">
      <c r="A2124" s="17"/>
      <c r="B2124" s="17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</row>
    <row r="2125" spans="1:18" x14ac:dyDescent="0.2">
      <c r="A2125" s="17"/>
      <c r="B2125" s="17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</row>
    <row r="2126" spans="1:18" x14ac:dyDescent="0.2">
      <c r="A2126" s="17"/>
      <c r="B2126" s="17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</row>
    <row r="2127" spans="1:18" x14ac:dyDescent="0.2">
      <c r="A2127" s="17"/>
      <c r="B2127" s="17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</row>
    <row r="2128" spans="1:18" x14ac:dyDescent="0.2">
      <c r="A2128" s="17"/>
      <c r="B2128" s="17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</row>
    <row r="2129" spans="1:18" x14ac:dyDescent="0.2">
      <c r="A2129" s="17"/>
      <c r="B2129" s="17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</row>
    <row r="2130" spans="1:18" x14ac:dyDescent="0.2">
      <c r="A2130" s="17"/>
      <c r="B2130" s="17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</row>
    <row r="2131" spans="1:18" x14ac:dyDescent="0.2">
      <c r="A2131" s="17"/>
      <c r="B2131" s="17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</row>
    <row r="2132" spans="1:18" x14ac:dyDescent="0.2">
      <c r="A2132" s="17"/>
      <c r="B2132" s="17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</row>
    <row r="2133" spans="1:18" x14ac:dyDescent="0.2">
      <c r="A2133" s="17"/>
      <c r="B2133" s="17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</row>
    <row r="2134" spans="1:18" x14ac:dyDescent="0.2">
      <c r="A2134" s="17"/>
      <c r="B2134" s="17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</row>
    <row r="2135" spans="1:18" x14ac:dyDescent="0.2">
      <c r="A2135" s="17"/>
      <c r="B2135" s="17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</row>
    <row r="2136" spans="1:18" x14ac:dyDescent="0.2">
      <c r="A2136" s="17"/>
      <c r="B2136" s="17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</row>
    <row r="2137" spans="1:18" x14ac:dyDescent="0.2">
      <c r="A2137" s="17"/>
      <c r="B2137" s="17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</row>
    <row r="2138" spans="1:18" x14ac:dyDescent="0.2">
      <c r="A2138" s="17"/>
      <c r="B2138" s="17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</row>
    <row r="2139" spans="1:18" x14ac:dyDescent="0.2">
      <c r="A2139" s="17"/>
      <c r="B2139" s="17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</row>
    <row r="2140" spans="1:18" x14ac:dyDescent="0.2">
      <c r="A2140" s="17"/>
      <c r="B2140" s="17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</row>
    <row r="2141" spans="1:18" x14ac:dyDescent="0.2">
      <c r="A2141" s="17"/>
      <c r="B2141" s="17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</row>
    <row r="2142" spans="1:18" x14ac:dyDescent="0.2">
      <c r="A2142" s="17"/>
      <c r="B2142" s="17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</row>
    <row r="2143" spans="1:18" x14ac:dyDescent="0.2">
      <c r="A2143" s="17"/>
      <c r="B2143" s="17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</row>
    <row r="2144" spans="1:18" x14ac:dyDescent="0.2">
      <c r="A2144" s="17"/>
      <c r="B2144" s="17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</row>
    <row r="2145" spans="1:18" x14ac:dyDescent="0.2">
      <c r="A2145" s="17"/>
      <c r="B2145" s="17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</row>
    <row r="2146" spans="1:18" x14ac:dyDescent="0.2">
      <c r="A2146" s="17"/>
      <c r="B2146" s="17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</row>
    <row r="2147" spans="1:18" x14ac:dyDescent="0.2">
      <c r="A2147" s="17"/>
      <c r="B2147" s="17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</row>
    <row r="2148" spans="1:18" x14ac:dyDescent="0.2">
      <c r="A2148" s="17"/>
      <c r="B2148" s="17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</row>
    <row r="2149" spans="1:18" x14ac:dyDescent="0.2">
      <c r="A2149" s="17"/>
      <c r="B2149" s="17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</row>
    <row r="2150" spans="1:18" x14ac:dyDescent="0.2">
      <c r="A2150" s="17"/>
      <c r="B2150" s="17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</row>
    <row r="2151" spans="1:18" x14ac:dyDescent="0.2">
      <c r="A2151" s="17"/>
      <c r="B2151" s="17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</row>
    <row r="2152" spans="1:18" x14ac:dyDescent="0.2">
      <c r="A2152" s="17"/>
      <c r="B2152" s="17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</row>
    <row r="2153" spans="1:18" x14ac:dyDescent="0.2">
      <c r="A2153" s="17"/>
      <c r="B2153" s="17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</row>
    <row r="2154" spans="1:18" x14ac:dyDescent="0.2">
      <c r="A2154" s="17"/>
      <c r="B2154" s="17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</row>
    <row r="2155" spans="1:18" x14ac:dyDescent="0.2">
      <c r="A2155" s="17"/>
      <c r="B2155" s="17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</row>
    <row r="2156" spans="1:18" x14ac:dyDescent="0.2">
      <c r="A2156" s="17"/>
      <c r="B2156" s="17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</row>
    <row r="2157" spans="1:18" x14ac:dyDescent="0.2">
      <c r="A2157" s="17"/>
      <c r="B2157" s="17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</row>
    <row r="2158" spans="1:18" x14ac:dyDescent="0.2">
      <c r="A2158" s="17"/>
      <c r="B2158" s="17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</row>
    <row r="2159" spans="1:18" x14ac:dyDescent="0.2">
      <c r="A2159" s="17"/>
      <c r="B2159" s="17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</row>
    <row r="2160" spans="1:18" x14ac:dyDescent="0.2">
      <c r="A2160" s="17"/>
      <c r="B2160" s="17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</row>
    <row r="2161" spans="1:18" x14ac:dyDescent="0.2">
      <c r="A2161" s="17"/>
      <c r="B2161" s="17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</row>
    <row r="2162" spans="1:18" x14ac:dyDescent="0.2">
      <c r="A2162" s="17"/>
      <c r="B2162" s="17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</row>
    <row r="2163" spans="1:18" x14ac:dyDescent="0.2">
      <c r="A2163" s="17"/>
      <c r="B2163" s="17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</row>
    <row r="2164" spans="1:18" x14ac:dyDescent="0.2">
      <c r="A2164" s="17"/>
      <c r="B2164" s="17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</row>
    <row r="2165" spans="1:18" x14ac:dyDescent="0.2">
      <c r="A2165" s="17"/>
      <c r="B2165" s="17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</row>
    <row r="2166" spans="1:18" x14ac:dyDescent="0.2">
      <c r="A2166" s="17"/>
      <c r="B2166" s="17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</row>
    <row r="2167" spans="1:18" x14ac:dyDescent="0.2">
      <c r="A2167" s="17"/>
      <c r="B2167" s="17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</row>
    <row r="2168" spans="1:18" x14ac:dyDescent="0.2">
      <c r="A2168" s="17"/>
      <c r="B2168" s="17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</row>
    <row r="2169" spans="1:18" x14ac:dyDescent="0.2">
      <c r="A2169" s="17"/>
      <c r="B2169" s="17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</row>
    <row r="2170" spans="1:18" x14ac:dyDescent="0.2">
      <c r="A2170" s="17"/>
      <c r="B2170" s="17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</row>
    <row r="2171" spans="1:18" x14ac:dyDescent="0.2">
      <c r="A2171" s="17"/>
      <c r="B2171" s="17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</row>
    <row r="2172" spans="1:18" x14ac:dyDescent="0.2">
      <c r="A2172" s="17"/>
      <c r="B2172" s="17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</row>
    <row r="2173" spans="1:18" x14ac:dyDescent="0.2">
      <c r="A2173" s="17"/>
      <c r="B2173" s="17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</row>
    <row r="2174" spans="1:18" x14ac:dyDescent="0.2">
      <c r="A2174" s="17"/>
      <c r="B2174" s="17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</row>
    <row r="2175" spans="1:18" x14ac:dyDescent="0.2">
      <c r="A2175" s="17"/>
      <c r="B2175" s="17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</row>
    <row r="2176" spans="1:18" x14ac:dyDescent="0.2">
      <c r="A2176" s="17"/>
      <c r="B2176" s="17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</row>
    <row r="2177" spans="1:18" x14ac:dyDescent="0.2">
      <c r="A2177" s="17"/>
      <c r="B2177" s="17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</row>
    <row r="2178" spans="1:18" x14ac:dyDescent="0.2">
      <c r="A2178" s="17"/>
      <c r="B2178" s="17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</row>
    <row r="2179" spans="1:18" x14ac:dyDescent="0.2">
      <c r="A2179" s="17"/>
      <c r="B2179" s="17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</row>
    <row r="2180" spans="1:18" x14ac:dyDescent="0.2">
      <c r="A2180" s="17"/>
      <c r="B2180" s="17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</row>
    <row r="2181" spans="1:18" x14ac:dyDescent="0.2">
      <c r="A2181" s="17"/>
      <c r="B2181" s="17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</row>
    <row r="2182" spans="1:18" x14ac:dyDescent="0.2">
      <c r="A2182" s="17"/>
      <c r="B2182" s="17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</row>
    <row r="2183" spans="1:18" x14ac:dyDescent="0.2">
      <c r="A2183" s="17"/>
      <c r="B2183" s="17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</row>
    <row r="2184" spans="1:18" x14ac:dyDescent="0.2">
      <c r="A2184" s="17"/>
      <c r="B2184" s="17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</row>
    <row r="2185" spans="1:18" x14ac:dyDescent="0.2">
      <c r="A2185" s="17"/>
      <c r="B2185" s="17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</row>
    <row r="2186" spans="1:18" x14ac:dyDescent="0.2">
      <c r="A2186" s="17"/>
      <c r="B2186" s="17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</row>
    <row r="2187" spans="1:18" x14ac:dyDescent="0.2">
      <c r="A2187" s="17"/>
      <c r="B2187" s="17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</row>
    <row r="2188" spans="1:18" x14ac:dyDescent="0.2">
      <c r="A2188" s="17"/>
      <c r="B2188" s="17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</row>
    <row r="2189" spans="1:18" x14ac:dyDescent="0.2">
      <c r="A2189" s="17"/>
      <c r="B2189" s="17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</row>
    <row r="2190" spans="1:18" x14ac:dyDescent="0.2">
      <c r="A2190" s="17"/>
      <c r="B2190" s="17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</row>
    <row r="2191" spans="1:18" x14ac:dyDescent="0.2">
      <c r="A2191" s="17"/>
      <c r="B2191" s="17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</row>
    <row r="2192" spans="1:18" x14ac:dyDescent="0.2">
      <c r="A2192" s="17"/>
      <c r="B2192" s="17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</row>
    <row r="2193" spans="1:18" x14ac:dyDescent="0.2">
      <c r="A2193" s="17"/>
      <c r="B2193" s="17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</row>
    <row r="2194" spans="1:18" x14ac:dyDescent="0.2">
      <c r="A2194" s="17"/>
      <c r="B2194" s="17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</row>
    <row r="2195" spans="1:18" x14ac:dyDescent="0.2">
      <c r="A2195" s="17"/>
      <c r="B2195" s="17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</row>
    <row r="2196" spans="1:18" x14ac:dyDescent="0.2">
      <c r="A2196" s="17"/>
      <c r="B2196" s="17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</row>
    <row r="2197" spans="1:18" x14ac:dyDescent="0.2">
      <c r="A2197" s="17"/>
      <c r="B2197" s="17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</row>
    <row r="2198" spans="1:18" x14ac:dyDescent="0.2">
      <c r="A2198" s="17"/>
      <c r="B2198" s="17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</row>
    <row r="2199" spans="1:18" x14ac:dyDescent="0.2">
      <c r="A2199" s="17"/>
      <c r="B2199" s="17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</row>
    <row r="2200" spans="1:18" x14ac:dyDescent="0.2">
      <c r="A2200" s="17"/>
      <c r="B2200" s="17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</row>
    <row r="2201" spans="1:18" x14ac:dyDescent="0.2">
      <c r="A2201" s="17"/>
      <c r="B2201" s="17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</row>
    <row r="2202" spans="1:18" x14ac:dyDescent="0.2">
      <c r="A2202" s="17"/>
      <c r="B2202" s="17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</row>
    <row r="2203" spans="1:18" x14ac:dyDescent="0.2">
      <c r="A2203" s="17"/>
      <c r="B2203" s="17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</row>
    <row r="2204" spans="1:18" x14ac:dyDescent="0.2">
      <c r="A2204" s="17"/>
      <c r="B2204" s="17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</row>
    <row r="2205" spans="1:18" x14ac:dyDescent="0.2">
      <c r="A2205" s="17"/>
      <c r="B2205" s="17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</row>
    <row r="2206" spans="1:18" x14ac:dyDescent="0.2">
      <c r="A2206" s="17"/>
      <c r="B2206" s="17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</row>
    <row r="2207" spans="1:18" x14ac:dyDescent="0.2">
      <c r="A2207" s="17"/>
      <c r="B2207" s="17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</row>
    <row r="2208" spans="1:18" x14ac:dyDescent="0.2">
      <c r="A2208" s="17"/>
      <c r="B2208" s="17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</row>
    <row r="2209" spans="1:18" x14ac:dyDescent="0.2">
      <c r="A2209" s="17"/>
      <c r="B2209" s="17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</row>
    <row r="2210" spans="1:18" x14ac:dyDescent="0.2">
      <c r="A2210" s="17"/>
      <c r="B2210" s="17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</row>
    <row r="2211" spans="1:18" x14ac:dyDescent="0.2">
      <c r="A2211" s="17"/>
      <c r="B2211" s="17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</row>
    <row r="2212" spans="1:18" x14ac:dyDescent="0.2">
      <c r="A2212" s="17"/>
      <c r="B2212" s="17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</row>
    <row r="2213" spans="1:18" x14ac:dyDescent="0.2">
      <c r="A2213" s="17"/>
      <c r="B2213" s="17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</row>
    <row r="2214" spans="1:18" x14ac:dyDescent="0.2">
      <c r="A2214" s="17"/>
      <c r="B2214" s="17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</row>
    <row r="2215" spans="1:18" x14ac:dyDescent="0.2">
      <c r="A2215" s="17"/>
      <c r="B2215" s="17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</row>
    <row r="2216" spans="1:18" x14ac:dyDescent="0.2">
      <c r="A2216" s="17"/>
      <c r="B2216" s="17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</row>
    <row r="2217" spans="1:18" x14ac:dyDescent="0.2">
      <c r="A2217" s="17"/>
      <c r="B2217" s="17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</row>
    <row r="2218" spans="1:18" x14ac:dyDescent="0.2">
      <c r="A2218" s="17"/>
      <c r="B2218" s="17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</row>
    <row r="2219" spans="1:18" x14ac:dyDescent="0.2">
      <c r="A2219" s="17"/>
      <c r="B2219" s="17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</row>
    <row r="2220" spans="1:18" x14ac:dyDescent="0.2">
      <c r="A2220" s="17"/>
      <c r="B2220" s="17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</row>
    <row r="2221" spans="1:18" x14ac:dyDescent="0.2">
      <c r="A2221" s="17"/>
      <c r="B2221" s="17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</row>
    <row r="2222" spans="1:18" x14ac:dyDescent="0.2">
      <c r="A2222" s="17"/>
      <c r="B2222" s="17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</row>
    <row r="2223" spans="1:18" x14ac:dyDescent="0.2">
      <c r="A2223" s="17"/>
      <c r="B2223" s="17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</row>
    <row r="2224" spans="1:18" x14ac:dyDescent="0.2">
      <c r="A2224" s="17"/>
      <c r="B2224" s="17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</row>
    <row r="2225" spans="1:18" x14ac:dyDescent="0.2">
      <c r="A2225" s="17"/>
      <c r="B2225" s="17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</row>
    <row r="2226" spans="1:18" x14ac:dyDescent="0.2">
      <c r="A2226" s="17"/>
      <c r="B2226" s="17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</row>
    <row r="2227" spans="1:18" x14ac:dyDescent="0.2">
      <c r="A2227" s="17"/>
      <c r="B2227" s="17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</row>
    <row r="2228" spans="1:18" x14ac:dyDescent="0.2">
      <c r="A2228" s="17"/>
      <c r="B2228" s="17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</row>
    <row r="2229" spans="1:18" x14ac:dyDescent="0.2">
      <c r="A2229" s="17"/>
      <c r="B2229" s="17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</row>
    <row r="2230" spans="1:18" x14ac:dyDescent="0.2">
      <c r="A2230" s="17"/>
      <c r="B2230" s="17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</row>
    <row r="2231" spans="1:18" x14ac:dyDescent="0.2">
      <c r="A2231" s="17"/>
      <c r="B2231" s="17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</row>
    <row r="2232" spans="1:18" x14ac:dyDescent="0.2">
      <c r="A2232" s="17"/>
      <c r="B2232" s="17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</row>
    <row r="2233" spans="1:18" x14ac:dyDescent="0.2">
      <c r="A2233" s="17"/>
      <c r="B2233" s="17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</row>
    <row r="2234" spans="1:18" x14ac:dyDescent="0.2">
      <c r="A2234" s="17"/>
      <c r="B2234" s="17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</row>
    <row r="2235" spans="1:18" x14ac:dyDescent="0.2">
      <c r="A2235" s="17"/>
      <c r="B2235" s="17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</row>
    <row r="2236" spans="1:18" x14ac:dyDescent="0.2">
      <c r="A2236" s="17"/>
      <c r="B2236" s="17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</row>
    <row r="2237" spans="1:18" x14ac:dyDescent="0.2">
      <c r="A2237" s="17"/>
      <c r="B2237" s="17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</row>
    <row r="2238" spans="1:18" x14ac:dyDescent="0.2">
      <c r="A2238" s="17"/>
      <c r="B2238" s="17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</row>
    <row r="2239" spans="1:18" x14ac:dyDescent="0.2">
      <c r="A2239" s="17"/>
      <c r="B2239" s="17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</row>
    <row r="2240" spans="1:18" x14ac:dyDescent="0.2">
      <c r="A2240" s="17"/>
      <c r="B2240" s="17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</row>
    <row r="2241" spans="1:18" x14ac:dyDescent="0.2">
      <c r="A2241" s="17"/>
      <c r="B2241" s="17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</row>
    <row r="2242" spans="1:18" x14ac:dyDescent="0.2">
      <c r="A2242" s="17"/>
      <c r="B2242" s="17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</row>
    <row r="2243" spans="1:18" x14ac:dyDescent="0.2">
      <c r="A2243" s="17"/>
      <c r="B2243" s="17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</row>
    <row r="2244" spans="1:18" x14ac:dyDescent="0.2">
      <c r="A2244" s="17"/>
      <c r="B2244" s="17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</row>
    <row r="2245" spans="1:18" x14ac:dyDescent="0.2">
      <c r="A2245" s="17"/>
      <c r="B2245" s="17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</row>
    <row r="2246" spans="1:18" x14ac:dyDescent="0.2">
      <c r="A2246" s="17"/>
      <c r="B2246" s="17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</row>
    <row r="2247" spans="1:18" x14ac:dyDescent="0.2">
      <c r="A2247" s="17"/>
      <c r="B2247" s="17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</row>
    <row r="2248" spans="1:18" x14ac:dyDescent="0.2">
      <c r="A2248" s="17"/>
      <c r="B2248" s="17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</row>
    <row r="2249" spans="1:18" x14ac:dyDescent="0.2">
      <c r="A2249" s="17"/>
      <c r="B2249" s="17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</row>
    <row r="2250" spans="1:18" x14ac:dyDescent="0.2">
      <c r="A2250" s="17"/>
      <c r="B2250" s="17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</row>
    <row r="2251" spans="1:18" x14ac:dyDescent="0.2">
      <c r="A2251" s="17"/>
      <c r="B2251" s="17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</row>
    <row r="2252" spans="1:18" x14ac:dyDescent="0.2">
      <c r="A2252" s="17"/>
      <c r="B2252" s="17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</row>
    <row r="2253" spans="1:18" x14ac:dyDescent="0.2">
      <c r="A2253" s="17"/>
      <c r="B2253" s="17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</row>
    <row r="2254" spans="1:18" x14ac:dyDescent="0.2">
      <c r="A2254" s="17"/>
      <c r="B2254" s="17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</row>
    <row r="2255" spans="1:18" x14ac:dyDescent="0.2">
      <c r="A2255" s="17"/>
      <c r="B2255" s="17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</row>
    <row r="2256" spans="1:18" x14ac:dyDescent="0.2">
      <c r="A2256" s="17"/>
      <c r="B2256" s="17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</row>
    <row r="2257" spans="1:18" x14ac:dyDescent="0.2">
      <c r="A2257" s="17"/>
      <c r="B2257" s="17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</row>
    <row r="2258" spans="1:18" x14ac:dyDescent="0.2">
      <c r="A2258" s="17"/>
      <c r="B2258" s="17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</row>
    <row r="2259" spans="1:18" x14ac:dyDescent="0.2">
      <c r="A2259" s="17"/>
      <c r="B2259" s="17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</row>
    <row r="2260" spans="1:18" x14ac:dyDescent="0.2">
      <c r="A2260" s="17"/>
      <c r="B2260" s="17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</row>
    <row r="2261" spans="1:18" x14ac:dyDescent="0.2">
      <c r="A2261" s="17"/>
      <c r="B2261" s="17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</row>
    <row r="2262" spans="1:18" x14ac:dyDescent="0.2">
      <c r="A2262" s="17"/>
      <c r="B2262" s="17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</row>
    <row r="2263" spans="1:18" x14ac:dyDescent="0.2">
      <c r="A2263" s="17"/>
      <c r="B2263" s="17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</row>
    <row r="2264" spans="1:18" x14ac:dyDescent="0.2">
      <c r="A2264" s="17"/>
      <c r="B2264" s="17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</row>
    <row r="2265" spans="1:18" x14ac:dyDescent="0.2">
      <c r="A2265" s="17"/>
      <c r="B2265" s="17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</row>
    <row r="2266" spans="1:18" x14ac:dyDescent="0.2">
      <c r="A2266" s="17"/>
      <c r="B2266" s="17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</row>
    <row r="2267" spans="1:18" x14ac:dyDescent="0.2">
      <c r="A2267" s="17"/>
      <c r="B2267" s="17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</row>
    <row r="2268" spans="1:18" x14ac:dyDescent="0.2">
      <c r="A2268" s="17"/>
      <c r="B2268" s="17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</row>
    <row r="2269" spans="1:18" x14ac:dyDescent="0.2">
      <c r="A2269" s="17"/>
      <c r="B2269" s="17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</row>
    <row r="2270" spans="1:18" x14ac:dyDescent="0.2">
      <c r="A2270" s="17"/>
      <c r="B2270" s="17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</row>
    <row r="2271" spans="1:18" x14ac:dyDescent="0.2">
      <c r="A2271" s="17"/>
      <c r="B2271" s="17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</row>
    <row r="2272" spans="1:18" x14ac:dyDescent="0.2">
      <c r="A2272" s="17"/>
      <c r="B2272" s="17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</row>
    <row r="2273" spans="1:18" x14ac:dyDescent="0.2">
      <c r="A2273" s="17"/>
      <c r="B2273" s="17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</row>
    <row r="2274" spans="1:18" x14ac:dyDescent="0.2">
      <c r="A2274" s="17"/>
      <c r="B2274" s="17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</row>
    <row r="2275" spans="1:18" x14ac:dyDescent="0.2">
      <c r="A2275" s="17"/>
      <c r="B2275" s="17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</row>
    <row r="2276" spans="1:18" x14ac:dyDescent="0.2">
      <c r="A2276" s="17"/>
      <c r="B2276" s="17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</row>
    <row r="2277" spans="1:18" x14ac:dyDescent="0.2">
      <c r="A2277" s="17"/>
      <c r="B2277" s="17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</row>
    <row r="2278" spans="1:18" x14ac:dyDescent="0.2">
      <c r="A2278" s="17"/>
      <c r="B2278" s="17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</row>
    <row r="2279" spans="1:18" x14ac:dyDescent="0.2">
      <c r="A2279" s="17"/>
      <c r="B2279" s="17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</row>
    <row r="2280" spans="1:18" x14ac:dyDescent="0.2">
      <c r="A2280" s="17"/>
      <c r="B2280" s="17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</row>
    <row r="2281" spans="1:18" x14ac:dyDescent="0.2">
      <c r="A2281" s="17"/>
      <c r="B2281" s="17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</row>
    <row r="2282" spans="1:18" x14ac:dyDescent="0.2">
      <c r="A2282" s="17"/>
      <c r="B2282" s="17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</row>
    <row r="2283" spans="1:18" x14ac:dyDescent="0.2">
      <c r="A2283" s="17"/>
      <c r="B2283" s="17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</row>
    <row r="2284" spans="1:18" x14ac:dyDescent="0.2">
      <c r="A2284" s="17"/>
      <c r="B2284" s="17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</row>
    <row r="2285" spans="1:18" x14ac:dyDescent="0.2">
      <c r="A2285" s="17"/>
      <c r="B2285" s="17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</row>
    <row r="2286" spans="1:18" x14ac:dyDescent="0.2">
      <c r="A2286" s="17"/>
      <c r="B2286" s="17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</row>
    <row r="2287" spans="1:18" x14ac:dyDescent="0.2">
      <c r="A2287" s="17"/>
      <c r="B2287" s="17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</row>
    <row r="2288" spans="1:18" x14ac:dyDescent="0.2">
      <c r="A2288" s="17"/>
      <c r="B2288" s="17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</row>
    <row r="2289" spans="1:18" x14ac:dyDescent="0.2">
      <c r="A2289" s="17"/>
      <c r="B2289" s="17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</row>
    <row r="2290" spans="1:18" x14ac:dyDescent="0.2">
      <c r="A2290" s="17"/>
      <c r="B2290" s="17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</row>
    <row r="2291" spans="1:18" x14ac:dyDescent="0.2">
      <c r="A2291" s="17"/>
      <c r="B2291" s="17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</row>
    <row r="2292" spans="1:18" x14ac:dyDescent="0.2">
      <c r="A2292" s="17"/>
      <c r="B2292" s="17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</row>
    <row r="2293" spans="1:18" x14ac:dyDescent="0.2">
      <c r="A2293" s="17"/>
      <c r="B2293" s="17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</row>
    <row r="2294" spans="1:18" x14ac:dyDescent="0.2">
      <c r="A2294" s="17"/>
      <c r="B2294" s="17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</row>
    <row r="2295" spans="1:18" x14ac:dyDescent="0.2">
      <c r="A2295" s="17"/>
      <c r="B2295" s="17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</row>
    <row r="2296" spans="1:18" x14ac:dyDescent="0.2">
      <c r="A2296" s="17"/>
      <c r="B2296" s="17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</row>
    <row r="2297" spans="1:18" x14ac:dyDescent="0.2">
      <c r="A2297" s="17"/>
      <c r="B2297" s="17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</row>
    <row r="2298" spans="1:18" x14ac:dyDescent="0.2">
      <c r="A2298" s="17"/>
      <c r="B2298" s="17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</row>
    <row r="2299" spans="1:18" x14ac:dyDescent="0.2">
      <c r="A2299" s="17"/>
      <c r="B2299" s="17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</row>
    <row r="2300" spans="1:18" x14ac:dyDescent="0.2">
      <c r="A2300" s="17"/>
      <c r="B2300" s="17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</row>
    <row r="2301" spans="1:18" x14ac:dyDescent="0.2">
      <c r="A2301" s="17"/>
      <c r="B2301" s="17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</row>
    <row r="2302" spans="1:18" x14ac:dyDescent="0.2">
      <c r="A2302" s="17"/>
      <c r="B2302" s="17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</row>
    <row r="2303" spans="1:18" x14ac:dyDescent="0.2">
      <c r="A2303" s="17"/>
      <c r="B2303" s="17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</row>
    <row r="2304" spans="1:18" x14ac:dyDescent="0.2">
      <c r="A2304" s="17"/>
      <c r="B2304" s="17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</row>
    <row r="2305" spans="1:18" x14ac:dyDescent="0.2">
      <c r="A2305" s="17"/>
      <c r="B2305" s="17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</row>
    <row r="2306" spans="1:18" x14ac:dyDescent="0.2">
      <c r="A2306" s="17"/>
      <c r="B2306" s="17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</row>
    <row r="2307" spans="1:18" x14ac:dyDescent="0.2">
      <c r="A2307" s="17"/>
      <c r="B2307" s="17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</row>
    <row r="2308" spans="1:18" x14ac:dyDescent="0.2">
      <c r="A2308" s="17"/>
      <c r="B2308" s="17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</row>
    <row r="2309" spans="1:18" x14ac:dyDescent="0.2">
      <c r="A2309" s="17"/>
      <c r="B2309" s="17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</row>
    <row r="2310" spans="1:18" x14ac:dyDescent="0.2">
      <c r="A2310" s="17"/>
      <c r="B2310" s="17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</row>
    <row r="2311" spans="1:18" x14ac:dyDescent="0.2">
      <c r="A2311" s="17"/>
      <c r="B2311" s="17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</row>
    <row r="2312" spans="1:18" x14ac:dyDescent="0.2">
      <c r="A2312" s="17"/>
      <c r="B2312" s="17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</row>
    <row r="2313" spans="1:18" x14ac:dyDescent="0.2">
      <c r="A2313" s="17"/>
      <c r="B2313" s="17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</row>
    <row r="2314" spans="1:18" x14ac:dyDescent="0.2">
      <c r="A2314" s="17"/>
      <c r="B2314" s="17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</row>
    <row r="2315" spans="1:18" x14ac:dyDescent="0.2">
      <c r="A2315" s="17"/>
      <c r="B2315" s="17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</row>
    <row r="2316" spans="1:18" x14ac:dyDescent="0.2">
      <c r="A2316" s="17"/>
      <c r="B2316" s="17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</row>
    <row r="2317" spans="1:18" x14ac:dyDescent="0.2">
      <c r="A2317" s="17"/>
      <c r="B2317" s="17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</row>
    <row r="2318" spans="1:18" x14ac:dyDescent="0.2">
      <c r="A2318" s="17"/>
      <c r="B2318" s="17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</row>
    <row r="2319" spans="1:18" x14ac:dyDescent="0.2">
      <c r="A2319" s="17"/>
      <c r="B2319" s="17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</row>
    <row r="2320" spans="1:18" x14ac:dyDescent="0.2">
      <c r="A2320" s="17"/>
      <c r="B2320" s="17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</row>
    <row r="2321" spans="1:18" x14ac:dyDescent="0.2">
      <c r="A2321" s="17"/>
      <c r="B2321" s="17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</row>
    <row r="2322" spans="1:18" x14ac:dyDescent="0.2">
      <c r="A2322" s="17"/>
      <c r="B2322" s="17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</row>
    <row r="2323" spans="1:18" x14ac:dyDescent="0.2">
      <c r="A2323" s="17"/>
      <c r="B2323" s="17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</row>
    <row r="2324" spans="1:18" x14ac:dyDescent="0.2">
      <c r="A2324" s="17"/>
      <c r="B2324" s="17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</row>
    <row r="2325" spans="1:18" x14ac:dyDescent="0.2">
      <c r="A2325" s="17"/>
      <c r="B2325" s="17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</row>
    <row r="2326" spans="1:18" x14ac:dyDescent="0.2">
      <c r="A2326" s="17"/>
      <c r="B2326" s="17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</row>
    <row r="2327" spans="1:18" x14ac:dyDescent="0.2">
      <c r="A2327" s="17"/>
      <c r="B2327" s="17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</row>
    <row r="2328" spans="1:18" x14ac:dyDescent="0.2">
      <c r="A2328" s="17"/>
      <c r="B2328" s="17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</row>
    <row r="2329" spans="1:18" x14ac:dyDescent="0.2">
      <c r="A2329" s="17"/>
      <c r="B2329" s="17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</row>
    <row r="2330" spans="1:18" x14ac:dyDescent="0.2">
      <c r="A2330" s="17"/>
      <c r="B2330" s="17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</row>
    <row r="2331" spans="1:18" x14ac:dyDescent="0.2">
      <c r="A2331" s="17"/>
      <c r="B2331" s="17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</row>
    <row r="2332" spans="1:18" x14ac:dyDescent="0.2">
      <c r="A2332" s="17"/>
      <c r="B2332" s="17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</row>
    <row r="2333" spans="1:18" x14ac:dyDescent="0.2">
      <c r="A2333" s="17"/>
      <c r="B2333" s="17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</row>
    <row r="2334" spans="1:18" x14ac:dyDescent="0.2">
      <c r="A2334" s="17"/>
      <c r="B2334" s="17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</row>
    <row r="2335" spans="1:18" x14ac:dyDescent="0.2">
      <c r="A2335" s="17"/>
      <c r="B2335" s="17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</row>
    <row r="2336" spans="1:18" x14ac:dyDescent="0.2">
      <c r="A2336" s="17"/>
      <c r="B2336" s="17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</row>
    <row r="2337" spans="1:18" x14ac:dyDescent="0.2">
      <c r="A2337" s="17"/>
      <c r="B2337" s="17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</row>
    <row r="2338" spans="1:18" x14ac:dyDescent="0.2">
      <c r="A2338" s="17"/>
      <c r="B2338" s="17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</row>
    <row r="2339" spans="1:18" x14ac:dyDescent="0.2">
      <c r="A2339" s="17"/>
      <c r="B2339" s="17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</row>
    <row r="2340" spans="1:18" x14ac:dyDescent="0.2">
      <c r="A2340" s="17"/>
      <c r="B2340" s="17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</row>
    <row r="2341" spans="1:18" x14ac:dyDescent="0.2">
      <c r="A2341" s="17"/>
      <c r="B2341" s="17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</row>
    <row r="2342" spans="1:18" x14ac:dyDescent="0.2">
      <c r="A2342" s="17"/>
      <c r="B2342" s="17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</row>
    <row r="2343" spans="1:18" x14ac:dyDescent="0.2">
      <c r="A2343" s="17"/>
      <c r="B2343" s="17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</row>
    <row r="2344" spans="1:18" x14ac:dyDescent="0.2">
      <c r="A2344" s="17"/>
      <c r="B2344" s="17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</row>
    <row r="2345" spans="1:18" x14ac:dyDescent="0.2">
      <c r="A2345" s="17"/>
      <c r="B2345" s="17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</row>
    <row r="2346" spans="1:18" x14ac:dyDescent="0.2">
      <c r="A2346" s="17"/>
      <c r="B2346" s="17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</row>
    <row r="2347" spans="1:18" x14ac:dyDescent="0.2">
      <c r="A2347" s="17"/>
      <c r="B2347" s="17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</row>
    <row r="2348" spans="1:18" x14ac:dyDescent="0.2">
      <c r="A2348" s="17"/>
      <c r="B2348" s="17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</row>
    <row r="2349" spans="1:18" x14ac:dyDescent="0.2">
      <c r="A2349" s="17"/>
      <c r="B2349" s="17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</row>
    <row r="2350" spans="1:18" x14ac:dyDescent="0.2">
      <c r="A2350" s="17"/>
      <c r="B2350" s="17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</row>
    <row r="2351" spans="1:18" x14ac:dyDescent="0.2">
      <c r="A2351" s="17"/>
      <c r="B2351" s="17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</row>
    <row r="2352" spans="1:18" x14ac:dyDescent="0.2">
      <c r="A2352" s="17"/>
      <c r="B2352" s="17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</row>
    <row r="2353" spans="1:18" x14ac:dyDescent="0.2">
      <c r="A2353" s="17"/>
      <c r="B2353" s="17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</row>
    <row r="2354" spans="1:18" x14ac:dyDescent="0.2">
      <c r="A2354" s="17"/>
      <c r="B2354" s="17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</row>
    <row r="2355" spans="1:18" x14ac:dyDescent="0.2">
      <c r="A2355" s="17"/>
      <c r="B2355" s="17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</row>
    <row r="2356" spans="1:18" x14ac:dyDescent="0.2">
      <c r="A2356" s="17"/>
      <c r="B2356" s="17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</row>
    <row r="2357" spans="1:18" x14ac:dyDescent="0.2">
      <c r="A2357" s="17"/>
      <c r="B2357" s="17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</row>
    <row r="2358" spans="1:18" x14ac:dyDescent="0.2">
      <c r="A2358" s="17"/>
      <c r="B2358" s="17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</row>
    <row r="2359" spans="1:18" x14ac:dyDescent="0.2">
      <c r="A2359" s="17"/>
      <c r="B2359" s="17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</row>
    <row r="2360" spans="1:18" x14ac:dyDescent="0.2">
      <c r="A2360" s="17"/>
      <c r="B2360" s="17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</row>
    <row r="2361" spans="1:18" x14ac:dyDescent="0.2">
      <c r="A2361" s="17"/>
      <c r="B2361" s="17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</row>
    <row r="2362" spans="1:18" x14ac:dyDescent="0.2">
      <c r="A2362" s="17"/>
      <c r="B2362" s="17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</row>
    <row r="2363" spans="1:18" x14ac:dyDescent="0.2">
      <c r="A2363" s="17"/>
      <c r="B2363" s="17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</row>
    <row r="2364" spans="1:18" x14ac:dyDescent="0.2">
      <c r="A2364" s="17"/>
      <c r="B2364" s="17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</row>
    <row r="2365" spans="1:18" x14ac:dyDescent="0.2">
      <c r="A2365" s="17"/>
      <c r="B2365" s="17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</row>
    <row r="2366" spans="1:18" x14ac:dyDescent="0.2">
      <c r="A2366" s="17"/>
      <c r="B2366" s="17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</row>
    <row r="2367" spans="1:18" x14ac:dyDescent="0.2">
      <c r="A2367" s="17"/>
      <c r="B2367" s="17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</row>
    <row r="2368" spans="1:18" x14ac:dyDescent="0.2">
      <c r="A2368" s="17"/>
      <c r="B2368" s="17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</row>
    <row r="2369" spans="1:18" x14ac:dyDescent="0.2">
      <c r="A2369" s="17"/>
      <c r="B2369" s="17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</row>
    <row r="2370" spans="1:18" x14ac:dyDescent="0.2">
      <c r="A2370" s="17"/>
      <c r="B2370" s="17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</row>
    <row r="2371" spans="1:18" x14ac:dyDescent="0.2">
      <c r="A2371" s="17"/>
      <c r="B2371" s="17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</row>
    <row r="2372" spans="1:18" x14ac:dyDescent="0.2">
      <c r="A2372" s="17"/>
      <c r="B2372" s="17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</row>
    <row r="2373" spans="1:18" x14ac:dyDescent="0.2">
      <c r="A2373" s="17"/>
      <c r="B2373" s="17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</row>
    <row r="2374" spans="1:18" x14ac:dyDescent="0.2">
      <c r="A2374" s="17"/>
      <c r="B2374" s="17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</row>
    <row r="2375" spans="1:18" x14ac:dyDescent="0.2">
      <c r="A2375" s="17"/>
      <c r="B2375" s="17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</row>
    <row r="2376" spans="1:18" x14ac:dyDescent="0.2">
      <c r="A2376" s="17"/>
      <c r="B2376" s="17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</row>
    <row r="2377" spans="1:18" x14ac:dyDescent="0.2">
      <c r="A2377" s="17"/>
      <c r="B2377" s="17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</row>
    <row r="2378" spans="1:18" x14ac:dyDescent="0.2">
      <c r="A2378" s="17"/>
      <c r="B2378" s="17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</row>
    <row r="2379" spans="1:18" x14ac:dyDescent="0.2">
      <c r="A2379" s="17"/>
      <c r="B2379" s="17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</row>
    <row r="2380" spans="1:18" x14ac:dyDescent="0.2">
      <c r="A2380" s="17"/>
      <c r="B2380" s="17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</row>
    <row r="2381" spans="1:18" x14ac:dyDescent="0.2">
      <c r="A2381" s="17"/>
      <c r="B2381" s="17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</row>
    <row r="2382" spans="1:18" x14ac:dyDescent="0.2">
      <c r="A2382" s="17"/>
      <c r="B2382" s="17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</row>
    <row r="2383" spans="1:18" x14ac:dyDescent="0.2">
      <c r="A2383" s="17"/>
      <c r="B2383" s="17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</row>
    <row r="2384" spans="1:18" x14ac:dyDescent="0.2">
      <c r="A2384" s="17"/>
      <c r="B2384" s="17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</row>
    <row r="2385" spans="1:18" x14ac:dyDescent="0.2">
      <c r="A2385" s="17"/>
      <c r="B2385" s="17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</row>
    <row r="2386" spans="1:18" x14ac:dyDescent="0.2">
      <c r="A2386" s="17"/>
      <c r="B2386" s="17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</row>
    <row r="2387" spans="1:18" x14ac:dyDescent="0.2">
      <c r="A2387" s="17"/>
      <c r="B2387" s="17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</row>
    <row r="2388" spans="1:18" x14ac:dyDescent="0.2">
      <c r="A2388" s="17"/>
      <c r="B2388" s="17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</row>
    <row r="2389" spans="1:18" x14ac:dyDescent="0.2">
      <c r="A2389" s="17"/>
      <c r="B2389" s="17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</row>
    <row r="2390" spans="1:18" x14ac:dyDescent="0.2">
      <c r="A2390" s="17"/>
      <c r="B2390" s="17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</row>
    <row r="2391" spans="1:18" x14ac:dyDescent="0.2">
      <c r="A2391" s="17"/>
      <c r="B2391" s="17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</row>
    <row r="2392" spans="1:18" x14ac:dyDescent="0.2">
      <c r="A2392" s="17"/>
      <c r="B2392" s="17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</row>
    <row r="2393" spans="1:18" x14ac:dyDescent="0.2">
      <c r="A2393" s="17"/>
      <c r="B2393" s="17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</row>
    <row r="2394" spans="1:18" x14ac:dyDescent="0.2">
      <c r="A2394" s="17"/>
      <c r="B2394" s="17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</row>
    <row r="2395" spans="1:18" x14ac:dyDescent="0.2">
      <c r="A2395" s="17"/>
      <c r="B2395" s="17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</row>
    <row r="2396" spans="1:18" x14ac:dyDescent="0.2">
      <c r="A2396" s="17"/>
      <c r="B2396" s="17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</row>
    <row r="2397" spans="1:18" x14ac:dyDescent="0.2">
      <c r="A2397" s="17"/>
      <c r="B2397" s="17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</row>
    <row r="2398" spans="1:18" x14ac:dyDescent="0.2">
      <c r="A2398" s="17"/>
      <c r="B2398" s="17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</row>
    <row r="2399" spans="1:18" x14ac:dyDescent="0.2">
      <c r="A2399" s="17"/>
      <c r="B2399" s="17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</row>
    <row r="2400" spans="1:18" x14ac:dyDescent="0.2">
      <c r="A2400" s="17"/>
      <c r="B2400" s="17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</row>
    <row r="2401" spans="1:18" x14ac:dyDescent="0.2">
      <c r="A2401" s="17"/>
      <c r="B2401" s="17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</row>
    <row r="2402" spans="1:18" x14ac:dyDescent="0.2">
      <c r="A2402" s="17"/>
      <c r="B2402" s="17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</row>
    <row r="2403" spans="1:18" x14ac:dyDescent="0.2">
      <c r="A2403" s="17"/>
      <c r="B2403" s="17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</row>
    <row r="2404" spans="1:18" x14ac:dyDescent="0.2">
      <c r="A2404" s="17"/>
      <c r="B2404" s="17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</row>
    <row r="2405" spans="1:18" x14ac:dyDescent="0.2">
      <c r="A2405" s="17"/>
      <c r="B2405" s="17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</row>
    <row r="2406" spans="1:18" x14ac:dyDescent="0.2">
      <c r="A2406" s="17"/>
      <c r="B2406" s="17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</row>
    <row r="2407" spans="1:18" x14ac:dyDescent="0.2">
      <c r="A2407" s="17"/>
      <c r="B2407" s="17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</row>
    <row r="2408" spans="1:18" x14ac:dyDescent="0.2">
      <c r="A2408" s="17"/>
      <c r="B2408" s="17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</row>
    <row r="2409" spans="1:18" x14ac:dyDescent="0.2">
      <c r="A2409" s="17"/>
      <c r="B2409" s="17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</row>
    <row r="2410" spans="1:18" x14ac:dyDescent="0.2">
      <c r="A2410" s="17"/>
      <c r="B2410" s="17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</row>
    <row r="2411" spans="1:18" x14ac:dyDescent="0.2">
      <c r="A2411" s="17"/>
      <c r="B2411" s="17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</row>
    <row r="2412" spans="1:18" x14ac:dyDescent="0.2">
      <c r="A2412" s="17"/>
      <c r="B2412" s="17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</row>
    <row r="2413" spans="1:18" x14ac:dyDescent="0.2">
      <c r="A2413" s="17"/>
      <c r="B2413" s="17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</row>
    <row r="2414" spans="1:18" x14ac:dyDescent="0.2">
      <c r="A2414" s="17"/>
      <c r="B2414" s="17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</row>
    <row r="2415" spans="1:18" x14ac:dyDescent="0.2">
      <c r="A2415" s="17"/>
      <c r="B2415" s="17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</row>
    <row r="2416" spans="1:18" x14ac:dyDescent="0.2">
      <c r="A2416" s="17"/>
      <c r="B2416" s="17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</row>
    <row r="2417" spans="1:18" x14ac:dyDescent="0.2">
      <c r="A2417" s="17"/>
      <c r="B2417" s="17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</row>
    <row r="2418" spans="1:18" x14ac:dyDescent="0.2">
      <c r="A2418" s="17"/>
      <c r="B2418" s="17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</row>
    <row r="2419" spans="1:18" x14ac:dyDescent="0.2">
      <c r="A2419" s="17"/>
      <c r="B2419" s="17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</row>
    <row r="2420" spans="1:18" x14ac:dyDescent="0.2">
      <c r="A2420" s="17"/>
      <c r="B2420" s="17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</row>
    <row r="2421" spans="1:18" x14ac:dyDescent="0.2">
      <c r="A2421" s="17"/>
      <c r="B2421" s="17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</row>
    <row r="2422" spans="1:18" x14ac:dyDescent="0.2">
      <c r="A2422" s="17"/>
      <c r="B2422" s="17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</row>
    <row r="2423" spans="1:18" x14ac:dyDescent="0.2">
      <c r="A2423" s="17"/>
      <c r="B2423" s="17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</row>
    <row r="2424" spans="1:18" x14ac:dyDescent="0.2">
      <c r="A2424" s="17"/>
      <c r="B2424" s="17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</row>
    <row r="2425" spans="1:18" x14ac:dyDescent="0.2">
      <c r="A2425" s="17"/>
      <c r="B2425" s="17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</row>
    <row r="2426" spans="1:18" x14ac:dyDescent="0.2">
      <c r="A2426" s="17"/>
      <c r="B2426" s="17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</row>
    <row r="2427" spans="1:18" x14ac:dyDescent="0.2">
      <c r="A2427" s="17"/>
      <c r="B2427" s="17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</row>
    <row r="2428" spans="1:18" x14ac:dyDescent="0.2">
      <c r="A2428" s="17"/>
      <c r="B2428" s="17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</row>
    <row r="2429" spans="1:18" x14ac:dyDescent="0.2">
      <c r="A2429" s="17"/>
      <c r="B2429" s="17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</row>
    <row r="2430" spans="1:18" x14ac:dyDescent="0.2">
      <c r="A2430" s="17"/>
      <c r="B2430" s="17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</row>
    <row r="2431" spans="1:18" x14ac:dyDescent="0.2">
      <c r="A2431" s="17"/>
      <c r="B2431" s="17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</row>
    <row r="2432" spans="1:18" x14ac:dyDescent="0.2">
      <c r="A2432" s="17"/>
      <c r="B2432" s="17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</row>
    <row r="2433" spans="1:18" x14ac:dyDescent="0.2">
      <c r="A2433" s="17"/>
      <c r="B2433" s="17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</row>
    <row r="2434" spans="1:18" x14ac:dyDescent="0.2">
      <c r="A2434" s="17"/>
      <c r="B2434" s="17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</row>
    <row r="2435" spans="1:18" x14ac:dyDescent="0.2">
      <c r="A2435" s="17"/>
      <c r="B2435" s="17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</row>
    <row r="2436" spans="1:18" x14ac:dyDescent="0.2">
      <c r="A2436" s="17"/>
      <c r="B2436" s="17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</row>
    <row r="2437" spans="1:18" x14ac:dyDescent="0.2">
      <c r="A2437" s="17"/>
      <c r="B2437" s="17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</row>
    <row r="2438" spans="1:18" x14ac:dyDescent="0.2">
      <c r="A2438" s="17"/>
      <c r="B2438" s="17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</row>
    <row r="2439" spans="1:18" x14ac:dyDescent="0.2">
      <c r="A2439" s="17"/>
      <c r="B2439" s="17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</row>
    <row r="2440" spans="1:18" x14ac:dyDescent="0.2">
      <c r="A2440" s="17"/>
      <c r="B2440" s="17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</row>
    <row r="2441" spans="1:18" x14ac:dyDescent="0.2">
      <c r="A2441" s="17"/>
      <c r="B2441" s="17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</row>
    <row r="2442" spans="1:18" x14ac:dyDescent="0.2">
      <c r="A2442" s="17"/>
      <c r="B2442" s="17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</row>
    <row r="2443" spans="1:18" x14ac:dyDescent="0.2">
      <c r="A2443" s="17"/>
      <c r="B2443" s="17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</row>
    <row r="2444" spans="1:18" x14ac:dyDescent="0.2">
      <c r="A2444" s="17"/>
      <c r="B2444" s="17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</row>
    <row r="2445" spans="1:18" x14ac:dyDescent="0.2">
      <c r="A2445" s="17"/>
      <c r="B2445" s="17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</row>
    <row r="2446" spans="1:18" x14ac:dyDescent="0.2">
      <c r="A2446" s="17"/>
      <c r="B2446" s="17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</row>
    <row r="2447" spans="1:18" x14ac:dyDescent="0.2">
      <c r="A2447" s="17"/>
      <c r="B2447" s="17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</row>
    <row r="2448" spans="1:18" x14ac:dyDescent="0.2">
      <c r="A2448" s="17"/>
      <c r="B2448" s="17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</row>
    <row r="2449" spans="1:18" x14ac:dyDescent="0.2">
      <c r="A2449" s="17"/>
      <c r="B2449" s="17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</row>
    <row r="2450" spans="1:18" x14ac:dyDescent="0.2">
      <c r="A2450" s="17"/>
      <c r="B2450" s="17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</row>
    <row r="2451" spans="1:18" x14ac:dyDescent="0.2">
      <c r="A2451" s="17"/>
      <c r="B2451" s="17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</row>
    <row r="2452" spans="1:18" x14ac:dyDescent="0.2">
      <c r="A2452" s="17"/>
      <c r="B2452" s="17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</row>
    <row r="2453" spans="1:18" x14ac:dyDescent="0.2">
      <c r="A2453" s="17"/>
      <c r="B2453" s="17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</row>
    <row r="2454" spans="1:18" x14ac:dyDescent="0.2">
      <c r="A2454" s="17"/>
      <c r="B2454" s="17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</row>
    <row r="2455" spans="1:18" x14ac:dyDescent="0.2">
      <c r="A2455" s="17"/>
      <c r="B2455" s="17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</row>
    <row r="2456" spans="1:18" x14ac:dyDescent="0.2">
      <c r="A2456" s="17"/>
      <c r="B2456" s="17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</row>
    <row r="2457" spans="1:18" x14ac:dyDescent="0.2">
      <c r="A2457" s="17"/>
      <c r="B2457" s="17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</row>
    <row r="2458" spans="1:18" x14ac:dyDescent="0.2">
      <c r="A2458" s="17"/>
      <c r="B2458" s="17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</row>
    <row r="2459" spans="1:18" x14ac:dyDescent="0.2">
      <c r="A2459" s="17"/>
      <c r="B2459" s="17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</row>
    <row r="2460" spans="1:18" x14ac:dyDescent="0.2">
      <c r="A2460" s="17"/>
      <c r="B2460" s="17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</row>
    <row r="2461" spans="1:18" x14ac:dyDescent="0.2">
      <c r="A2461" s="17"/>
      <c r="B2461" s="17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</row>
    <row r="2462" spans="1:18" x14ac:dyDescent="0.2">
      <c r="A2462" s="17"/>
      <c r="B2462" s="17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</row>
    <row r="2463" spans="1:18" x14ac:dyDescent="0.2">
      <c r="A2463" s="17"/>
      <c r="B2463" s="17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</row>
    <row r="2464" spans="1:18" x14ac:dyDescent="0.2">
      <c r="A2464" s="17"/>
      <c r="B2464" s="17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</row>
    <row r="2465" spans="1:18" x14ac:dyDescent="0.2">
      <c r="A2465" s="17"/>
      <c r="B2465" s="17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</row>
    <row r="2466" spans="1:18" x14ac:dyDescent="0.2">
      <c r="A2466" s="17"/>
      <c r="B2466" s="17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</row>
    <row r="2467" spans="1:18" x14ac:dyDescent="0.2">
      <c r="A2467" s="17"/>
      <c r="B2467" s="17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</row>
    <row r="2468" spans="1:18" x14ac:dyDescent="0.2">
      <c r="A2468" s="17"/>
      <c r="B2468" s="17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</row>
    <row r="2469" spans="1:18" x14ac:dyDescent="0.2">
      <c r="A2469" s="17"/>
      <c r="B2469" s="17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</row>
    <row r="2470" spans="1:18" x14ac:dyDescent="0.2">
      <c r="A2470" s="17"/>
      <c r="B2470" s="17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</row>
    <row r="2471" spans="1:18" x14ac:dyDescent="0.2">
      <c r="A2471" s="17"/>
      <c r="B2471" s="17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</row>
    <row r="2472" spans="1:18" x14ac:dyDescent="0.2">
      <c r="A2472" s="17"/>
      <c r="B2472" s="17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</row>
    <row r="2473" spans="1:18" x14ac:dyDescent="0.2">
      <c r="A2473" s="17"/>
      <c r="B2473" s="17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</row>
    <row r="2474" spans="1:18" x14ac:dyDescent="0.2">
      <c r="A2474" s="17"/>
      <c r="B2474" s="17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</row>
    <row r="2475" spans="1:18" x14ac:dyDescent="0.2">
      <c r="A2475" s="17"/>
      <c r="B2475" s="17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</row>
    <row r="2476" spans="1:18" x14ac:dyDescent="0.2">
      <c r="A2476" s="17"/>
      <c r="B2476" s="17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</row>
    <row r="2477" spans="1:18" x14ac:dyDescent="0.2">
      <c r="A2477" s="17"/>
      <c r="B2477" s="17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</row>
    <row r="2478" spans="1:18" x14ac:dyDescent="0.2">
      <c r="A2478" s="17"/>
      <c r="B2478" s="17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</row>
    <row r="2479" spans="1:18" x14ac:dyDescent="0.2">
      <c r="A2479" s="17"/>
      <c r="B2479" s="17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</row>
    <row r="2480" spans="1:18" x14ac:dyDescent="0.2">
      <c r="A2480" s="17"/>
      <c r="B2480" s="17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</row>
    <row r="2481" spans="1:18" x14ac:dyDescent="0.2">
      <c r="A2481" s="17"/>
      <c r="B2481" s="17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</row>
    <row r="2482" spans="1:18" x14ac:dyDescent="0.2">
      <c r="A2482" s="17"/>
      <c r="B2482" s="17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</row>
    <row r="2483" spans="1:18" x14ac:dyDescent="0.2">
      <c r="A2483" s="17"/>
      <c r="B2483" s="17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</row>
    <row r="2484" spans="1:18" x14ac:dyDescent="0.2">
      <c r="A2484" s="17"/>
      <c r="B2484" s="17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</row>
    <row r="2485" spans="1:18" x14ac:dyDescent="0.2">
      <c r="A2485" s="17"/>
      <c r="B2485" s="17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</row>
    <row r="2486" spans="1:18" x14ac:dyDescent="0.2">
      <c r="A2486" s="17"/>
      <c r="B2486" s="17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</row>
    <row r="2487" spans="1:18" x14ac:dyDescent="0.2">
      <c r="A2487" s="17"/>
      <c r="B2487" s="17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</row>
    <row r="2488" spans="1:18" x14ac:dyDescent="0.2">
      <c r="A2488" s="17"/>
      <c r="B2488" s="17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</row>
    <row r="2489" spans="1:18" x14ac:dyDescent="0.2">
      <c r="A2489" s="17"/>
      <c r="B2489" s="17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</row>
    <row r="2490" spans="1:18" x14ac:dyDescent="0.2">
      <c r="A2490" s="17"/>
      <c r="B2490" s="17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</row>
    <row r="2491" spans="1:18" x14ac:dyDescent="0.2">
      <c r="A2491" s="17"/>
      <c r="B2491" s="17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</row>
    <row r="2492" spans="1:18" x14ac:dyDescent="0.2">
      <c r="A2492" s="17"/>
      <c r="B2492" s="17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</row>
    <row r="2493" spans="1:18" x14ac:dyDescent="0.2">
      <c r="A2493" s="17"/>
      <c r="B2493" s="17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</row>
    <row r="2494" spans="1:18" x14ac:dyDescent="0.2">
      <c r="A2494" s="17"/>
      <c r="B2494" s="17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</row>
    <row r="2495" spans="1:18" x14ac:dyDescent="0.2">
      <c r="A2495" s="17"/>
      <c r="B2495" s="17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</row>
    <row r="2496" spans="1:18" x14ac:dyDescent="0.2">
      <c r="A2496" s="17"/>
      <c r="B2496" s="17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</row>
    <row r="2497" spans="1:18" x14ac:dyDescent="0.2">
      <c r="A2497" s="17"/>
      <c r="B2497" s="17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</row>
    <row r="2498" spans="1:18" x14ac:dyDescent="0.2">
      <c r="A2498" s="17"/>
      <c r="B2498" s="17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</row>
    <row r="2499" spans="1:18" x14ac:dyDescent="0.2">
      <c r="A2499" s="17"/>
      <c r="B2499" s="17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</row>
    <row r="2500" spans="1:18" x14ac:dyDescent="0.2">
      <c r="A2500" s="17"/>
      <c r="B2500" s="17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</row>
    <row r="2501" spans="1:18" x14ac:dyDescent="0.2">
      <c r="A2501" s="17"/>
      <c r="B2501" s="17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</row>
    <row r="2502" spans="1:18" x14ac:dyDescent="0.2">
      <c r="A2502" s="17"/>
      <c r="B2502" s="17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</row>
    <row r="2503" spans="1:18" x14ac:dyDescent="0.2">
      <c r="A2503" s="17"/>
      <c r="B2503" s="17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</row>
    <row r="2504" spans="1:18" x14ac:dyDescent="0.2">
      <c r="A2504" s="17"/>
      <c r="B2504" s="17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</row>
    <row r="2505" spans="1:18" x14ac:dyDescent="0.2">
      <c r="A2505" s="17"/>
      <c r="B2505" s="17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</row>
    <row r="2506" spans="1:18" x14ac:dyDescent="0.2">
      <c r="A2506" s="17"/>
      <c r="B2506" s="17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</row>
    <row r="2507" spans="1:18" x14ac:dyDescent="0.2">
      <c r="A2507" s="17"/>
      <c r="B2507" s="17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</row>
    <row r="2508" spans="1:18" x14ac:dyDescent="0.2">
      <c r="A2508" s="17"/>
      <c r="B2508" s="17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</row>
    <row r="2509" spans="1:18" x14ac:dyDescent="0.2">
      <c r="A2509" s="17"/>
      <c r="B2509" s="17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</row>
    <row r="2510" spans="1:18" x14ac:dyDescent="0.2">
      <c r="A2510" s="17"/>
      <c r="B2510" s="17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</row>
    <row r="2511" spans="1:18" x14ac:dyDescent="0.2">
      <c r="A2511" s="17"/>
      <c r="B2511" s="17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</row>
    <row r="2512" spans="1:18" x14ac:dyDescent="0.2">
      <c r="A2512" s="17"/>
      <c r="B2512" s="17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</row>
    <row r="2513" spans="1:18" x14ac:dyDescent="0.2">
      <c r="A2513" s="17"/>
      <c r="B2513" s="17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</row>
    <row r="2514" spans="1:18" x14ac:dyDescent="0.2">
      <c r="A2514" s="17"/>
      <c r="B2514" s="17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</row>
    <row r="2515" spans="1:18" x14ac:dyDescent="0.2">
      <c r="A2515" s="17"/>
      <c r="B2515" s="17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</row>
    <row r="2516" spans="1:18" x14ac:dyDescent="0.2">
      <c r="A2516" s="17"/>
      <c r="B2516" s="17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</row>
    <row r="2517" spans="1:18" x14ac:dyDescent="0.2">
      <c r="A2517" s="17"/>
      <c r="B2517" s="17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</row>
    <row r="2518" spans="1:18" x14ac:dyDescent="0.2">
      <c r="A2518" s="17"/>
      <c r="B2518" s="17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</row>
    <row r="2519" spans="1:18" x14ac:dyDescent="0.2">
      <c r="A2519" s="17"/>
      <c r="B2519" s="17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</row>
    <row r="2520" spans="1:18" x14ac:dyDescent="0.2">
      <c r="A2520" s="17"/>
      <c r="B2520" s="17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</row>
    <row r="2521" spans="1:18" x14ac:dyDescent="0.2">
      <c r="A2521" s="17"/>
      <c r="B2521" s="17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</row>
    <row r="2522" spans="1:18" x14ac:dyDescent="0.2">
      <c r="A2522" s="17"/>
      <c r="B2522" s="17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</row>
    <row r="2523" spans="1:18" x14ac:dyDescent="0.2">
      <c r="A2523" s="17"/>
      <c r="B2523" s="17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</row>
    <row r="2524" spans="1:18" x14ac:dyDescent="0.2">
      <c r="A2524" s="17"/>
      <c r="B2524" s="17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</row>
    <row r="2525" spans="1:18" x14ac:dyDescent="0.2">
      <c r="A2525" s="17"/>
      <c r="B2525" s="17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</row>
    <row r="2526" spans="1:18" x14ac:dyDescent="0.2">
      <c r="A2526" s="17"/>
      <c r="B2526" s="17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</row>
    <row r="2527" spans="1:18" x14ac:dyDescent="0.2">
      <c r="A2527" s="17"/>
      <c r="B2527" s="17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</row>
    <row r="2528" spans="1:18" x14ac:dyDescent="0.2">
      <c r="A2528" s="17"/>
      <c r="B2528" s="17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</row>
    <row r="2529" spans="1:18" x14ac:dyDescent="0.2">
      <c r="A2529" s="17"/>
      <c r="B2529" s="17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</row>
    <row r="2530" spans="1:18" x14ac:dyDescent="0.2">
      <c r="A2530" s="17"/>
      <c r="B2530" s="17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</row>
    <row r="2531" spans="1:18" x14ac:dyDescent="0.2">
      <c r="A2531" s="17"/>
      <c r="B2531" s="17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</row>
    <row r="2532" spans="1:18" x14ac:dyDescent="0.2">
      <c r="A2532" s="17"/>
      <c r="B2532" s="17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</row>
    <row r="2533" spans="1:18" x14ac:dyDescent="0.2">
      <c r="A2533" s="17"/>
      <c r="B2533" s="17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</row>
    <row r="2534" spans="1:18" x14ac:dyDescent="0.2">
      <c r="A2534" s="17"/>
      <c r="B2534" s="17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</row>
    <row r="2535" spans="1:18" x14ac:dyDescent="0.2">
      <c r="A2535" s="17"/>
      <c r="B2535" s="17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</row>
    <row r="2536" spans="1:18" x14ac:dyDescent="0.2">
      <c r="A2536" s="17"/>
      <c r="B2536" s="17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</row>
    <row r="2537" spans="1:18" x14ac:dyDescent="0.2">
      <c r="A2537" s="17"/>
      <c r="B2537" s="17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</row>
    <row r="2538" spans="1:18" x14ac:dyDescent="0.2">
      <c r="A2538" s="17"/>
      <c r="B2538" s="17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</row>
    <row r="2539" spans="1:18" x14ac:dyDescent="0.2">
      <c r="A2539" s="17"/>
      <c r="B2539" s="17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</row>
    <row r="2540" spans="1:18" x14ac:dyDescent="0.2">
      <c r="A2540" s="17"/>
      <c r="B2540" s="17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</row>
    <row r="2541" spans="1:18" x14ac:dyDescent="0.2">
      <c r="A2541" s="17"/>
      <c r="B2541" s="17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</row>
    <row r="2542" spans="1:18" x14ac:dyDescent="0.2">
      <c r="A2542" s="17"/>
      <c r="B2542" s="17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</row>
    <row r="2543" spans="1:18" x14ac:dyDescent="0.2">
      <c r="A2543" s="17"/>
      <c r="B2543" s="17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</row>
    <row r="2544" spans="1:18" x14ac:dyDescent="0.2">
      <c r="A2544" s="17"/>
      <c r="B2544" s="17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</row>
    <row r="2545" spans="1:18" x14ac:dyDescent="0.2">
      <c r="A2545" s="17"/>
      <c r="B2545" s="17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</row>
    <row r="2546" spans="1:18" x14ac:dyDescent="0.2">
      <c r="A2546" s="17"/>
      <c r="B2546" s="17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</row>
    <row r="2547" spans="1:18" x14ac:dyDescent="0.2">
      <c r="A2547" s="17"/>
      <c r="B2547" s="17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</row>
    <row r="2548" spans="1:18" x14ac:dyDescent="0.2">
      <c r="A2548" s="17"/>
      <c r="B2548" s="17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</row>
    <row r="2549" spans="1:18" x14ac:dyDescent="0.2">
      <c r="A2549" s="17"/>
      <c r="B2549" s="17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</row>
    <row r="2550" spans="1:18" x14ac:dyDescent="0.2">
      <c r="A2550" s="17"/>
      <c r="B2550" s="17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</row>
    <row r="2551" spans="1:18" x14ac:dyDescent="0.2">
      <c r="A2551" s="17"/>
      <c r="B2551" s="17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</row>
    <row r="2552" spans="1:18" x14ac:dyDescent="0.2">
      <c r="A2552" s="17"/>
      <c r="B2552" s="17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</row>
    <row r="2553" spans="1:18" x14ac:dyDescent="0.2">
      <c r="A2553" s="17"/>
      <c r="B2553" s="17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</row>
    <row r="2554" spans="1:18" x14ac:dyDescent="0.2">
      <c r="A2554" s="17"/>
      <c r="B2554" s="17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</row>
    <row r="2555" spans="1:18" x14ac:dyDescent="0.2">
      <c r="A2555" s="17"/>
      <c r="B2555" s="17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</row>
    <row r="2556" spans="1:18" x14ac:dyDescent="0.2">
      <c r="A2556" s="17"/>
      <c r="B2556" s="17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</row>
    <row r="2557" spans="1:18" x14ac:dyDescent="0.2">
      <c r="A2557" s="17"/>
      <c r="B2557" s="17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</row>
    <row r="2558" spans="1:18" x14ac:dyDescent="0.2">
      <c r="A2558" s="17"/>
      <c r="B2558" s="17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</row>
    <row r="2559" spans="1:18" x14ac:dyDescent="0.2">
      <c r="A2559" s="17"/>
      <c r="B2559" s="17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</row>
    <row r="2560" spans="1:18" x14ac:dyDescent="0.2">
      <c r="A2560" s="17"/>
      <c r="B2560" s="17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</row>
    <row r="2561" spans="1:18" x14ac:dyDescent="0.2">
      <c r="A2561" s="17"/>
      <c r="B2561" s="17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</row>
    <row r="2562" spans="1:18" x14ac:dyDescent="0.2">
      <c r="A2562" s="17"/>
      <c r="B2562" s="17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</row>
    <row r="2563" spans="1:18" x14ac:dyDescent="0.2">
      <c r="A2563" s="17"/>
      <c r="B2563" s="17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</row>
    <row r="2564" spans="1:18" x14ac:dyDescent="0.2">
      <c r="A2564" s="17"/>
      <c r="B2564" s="17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</row>
    <row r="2565" spans="1:18" x14ac:dyDescent="0.2">
      <c r="A2565" s="17"/>
      <c r="B2565" s="17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</row>
    <row r="2566" spans="1:18" x14ac:dyDescent="0.2">
      <c r="A2566" s="17"/>
      <c r="B2566" s="17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</row>
    <row r="2567" spans="1:18" x14ac:dyDescent="0.2">
      <c r="A2567" s="17"/>
      <c r="B2567" s="17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</row>
    <row r="2568" spans="1:18" x14ac:dyDescent="0.2">
      <c r="A2568" s="17"/>
      <c r="B2568" s="17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</row>
    <row r="2569" spans="1:18" x14ac:dyDescent="0.2">
      <c r="A2569" s="17"/>
      <c r="B2569" s="17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</row>
    <row r="2570" spans="1:18" x14ac:dyDescent="0.2">
      <c r="A2570" s="17"/>
      <c r="B2570" s="17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</row>
    <row r="2571" spans="1:18" x14ac:dyDescent="0.2">
      <c r="A2571" s="17"/>
      <c r="B2571" s="17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</row>
    <row r="2572" spans="1:18" x14ac:dyDescent="0.2">
      <c r="A2572" s="17"/>
      <c r="B2572" s="17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</row>
    <row r="2573" spans="1:18" x14ac:dyDescent="0.2">
      <c r="A2573" s="17"/>
      <c r="B2573" s="17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</row>
    <row r="2574" spans="1:18" x14ac:dyDescent="0.2">
      <c r="A2574" s="17"/>
      <c r="B2574" s="17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</row>
    <row r="2575" spans="1:18" x14ac:dyDescent="0.2">
      <c r="A2575" s="17"/>
      <c r="B2575" s="17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</row>
    <row r="2576" spans="1:18" x14ac:dyDescent="0.2">
      <c r="A2576" s="17"/>
      <c r="B2576" s="17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</row>
    <row r="2577" spans="1:18" x14ac:dyDescent="0.2">
      <c r="A2577" s="17"/>
      <c r="B2577" s="17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</row>
    <row r="2578" spans="1:18" x14ac:dyDescent="0.2">
      <c r="A2578" s="17"/>
      <c r="B2578" s="17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</row>
    <row r="2579" spans="1:18" x14ac:dyDescent="0.2">
      <c r="A2579" s="17"/>
      <c r="B2579" s="17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</row>
    <row r="2580" spans="1:18" x14ac:dyDescent="0.2">
      <c r="A2580" s="17"/>
      <c r="B2580" s="17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</row>
    <row r="2581" spans="1:18" x14ac:dyDescent="0.2">
      <c r="A2581" s="17"/>
      <c r="B2581" s="17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</row>
    <row r="2582" spans="1:18" x14ac:dyDescent="0.2">
      <c r="A2582" s="17"/>
      <c r="B2582" s="17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</row>
    <row r="2583" spans="1:18" x14ac:dyDescent="0.2">
      <c r="A2583" s="17"/>
      <c r="B2583" s="17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</row>
    <row r="2584" spans="1:18" x14ac:dyDescent="0.2">
      <c r="A2584" s="17"/>
      <c r="B2584" s="17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</row>
    <row r="2585" spans="1:18" x14ac:dyDescent="0.2">
      <c r="A2585" s="17"/>
      <c r="B2585" s="17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</row>
    <row r="2586" spans="1:18" x14ac:dyDescent="0.2">
      <c r="A2586" s="17"/>
      <c r="B2586" s="17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</row>
    <row r="2587" spans="1:18" x14ac:dyDescent="0.2">
      <c r="A2587" s="17"/>
      <c r="B2587" s="17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</row>
    <row r="2588" spans="1:18" x14ac:dyDescent="0.2">
      <c r="A2588" s="17"/>
      <c r="B2588" s="17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</row>
    <row r="2589" spans="1:18" x14ac:dyDescent="0.2">
      <c r="A2589" s="17"/>
      <c r="B2589" s="17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</row>
    <row r="2590" spans="1:18" x14ac:dyDescent="0.2">
      <c r="A2590" s="17"/>
      <c r="B2590" s="17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</row>
    <row r="2591" spans="1:18" x14ac:dyDescent="0.2">
      <c r="A2591" s="17"/>
      <c r="B2591" s="17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</row>
    <row r="2592" spans="1:18" x14ac:dyDescent="0.2">
      <c r="A2592" s="17"/>
      <c r="B2592" s="17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</row>
    <row r="2593" spans="1:18" x14ac:dyDescent="0.2">
      <c r="A2593" s="17"/>
      <c r="B2593" s="17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</row>
    <row r="2594" spans="1:18" x14ac:dyDescent="0.2">
      <c r="A2594" s="17"/>
      <c r="B2594" s="17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</row>
    <row r="2595" spans="1:18" x14ac:dyDescent="0.2">
      <c r="A2595" s="17"/>
      <c r="B2595" s="17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</row>
    <row r="2596" spans="1:18" x14ac:dyDescent="0.2">
      <c r="A2596" s="17"/>
      <c r="B2596" s="17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</row>
    <row r="2597" spans="1:18" x14ac:dyDescent="0.2">
      <c r="A2597" s="17"/>
      <c r="B2597" s="17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</row>
    <row r="2598" spans="1:18" x14ac:dyDescent="0.2">
      <c r="A2598" s="17"/>
      <c r="B2598" s="17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</row>
    <row r="2599" spans="1:18" x14ac:dyDescent="0.2">
      <c r="A2599" s="17"/>
      <c r="B2599" s="17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</row>
    <row r="2600" spans="1:18" x14ac:dyDescent="0.2">
      <c r="A2600" s="17"/>
      <c r="B2600" s="17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</row>
    <row r="2601" spans="1:18" x14ac:dyDescent="0.2">
      <c r="A2601" s="17"/>
      <c r="B2601" s="17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</row>
    <row r="2602" spans="1:18" x14ac:dyDescent="0.2">
      <c r="A2602" s="17"/>
      <c r="B2602" s="17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</row>
    <row r="2603" spans="1:18" x14ac:dyDescent="0.2">
      <c r="A2603" s="17"/>
      <c r="B2603" s="17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</row>
    <row r="2604" spans="1:18" x14ac:dyDescent="0.2">
      <c r="A2604" s="17"/>
      <c r="B2604" s="17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</row>
    <row r="2605" spans="1:18" x14ac:dyDescent="0.2">
      <c r="A2605" s="17"/>
      <c r="B2605" s="17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</row>
    <row r="2606" spans="1:18" x14ac:dyDescent="0.2">
      <c r="A2606" s="17"/>
      <c r="B2606" s="17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</row>
    <row r="2607" spans="1:18" x14ac:dyDescent="0.2">
      <c r="A2607" s="17"/>
      <c r="B2607" s="17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</row>
    <row r="2608" spans="1:18" x14ac:dyDescent="0.2">
      <c r="A2608" s="17"/>
      <c r="B2608" s="17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</row>
    <row r="2609" spans="1:18" x14ac:dyDescent="0.2">
      <c r="A2609" s="17"/>
      <c r="B2609" s="17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</row>
    <row r="2610" spans="1:18" x14ac:dyDescent="0.2">
      <c r="A2610" s="17"/>
      <c r="B2610" s="17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</row>
    <row r="2611" spans="1:18" x14ac:dyDescent="0.2">
      <c r="A2611" s="17"/>
      <c r="B2611" s="17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</row>
    <row r="2612" spans="1:18" x14ac:dyDescent="0.2">
      <c r="A2612" s="17"/>
      <c r="B2612" s="17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</row>
    <row r="2613" spans="1:18" x14ac:dyDescent="0.2">
      <c r="A2613" s="17"/>
      <c r="B2613" s="17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</row>
    <row r="2614" spans="1:18" x14ac:dyDescent="0.2">
      <c r="A2614" s="17"/>
      <c r="B2614" s="17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</row>
    <row r="2615" spans="1:18" x14ac:dyDescent="0.2">
      <c r="A2615" s="17"/>
      <c r="B2615" s="17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</row>
    <row r="2616" spans="1:18" x14ac:dyDescent="0.2">
      <c r="A2616" s="17"/>
      <c r="B2616" s="17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</row>
    <row r="2617" spans="1:18" x14ac:dyDescent="0.2">
      <c r="A2617" s="17"/>
      <c r="B2617" s="17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</row>
    <row r="2618" spans="1:18" x14ac:dyDescent="0.2">
      <c r="A2618" s="17"/>
      <c r="B2618" s="17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</row>
    <row r="2619" spans="1:18" x14ac:dyDescent="0.2">
      <c r="A2619" s="17"/>
      <c r="B2619" s="17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</row>
    <row r="2620" spans="1:18" x14ac:dyDescent="0.2">
      <c r="A2620" s="17"/>
      <c r="B2620" s="17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</row>
    <row r="2621" spans="1:18" x14ac:dyDescent="0.2">
      <c r="A2621" s="17"/>
      <c r="B2621" s="17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</row>
    <row r="2622" spans="1:18" x14ac:dyDescent="0.2">
      <c r="A2622" s="17"/>
      <c r="B2622" s="17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</row>
    <row r="2623" spans="1:18" x14ac:dyDescent="0.2">
      <c r="A2623" s="17"/>
      <c r="B2623" s="17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</row>
    <row r="2624" spans="1:18" x14ac:dyDescent="0.2">
      <c r="A2624" s="17"/>
      <c r="B2624" s="17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</row>
    <row r="2625" spans="1:18" x14ac:dyDescent="0.2">
      <c r="A2625" s="17"/>
      <c r="B2625" s="17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</row>
    <row r="2626" spans="1:18" x14ac:dyDescent="0.2">
      <c r="A2626" s="17"/>
      <c r="B2626" s="17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</row>
    <row r="2627" spans="1:18" x14ac:dyDescent="0.2">
      <c r="A2627" s="17"/>
      <c r="B2627" s="17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</row>
    <row r="2628" spans="1:18" x14ac:dyDescent="0.2">
      <c r="A2628" s="17"/>
      <c r="B2628" s="17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</row>
    <row r="2629" spans="1:18" x14ac:dyDescent="0.2">
      <c r="A2629" s="17"/>
      <c r="B2629" s="17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</row>
    <row r="2630" spans="1:18" x14ac:dyDescent="0.2">
      <c r="A2630" s="17"/>
      <c r="B2630" s="17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</row>
    <row r="2631" spans="1:18" x14ac:dyDescent="0.2">
      <c r="A2631" s="17"/>
      <c r="B2631" s="17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</row>
    <row r="2632" spans="1:18" x14ac:dyDescent="0.2">
      <c r="A2632" s="17"/>
      <c r="B2632" s="17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</row>
    <row r="2633" spans="1:18" x14ac:dyDescent="0.2">
      <c r="A2633" s="17"/>
      <c r="B2633" s="17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</row>
    <row r="2634" spans="1:18" x14ac:dyDescent="0.2">
      <c r="A2634" s="17"/>
      <c r="B2634" s="17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</row>
    <row r="2635" spans="1:18" x14ac:dyDescent="0.2">
      <c r="A2635" s="17"/>
      <c r="B2635" s="17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</row>
    <row r="2636" spans="1:18" x14ac:dyDescent="0.2">
      <c r="A2636" s="17"/>
      <c r="B2636" s="17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</row>
    <row r="2637" spans="1:18" x14ac:dyDescent="0.2">
      <c r="A2637" s="17"/>
      <c r="B2637" s="17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</row>
    <row r="2638" spans="1:18" x14ac:dyDescent="0.2">
      <c r="A2638" s="17"/>
      <c r="B2638" s="17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</row>
    <row r="2639" spans="1:18" x14ac:dyDescent="0.2">
      <c r="A2639" s="17"/>
      <c r="B2639" s="17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</row>
    <row r="2640" spans="1:18" x14ac:dyDescent="0.2">
      <c r="A2640" s="17"/>
      <c r="B2640" s="17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</row>
    <row r="2641" spans="1:18" x14ac:dyDescent="0.2">
      <c r="A2641" s="17"/>
      <c r="B2641" s="17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</row>
    <row r="2642" spans="1:18" x14ac:dyDescent="0.2">
      <c r="A2642" s="17"/>
      <c r="B2642" s="17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</row>
    <row r="2643" spans="1:18" x14ac:dyDescent="0.2">
      <c r="A2643" s="17"/>
      <c r="B2643" s="17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</row>
    <row r="2644" spans="1:18" x14ac:dyDescent="0.2">
      <c r="A2644" s="17"/>
      <c r="B2644" s="17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</row>
    <row r="2645" spans="1:18" x14ac:dyDescent="0.2">
      <c r="A2645" s="17"/>
      <c r="B2645" s="17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</row>
    <row r="2646" spans="1:18" x14ac:dyDescent="0.2">
      <c r="A2646" s="17"/>
      <c r="B2646" s="17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</row>
    <row r="2647" spans="1:18" x14ac:dyDescent="0.2">
      <c r="A2647" s="17"/>
      <c r="B2647" s="17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</row>
    <row r="2648" spans="1:18" x14ac:dyDescent="0.2">
      <c r="A2648" s="17"/>
      <c r="B2648" s="17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</row>
    <row r="2649" spans="1:18" x14ac:dyDescent="0.2">
      <c r="A2649" s="17"/>
      <c r="B2649" s="17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</row>
    <row r="2650" spans="1:18" x14ac:dyDescent="0.2">
      <c r="A2650" s="17"/>
      <c r="B2650" s="17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</row>
    <row r="2651" spans="1:18" x14ac:dyDescent="0.2">
      <c r="A2651" s="17"/>
      <c r="B2651" s="17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</row>
    <row r="2652" spans="1:18" x14ac:dyDescent="0.2">
      <c r="A2652" s="17"/>
      <c r="B2652" s="17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</row>
    <row r="2653" spans="1:18" x14ac:dyDescent="0.2">
      <c r="A2653" s="17"/>
      <c r="B2653" s="17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</row>
    <row r="2654" spans="1:18" x14ac:dyDescent="0.2">
      <c r="A2654" s="17"/>
      <c r="B2654" s="17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</row>
    <row r="2655" spans="1:18" x14ac:dyDescent="0.2">
      <c r="A2655" s="17"/>
      <c r="B2655" s="17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</row>
    <row r="2656" spans="1:18" x14ac:dyDescent="0.2">
      <c r="A2656" s="17"/>
      <c r="B2656" s="17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</row>
    <row r="2657" spans="1:18" x14ac:dyDescent="0.2">
      <c r="A2657" s="17"/>
      <c r="B2657" s="17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</row>
    <row r="2658" spans="1:18" x14ac:dyDescent="0.2">
      <c r="A2658" s="17"/>
      <c r="B2658" s="17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</row>
    <row r="2659" spans="1:18" x14ac:dyDescent="0.2">
      <c r="A2659" s="17"/>
      <c r="B2659" s="17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</row>
    <row r="2660" spans="1:18" x14ac:dyDescent="0.2">
      <c r="A2660" s="17"/>
      <c r="B2660" s="17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</row>
    <row r="2661" spans="1:18" x14ac:dyDescent="0.2">
      <c r="A2661" s="17"/>
      <c r="B2661" s="17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</row>
    <row r="2662" spans="1:18" x14ac:dyDescent="0.2">
      <c r="A2662" s="17"/>
      <c r="B2662" s="17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</row>
    <row r="2663" spans="1:18" x14ac:dyDescent="0.2">
      <c r="A2663" s="17"/>
      <c r="B2663" s="17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</row>
    <row r="2664" spans="1:18" x14ac:dyDescent="0.2">
      <c r="A2664" s="17"/>
      <c r="B2664" s="17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</row>
    <row r="2665" spans="1:18" x14ac:dyDescent="0.2">
      <c r="A2665" s="17"/>
      <c r="B2665" s="17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</row>
    <row r="2666" spans="1:18" x14ac:dyDescent="0.2">
      <c r="A2666" s="17"/>
      <c r="B2666" s="17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</row>
    <row r="2667" spans="1:18" x14ac:dyDescent="0.2">
      <c r="A2667" s="17"/>
      <c r="B2667" s="17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</row>
    <row r="2668" spans="1:18" x14ac:dyDescent="0.2">
      <c r="A2668" s="17"/>
      <c r="B2668" s="17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</row>
    <row r="2669" spans="1:18" x14ac:dyDescent="0.2">
      <c r="A2669" s="17"/>
      <c r="B2669" s="17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</row>
    <row r="2670" spans="1:18" x14ac:dyDescent="0.2">
      <c r="A2670" s="17"/>
      <c r="B2670" s="17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</row>
    <row r="2671" spans="1:18" x14ac:dyDescent="0.2">
      <c r="A2671" s="17"/>
      <c r="B2671" s="17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</row>
    <row r="2672" spans="1:18" x14ac:dyDescent="0.2">
      <c r="A2672" s="17"/>
      <c r="B2672" s="17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</row>
    <row r="2673" spans="1:18" x14ac:dyDescent="0.2">
      <c r="A2673" s="17"/>
      <c r="B2673" s="17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</row>
    <row r="2674" spans="1:18" x14ac:dyDescent="0.2">
      <c r="A2674" s="17"/>
      <c r="B2674" s="17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</row>
    <row r="2675" spans="1:18" x14ac:dyDescent="0.2">
      <c r="A2675" s="17"/>
      <c r="B2675" s="17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</row>
    <row r="2676" spans="1:18" x14ac:dyDescent="0.2">
      <c r="A2676" s="17"/>
      <c r="B2676" s="17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</row>
    <row r="2677" spans="1:18" x14ac:dyDescent="0.2">
      <c r="A2677" s="17"/>
      <c r="B2677" s="17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</row>
    <row r="2678" spans="1:18" x14ac:dyDescent="0.2">
      <c r="A2678" s="17"/>
      <c r="B2678" s="17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</row>
    <row r="2679" spans="1:18" x14ac:dyDescent="0.2">
      <c r="A2679" s="17"/>
      <c r="B2679" s="17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</row>
    <row r="2680" spans="1:18" x14ac:dyDescent="0.2">
      <c r="A2680" s="17"/>
      <c r="B2680" s="17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</row>
    <row r="2681" spans="1:18" x14ac:dyDescent="0.2">
      <c r="A2681" s="17"/>
      <c r="B2681" s="17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</row>
    <row r="2682" spans="1:18" x14ac:dyDescent="0.2">
      <c r="A2682" s="17"/>
      <c r="B2682" s="17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</row>
    <row r="2683" spans="1:18" x14ac:dyDescent="0.2">
      <c r="A2683" s="17"/>
      <c r="B2683" s="17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</row>
    <row r="2684" spans="1:18" x14ac:dyDescent="0.2">
      <c r="A2684" s="17"/>
      <c r="B2684" s="17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</row>
    <row r="2685" spans="1:18" x14ac:dyDescent="0.2">
      <c r="A2685" s="17"/>
      <c r="B2685" s="17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</row>
    <row r="2686" spans="1:18" x14ac:dyDescent="0.2">
      <c r="A2686" s="17"/>
      <c r="B2686" s="17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</row>
    <row r="2687" spans="1:18" x14ac:dyDescent="0.2">
      <c r="A2687" s="17"/>
      <c r="B2687" s="17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</row>
    <row r="2688" spans="1:18" x14ac:dyDescent="0.2">
      <c r="A2688" s="17"/>
      <c r="B2688" s="17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</row>
    <row r="2689" spans="1:18" x14ac:dyDescent="0.2">
      <c r="A2689" s="17"/>
      <c r="B2689" s="17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</row>
    <row r="2690" spans="1:18" x14ac:dyDescent="0.2">
      <c r="A2690" s="17"/>
      <c r="B2690" s="17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</row>
    <row r="2691" spans="1:18" x14ac:dyDescent="0.2">
      <c r="A2691" s="17"/>
      <c r="B2691" s="17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</row>
    <row r="2692" spans="1:18" x14ac:dyDescent="0.2">
      <c r="A2692" s="17"/>
      <c r="B2692" s="17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</row>
    <row r="2693" spans="1:18" x14ac:dyDescent="0.2">
      <c r="A2693" s="17"/>
      <c r="B2693" s="17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</row>
    <row r="2694" spans="1:18" x14ac:dyDescent="0.2">
      <c r="A2694" s="17"/>
      <c r="B2694" s="17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</row>
    <row r="2695" spans="1:18" x14ac:dyDescent="0.2">
      <c r="A2695" s="17"/>
      <c r="B2695" s="17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</row>
    <row r="2696" spans="1:18" x14ac:dyDescent="0.2">
      <c r="A2696" s="17"/>
      <c r="B2696" s="17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</row>
    <row r="2697" spans="1:18" x14ac:dyDescent="0.2">
      <c r="A2697" s="17"/>
      <c r="B2697" s="17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</row>
    <row r="2698" spans="1:18" x14ac:dyDescent="0.2">
      <c r="A2698" s="17"/>
      <c r="B2698" s="17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</row>
    <row r="2699" spans="1:18" x14ac:dyDescent="0.2">
      <c r="A2699" s="17"/>
      <c r="B2699" s="17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</row>
    <row r="2700" spans="1:18" x14ac:dyDescent="0.2">
      <c r="A2700" s="17"/>
      <c r="B2700" s="17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</row>
    <row r="2701" spans="1:18" x14ac:dyDescent="0.2">
      <c r="A2701" s="17"/>
      <c r="B2701" s="17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</row>
    <row r="2702" spans="1:18" x14ac:dyDescent="0.2">
      <c r="A2702" s="17"/>
      <c r="B2702" s="17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</row>
    <row r="2703" spans="1:18" x14ac:dyDescent="0.2">
      <c r="A2703" s="17"/>
      <c r="B2703" s="17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</row>
    <row r="2704" spans="1:18" x14ac:dyDescent="0.2">
      <c r="A2704" s="17"/>
      <c r="B2704" s="17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</row>
    <row r="2705" spans="1:18" x14ac:dyDescent="0.2">
      <c r="A2705" s="17"/>
      <c r="B2705" s="17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</row>
    <row r="2706" spans="1:18" x14ac:dyDescent="0.2">
      <c r="A2706" s="17"/>
      <c r="B2706" s="17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</row>
    <row r="2707" spans="1:18" x14ac:dyDescent="0.2">
      <c r="A2707" s="17"/>
      <c r="B2707" s="17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</row>
    <row r="2708" spans="1:18" x14ac:dyDescent="0.2">
      <c r="A2708" s="17"/>
      <c r="B2708" s="17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</row>
    <row r="2709" spans="1:18" x14ac:dyDescent="0.2">
      <c r="A2709" s="17"/>
      <c r="B2709" s="17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</row>
    <row r="2710" spans="1:18" x14ac:dyDescent="0.2">
      <c r="A2710" s="17"/>
      <c r="B2710" s="17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</row>
    <row r="2711" spans="1:18" x14ac:dyDescent="0.2">
      <c r="A2711" s="17"/>
      <c r="B2711" s="17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</row>
    <row r="2712" spans="1:18" x14ac:dyDescent="0.2">
      <c r="A2712" s="17"/>
      <c r="B2712" s="17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</row>
    <row r="2713" spans="1:18" x14ac:dyDescent="0.2">
      <c r="A2713" s="17"/>
      <c r="B2713" s="17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</row>
    <row r="2714" spans="1:18" x14ac:dyDescent="0.2">
      <c r="A2714" s="17"/>
      <c r="B2714" s="17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</row>
    <row r="2715" spans="1:18" x14ac:dyDescent="0.2">
      <c r="A2715" s="17"/>
      <c r="B2715" s="17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</row>
    <row r="2716" spans="1:18" x14ac:dyDescent="0.2">
      <c r="A2716" s="17"/>
      <c r="B2716" s="17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</row>
    <row r="2717" spans="1:18" x14ac:dyDescent="0.2">
      <c r="A2717" s="17"/>
      <c r="B2717" s="17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</row>
    <row r="2718" spans="1:18" x14ac:dyDescent="0.2">
      <c r="A2718" s="17"/>
      <c r="B2718" s="17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</row>
    <row r="2719" spans="1:18" x14ac:dyDescent="0.2">
      <c r="A2719" s="17"/>
      <c r="B2719" s="17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</row>
    <row r="2720" spans="1:18" x14ac:dyDescent="0.2">
      <c r="A2720" s="17"/>
      <c r="B2720" s="17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</row>
    <row r="2721" spans="1:18" x14ac:dyDescent="0.2">
      <c r="A2721" s="17"/>
      <c r="B2721" s="17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</row>
    <row r="2722" spans="1:18" x14ac:dyDescent="0.2">
      <c r="A2722" s="17"/>
      <c r="B2722" s="17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</row>
    <row r="2723" spans="1:18" x14ac:dyDescent="0.2">
      <c r="A2723" s="17"/>
      <c r="B2723" s="17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</row>
    <row r="2724" spans="1:18" x14ac:dyDescent="0.2">
      <c r="A2724" s="17"/>
      <c r="B2724" s="17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</row>
    <row r="2725" spans="1:18" x14ac:dyDescent="0.2">
      <c r="A2725" s="17"/>
      <c r="B2725" s="17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</row>
    <row r="2726" spans="1:18" x14ac:dyDescent="0.2">
      <c r="A2726" s="17"/>
      <c r="B2726" s="17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</row>
    <row r="2727" spans="1:18" x14ac:dyDescent="0.2">
      <c r="A2727" s="17"/>
      <c r="B2727" s="17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</row>
    <row r="2728" spans="1:18" x14ac:dyDescent="0.2">
      <c r="A2728" s="17"/>
      <c r="B2728" s="17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</row>
    <row r="2729" spans="1:18" x14ac:dyDescent="0.2">
      <c r="A2729" s="17"/>
      <c r="B2729" s="17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</row>
    <row r="2730" spans="1:18" x14ac:dyDescent="0.2">
      <c r="A2730" s="17"/>
      <c r="B2730" s="17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</row>
    <row r="2731" spans="1:18" x14ac:dyDescent="0.2">
      <c r="A2731" s="17"/>
      <c r="B2731" s="17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</row>
    <row r="2732" spans="1:18" x14ac:dyDescent="0.2">
      <c r="A2732" s="17"/>
      <c r="B2732" s="17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</row>
    <row r="2733" spans="1:18" x14ac:dyDescent="0.2">
      <c r="A2733" s="17"/>
      <c r="B2733" s="17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</row>
    <row r="2734" spans="1:18" x14ac:dyDescent="0.2">
      <c r="A2734" s="17"/>
      <c r="B2734" s="17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</row>
    <row r="2735" spans="1:18" x14ac:dyDescent="0.2">
      <c r="A2735" s="17"/>
      <c r="B2735" s="17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</row>
    <row r="2736" spans="1:18" x14ac:dyDescent="0.2">
      <c r="A2736" s="17"/>
      <c r="B2736" s="17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</row>
    <row r="2737" spans="1:18" x14ac:dyDescent="0.2">
      <c r="A2737" s="17"/>
      <c r="B2737" s="17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</row>
    <row r="2738" spans="1:18" x14ac:dyDescent="0.2">
      <c r="A2738" s="17"/>
      <c r="B2738" s="17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</row>
    <row r="2739" spans="1:18" x14ac:dyDescent="0.2">
      <c r="A2739" s="17"/>
      <c r="B2739" s="17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</row>
    <row r="2740" spans="1:18" x14ac:dyDescent="0.2">
      <c r="A2740" s="17"/>
      <c r="B2740" s="17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</row>
    <row r="2741" spans="1:18" x14ac:dyDescent="0.2">
      <c r="A2741" s="17"/>
      <c r="B2741" s="17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</row>
    <row r="2742" spans="1:18" x14ac:dyDescent="0.2">
      <c r="A2742" s="17"/>
      <c r="B2742" s="17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</row>
    <row r="2743" spans="1:18" x14ac:dyDescent="0.2">
      <c r="A2743" s="17"/>
      <c r="B2743" s="17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</row>
    <row r="2744" spans="1:18" x14ac:dyDescent="0.2">
      <c r="A2744" s="17"/>
      <c r="B2744" s="17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</row>
    <row r="2745" spans="1:18" x14ac:dyDescent="0.2">
      <c r="A2745" s="17"/>
      <c r="B2745" s="17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</row>
    <row r="2746" spans="1:18" x14ac:dyDescent="0.2">
      <c r="A2746" s="17"/>
      <c r="B2746" s="17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</row>
    <row r="2747" spans="1:18" x14ac:dyDescent="0.2">
      <c r="A2747" s="17"/>
      <c r="B2747" s="17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</row>
    <row r="2748" spans="1:18" x14ac:dyDescent="0.2">
      <c r="A2748" s="17"/>
      <c r="B2748" s="17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</row>
    <row r="2749" spans="1:18" x14ac:dyDescent="0.2">
      <c r="A2749" s="17"/>
      <c r="B2749" s="17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</row>
    <row r="2750" spans="1:18" x14ac:dyDescent="0.2">
      <c r="A2750" s="17"/>
      <c r="B2750" s="17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</row>
    <row r="2751" spans="1:18" x14ac:dyDescent="0.2">
      <c r="A2751" s="17"/>
      <c r="B2751" s="17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</row>
    <row r="2752" spans="1:18" x14ac:dyDescent="0.2">
      <c r="A2752" s="17"/>
      <c r="B2752" s="17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</row>
    <row r="2753" spans="1:18" x14ac:dyDescent="0.2">
      <c r="A2753" s="17"/>
      <c r="B2753" s="17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</row>
    <row r="2754" spans="1:18" x14ac:dyDescent="0.2">
      <c r="A2754" s="17"/>
      <c r="B2754" s="17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</row>
    <row r="2755" spans="1:18" x14ac:dyDescent="0.2">
      <c r="A2755" s="17"/>
      <c r="B2755" s="17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</row>
    <row r="2756" spans="1:18" x14ac:dyDescent="0.2">
      <c r="A2756" s="17"/>
      <c r="B2756" s="17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</row>
    <row r="2757" spans="1:18" x14ac:dyDescent="0.2">
      <c r="A2757" s="17"/>
      <c r="B2757" s="17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</row>
    <row r="2758" spans="1:18" x14ac:dyDescent="0.2">
      <c r="A2758" s="17"/>
      <c r="B2758" s="17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</row>
    <row r="2759" spans="1:18" x14ac:dyDescent="0.2">
      <c r="A2759" s="17"/>
      <c r="B2759" s="17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</row>
    <row r="2760" spans="1:18" x14ac:dyDescent="0.2">
      <c r="A2760" s="17"/>
      <c r="B2760" s="17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</row>
    <row r="2761" spans="1:18" x14ac:dyDescent="0.2">
      <c r="A2761" s="17"/>
      <c r="B2761" s="17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</row>
    <row r="2762" spans="1:18" x14ac:dyDescent="0.2">
      <c r="A2762" s="17"/>
      <c r="B2762" s="17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</row>
    <row r="2763" spans="1:18" x14ac:dyDescent="0.2">
      <c r="A2763" s="17"/>
      <c r="B2763" s="17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</row>
    <row r="2764" spans="1:18" x14ac:dyDescent="0.2">
      <c r="A2764" s="17"/>
      <c r="B2764" s="17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</row>
    <row r="2765" spans="1:18" x14ac:dyDescent="0.2">
      <c r="A2765" s="17"/>
      <c r="B2765" s="17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</row>
    <row r="2766" spans="1:18" x14ac:dyDescent="0.2">
      <c r="A2766" s="17"/>
      <c r="B2766" s="17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</row>
    <row r="2767" spans="1:18" x14ac:dyDescent="0.2">
      <c r="A2767" s="17"/>
      <c r="B2767" s="17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</row>
    <row r="2768" spans="1:18" x14ac:dyDescent="0.2">
      <c r="A2768" s="17"/>
      <c r="B2768" s="17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</row>
    <row r="2769" spans="1:18" x14ac:dyDescent="0.2">
      <c r="A2769" s="17"/>
      <c r="B2769" s="17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</row>
    <row r="2770" spans="1:18" x14ac:dyDescent="0.2">
      <c r="A2770" s="17"/>
      <c r="B2770" s="17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</row>
    <row r="2771" spans="1:18" x14ac:dyDescent="0.2">
      <c r="A2771" s="17"/>
      <c r="B2771" s="17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</row>
    <row r="2772" spans="1:18" x14ac:dyDescent="0.2">
      <c r="A2772" s="17"/>
      <c r="B2772" s="17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</row>
    <row r="2773" spans="1:18" x14ac:dyDescent="0.2">
      <c r="A2773" s="17"/>
      <c r="B2773" s="17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</row>
    <row r="2774" spans="1:18" x14ac:dyDescent="0.2">
      <c r="A2774" s="17"/>
      <c r="B2774" s="17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</row>
    <row r="2775" spans="1:18" x14ac:dyDescent="0.2">
      <c r="A2775" s="17"/>
      <c r="B2775" s="17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</row>
    <row r="2776" spans="1:18" x14ac:dyDescent="0.2">
      <c r="A2776" s="17"/>
      <c r="B2776" s="17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</row>
    <row r="2777" spans="1:18" x14ac:dyDescent="0.2">
      <c r="A2777" s="17"/>
      <c r="B2777" s="17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</row>
    <row r="2778" spans="1:18" x14ac:dyDescent="0.2">
      <c r="A2778" s="17"/>
      <c r="B2778" s="17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</row>
    <row r="2779" spans="1:18" x14ac:dyDescent="0.2">
      <c r="A2779" s="17"/>
      <c r="B2779" s="17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</row>
    <row r="2780" spans="1:18" x14ac:dyDescent="0.2">
      <c r="A2780" s="17"/>
      <c r="B2780" s="17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</row>
    <row r="2781" spans="1:18" x14ac:dyDescent="0.2">
      <c r="A2781" s="17"/>
      <c r="B2781" s="17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</row>
    <row r="2782" spans="1:18" x14ac:dyDescent="0.2">
      <c r="A2782" s="17"/>
      <c r="B2782" s="17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</row>
    <row r="2783" spans="1:18" x14ac:dyDescent="0.2">
      <c r="A2783" s="17"/>
      <c r="B2783" s="17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</row>
    <row r="2784" spans="1:18" x14ac:dyDescent="0.2">
      <c r="A2784" s="17"/>
      <c r="B2784" s="17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</row>
    <row r="2785" spans="1:18" x14ac:dyDescent="0.2">
      <c r="A2785" s="17"/>
      <c r="B2785" s="17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</row>
    <row r="2786" spans="1:18" x14ac:dyDescent="0.2">
      <c r="A2786" s="17"/>
      <c r="B2786" s="17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</row>
    <row r="2787" spans="1:18" x14ac:dyDescent="0.2">
      <c r="A2787" s="17"/>
      <c r="B2787" s="17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</row>
    <row r="2788" spans="1:18" x14ac:dyDescent="0.2">
      <c r="A2788" s="17"/>
      <c r="B2788" s="17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</row>
    <row r="2789" spans="1:18" x14ac:dyDescent="0.2">
      <c r="A2789" s="17"/>
      <c r="B2789" s="17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</row>
    <row r="2790" spans="1:18" x14ac:dyDescent="0.2">
      <c r="A2790" s="17"/>
      <c r="B2790" s="17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</row>
    <row r="2791" spans="1:18" x14ac:dyDescent="0.2">
      <c r="A2791" s="17"/>
      <c r="B2791" s="17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</row>
    <row r="2792" spans="1:18" x14ac:dyDescent="0.2">
      <c r="A2792" s="17"/>
      <c r="B2792" s="17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</row>
    <row r="2793" spans="1:18" x14ac:dyDescent="0.2">
      <c r="A2793" s="17"/>
      <c r="B2793" s="17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</row>
    <row r="2794" spans="1:18" x14ac:dyDescent="0.2">
      <c r="A2794" s="17"/>
      <c r="B2794" s="17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</row>
    <row r="2795" spans="1:18" x14ac:dyDescent="0.2">
      <c r="A2795" s="17"/>
      <c r="B2795" s="17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</row>
    <row r="2796" spans="1:18" x14ac:dyDescent="0.2">
      <c r="A2796" s="17"/>
      <c r="B2796" s="17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</row>
    <row r="2797" spans="1:18" x14ac:dyDescent="0.2">
      <c r="A2797" s="17"/>
      <c r="B2797" s="17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</row>
    <row r="2798" spans="1:18" x14ac:dyDescent="0.2">
      <c r="A2798" s="17"/>
      <c r="B2798" s="17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</row>
    <row r="2799" spans="1:18" x14ac:dyDescent="0.2">
      <c r="A2799" s="17"/>
      <c r="B2799" s="17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</row>
    <row r="2800" spans="1:18" x14ac:dyDescent="0.2">
      <c r="A2800" s="17"/>
      <c r="B2800" s="17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</row>
    <row r="2801" spans="1:18" x14ac:dyDescent="0.2">
      <c r="A2801" s="17"/>
      <c r="B2801" s="17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</row>
    <row r="2802" spans="1:18" x14ac:dyDescent="0.2">
      <c r="A2802" s="17"/>
      <c r="B2802" s="17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</row>
    <row r="2803" spans="1:18" x14ac:dyDescent="0.2">
      <c r="A2803" s="17"/>
      <c r="B2803" s="17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</row>
    <row r="2804" spans="1:18" x14ac:dyDescent="0.2">
      <c r="A2804" s="17"/>
      <c r="B2804" s="17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</row>
    <row r="2805" spans="1:18" x14ac:dyDescent="0.2">
      <c r="A2805" s="17"/>
      <c r="B2805" s="17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</row>
    <row r="2806" spans="1:18" x14ac:dyDescent="0.2">
      <c r="A2806" s="17"/>
      <c r="B2806" s="17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</row>
    <row r="2807" spans="1:18" x14ac:dyDescent="0.2">
      <c r="A2807" s="17"/>
      <c r="B2807" s="17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</row>
    <row r="2808" spans="1:18" x14ac:dyDescent="0.2">
      <c r="A2808" s="17"/>
      <c r="B2808" s="17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</row>
    <row r="2809" spans="1:18" x14ac:dyDescent="0.2">
      <c r="A2809" s="17"/>
      <c r="B2809" s="17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</row>
    <row r="2810" spans="1:18" x14ac:dyDescent="0.2">
      <c r="A2810" s="17"/>
      <c r="B2810" s="17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</row>
    <row r="2811" spans="1:18" x14ac:dyDescent="0.2">
      <c r="A2811" s="17"/>
      <c r="B2811" s="17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</row>
    <row r="2812" spans="1:18" x14ac:dyDescent="0.2">
      <c r="A2812" s="17"/>
      <c r="B2812" s="17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</row>
    <row r="2813" spans="1:18" x14ac:dyDescent="0.2">
      <c r="A2813" s="17"/>
      <c r="B2813" s="17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</row>
    <row r="2814" spans="1:18" x14ac:dyDescent="0.2">
      <c r="A2814" s="17"/>
      <c r="B2814" s="17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</row>
    <row r="2815" spans="1:18" x14ac:dyDescent="0.2">
      <c r="A2815" s="17"/>
      <c r="B2815" s="17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</row>
    <row r="2816" spans="1:18" x14ac:dyDescent="0.2">
      <c r="A2816" s="17"/>
      <c r="B2816" s="17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</row>
    <row r="2817" spans="1:18" x14ac:dyDescent="0.2">
      <c r="A2817" s="17"/>
      <c r="B2817" s="17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</row>
    <row r="2818" spans="1:18" x14ac:dyDescent="0.2">
      <c r="A2818" s="17"/>
      <c r="B2818" s="17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</row>
    <row r="2819" spans="1:18" x14ac:dyDescent="0.2">
      <c r="A2819" s="17"/>
      <c r="B2819" s="17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</row>
    <row r="2820" spans="1:18" x14ac:dyDescent="0.2">
      <c r="A2820" s="17"/>
      <c r="B2820" s="17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</row>
    <row r="2821" spans="1:18" x14ac:dyDescent="0.2">
      <c r="A2821" s="17"/>
      <c r="B2821" s="17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</row>
    <row r="2822" spans="1:18" x14ac:dyDescent="0.2">
      <c r="A2822" s="17"/>
      <c r="B2822" s="17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</row>
    <row r="2823" spans="1:18" x14ac:dyDescent="0.2">
      <c r="A2823" s="17"/>
      <c r="B2823" s="17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</row>
    <row r="2824" spans="1:18" x14ac:dyDescent="0.2">
      <c r="A2824" s="17"/>
      <c r="B2824" s="17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</row>
    <row r="2825" spans="1:18" x14ac:dyDescent="0.2">
      <c r="A2825" s="17"/>
      <c r="B2825" s="17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</row>
    <row r="2826" spans="1:18" x14ac:dyDescent="0.2">
      <c r="A2826" s="17"/>
      <c r="B2826" s="17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</row>
    <row r="2827" spans="1:18" x14ac:dyDescent="0.2">
      <c r="A2827" s="17"/>
      <c r="B2827" s="17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</row>
    <row r="2828" spans="1:18" x14ac:dyDescent="0.2">
      <c r="A2828" s="17"/>
      <c r="B2828" s="17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</row>
    <row r="2829" spans="1:18" x14ac:dyDescent="0.2">
      <c r="A2829" s="17"/>
      <c r="B2829" s="17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</row>
    <row r="2830" spans="1:18" x14ac:dyDescent="0.2">
      <c r="A2830" s="17"/>
      <c r="B2830" s="17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</row>
    <row r="2831" spans="1:18" x14ac:dyDescent="0.2">
      <c r="A2831" s="17"/>
      <c r="B2831" s="17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</row>
    <row r="2832" spans="1:18" x14ac:dyDescent="0.2">
      <c r="A2832" s="17"/>
      <c r="B2832" s="17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</row>
    <row r="2833" spans="1:18" x14ac:dyDescent="0.2">
      <c r="A2833" s="17"/>
      <c r="B2833" s="17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</row>
    <row r="2834" spans="1:18" x14ac:dyDescent="0.2">
      <c r="A2834" s="17"/>
      <c r="B2834" s="17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</row>
    <row r="2835" spans="1:18" x14ac:dyDescent="0.2">
      <c r="A2835" s="17"/>
      <c r="B2835" s="17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</row>
    <row r="2836" spans="1:18" x14ac:dyDescent="0.2">
      <c r="A2836" s="17"/>
      <c r="B2836" s="17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</row>
    <row r="2837" spans="1:18" x14ac:dyDescent="0.2">
      <c r="A2837" s="17"/>
      <c r="B2837" s="17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</row>
    <row r="2838" spans="1:18" x14ac:dyDescent="0.2">
      <c r="A2838" s="17"/>
      <c r="B2838" s="17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</row>
    <row r="2839" spans="1:18" x14ac:dyDescent="0.2">
      <c r="A2839" s="17"/>
      <c r="B2839" s="17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</row>
    <row r="2840" spans="1:18" x14ac:dyDescent="0.2">
      <c r="A2840" s="17"/>
      <c r="B2840" s="17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</row>
    <row r="2841" spans="1:18" x14ac:dyDescent="0.2">
      <c r="A2841" s="17"/>
      <c r="B2841" s="17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</row>
    <row r="2842" spans="1:18" x14ac:dyDescent="0.2">
      <c r="A2842" s="17"/>
      <c r="B2842" s="17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</row>
    <row r="2843" spans="1:18" x14ac:dyDescent="0.2">
      <c r="A2843" s="17"/>
      <c r="B2843" s="17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</row>
    <row r="2844" spans="1:18" x14ac:dyDescent="0.2">
      <c r="A2844" s="17"/>
      <c r="B2844" s="17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</row>
    <row r="2845" spans="1:18" x14ac:dyDescent="0.2">
      <c r="A2845" s="17"/>
      <c r="B2845" s="17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</row>
    <row r="2846" spans="1:18" x14ac:dyDescent="0.2">
      <c r="A2846" s="17"/>
      <c r="B2846" s="17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</row>
    <row r="2847" spans="1:18" x14ac:dyDescent="0.2">
      <c r="A2847" s="17"/>
      <c r="B2847" s="17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</row>
    <row r="2848" spans="1:18" x14ac:dyDescent="0.2">
      <c r="A2848" s="17"/>
      <c r="B2848" s="17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</row>
    <row r="2849" spans="1:18" x14ac:dyDescent="0.2">
      <c r="A2849" s="17"/>
      <c r="B2849" s="17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</row>
    <row r="2850" spans="1:18" x14ac:dyDescent="0.2">
      <c r="A2850" s="17"/>
      <c r="B2850" s="17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</row>
    <row r="2851" spans="1:18" x14ac:dyDescent="0.2">
      <c r="A2851" s="17"/>
      <c r="B2851" s="17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</row>
    <row r="2852" spans="1:18" x14ac:dyDescent="0.2">
      <c r="A2852" s="17"/>
      <c r="B2852" s="17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</row>
    <row r="2853" spans="1:18" x14ac:dyDescent="0.2">
      <c r="A2853" s="17"/>
      <c r="B2853" s="17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</row>
    <row r="2854" spans="1:18" x14ac:dyDescent="0.2">
      <c r="A2854" s="17"/>
      <c r="B2854" s="17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</row>
    <row r="2855" spans="1:18" x14ac:dyDescent="0.2">
      <c r="A2855" s="17"/>
      <c r="B2855" s="17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</row>
    <row r="2856" spans="1:18" x14ac:dyDescent="0.2">
      <c r="A2856" s="17"/>
      <c r="B2856" s="17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</row>
    <row r="2857" spans="1:18" x14ac:dyDescent="0.2">
      <c r="A2857" s="17"/>
      <c r="B2857" s="17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</row>
    <row r="2858" spans="1:18" x14ac:dyDescent="0.2">
      <c r="A2858" s="17"/>
      <c r="B2858" s="17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</row>
    <row r="2859" spans="1:18" x14ac:dyDescent="0.2">
      <c r="A2859" s="17"/>
      <c r="B2859" s="17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</row>
    <row r="2860" spans="1:18" x14ac:dyDescent="0.2">
      <c r="A2860" s="17"/>
      <c r="B2860" s="17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</row>
    <row r="2861" spans="1:18" x14ac:dyDescent="0.2">
      <c r="A2861" s="17"/>
      <c r="B2861" s="17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</row>
    <row r="2862" spans="1:18" x14ac:dyDescent="0.2">
      <c r="A2862" s="17"/>
      <c r="B2862" s="17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</row>
    <row r="2863" spans="1:18" x14ac:dyDescent="0.2">
      <c r="A2863" s="17"/>
      <c r="B2863" s="17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</row>
    <row r="2864" spans="1:18" x14ac:dyDescent="0.2">
      <c r="A2864" s="17"/>
      <c r="B2864" s="17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</row>
    <row r="2865" spans="1:18" x14ac:dyDescent="0.2">
      <c r="A2865" s="17"/>
      <c r="B2865" s="17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</row>
    <row r="2866" spans="1:18" x14ac:dyDescent="0.2">
      <c r="A2866" s="17"/>
      <c r="B2866" s="17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</row>
    <row r="2867" spans="1:18" x14ac:dyDescent="0.2">
      <c r="A2867" s="17"/>
      <c r="B2867" s="17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</row>
    <row r="2868" spans="1:18" x14ac:dyDescent="0.2">
      <c r="A2868" s="17"/>
      <c r="B2868" s="17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</row>
    <row r="2869" spans="1:18" x14ac:dyDescent="0.2">
      <c r="A2869" s="17"/>
      <c r="B2869" s="17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</row>
    <row r="2870" spans="1:18" x14ac:dyDescent="0.2">
      <c r="A2870" s="17"/>
      <c r="B2870" s="17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</row>
    <row r="2871" spans="1:18" x14ac:dyDescent="0.2">
      <c r="A2871" s="17"/>
      <c r="B2871" s="17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</row>
    <row r="2872" spans="1:18" x14ac:dyDescent="0.2">
      <c r="A2872" s="17"/>
      <c r="B2872" s="17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</row>
    <row r="2873" spans="1:18" x14ac:dyDescent="0.2">
      <c r="A2873" s="17"/>
      <c r="B2873" s="17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</row>
    <row r="2874" spans="1:18" x14ac:dyDescent="0.2">
      <c r="A2874" s="17"/>
      <c r="B2874" s="17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</row>
    <row r="2875" spans="1:18" x14ac:dyDescent="0.2">
      <c r="A2875" s="17"/>
      <c r="B2875" s="17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</row>
    <row r="2876" spans="1:18" x14ac:dyDescent="0.2">
      <c r="A2876" s="17"/>
      <c r="B2876" s="17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</row>
    <row r="2877" spans="1:18" x14ac:dyDescent="0.2">
      <c r="A2877" s="17"/>
      <c r="B2877" s="17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</row>
    <row r="2878" spans="1:18" x14ac:dyDescent="0.2">
      <c r="A2878" s="17"/>
      <c r="B2878" s="17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</row>
    <row r="2879" spans="1:18" x14ac:dyDescent="0.2">
      <c r="A2879" s="17"/>
      <c r="B2879" s="17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</row>
    <row r="2880" spans="1:18" x14ac:dyDescent="0.2">
      <c r="A2880" s="17"/>
      <c r="B2880" s="17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</row>
    <row r="2881" spans="1:18" x14ac:dyDescent="0.2">
      <c r="A2881" s="17"/>
      <c r="B2881" s="17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</row>
    <row r="2882" spans="1:18" x14ac:dyDescent="0.2">
      <c r="A2882" s="17"/>
      <c r="B2882" s="17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</row>
    <row r="2883" spans="1:18" x14ac:dyDescent="0.2">
      <c r="A2883" s="17"/>
      <c r="B2883" s="17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</row>
    <row r="2884" spans="1:18" x14ac:dyDescent="0.2">
      <c r="A2884" s="17"/>
      <c r="B2884" s="17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</row>
    <row r="2885" spans="1:18" x14ac:dyDescent="0.2">
      <c r="A2885" s="17"/>
      <c r="B2885" s="17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</row>
    <row r="2886" spans="1:18" x14ac:dyDescent="0.2">
      <c r="A2886" s="17"/>
      <c r="B2886" s="17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</row>
    <row r="2887" spans="1:18" x14ac:dyDescent="0.2">
      <c r="A2887" s="17"/>
      <c r="B2887" s="17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</row>
    <row r="2888" spans="1:18" x14ac:dyDescent="0.2">
      <c r="A2888" s="17"/>
      <c r="B2888" s="17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</row>
    <row r="2889" spans="1:18" x14ac:dyDescent="0.2">
      <c r="A2889" s="17"/>
      <c r="B2889" s="17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</row>
    <row r="2890" spans="1:18" x14ac:dyDescent="0.2">
      <c r="A2890" s="17"/>
      <c r="B2890" s="17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</row>
    <row r="2891" spans="1:18" x14ac:dyDescent="0.2">
      <c r="A2891" s="17"/>
      <c r="B2891" s="17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</row>
    <row r="2892" spans="1:18" x14ac:dyDescent="0.2">
      <c r="A2892" s="17"/>
      <c r="B2892" s="17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</row>
    <row r="2893" spans="1:18" x14ac:dyDescent="0.2">
      <c r="A2893" s="17"/>
      <c r="B2893" s="17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</row>
    <row r="2894" spans="1:18" x14ac:dyDescent="0.2">
      <c r="A2894" s="17"/>
      <c r="B2894" s="17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</row>
    <row r="2895" spans="1:18" x14ac:dyDescent="0.2">
      <c r="A2895" s="17"/>
      <c r="B2895" s="17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</row>
    <row r="2896" spans="1:18" x14ac:dyDescent="0.2">
      <c r="A2896" s="17"/>
      <c r="B2896" s="17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</row>
    <row r="2897" spans="1:18" x14ac:dyDescent="0.2">
      <c r="A2897" s="17"/>
      <c r="B2897" s="17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</row>
    <row r="2898" spans="1:18" x14ac:dyDescent="0.2">
      <c r="A2898" s="17"/>
      <c r="B2898" s="17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</row>
    <row r="2899" spans="1:18" x14ac:dyDescent="0.2">
      <c r="A2899" s="17"/>
      <c r="B2899" s="17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</row>
    <row r="2900" spans="1:18" x14ac:dyDescent="0.2">
      <c r="A2900" s="17"/>
      <c r="B2900" s="17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</row>
    <row r="2901" spans="1:18" x14ac:dyDescent="0.2">
      <c r="A2901" s="17"/>
      <c r="B2901" s="17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</row>
    <row r="2902" spans="1:18" x14ac:dyDescent="0.2">
      <c r="A2902" s="17"/>
      <c r="B2902" s="17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</row>
    <row r="2903" spans="1:18" x14ac:dyDescent="0.2">
      <c r="A2903" s="17"/>
      <c r="B2903" s="17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</row>
    <row r="2904" spans="1:18" x14ac:dyDescent="0.2">
      <c r="A2904" s="17"/>
      <c r="B2904" s="17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</row>
    <row r="2905" spans="1:18" x14ac:dyDescent="0.2">
      <c r="A2905" s="17"/>
      <c r="B2905" s="17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</row>
    <row r="2906" spans="1:18" x14ac:dyDescent="0.2">
      <c r="A2906" s="17"/>
      <c r="B2906" s="17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</row>
    <row r="2907" spans="1:18" x14ac:dyDescent="0.2">
      <c r="A2907" s="17"/>
      <c r="B2907" s="17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</row>
    <row r="2908" spans="1:18" x14ac:dyDescent="0.2">
      <c r="A2908" s="17"/>
      <c r="B2908" s="17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</row>
    <row r="2909" spans="1:18" x14ac:dyDescent="0.2">
      <c r="A2909" s="17"/>
      <c r="B2909" s="17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</row>
    <row r="2910" spans="1:18" x14ac:dyDescent="0.2">
      <c r="A2910" s="17"/>
      <c r="B2910" s="17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</row>
    <row r="2911" spans="1:18" x14ac:dyDescent="0.2">
      <c r="A2911" s="17"/>
      <c r="B2911" s="17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</row>
    <row r="2912" spans="1:18" x14ac:dyDescent="0.2">
      <c r="A2912" s="17"/>
      <c r="B2912" s="17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</row>
    <row r="2913" spans="1:18" x14ac:dyDescent="0.2">
      <c r="A2913" s="17"/>
      <c r="B2913" s="17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</row>
    <row r="2914" spans="1:18" x14ac:dyDescent="0.2">
      <c r="A2914" s="17"/>
      <c r="B2914" s="17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</row>
    <row r="2915" spans="1:18" x14ac:dyDescent="0.2">
      <c r="A2915" s="17"/>
      <c r="B2915" s="17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</row>
    <row r="2916" spans="1:18" x14ac:dyDescent="0.2">
      <c r="A2916" s="17"/>
      <c r="B2916" s="17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</row>
    <row r="2917" spans="1:18" x14ac:dyDescent="0.2">
      <c r="A2917" s="17"/>
      <c r="B2917" s="17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</row>
    <row r="2918" spans="1:18" x14ac:dyDescent="0.2">
      <c r="A2918" s="17"/>
      <c r="B2918" s="17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</row>
    <row r="2919" spans="1:18" x14ac:dyDescent="0.2">
      <c r="A2919" s="17"/>
      <c r="B2919" s="17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</row>
    <row r="2920" spans="1:18" x14ac:dyDescent="0.2">
      <c r="A2920" s="17"/>
      <c r="B2920" s="17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</row>
    <row r="2921" spans="1:18" x14ac:dyDescent="0.2">
      <c r="A2921" s="17"/>
      <c r="B2921" s="17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</row>
    <row r="2922" spans="1:18" x14ac:dyDescent="0.2">
      <c r="A2922" s="17"/>
      <c r="B2922" s="17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</row>
    <row r="2923" spans="1:18" x14ac:dyDescent="0.2">
      <c r="A2923" s="17"/>
      <c r="B2923" s="17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</row>
    <row r="2924" spans="1:18" x14ac:dyDescent="0.2">
      <c r="A2924" s="17"/>
      <c r="B2924" s="17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</row>
    <row r="2925" spans="1:18" x14ac:dyDescent="0.2">
      <c r="A2925" s="17"/>
      <c r="B2925" s="17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</row>
    <row r="2926" spans="1:18" x14ac:dyDescent="0.2">
      <c r="A2926" s="17"/>
      <c r="B2926" s="17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</row>
    <row r="2927" spans="1:18" x14ac:dyDescent="0.2">
      <c r="A2927" s="17"/>
      <c r="B2927" s="17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</row>
    <row r="2928" spans="1:18" x14ac:dyDescent="0.2">
      <c r="A2928" s="17"/>
      <c r="B2928" s="17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</row>
    <row r="2929" spans="1:18" x14ac:dyDescent="0.2">
      <c r="A2929" s="17"/>
      <c r="B2929" s="17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</row>
    <row r="2930" spans="1:18" x14ac:dyDescent="0.2">
      <c r="A2930" s="17"/>
      <c r="B2930" s="17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</row>
    <row r="2931" spans="1:18" x14ac:dyDescent="0.2">
      <c r="A2931" s="17"/>
      <c r="B2931" s="17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</row>
    <row r="2932" spans="1:18" x14ac:dyDescent="0.2">
      <c r="A2932" s="17"/>
      <c r="B2932" s="17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</row>
    <row r="2933" spans="1:18" x14ac:dyDescent="0.2">
      <c r="A2933" s="17"/>
      <c r="B2933" s="17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</row>
    <row r="2934" spans="1:18" x14ac:dyDescent="0.2">
      <c r="A2934" s="17"/>
      <c r="B2934" s="17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</row>
    <row r="2935" spans="1:18" x14ac:dyDescent="0.2">
      <c r="A2935" s="17"/>
      <c r="B2935" s="17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</row>
    <row r="2936" spans="1:18" x14ac:dyDescent="0.2">
      <c r="A2936" s="17"/>
      <c r="B2936" s="17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</row>
    <row r="2937" spans="1:18" x14ac:dyDescent="0.2">
      <c r="A2937" s="17"/>
      <c r="B2937" s="17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</row>
    <row r="2938" spans="1:18" x14ac:dyDescent="0.2">
      <c r="A2938" s="17"/>
      <c r="B2938" s="17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</row>
    <row r="2939" spans="1:18" x14ac:dyDescent="0.2">
      <c r="A2939" s="17"/>
      <c r="B2939" s="17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</row>
    <row r="2940" spans="1:18" x14ac:dyDescent="0.2">
      <c r="A2940" s="17"/>
      <c r="B2940" s="17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</row>
    <row r="2941" spans="1:18" x14ac:dyDescent="0.2">
      <c r="A2941" s="17"/>
      <c r="B2941" s="17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</row>
    <row r="2942" spans="1:18" x14ac:dyDescent="0.2">
      <c r="A2942" s="17"/>
      <c r="B2942" s="17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</row>
    <row r="2943" spans="1:18" x14ac:dyDescent="0.2">
      <c r="A2943" s="17"/>
      <c r="B2943" s="17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</row>
    <row r="2944" spans="1:18" x14ac:dyDescent="0.2">
      <c r="A2944" s="17"/>
      <c r="B2944" s="17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</row>
    <row r="2945" spans="1:18" x14ac:dyDescent="0.2">
      <c r="A2945" s="17"/>
      <c r="B2945" s="17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</row>
    <row r="2946" spans="1:18" x14ac:dyDescent="0.2">
      <c r="A2946" s="17"/>
      <c r="B2946" s="17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</row>
    <row r="2947" spans="1:18" x14ac:dyDescent="0.2">
      <c r="A2947" s="17"/>
      <c r="B2947" s="17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</row>
    <row r="2948" spans="1:18" x14ac:dyDescent="0.2">
      <c r="A2948" s="17"/>
      <c r="B2948" s="17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</row>
    <row r="2949" spans="1:18" x14ac:dyDescent="0.2">
      <c r="A2949" s="17"/>
      <c r="B2949" s="17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</row>
    <row r="2950" spans="1:18" x14ac:dyDescent="0.2">
      <c r="A2950" s="17"/>
      <c r="B2950" s="17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</row>
    <row r="2951" spans="1:18" x14ac:dyDescent="0.2">
      <c r="A2951" s="17"/>
      <c r="B2951" s="17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</row>
    <row r="2952" spans="1:18" x14ac:dyDescent="0.2">
      <c r="A2952" s="17"/>
      <c r="B2952" s="17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</row>
    <row r="2953" spans="1:18" x14ac:dyDescent="0.2">
      <c r="A2953" s="17"/>
      <c r="B2953" s="17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</row>
    <row r="2954" spans="1:18" x14ac:dyDescent="0.2">
      <c r="A2954" s="17"/>
      <c r="B2954" s="17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</row>
    <row r="2955" spans="1:18" x14ac:dyDescent="0.2">
      <c r="A2955" s="17"/>
      <c r="B2955" s="17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</row>
    <row r="2956" spans="1:18" x14ac:dyDescent="0.2">
      <c r="A2956" s="17"/>
      <c r="B2956" s="17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</row>
    <row r="2957" spans="1:18" x14ac:dyDescent="0.2">
      <c r="A2957" s="17"/>
      <c r="B2957" s="17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</row>
    <row r="2958" spans="1:18" x14ac:dyDescent="0.2">
      <c r="A2958" s="17"/>
      <c r="B2958" s="17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</row>
    <row r="2959" spans="1:18" x14ac:dyDescent="0.2">
      <c r="A2959" s="17"/>
      <c r="B2959" s="17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</row>
    <row r="2960" spans="1:18" x14ac:dyDescent="0.2">
      <c r="A2960" s="17"/>
      <c r="B2960" s="17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</row>
    <row r="2961" spans="1:18" x14ac:dyDescent="0.2">
      <c r="A2961" s="17"/>
      <c r="B2961" s="17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</row>
    <row r="2962" spans="1:18" x14ac:dyDescent="0.2">
      <c r="A2962" s="17"/>
      <c r="B2962" s="17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</row>
    <row r="2963" spans="1:18" x14ac:dyDescent="0.2">
      <c r="A2963" s="17"/>
      <c r="B2963" s="17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</row>
    <row r="2964" spans="1:18" x14ac:dyDescent="0.2">
      <c r="A2964" s="17"/>
      <c r="B2964" s="17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</row>
    <row r="2965" spans="1:18" x14ac:dyDescent="0.2">
      <c r="A2965" s="17"/>
      <c r="B2965" s="17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</row>
    <row r="2966" spans="1:18" x14ac:dyDescent="0.2">
      <c r="A2966" s="17"/>
      <c r="B2966" s="17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</row>
    <row r="2967" spans="1:18" x14ac:dyDescent="0.2">
      <c r="A2967" s="17"/>
      <c r="B2967" s="17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</row>
    <row r="2968" spans="1:18" x14ac:dyDescent="0.2">
      <c r="A2968" s="17"/>
      <c r="B2968" s="17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</row>
    <row r="2969" spans="1:18" x14ac:dyDescent="0.2">
      <c r="A2969" s="17"/>
      <c r="B2969" s="17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</row>
    <row r="2970" spans="1:18" x14ac:dyDescent="0.2">
      <c r="A2970" s="17"/>
      <c r="B2970" s="17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</row>
    <row r="2971" spans="1:18" x14ac:dyDescent="0.2">
      <c r="A2971" s="17"/>
      <c r="B2971" s="17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</row>
    <row r="2972" spans="1:18" x14ac:dyDescent="0.2">
      <c r="A2972" s="17"/>
      <c r="B2972" s="17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</row>
    <row r="2973" spans="1:18" x14ac:dyDescent="0.2">
      <c r="A2973" s="17"/>
      <c r="B2973" s="17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</row>
    <row r="2974" spans="1:18" x14ac:dyDescent="0.2">
      <c r="A2974" s="17"/>
      <c r="B2974" s="17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</row>
    <row r="2975" spans="1:18" x14ac:dyDescent="0.2">
      <c r="A2975" s="17"/>
      <c r="B2975" s="17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</row>
    <row r="2976" spans="1:18" x14ac:dyDescent="0.2">
      <c r="A2976" s="17"/>
      <c r="B2976" s="17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</row>
    <row r="2977" spans="1:18" x14ac:dyDescent="0.2">
      <c r="A2977" s="17"/>
      <c r="B2977" s="17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</row>
    <row r="2978" spans="1:18" x14ac:dyDescent="0.2">
      <c r="A2978" s="17"/>
      <c r="B2978" s="17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</row>
    <row r="2979" spans="1:18" x14ac:dyDescent="0.2">
      <c r="A2979" s="17"/>
      <c r="B2979" s="17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</row>
    <row r="2980" spans="1:18" x14ac:dyDescent="0.2">
      <c r="A2980" s="17"/>
      <c r="B2980" s="17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</row>
    <row r="2981" spans="1:18" x14ac:dyDescent="0.2">
      <c r="A2981" s="17"/>
      <c r="B2981" s="17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</row>
    <row r="2982" spans="1:18" x14ac:dyDescent="0.2">
      <c r="A2982" s="17"/>
      <c r="B2982" s="17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</row>
    <row r="2983" spans="1:18" x14ac:dyDescent="0.2">
      <c r="A2983" s="17"/>
      <c r="B2983" s="17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</row>
    <row r="2984" spans="1:18" x14ac:dyDescent="0.2">
      <c r="A2984" s="17"/>
      <c r="B2984" s="17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</row>
    <row r="2985" spans="1:18" x14ac:dyDescent="0.2">
      <c r="A2985" s="17"/>
      <c r="B2985" s="17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</row>
    <row r="2986" spans="1:18" x14ac:dyDescent="0.2">
      <c r="A2986" s="17"/>
      <c r="B2986" s="17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</row>
    <row r="2987" spans="1:18" x14ac:dyDescent="0.2">
      <c r="A2987" s="17"/>
      <c r="B2987" s="17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</row>
    <row r="2988" spans="1:18" x14ac:dyDescent="0.2">
      <c r="A2988" s="17"/>
      <c r="B2988" s="17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</row>
    <row r="2989" spans="1:18" x14ac:dyDescent="0.2">
      <c r="A2989" s="17"/>
      <c r="B2989" s="17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</row>
    <row r="2990" spans="1:18" x14ac:dyDescent="0.2">
      <c r="A2990" s="17"/>
      <c r="B2990" s="17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</row>
    <row r="2991" spans="1:18" x14ac:dyDescent="0.2">
      <c r="A2991" s="17"/>
      <c r="B2991" s="17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</row>
    <row r="2992" spans="1:18" x14ac:dyDescent="0.2">
      <c r="A2992" s="17"/>
      <c r="B2992" s="17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</row>
    <row r="2993" spans="1:18" x14ac:dyDescent="0.2">
      <c r="A2993" s="17"/>
      <c r="B2993" s="17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</row>
    <row r="2994" spans="1:18" x14ac:dyDescent="0.2">
      <c r="A2994" s="17"/>
      <c r="B2994" s="17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</row>
    <row r="2995" spans="1:18" x14ac:dyDescent="0.2">
      <c r="A2995" s="17"/>
      <c r="B2995" s="17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</row>
    <row r="2996" spans="1:18" x14ac:dyDescent="0.2">
      <c r="A2996" s="17"/>
      <c r="B2996" s="17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</row>
    <row r="2997" spans="1:18" x14ac:dyDescent="0.2">
      <c r="A2997" s="17"/>
      <c r="B2997" s="17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</row>
    <row r="2998" spans="1:18" x14ac:dyDescent="0.2">
      <c r="A2998" s="17"/>
      <c r="B2998" s="17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</row>
    <row r="2999" spans="1:18" x14ac:dyDescent="0.2">
      <c r="A2999" s="17"/>
      <c r="B2999" s="17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</row>
    <row r="3000" spans="1:18" x14ac:dyDescent="0.2">
      <c r="A3000" s="17"/>
      <c r="B3000" s="17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</row>
    <row r="3001" spans="1:18" x14ac:dyDescent="0.2">
      <c r="A3001" s="17"/>
      <c r="B3001" s="17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</row>
    <row r="3002" spans="1:18" x14ac:dyDescent="0.2">
      <c r="A3002" s="17"/>
      <c r="B3002" s="17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</row>
    <row r="3003" spans="1:18" x14ac:dyDescent="0.2">
      <c r="A3003" s="17"/>
      <c r="B3003" s="17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</row>
    <row r="3004" spans="1:18" x14ac:dyDescent="0.2">
      <c r="A3004" s="17"/>
      <c r="B3004" s="17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</row>
    <row r="3005" spans="1:18" x14ac:dyDescent="0.2">
      <c r="A3005" s="17"/>
      <c r="B3005" s="17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</row>
    <row r="3006" spans="1:18" x14ac:dyDescent="0.2">
      <c r="A3006" s="17"/>
      <c r="B3006" s="17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</row>
    <row r="3007" spans="1:18" x14ac:dyDescent="0.2">
      <c r="A3007" s="17"/>
      <c r="B3007" s="17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</row>
    <row r="3008" spans="1:18" x14ac:dyDescent="0.2">
      <c r="A3008" s="17"/>
      <c r="B3008" s="17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</row>
    <row r="3009" spans="1:18" x14ac:dyDescent="0.2">
      <c r="A3009" s="17"/>
      <c r="B3009" s="17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</row>
    <row r="3010" spans="1:18" x14ac:dyDescent="0.2">
      <c r="A3010" s="17"/>
      <c r="B3010" s="17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</row>
    <row r="3011" spans="1:18" x14ac:dyDescent="0.2">
      <c r="A3011" s="17"/>
      <c r="B3011" s="17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</row>
    <row r="3012" spans="1:18" x14ac:dyDescent="0.2">
      <c r="A3012" s="17"/>
      <c r="B3012" s="17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</row>
    <row r="3013" spans="1:18" x14ac:dyDescent="0.2">
      <c r="A3013" s="17"/>
      <c r="B3013" s="17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</row>
    <row r="3014" spans="1:18" x14ac:dyDescent="0.2">
      <c r="A3014" s="17"/>
      <c r="B3014" s="17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</row>
    <row r="3015" spans="1:18" x14ac:dyDescent="0.2">
      <c r="A3015" s="17"/>
      <c r="B3015" s="17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</row>
    <row r="3016" spans="1:18" x14ac:dyDescent="0.2">
      <c r="A3016" s="17"/>
      <c r="B3016" s="17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</row>
    <row r="3017" spans="1:18" x14ac:dyDescent="0.2">
      <c r="A3017" s="17"/>
      <c r="B3017" s="17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</row>
    <row r="3018" spans="1:18" x14ac:dyDescent="0.2">
      <c r="A3018" s="17"/>
      <c r="B3018" s="17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</row>
    <row r="3019" spans="1:18" x14ac:dyDescent="0.2">
      <c r="A3019" s="17"/>
      <c r="B3019" s="17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</row>
    <row r="3020" spans="1:18" x14ac:dyDescent="0.2">
      <c r="A3020" s="17"/>
      <c r="B3020" s="17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</row>
    <row r="3021" spans="1:18" x14ac:dyDescent="0.2">
      <c r="A3021" s="17"/>
      <c r="B3021" s="17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</row>
    <row r="3022" spans="1:18" x14ac:dyDescent="0.2">
      <c r="A3022" s="17"/>
      <c r="B3022" s="17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</row>
    <row r="3023" spans="1:18" x14ac:dyDescent="0.2">
      <c r="A3023" s="17"/>
      <c r="B3023" s="17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</row>
    <row r="3024" spans="1:18" x14ac:dyDescent="0.2">
      <c r="A3024" s="17"/>
      <c r="B3024" s="17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</row>
    <row r="3025" spans="1:18" x14ac:dyDescent="0.2">
      <c r="A3025" s="17"/>
      <c r="B3025" s="17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</row>
    <row r="3026" spans="1:18" x14ac:dyDescent="0.2">
      <c r="A3026" s="17"/>
      <c r="B3026" s="17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</row>
    <row r="3027" spans="1:18" x14ac:dyDescent="0.2">
      <c r="A3027" s="17"/>
      <c r="B3027" s="17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</row>
    <row r="3028" spans="1:18" x14ac:dyDescent="0.2">
      <c r="A3028" s="17"/>
      <c r="B3028" s="17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</row>
    <row r="3029" spans="1:18" x14ac:dyDescent="0.2">
      <c r="A3029" s="17"/>
      <c r="B3029" s="17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</row>
    <row r="3030" spans="1:18" x14ac:dyDescent="0.2">
      <c r="A3030" s="17"/>
      <c r="B3030" s="17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</row>
    <row r="3031" spans="1:18" x14ac:dyDescent="0.2">
      <c r="A3031" s="17"/>
      <c r="B3031" s="17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</row>
    <row r="3032" spans="1:18" x14ac:dyDescent="0.2">
      <c r="A3032" s="17"/>
      <c r="B3032" s="17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</row>
    <row r="3033" spans="1:18" x14ac:dyDescent="0.2">
      <c r="A3033" s="17"/>
      <c r="B3033" s="17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</row>
    <row r="3034" spans="1:18" x14ac:dyDescent="0.2">
      <c r="A3034" s="17"/>
      <c r="B3034" s="17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</row>
    <row r="3035" spans="1:18" x14ac:dyDescent="0.2">
      <c r="A3035" s="17"/>
      <c r="B3035" s="17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</row>
    <row r="3036" spans="1:18" x14ac:dyDescent="0.2">
      <c r="A3036" s="17"/>
      <c r="B3036" s="17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</row>
    <row r="3037" spans="1:18" x14ac:dyDescent="0.2">
      <c r="A3037" s="17"/>
      <c r="B3037" s="17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</row>
    <row r="3038" spans="1:18" x14ac:dyDescent="0.2">
      <c r="A3038" s="17"/>
      <c r="B3038" s="17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</row>
    <row r="3039" spans="1:18" x14ac:dyDescent="0.2">
      <c r="A3039" s="17"/>
      <c r="B3039" s="17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</row>
    <row r="3040" spans="1:18" x14ac:dyDescent="0.2">
      <c r="A3040" s="17"/>
      <c r="B3040" s="17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</row>
    <row r="3041" spans="1:18" x14ac:dyDescent="0.2">
      <c r="A3041" s="17"/>
      <c r="B3041" s="17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</row>
    <row r="3042" spans="1:18" x14ac:dyDescent="0.2">
      <c r="A3042" s="17"/>
      <c r="B3042" s="17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</row>
    <row r="3043" spans="1:18" x14ac:dyDescent="0.2">
      <c r="A3043" s="17"/>
      <c r="B3043" s="17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</row>
    <row r="3044" spans="1:18" x14ac:dyDescent="0.2">
      <c r="A3044" s="17"/>
      <c r="B3044" s="17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</row>
    <row r="3045" spans="1:18" x14ac:dyDescent="0.2">
      <c r="A3045" s="17"/>
      <c r="B3045" s="17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</row>
    <row r="3046" spans="1:18" x14ac:dyDescent="0.2">
      <c r="A3046" s="17"/>
      <c r="B3046" s="17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</row>
    <row r="3047" spans="1:18" x14ac:dyDescent="0.2">
      <c r="A3047" s="17"/>
      <c r="B3047" s="17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</row>
    <row r="3048" spans="1:18" x14ac:dyDescent="0.2">
      <c r="A3048" s="17"/>
      <c r="B3048" s="17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</row>
    <row r="3049" spans="1:18" x14ac:dyDescent="0.2">
      <c r="A3049" s="17"/>
      <c r="B3049" s="17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</row>
    <row r="3050" spans="1:18" x14ac:dyDescent="0.2">
      <c r="A3050" s="17"/>
      <c r="B3050" s="17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</row>
    <row r="3051" spans="1:18" x14ac:dyDescent="0.2">
      <c r="A3051" s="17"/>
      <c r="B3051" s="17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</row>
    <row r="3052" spans="1:18" x14ac:dyDescent="0.2">
      <c r="A3052" s="17"/>
      <c r="B3052" s="17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</row>
    <row r="3053" spans="1:18" x14ac:dyDescent="0.2">
      <c r="A3053" s="17"/>
      <c r="B3053" s="17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</row>
    <row r="3054" spans="1:18" x14ac:dyDescent="0.2">
      <c r="A3054" s="17"/>
      <c r="B3054" s="17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</row>
    <row r="3055" spans="1:18" x14ac:dyDescent="0.2">
      <c r="A3055" s="17"/>
      <c r="B3055" s="17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</row>
    <row r="3056" spans="1:18" x14ac:dyDescent="0.2">
      <c r="A3056" s="17"/>
      <c r="B3056" s="17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</row>
    <row r="3057" spans="1:18" x14ac:dyDescent="0.2">
      <c r="A3057" s="17"/>
      <c r="B3057" s="17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</row>
    <row r="3058" spans="1:18" x14ac:dyDescent="0.2">
      <c r="A3058" s="17"/>
      <c r="B3058" s="17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</row>
    <row r="3059" spans="1:18" x14ac:dyDescent="0.2">
      <c r="A3059" s="17"/>
      <c r="B3059" s="17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</row>
    <row r="3060" spans="1:18" x14ac:dyDescent="0.2">
      <c r="A3060" s="17"/>
      <c r="B3060" s="17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</row>
    <row r="3061" spans="1:18" x14ac:dyDescent="0.2">
      <c r="A3061" s="17"/>
      <c r="B3061" s="17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</row>
    <row r="3062" spans="1:18" x14ac:dyDescent="0.2">
      <c r="A3062" s="17"/>
      <c r="B3062" s="17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</row>
    <row r="3063" spans="1:18" x14ac:dyDescent="0.2">
      <c r="A3063" s="17"/>
      <c r="B3063" s="17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</row>
    <row r="3064" spans="1:18" x14ac:dyDescent="0.2">
      <c r="A3064" s="17"/>
      <c r="B3064" s="17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</row>
    <row r="3065" spans="1:18" x14ac:dyDescent="0.2">
      <c r="A3065" s="17"/>
      <c r="B3065" s="17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</row>
    <row r="3066" spans="1:18" x14ac:dyDescent="0.2">
      <c r="A3066" s="17"/>
      <c r="B3066" s="17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</row>
    <row r="3067" spans="1:18" x14ac:dyDescent="0.2">
      <c r="A3067" s="17"/>
      <c r="B3067" s="17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</row>
    <row r="3068" spans="1:18" x14ac:dyDescent="0.2">
      <c r="A3068" s="17"/>
      <c r="B3068" s="17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</row>
    <row r="3069" spans="1:18" x14ac:dyDescent="0.2">
      <c r="A3069" s="17"/>
      <c r="B3069" s="17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</row>
    <row r="3070" spans="1:18" x14ac:dyDescent="0.2">
      <c r="A3070" s="17"/>
      <c r="B3070" s="17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</row>
    <row r="3071" spans="1:18" x14ac:dyDescent="0.2">
      <c r="A3071" s="17"/>
      <c r="B3071" s="17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</row>
    <row r="3072" spans="1:18" x14ac:dyDescent="0.2">
      <c r="A3072" s="17"/>
      <c r="B3072" s="17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</row>
    <row r="3073" spans="1:18" x14ac:dyDescent="0.2">
      <c r="A3073" s="17"/>
      <c r="B3073" s="17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</row>
    <row r="3074" spans="1:18" x14ac:dyDescent="0.2">
      <c r="A3074" s="17"/>
      <c r="B3074" s="17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</row>
    <row r="3075" spans="1:18" x14ac:dyDescent="0.2">
      <c r="A3075" s="17"/>
      <c r="B3075" s="17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</row>
    <row r="3076" spans="1:18" x14ac:dyDescent="0.2">
      <c r="A3076" s="17"/>
      <c r="B3076" s="17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</row>
    <row r="3077" spans="1:18" x14ac:dyDescent="0.2">
      <c r="A3077" s="17"/>
      <c r="B3077" s="17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</row>
    <row r="3078" spans="1:18" x14ac:dyDescent="0.2">
      <c r="A3078" s="17"/>
      <c r="B3078" s="17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</row>
    <row r="3079" spans="1:18" x14ac:dyDescent="0.2">
      <c r="A3079" s="17"/>
      <c r="B3079" s="17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</row>
    <row r="3080" spans="1:18" x14ac:dyDescent="0.2">
      <c r="A3080" s="17"/>
      <c r="B3080" s="17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</row>
    <row r="3081" spans="1:18" x14ac:dyDescent="0.2">
      <c r="A3081" s="17"/>
      <c r="B3081" s="17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</row>
    <row r="3082" spans="1:18" x14ac:dyDescent="0.2">
      <c r="A3082" s="17"/>
      <c r="B3082" s="17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</row>
    <row r="3083" spans="1:18" x14ac:dyDescent="0.2">
      <c r="A3083" s="17"/>
      <c r="B3083" s="17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</row>
    <row r="3084" spans="1:18" x14ac:dyDescent="0.2">
      <c r="A3084" s="17"/>
      <c r="B3084" s="17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</row>
    <row r="3085" spans="1:18" x14ac:dyDescent="0.2">
      <c r="A3085" s="17"/>
      <c r="B3085" s="17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</row>
    <row r="3086" spans="1:18" x14ac:dyDescent="0.2">
      <c r="A3086" s="17"/>
      <c r="B3086" s="17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</row>
    <row r="3087" spans="1:18" x14ac:dyDescent="0.2">
      <c r="A3087" s="17"/>
      <c r="B3087" s="17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</row>
    <row r="3088" spans="1:18" x14ac:dyDescent="0.2">
      <c r="A3088" s="17"/>
      <c r="B3088" s="17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</row>
    <row r="3089" spans="1:18" x14ac:dyDescent="0.2">
      <c r="A3089" s="17"/>
      <c r="B3089" s="17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</row>
    <row r="3090" spans="1:18" x14ac:dyDescent="0.2">
      <c r="A3090" s="17"/>
      <c r="B3090" s="17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</row>
    <row r="3091" spans="1:18" x14ac:dyDescent="0.2">
      <c r="A3091" s="17"/>
      <c r="B3091" s="17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</row>
    <row r="3092" spans="1:18" x14ac:dyDescent="0.2">
      <c r="A3092" s="17"/>
      <c r="B3092" s="17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</row>
    <row r="3093" spans="1:18" x14ac:dyDescent="0.2">
      <c r="A3093" s="17"/>
      <c r="B3093" s="17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</row>
    <row r="3094" spans="1:18" x14ac:dyDescent="0.2">
      <c r="A3094" s="17"/>
      <c r="B3094" s="17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</row>
    <row r="3095" spans="1:18" x14ac:dyDescent="0.2">
      <c r="A3095" s="17"/>
      <c r="B3095" s="17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</row>
    <row r="3096" spans="1:18" x14ac:dyDescent="0.2">
      <c r="A3096" s="17"/>
      <c r="B3096" s="17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</row>
    <row r="3097" spans="1:18" x14ac:dyDescent="0.2">
      <c r="A3097" s="17"/>
      <c r="B3097" s="17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</row>
    <row r="3098" spans="1:18" x14ac:dyDescent="0.2">
      <c r="A3098" s="17"/>
      <c r="B3098" s="17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</row>
    <row r="3099" spans="1:18" x14ac:dyDescent="0.2">
      <c r="A3099" s="17"/>
      <c r="B3099" s="17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</row>
    <row r="3100" spans="1:18" x14ac:dyDescent="0.2">
      <c r="A3100" s="17"/>
      <c r="B3100" s="17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</row>
    <row r="3101" spans="1:18" x14ac:dyDescent="0.2">
      <c r="A3101" s="17"/>
      <c r="B3101" s="17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</row>
    <row r="3102" spans="1:18" x14ac:dyDescent="0.2">
      <c r="A3102" s="17"/>
      <c r="B3102" s="17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</row>
    <row r="3103" spans="1:18" x14ac:dyDescent="0.2">
      <c r="A3103" s="17"/>
      <c r="B3103" s="17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</row>
    <row r="3104" spans="1:18" x14ac:dyDescent="0.2">
      <c r="A3104" s="17"/>
      <c r="B3104" s="17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</row>
    <row r="3105" spans="1:18" x14ac:dyDescent="0.2">
      <c r="A3105" s="17"/>
      <c r="B3105" s="17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</row>
    <row r="3106" spans="1:18" x14ac:dyDescent="0.2">
      <c r="A3106" s="17"/>
      <c r="B3106" s="17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</row>
    <row r="3107" spans="1:18" x14ac:dyDescent="0.2">
      <c r="A3107" s="17"/>
      <c r="B3107" s="17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</row>
    <row r="3108" spans="1:18" x14ac:dyDescent="0.2">
      <c r="A3108" s="17"/>
      <c r="B3108" s="17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</row>
    <row r="3109" spans="1:18" x14ac:dyDescent="0.2">
      <c r="A3109" s="17"/>
      <c r="B3109" s="17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</row>
    <row r="3110" spans="1:18" x14ac:dyDescent="0.2">
      <c r="A3110" s="17"/>
      <c r="B3110" s="17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</row>
    <row r="3111" spans="1:18" x14ac:dyDescent="0.2">
      <c r="A3111" s="17"/>
      <c r="B3111" s="17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</row>
    <row r="3112" spans="1:18" x14ac:dyDescent="0.2">
      <c r="A3112" s="17"/>
      <c r="B3112" s="17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</row>
    <row r="3113" spans="1:18" x14ac:dyDescent="0.2">
      <c r="A3113" s="17"/>
      <c r="B3113" s="17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</row>
    <row r="3114" spans="1:18" x14ac:dyDescent="0.2">
      <c r="A3114" s="17"/>
      <c r="B3114" s="17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</row>
    <row r="3115" spans="1:18" x14ac:dyDescent="0.2">
      <c r="A3115" s="17"/>
      <c r="B3115" s="17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</row>
    <row r="3116" spans="1:18" x14ac:dyDescent="0.2">
      <c r="A3116" s="17"/>
      <c r="B3116" s="17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</row>
    <row r="3117" spans="1:18" x14ac:dyDescent="0.2">
      <c r="A3117" s="17"/>
      <c r="B3117" s="17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</row>
    <row r="3118" spans="1:18" x14ac:dyDescent="0.2">
      <c r="A3118" s="17"/>
      <c r="B3118" s="17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</row>
    <row r="3119" spans="1:18" x14ac:dyDescent="0.2">
      <c r="A3119" s="17"/>
      <c r="B3119" s="17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</row>
    <row r="3120" spans="1:18" x14ac:dyDescent="0.2">
      <c r="A3120" s="17"/>
      <c r="B3120" s="17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</row>
    <row r="3121" spans="1:18" x14ac:dyDescent="0.2">
      <c r="A3121" s="17"/>
      <c r="B3121" s="17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</row>
    <row r="3122" spans="1:18" x14ac:dyDescent="0.2">
      <c r="A3122" s="17"/>
      <c r="B3122" s="17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</row>
    <row r="3123" spans="1:18" x14ac:dyDescent="0.2">
      <c r="A3123" s="17"/>
      <c r="B3123" s="17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</row>
    <row r="3124" spans="1:18" x14ac:dyDescent="0.2">
      <c r="A3124" s="17"/>
      <c r="B3124" s="17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</row>
    <row r="3125" spans="1:18" x14ac:dyDescent="0.2">
      <c r="A3125" s="17"/>
      <c r="B3125" s="17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</row>
    <row r="3126" spans="1:18" x14ac:dyDescent="0.2">
      <c r="A3126" s="17"/>
      <c r="B3126" s="17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</row>
    <row r="3127" spans="1:18" x14ac:dyDescent="0.2">
      <c r="A3127" s="17"/>
      <c r="B3127" s="17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</row>
    <row r="3128" spans="1:18" x14ac:dyDescent="0.2">
      <c r="A3128" s="17"/>
      <c r="B3128" s="17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</row>
    <row r="3129" spans="1:18" x14ac:dyDescent="0.2">
      <c r="A3129" s="17"/>
      <c r="B3129" s="17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</row>
    <row r="3130" spans="1:18" x14ac:dyDescent="0.2">
      <c r="A3130" s="17"/>
      <c r="B3130" s="17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</row>
    <row r="3131" spans="1:18" x14ac:dyDescent="0.2">
      <c r="A3131" s="17"/>
      <c r="B3131" s="17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</row>
    <row r="3132" spans="1:18" x14ac:dyDescent="0.2">
      <c r="A3132" s="17"/>
      <c r="B3132" s="17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</row>
    <row r="3133" spans="1:18" x14ac:dyDescent="0.2">
      <c r="A3133" s="17"/>
      <c r="B3133" s="17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</row>
    <row r="3134" spans="1:18" x14ac:dyDescent="0.2">
      <c r="A3134" s="17"/>
      <c r="B3134" s="17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</row>
    <row r="3135" spans="1:18" x14ac:dyDescent="0.2">
      <c r="A3135" s="17"/>
      <c r="B3135" s="17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</row>
    <row r="3136" spans="1:18" x14ac:dyDescent="0.2">
      <c r="A3136" s="17"/>
      <c r="B3136" s="17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</row>
    <row r="3137" spans="1:18" x14ac:dyDescent="0.2">
      <c r="A3137" s="17"/>
      <c r="B3137" s="17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</row>
    <row r="3138" spans="1:18" x14ac:dyDescent="0.2">
      <c r="A3138" s="17"/>
      <c r="B3138" s="17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</row>
    <row r="3139" spans="1:18" x14ac:dyDescent="0.2">
      <c r="A3139" s="17"/>
      <c r="B3139" s="17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</row>
    <row r="3140" spans="1:18" x14ac:dyDescent="0.2">
      <c r="A3140" s="17"/>
      <c r="B3140" s="17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</row>
    <row r="3141" spans="1:18" x14ac:dyDescent="0.2">
      <c r="A3141" s="17"/>
      <c r="B3141" s="17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</row>
    <row r="3142" spans="1:18" x14ac:dyDescent="0.2">
      <c r="A3142" s="17"/>
      <c r="B3142" s="17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</row>
    <row r="3143" spans="1:18" x14ac:dyDescent="0.2">
      <c r="A3143" s="17"/>
      <c r="B3143" s="17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</row>
    <row r="3144" spans="1:18" x14ac:dyDescent="0.2">
      <c r="A3144" s="17"/>
      <c r="B3144" s="17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</row>
    <row r="3145" spans="1:18" x14ac:dyDescent="0.2">
      <c r="A3145" s="17"/>
      <c r="B3145" s="17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</row>
    <row r="3146" spans="1:18" x14ac:dyDescent="0.2">
      <c r="A3146" s="17"/>
      <c r="B3146" s="17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</row>
    <row r="3147" spans="1:18" x14ac:dyDescent="0.2">
      <c r="A3147" s="17"/>
      <c r="B3147" s="17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</row>
    <row r="3148" spans="1:18" x14ac:dyDescent="0.2">
      <c r="A3148" s="17"/>
      <c r="B3148" s="17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</row>
    <row r="3149" spans="1:18" x14ac:dyDescent="0.2">
      <c r="A3149" s="17"/>
      <c r="B3149" s="17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</row>
    <row r="3150" spans="1:18" x14ac:dyDescent="0.2">
      <c r="A3150" s="17"/>
      <c r="B3150" s="17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</row>
    <row r="3151" spans="1:18" x14ac:dyDescent="0.2">
      <c r="A3151" s="17"/>
      <c r="B3151" s="17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</row>
    <row r="3152" spans="1:18" x14ac:dyDescent="0.2">
      <c r="A3152" s="17"/>
      <c r="B3152" s="17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</row>
    <row r="3153" spans="1:18" x14ac:dyDescent="0.2">
      <c r="A3153" s="17"/>
      <c r="B3153" s="17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</row>
    <row r="3154" spans="1:18" x14ac:dyDescent="0.2">
      <c r="A3154" s="17"/>
      <c r="B3154" s="17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</row>
    <row r="3155" spans="1:18" x14ac:dyDescent="0.2">
      <c r="A3155" s="17"/>
      <c r="B3155" s="17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</row>
    <row r="3156" spans="1:18" x14ac:dyDescent="0.2">
      <c r="A3156" s="17"/>
      <c r="B3156" s="17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</row>
    <row r="3157" spans="1:18" x14ac:dyDescent="0.2">
      <c r="A3157" s="17"/>
      <c r="B3157" s="17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</row>
    <row r="3158" spans="1:18" x14ac:dyDescent="0.2">
      <c r="A3158" s="17"/>
      <c r="B3158" s="17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</row>
    <row r="3159" spans="1:18" x14ac:dyDescent="0.2">
      <c r="A3159" s="17"/>
      <c r="B3159" s="17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</row>
    <row r="3160" spans="1:18" x14ac:dyDescent="0.2">
      <c r="A3160" s="17"/>
      <c r="B3160" s="17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</row>
    <row r="3161" spans="1:18" x14ac:dyDescent="0.2">
      <c r="A3161" s="17"/>
      <c r="B3161" s="17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</row>
    <row r="3162" spans="1:18" x14ac:dyDescent="0.2">
      <c r="A3162" s="17"/>
      <c r="B3162" s="17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</row>
    <row r="3163" spans="1:18" x14ac:dyDescent="0.2">
      <c r="A3163" s="17"/>
      <c r="B3163" s="17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</row>
    <row r="3164" spans="1:18" x14ac:dyDescent="0.2">
      <c r="A3164" s="17"/>
      <c r="B3164" s="17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</row>
    <row r="3165" spans="1:18" x14ac:dyDescent="0.2">
      <c r="A3165" s="17"/>
      <c r="B3165" s="17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</row>
    <row r="3166" spans="1:18" x14ac:dyDescent="0.2">
      <c r="A3166" s="17"/>
      <c r="B3166" s="17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</row>
    <row r="3167" spans="1:18" x14ac:dyDescent="0.2">
      <c r="A3167" s="17"/>
      <c r="B3167" s="17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</row>
    <row r="3168" spans="1:18" x14ac:dyDescent="0.2">
      <c r="A3168" s="17"/>
      <c r="B3168" s="17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</row>
    <row r="3169" spans="1:18" x14ac:dyDescent="0.2">
      <c r="A3169" s="17"/>
      <c r="B3169" s="17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</row>
    <row r="3170" spans="1:18" x14ac:dyDescent="0.2">
      <c r="A3170" s="17"/>
      <c r="B3170" s="17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</row>
    <row r="3171" spans="1:18" x14ac:dyDescent="0.2">
      <c r="A3171" s="17"/>
      <c r="B3171" s="17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</row>
    <row r="3172" spans="1:18" x14ac:dyDescent="0.2">
      <c r="A3172" s="17"/>
      <c r="B3172" s="17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</row>
    <row r="3173" spans="1:18" x14ac:dyDescent="0.2">
      <c r="A3173" s="17"/>
      <c r="B3173" s="17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</row>
    <row r="3174" spans="1:18" x14ac:dyDescent="0.2">
      <c r="A3174" s="17"/>
      <c r="B3174" s="17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</row>
    <row r="3175" spans="1:18" x14ac:dyDescent="0.2">
      <c r="A3175" s="17"/>
      <c r="B3175" s="17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</row>
    <row r="3176" spans="1:18" x14ac:dyDescent="0.2">
      <c r="A3176" s="17"/>
      <c r="B3176" s="17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</row>
    <row r="3177" spans="1:18" x14ac:dyDescent="0.2">
      <c r="A3177" s="17"/>
      <c r="B3177" s="17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</row>
    <row r="3178" spans="1:18" x14ac:dyDescent="0.2">
      <c r="A3178" s="17"/>
      <c r="B3178" s="17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</row>
    <row r="3179" spans="1:18" x14ac:dyDescent="0.2">
      <c r="A3179" s="17"/>
      <c r="B3179" s="17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</row>
    <row r="3180" spans="1:18" x14ac:dyDescent="0.2">
      <c r="A3180" s="17"/>
      <c r="B3180" s="17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</row>
    <row r="3181" spans="1:18" x14ac:dyDescent="0.2">
      <c r="A3181" s="17"/>
      <c r="B3181" s="17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</row>
    <row r="3182" spans="1:18" x14ac:dyDescent="0.2">
      <c r="A3182" s="17"/>
      <c r="B3182" s="17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</row>
    <row r="3183" spans="1:18" x14ac:dyDescent="0.2">
      <c r="A3183" s="17"/>
      <c r="B3183" s="17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</row>
    <row r="3184" spans="1:18" x14ac:dyDescent="0.2">
      <c r="A3184" s="17"/>
      <c r="B3184" s="17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</row>
    <row r="3185" spans="1:18" x14ac:dyDescent="0.2">
      <c r="A3185" s="17"/>
      <c r="B3185" s="17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</row>
    <row r="3186" spans="1:18" x14ac:dyDescent="0.2">
      <c r="A3186" s="17"/>
      <c r="B3186" s="17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</row>
    <row r="3187" spans="1:18" x14ac:dyDescent="0.2">
      <c r="A3187" s="17"/>
      <c r="B3187" s="17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</row>
    <row r="3188" spans="1:18" x14ac:dyDescent="0.2">
      <c r="A3188" s="17"/>
      <c r="B3188" s="17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</row>
    <row r="3189" spans="1:18" x14ac:dyDescent="0.2">
      <c r="A3189" s="17"/>
      <c r="B3189" s="17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</row>
    <row r="3190" spans="1:18" x14ac:dyDescent="0.2">
      <c r="A3190" s="17"/>
      <c r="B3190" s="17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</row>
    <row r="3191" spans="1:18" x14ac:dyDescent="0.2">
      <c r="A3191" s="17"/>
      <c r="B3191" s="17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</row>
    <row r="3192" spans="1:18" x14ac:dyDescent="0.2">
      <c r="A3192" s="17"/>
      <c r="B3192" s="17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</row>
    <row r="3193" spans="1:18" x14ac:dyDescent="0.2">
      <c r="A3193" s="17"/>
      <c r="B3193" s="17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</row>
    <row r="3194" spans="1:18" x14ac:dyDescent="0.2">
      <c r="A3194" s="17"/>
      <c r="B3194" s="17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</row>
    <row r="3195" spans="1:18" x14ac:dyDescent="0.2">
      <c r="A3195" s="17"/>
      <c r="B3195" s="17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</row>
    <row r="3196" spans="1:18" x14ac:dyDescent="0.2">
      <c r="A3196" s="17"/>
      <c r="B3196" s="17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</row>
    <row r="3197" spans="1:18" x14ac:dyDescent="0.2">
      <c r="A3197" s="17"/>
      <c r="B3197" s="17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</row>
    <row r="3198" spans="1:18" x14ac:dyDescent="0.2">
      <c r="A3198" s="17"/>
      <c r="B3198" s="17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</row>
    <row r="3199" spans="1:18" x14ac:dyDescent="0.2">
      <c r="A3199" s="17"/>
      <c r="B3199" s="17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</row>
    <row r="3200" spans="1:18" x14ac:dyDescent="0.2">
      <c r="A3200" s="17"/>
      <c r="B3200" s="17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</row>
    <row r="3201" spans="1:18" x14ac:dyDescent="0.2">
      <c r="A3201" s="17"/>
      <c r="B3201" s="17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</row>
    <row r="3202" spans="1:18" x14ac:dyDescent="0.2">
      <c r="A3202" s="17"/>
      <c r="B3202" s="17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</row>
    <row r="3203" spans="1:18" x14ac:dyDescent="0.2">
      <c r="A3203" s="17"/>
      <c r="B3203" s="17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</row>
    <row r="3204" spans="1:18" x14ac:dyDescent="0.2">
      <c r="A3204" s="17"/>
      <c r="B3204" s="17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</row>
    <row r="3205" spans="1:18" x14ac:dyDescent="0.2">
      <c r="A3205" s="17"/>
      <c r="B3205" s="17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</row>
    <row r="3206" spans="1:18" x14ac:dyDescent="0.2">
      <c r="A3206" s="17"/>
      <c r="B3206" s="17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</row>
    <row r="3207" spans="1:18" x14ac:dyDescent="0.2">
      <c r="A3207" s="17"/>
      <c r="B3207" s="17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</row>
    <row r="3208" spans="1:18" x14ac:dyDescent="0.2">
      <c r="A3208" s="17"/>
      <c r="B3208" s="17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</row>
    <row r="3209" spans="1:18" x14ac:dyDescent="0.2">
      <c r="A3209" s="17"/>
      <c r="B3209" s="17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</row>
    <row r="3210" spans="1:18" x14ac:dyDescent="0.2">
      <c r="A3210" s="17"/>
      <c r="B3210" s="17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</row>
    <row r="3211" spans="1:18" x14ac:dyDescent="0.2">
      <c r="A3211" s="17"/>
      <c r="B3211" s="17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</row>
    <row r="3212" spans="1:18" x14ac:dyDescent="0.2">
      <c r="A3212" s="17"/>
      <c r="B3212" s="17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</row>
    <row r="3213" spans="1:18" x14ac:dyDescent="0.2">
      <c r="A3213" s="17"/>
      <c r="B3213" s="17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</row>
    <row r="3214" spans="1:18" x14ac:dyDescent="0.2">
      <c r="A3214" s="17"/>
      <c r="B3214" s="17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</row>
    <row r="3215" spans="1:18" x14ac:dyDescent="0.2">
      <c r="A3215" s="17"/>
      <c r="B3215" s="17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</row>
    <row r="3216" spans="1:18" x14ac:dyDescent="0.2">
      <c r="A3216" s="17"/>
      <c r="B3216" s="17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</row>
    <row r="3217" spans="1:18" x14ac:dyDescent="0.2">
      <c r="A3217" s="17"/>
      <c r="B3217" s="17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</row>
    <row r="3218" spans="1:18" x14ac:dyDescent="0.2">
      <c r="A3218" s="17"/>
      <c r="B3218" s="17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</row>
    <row r="3219" spans="1:18" x14ac:dyDescent="0.2">
      <c r="A3219" s="17"/>
      <c r="B3219" s="17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</row>
    <row r="3220" spans="1:18" x14ac:dyDescent="0.2">
      <c r="A3220" s="17"/>
      <c r="B3220" s="17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</row>
    <row r="3221" spans="1:18" x14ac:dyDescent="0.2">
      <c r="A3221" s="17"/>
      <c r="B3221" s="17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</row>
    <row r="3222" spans="1:18" x14ac:dyDescent="0.2">
      <c r="A3222" s="17"/>
      <c r="B3222" s="17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</row>
    <row r="3223" spans="1:18" x14ac:dyDescent="0.2">
      <c r="A3223" s="17"/>
      <c r="B3223" s="17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</row>
    <row r="3224" spans="1:18" x14ac:dyDescent="0.2">
      <c r="A3224" s="17"/>
      <c r="B3224" s="17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</row>
    <row r="3225" spans="1:18" x14ac:dyDescent="0.2">
      <c r="A3225" s="17"/>
      <c r="B3225" s="17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</row>
    <row r="3226" spans="1:18" x14ac:dyDescent="0.2">
      <c r="A3226" s="17"/>
      <c r="B3226" s="17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</row>
    <row r="3227" spans="1:18" x14ac:dyDescent="0.2">
      <c r="A3227" s="17"/>
      <c r="B3227" s="17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</row>
    <row r="3228" spans="1:18" x14ac:dyDescent="0.2">
      <c r="A3228" s="17"/>
      <c r="B3228" s="17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</row>
    <row r="3229" spans="1:18" x14ac:dyDescent="0.2">
      <c r="A3229" s="17"/>
      <c r="B3229" s="17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</row>
    <row r="3230" spans="1:18" x14ac:dyDescent="0.2">
      <c r="A3230" s="17"/>
      <c r="B3230" s="17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</row>
    <row r="3231" spans="1:18" x14ac:dyDescent="0.2">
      <c r="A3231" s="17"/>
      <c r="B3231" s="17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</row>
    <row r="3232" spans="1:18" x14ac:dyDescent="0.2">
      <c r="A3232" s="17"/>
      <c r="B3232" s="17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</row>
    <row r="3233" spans="1:18" x14ac:dyDescent="0.2">
      <c r="A3233" s="17"/>
      <c r="B3233" s="17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</row>
    <row r="3234" spans="1:18" x14ac:dyDescent="0.2">
      <c r="A3234" s="17"/>
      <c r="B3234" s="17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</row>
    <row r="3235" spans="1:18" x14ac:dyDescent="0.2">
      <c r="A3235" s="17"/>
      <c r="B3235" s="17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</row>
    <row r="3236" spans="1:18" x14ac:dyDescent="0.2">
      <c r="A3236" s="17"/>
      <c r="B3236" s="17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</row>
    <row r="3237" spans="1:18" x14ac:dyDescent="0.2">
      <c r="A3237" s="17"/>
      <c r="B3237" s="17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</row>
    <row r="3238" spans="1:18" x14ac:dyDescent="0.2">
      <c r="A3238" s="17"/>
      <c r="B3238" s="17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</row>
    <row r="3239" spans="1:18" x14ac:dyDescent="0.2">
      <c r="A3239" s="17"/>
      <c r="B3239" s="17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</row>
    <row r="3240" spans="1:18" x14ac:dyDescent="0.2">
      <c r="A3240" s="17"/>
      <c r="B3240" s="17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</row>
    <row r="3241" spans="1:18" x14ac:dyDescent="0.2">
      <c r="A3241" s="17"/>
      <c r="B3241" s="17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</row>
    <row r="3242" spans="1:18" x14ac:dyDescent="0.2">
      <c r="A3242" s="17"/>
      <c r="B3242" s="17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</row>
    <row r="3243" spans="1:18" x14ac:dyDescent="0.2">
      <c r="A3243" s="17"/>
      <c r="B3243" s="17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</row>
    <row r="3244" spans="1:18" x14ac:dyDescent="0.2">
      <c r="A3244" s="17"/>
      <c r="B3244" s="17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</row>
    <row r="3245" spans="1:18" x14ac:dyDescent="0.2">
      <c r="A3245" s="17"/>
      <c r="B3245" s="17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</row>
    <row r="3246" spans="1:18" x14ac:dyDescent="0.2">
      <c r="A3246" s="17"/>
      <c r="B3246" s="17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</row>
    <row r="3247" spans="1:18" x14ac:dyDescent="0.2">
      <c r="A3247" s="17"/>
      <c r="B3247" s="17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</row>
    <row r="3248" spans="1:18" x14ac:dyDescent="0.2">
      <c r="A3248" s="17"/>
      <c r="B3248" s="17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</row>
    <row r="3249" spans="1:18" x14ac:dyDescent="0.2">
      <c r="A3249" s="17"/>
      <c r="B3249" s="17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</row>
    <row r="3250" spans="1:18" x14ac:dyDescent="0.2">
      <c r="A3250" s="17"/>
      <c r="B3250" s="17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</row>
    <row r="3251" spans="1:18" x14ac:dyDescent="0.2">
      <c r="A3251" s="17"/>
      <c r="B3251" s="17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</row>
    <row r="3252" spans="1:18" x14ac:dyDescent="0.2">
      <c r="A3252" s="17"/>
      <c r="B3252" s="17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</row>
    <row r="3253" spans="1:18" x14ac:dyDescent="0.2">
      <c r="A3253" s="17"/>
      <c r="B3253" s="17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</row>
    <row r="3254" spans="1:18" x14ac:dyDescent="0.2">
      <c r="A3254" s="17"/>
      <c r="B3254" s="17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</row>
    <row r="3255" spans="1:18" x14ac:dyDescent="0.2">
      <c r="A3255" s="17"/>
      <c r="B3255" s="17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</row>
    <row r="3256" spans="1:18" x14ac:dyDescent="0.2">
      <c r="A3256" s="17"/>
      <c r="B3256" s="17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</row>
    <row r="3257" spans="1:18" x14ac:dyDescent="0.2">
      <c r="A3257" s="17"/>
      <c r="B3257" s="17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</row>
    <row r="3258" spans="1:18" x14ac:dyDescent="0.2">
      <c r="A3258" s="17"/>
      <c r="B3258" s="17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</row>
    <row r="3259" spans="1:18" x14ac:dyDescent="0.2">
      <c r="A3259" s="17"/>
      <c r="B3259" s="17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</row>
    <row r="3260" spans="1:18" x14ac:dyDescent="0.2">
      <c r="A3260" s="17"/>
      <c r="B3260" s="17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</row>
    <row r="3261" spans="1:18" x14ac:dyDescent="0.2">
      <c r="A3261" s="17"/>
      <c r="B3261" s="17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</row>
    <row r="3262" spans="1:18" x14ac:dyDescent="0.2">
      <c r="A3262" s="17"/>
      <c r="B3262" s="17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</row>
    <row r="3263" spans="1:18" x14ac:dyDescent="0.2">
      <c r="A3263" s="17"/>
      <c r="B3263" s="17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</row>
    <row r="3264" spans="1:18" x14ac:dyDescent="0.2">
      <c r="A3264" s="17"/>
      <c r="B3264" s="17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</row>
    <row r="3265" spans="1:18" x14ac:dyDescent="0.2">
      <c r="A3265" s="17"/>
      <c r="B3265" s="17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</row>
    <row r="3266" spans="1:18" x14ac:dyDescent="0.2">
      <c r="A3266" s="17"/>
      <c r="B3266" s="17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</row>
    <row r="3267" spans="1:18" x14ac:dyDescent="0.2">
      <c r="A3267" s="17"/>
      <c r="B3267" s="17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</row>
    <row r="3268" spans="1:18" x14ac:dyDescent="0.2">
      <c r="A3268" s="17"/>
      <c r="B3268" s="17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</row>
    <row r="3269" spans="1:18" x14ac:dyDescent="0.2">
      <c r="A3269" s="17"/>
      <c r="B3269" s="17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</row>
    <row r="3270" spans="1:18" x14ac:dyDescent="0.2">
      <c r="A3270" s="17"/>
      <c r="B3270" s="17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</row>
    <row r="3271" spans="1:18" x14ac:dyDescent="0.2">
      <c r="A3271" s="17"/>
      <c r="B3271" s="17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</row>
    <row r="3272" spans="1:18" x14ac:dyDescent="0.2">
      <c r="A3272" s="17"/>
      <c r="B3272" s="17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</row>
    <row r="3273" spans="1:18" x14ac:dyDescent="0.2">
      <c r="A3273" s="17"/>
      <c r="B3273" s="17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</row>
    <row r="3274" spans="1:18" x14ac:dyDescent="0.2">
      <c r="A3274" s="17"/>
      <c r="B3274" s="17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</row>
    <row r="3275" spans="1:18" x14ac:dyDescent="0.2">
      <c r="A3275" s="17"/>
      <c r="B3275" s="17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</row>
    <row r="3276" spans="1:18" x14ac:dyDescent="0.2">
      <c r="A3276" s="17"/>
      <c r="B3276" s="17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</row>
    <row r="3277" spans="1:18" x14ac:dyDescent="0.2">
      <c r="A3277" s="17"/>
      <c r="B3277" s="17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</row>
    <row r="3278" spans="1:18" x14ac:dyDescent="0.2">
      <c r="A3278" s="17"/>
      <c r="B3278" s="17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</row>
    <row r="3279" spans="1:18" x14ac:dyDescent="0.2">
      <c r="A3279" s="17"/>
      <c r="B3279" s="17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</row>
    <row r="3280" spans="1:18" x14ac:dyDescent="0.2">
      <c r="A3280" s="17"/>
      <c r="B3280" s="17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</row>
    <row r="3281" spans="1:18" x14ac:dyDescent="0.2">
      <c r="A3281" s="17"/>
      <c r="B3281" s="17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</row>
    <row r="3282" spans="1:18" x14ac:dyDescent="0.2">
      <c r="A3282" s="17"/>
      <c r="B3282" s="17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</row>
    <row r="3283" spans="1:18" x14ac:dyDescent="0.2">
      <c r="A3283" s="17"/>
      <c r="B3283" s="17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</row>
    <row r="3284" spans="1:18" x14ac:dyDescent="0.2">
      <c r="A3284" s="17"/>
      <c r="B3284" s="17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</row>
    <row r="3285" spans="1:18" x14ac:dyDescent="0.2">
      <c r="A3285" s="17"/>
      <c r="B3285" s="17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</row>
    <row r="3286" spans="1:18" x14ac:dyDescent="0.2">
      <c r="A3286" s="17"/>
      <c r="B3286" s="17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</row>
    <row r="3287" spans="1:18" x14ac:dyDescent="0.2">
      <c r="A3287" s="17"/>
      <c r="B3287" s="17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</row>
    <row r="3288" spans="1:18" x14ac:dyDescent="0.2">
      <c r="A3288" s="17"/>
      <c r="B3288" s="17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</row>
    <row r="3289" spans="1:18" x14ac:dyDescent="0.2">
      <c r="A3289" s="17"/>
      <c r="B3289" s="17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</row>
    <row r="3290" spans="1:18" x14ac:dyDescent="0.2">
      <c r="A3290" s="17"/>
      <c r="B3290" s="17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</row>
    <row r="3291" spans="1:18" x14ac:dyDescent="0.2">
      <c r="A3291" s="17"/>
      <c r="B3291" s="17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</row>
    <row r="3292" spans="1:18" x14ac:dyDescent="0.2">
      <c r="A3292" s="17"/>
      <c r="B3292" s="17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</row>
    <row r="3293" spans="1:18" x14ac:dyDescent="0.2">
      <c r="A3293" s="17"/>
      <c r="B3293" s="17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</row>
    <row r="3294" spans="1:18" x14ac:dyDescent="0.2">
      <c r="A3294" s="17"/>
      <c r="B3294" s="17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</row>
    <row r="3295" spans="1:18" x14ac:dyDescent="0.2">
      <c r="A3295" s="17"/>
      <c r="B3295" s="17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</row>
    <row r="3296" spans="1:18" x14ac:dyDescent="0.2">
      <c r="A3296" s="17"/>
      <c r="B3296" s="17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</row>
    <row r="3297" spans="1:18" x14ac:dyDescent="0.2">
      <c r="A3297" s="17"/>
      <c r="B3297" s="17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</row>
    <row r="3298" spans="1:18" x14ac:dyDescent="0.2">
      <c r="A3298" s="17"/>
      <c r="B3298" s="17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</row>
    <row r="3299" spans="1:18" x14ac:dyDescent="0.2">
      <c r="A3299" s="17"/>
      <c r="B3299" s="17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</row>
    <row r="3300" spans="1:18" x14ac:dyDescent="0.2">
      <c r="A3300" s="17"/>
      <c r="B3300" s="17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</row>
    <row r="3301" spans="1:18" x14ac:dyDescent="0.2">
      <c r="A3301" s="17"/>
      <c r="B3301" s="17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</row>
    <row r="3302" spans="1:18" x14ac:dyDescent="0.2">
      <c r="A3302" s="17"/>
      <c r="B3302" s="17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</row>
    <row r="3303" spans="1:18" x14ac:dyDescent="0.2">
      <c r="A3303" s="17"/>
      <c r="B3303" s="17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</row>
    <row r="3304" spans="1:18" x14ac:dyDescent="0.2">
      <c r="A3304" s="17"/>
      <c r="B3304" s="17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</row>
    <row r="3305" spans="1:18" x14ac:dyDescent="0.2">
      <c r="A3305" s="17"/>
      <c r="B3305" s="17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</row>
    <row r="3306" spans="1:18" x14ac:dyDescent="0.2">
      <c r="A3306" s="17"/>
      <c r="B3306" s="17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</row>
    <row r="3307" spans="1:18" x14ac:dyDescent="0.2">
      <c r="A3307" s="17"/>
      <c r="B3307" s="17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</row>
    <row r="3308" spans="1:18" x14ac:dyDescent="0.2">
      <c r="A3308" s="17"/>
      <c r="B3308" s="17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</row>
    <row r="3309" spans="1:18" x14ac:dyDescent="0.2">
      <c r="A3309" s="17"/>
      <c r="B3309" s="17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</row>
    <row r="3310" spans="1:18" x14ac:dyDescent="0.2">
      <c r="A3310" s="17"/>
      <c r="B3310" s="17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</row>
    <row r="3311" spans="1:18" x14ac:dyDescent="0.2">
      <c r="A3311" s="17"/>
      <c r="B3311" s="17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</row>
    <row r="3312" spans="1:18" x14ac:dyDescent="0.2">
      <c r="A3312" s="17"/>
      <c r="B3312" s="17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</row>
    <row r="3313" spans="1:18" x14ac:dyDescent="0.2">
      <c r="A3313" s="17"/>
      <c r="B3313" s="17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</row>
    <row r="3314" spans="1:18" x14ac:dyDescent="0.2">
      <c r="A3314" s="17"/>
      <c r="B3314" s="17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</row>
    <row r="3315" spans="1:18" x14ac:dyDescent="0.2">
      <c r="A3315" s="17"/>
      <c r="B3315" s="17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</row>
    <row r="3316" spans="1:18" x14ac:dyDescent="0.2">
      <c r="A3316" s="17"/>
      <c r="B3316" s="17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</row>
    <row r="3317" spans="1:18" x14ac:dyDescent="0.2">
      <c r="A3317" s="17"/>
      <c r="B3317" s="17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</row>
    <row r="3318" spans="1:18" x14ac:dyDescent="0.2">
      <c r="A3318" s="17"/>
      <c r="B3318" s="17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</row>
    <row r="3319" spans="1:18" x14ac:dyDescent="0.2">
      <c r="A3319" s="17"/>
      <c r="B3319" s="17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</row>
    <row r="3320" spans="1:18" x14ac:dyDescent="0.2">
      <c r="A3320" s="17"/>
      <c r="B3320" s="17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</row>
    <row r="3321" spans="1:18" x14ac:dyDescent="0.2">
      <c r="A3321" s="17"/>
      <c r="B3321" s="17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</row>
    <row r="3322" spans="1:18" x14ac:dyDescent="0.2">
      <c r="A3322" s="17"/>
      <c r="B3322" s="17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</row>
    <row r="3323" spans="1:18" x14ac:dyDescent="0.2">
      <c r="A3323" s="17"/>
      <c r="B3323" s="17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</row>
    <row r="3324" spans="1:18" x14ac:dyDescent="0.2">
      <c r="A3324" s="17"/>
      <c r="B3324" s="17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</row>
    <row r="3325" spans="1:18" x14ac:dyDescent="0.2">
      <c r="A3325" s="17"/>
      <c r="B3325" s="17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</row>
    <row r="3326" spans="1:18" x14ac:dyDescent="0.2">
      <c r="A3326" s="17"/>
      <c r="B3326" s="17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</row>
    <row r="3327" spans="1:18" x14ac:dyDescent="0.2">
      <c r="A3327" s="17"/>
      <c r="B3327" s="17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</row>
    <row r="3328" spans="1:18" x14ac:dyDescent="0.2">
      <c r="A3328" s="17"/>
      <c r="B3328" s="17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</row>
    <row r="3329" spans="1:18" x14ac:dyDescent="0.2">
      <c r="A3329" s="17"/>
      <c r="B3329" s="17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</row>
    <row r="3330" spans="1:18" x14ac:dyDescent="0.2">
      <c r="A3330" s="17"/>
      <c r="B3330" s="17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</row>
    <row r="3331" spans="1:18" x14ac:dyDescent="0.2">
      <c r="A3331" s="17"/>
      <c r="B3331" s="17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</row>
    <row r="3332" spans="1:18" x14ac:dyDescent="0.2">
      <c r="A3332" s="17"/>
      <c r="B3332" s="17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</row>
    <row r="3333" spans="1:18" x14ac:dyDescent="0.2">
      <c r="A3333" s="17"/>
      <c r="B3333" s="17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</row>
    <row r="3334" spans="1:18" x14ac:dyDescent="0.2">
      <c r="A3334" s="17"/>
      <c r="B3334" s="17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</row>
    <row r="3335" spans="1:18" x14ac:dyDescent="0.2">
      <c r="A3335" s="17"/>
      <c r="B3335" s="17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</row>
    <row r="3336" spans="1:18" x14ac:dyDescent="0.2">
      <c r="A3336" s="17"/>
      <c r="B3336" s="17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</row>
    <row r="3337" spans="1:18" x14ac:dyDescent="0.2">
      <c r="A3337" s="17"/>
      <c r="B3337" s="17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</row>
    <row r="3338" spans="1:18" x14ac:dyDescent="0.2">
      <c r="A3338" s="17"/>
      <c r="B3338" s="17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</row>
    <row r="3339" spans="1:18" x14ac:dyDescent="0.2">
      <c r="A3339" s="17"/>
      <c r="B3339" s="17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</row>
    <row r="3340" spans="1:18" x14ac:dyDescent="0.2">
      <c r="A3340" s="17"/>
      <c r="B3340" s="17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</row>
    <row r="3341" spans="1:18" x14ac:dyDescent="0.2">
      <c r="A3341" s="17"/>
      <c r="B3341" s="17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</row>
    <row r="3342" spans="1:18" x14ac:dyDescent="0.2">
      <c r="A3342" s="17"/>
      <c r="B3342" s="17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</row>
    <row r="3343" spans="1:18" x14ac:dyDescent="0.2">
      <c r="A3343" s="17"/>
      <c r="B3343" s="17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</row>
    <row r="3344" spans="1:18" x14ac:dyDescent="0.2">
      <c r="A3344" s="17"/>
      <c r="B3344" s="17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</row>
    <row r="3345" spans="1:18" x14ac:dyDescent="0.2">
      <c r="A3345" s="17"/>
      <c r="B3345" s="17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</row>
    <row r="3346" spans="1:18" x14ac:dyDescent="0.2">
      <c r="A3346" s="17"/>
      <c r="B3346" s="17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</row>
    <row r="3347" spans="1:18" x14ac:dyDescent="0.2">
      <c r="A3347" s="17"/>
      <c r="B3347" s="17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</row>
    <row r="3348" spans="1:18" x14ac:dyDescent="0.2">
      <c r="A3348" s="17"/>
      <c r="B3348" s="17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</row>
    <row r="3349" spans="1:18" x14ac:dyDescent="0.2">
      <c r="A3349" s="17"/>
      <c r="B3349" s="17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</row>
    <row r="3350" spans="1:18" x14ac:dyDescent="0.2">
      <c r="A3350" s="17"/>
      <c r="B3350" s="17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</row>
    <row r="3351" spans="1:18" x14ac:dyDescent="0.2">
      <c r="A3351" s="17"/>
      <c r="B3351" s="17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</row>
    <row r="3352" spans="1:18" x14ac:dyDescent="0.2">
      <c r="A3352" s="17"/>
      <c r="B3352" s="17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</row>
    <row r="3353" spans="1:18" x14ac:dyDescent="0.2">
      <c r="A3353" s="17"/>
      <c r="B3353" s="17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</row>
    <row r="3354" spans="1:18" x14ac:dyDescent="0.2">
      <c r="A3354" s="17"/>
      <c r="B3354" s="17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</row>
    <row r="3355" spans="1:18" x14ac:dyDescent="0.2">
      <c r="A3355" s="17"/>
      <c r="B3355" s="17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</row>
    <row r="3356" spans="1:18" x14ac:dyDescent="0.2">
      <c r="A3356" s="17"/>
      <c r="B3356" s="17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</row>
    <row r="3357" spans="1:18" x14ac:dyDescent="0.2">
      <c r="A3357" s="17"/>
      <c r="B3357" s="17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</row>
    <row r="3358" spans="1:18" x14ac:dyDescent="0.2">
      <c r="A3358" s="17"/>
      <c r="B3358" s="17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</row>
    <row r="3359" spans="1:18" x14ac:dyDescent="0.2">
      <c r="A3359" s="17"/>
      <c r="B3359" s="17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</row>
    <row r="3360" spans="1:18" x14ac:dyDescent="0.2">
      <c r="A3360" s="17"/>
      <c r="B3360" s="17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</row>
    <row r="3361" spans="1:18" x14ac:dyDescent="0.2">
      <c r="A3361" s="17"/>
      <c r="B3361" s="17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</row>
    <row r="3362" spans="1:18" x14ac:dyDescent="0.2">
      <c r="A3362" s="17"/>
      <c r="B3362" s="17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</row>
    <row r="3363" spans="1:18" x14ac:dyDescent="0.2">
      <c r="A3363" s="17"/>
      <c r="B3363" s="17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</row>
    <row r="3364" spans="1:18" x14ac:dyDescent="0.2">
      <c r="A3364" s="17"/>
      <c r="B3364" s="17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</row>
    <row r="3365" spans="1:18" x14ac:dyDescent="0.2">
      <c r="A3365" s="17"/>
      <c r="B3365" s="17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</row>
    <row r="3366" spans="1:18" x14ac:dyDescent="0.2">
      <c r="A3366" s="17"/>
      <c r="B3366" s="17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</row>
    <row r="3367" spans="1:18" x14ac:dyDescent="0.2">
      <c r="A3367" s="17"/>
      <c r="B3367" s="17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</row>
    <row r="3368" spans="1:18" x14ac:dyDescent="0.2">
      <c r="A3368" s="17"/>
      <c r="B3368" s="17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</row>
    <row r="3369" spans="1:18" x14ac:dyDescent="0.2">
      <c r="A3369" s="17"/>
      <c r="B3369" s="17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</row>
    <row r="3370" spans="1:18" x14ac:dyDescent="0.2">
      <c r="A3370" s="17"/>
      <c r="B3370" s="17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</row>
    <row r="3371" spans="1:18" x14ac:dyDescent="0.2">
      <c r="A3371" s="17"/>
      <c r="B3371" s="17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</row>
    <row r="3372" spans="1:18" x14ac:dyDescent="0.2">
      <c r="A3372" s="17"/>
      <c r="B3372" s="17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</row>
    <row r="3373" spans="1:18" x14ac:dyDescent="0.2">
      <c r="A3373" s="17"/>
      <c r="B3373" s="17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</row>
    <row r="3374" spans="1:18" x14ac:dyDescent="0.2">
      <c r="A3374" s="17"/>
      <c r="B3374" s="17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</row>
    <row r="3375" spans="1:18" x14ac:dyDescent="0.2">
      <c r="A3375" s="17"/>
      <c r="B3375" s="17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</row>
    <row r="3376" spans="1:18" x14ac:dyDescent="0.2">
      <c r="A3376" s="17"/>
      <c r="B3376" s="17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</row>
    <row r="3377" spans="1:18" x14ac:dyDescent="0.2">
      <c r="A3377" s="17"/>
      <c r="B3377" s="17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</row>
    <row r="3378" spans="1:18" x14ac:dyDescent="0.2">
      <c r="A3378" s="17"/>
      <c r="B3378" s="17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</row>
    <row r="3379" spans="1:18" x14ac:dyDescent="0.2">
      <c r="A3379" s="17"/>
      <c r="B3379" s="17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</row>
    <row r="3380" spans="1:18" x14ac:dyDescent="0.2">
      <c r="A3380" s="17"/>
      <c r="B3380" s="17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</row>
    <row r="3381" spans="1:18" x14ac:dyDescent="0.2">
      <c r="A3381" s="17"/>
      <c r="B3381" s="17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</row>
    <row r="3382" spans="1:18" x14ac:dyDescent="0.2">
      <c r="A3382" s="17"/>
      <c r="B3382" s="17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</row>
    <row r="3383" spans="1:18" x14ac:dyDescent="0.2">
      <c r="A3383" s="17"/>
      <c r="B3383" s="17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</row>
    <row r="3384" spans="1:18" x14ac:dyDescent="0.2">
      <c r="A3384" s="17"/>
      <c r="B3384" s="17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</row>
    <row r="3385" spans="1:18" x14ac:dyDescent="0.2">
      <c r="A3385" s="17"/>
      <c r="B3385" s="17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</row>
    <row r="3386" spans="1:18" x14ac:dyDescent="0.2">
      <c r="A3386" s="17"/>
      <c r="B3386" s="17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</row>
    <row r="3387" spans="1:18" x14ac:dyDescent="0.2">
      <c r="A3387" s="17"/>
      <c r="B3387" s="17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</row>
    <row r="3388" spans="1:18" x14ac:dyDescent="0.2">
      <c r="A3388" s="17"/>
      <c r="B3388" s="17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</row>
    <row r="3389" spans="1:18" x14ac:dyDescent="0.2">
      <c r="A3389" s="17"/>
      <c r="B3389" s="17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</row>
    <row r="3390" spans="1:18" x14ac:dyDescent="0.2">
      <c r="A3390" s="17"/>
      <c r="B3390" s="17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</row>
    <row r="3391" spans="1:18" x14ac:dyDescent="0.2">
      <c r="A3391" s="17"/>
      <c r="B3391" s="17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</row>
    <row r="3392" spans="1:18" x14ac:dyDescent="0.2">
      <c r="A3392" s="17"/>
      <c r="B3392" s="17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</row>
    <row r="3393" spans="1:18" x14ac:dyDescent="0.2">
      <c r="A3393" s="17"/>
      <c r="B3393" s="17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</row>
    <row r="3394" spans="1:18" x14ac:dyDescent="0.2">
      <c r="A3394" s="17"/>
      <c r="B3394" s="17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</row>
    <row r="3395" spans="1:18" x14ac:dyDescent="0.2">
      <c r="A3395" s="17"/>
      <c r="B3395" s="17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</row>
    <row r="3396" spans="1:18" x14ac:dyDescent="0.2">
      <c r="A3396" s="17"/>
      <c r="B3396" s="17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</row>
    <row r="3397" spans="1:18" x14ac:dyDescent="0.2">
      <c r="A3397" s="17"/>
      <c r="B3397" s="17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</row>
    <row r="3398" spans="1:18" x14ac:dyDescent="0.2">
      <c r="A3398" s="17"/>
      <c r="B3398" s="17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</row>
    <row r="3399" spans="1:18" x14ac:dyDescent="0.2">
      <c r="A3399" s="17"/>
      <c r="B3399" s="17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</row>
    <row r="3400" spans="1:18" x14ac:dyDescent="0.2">
      <c r="A3400" s="17"/>
      <c r="B3400" s="17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</row>
    <row r="3401" spans="1:18" x14ac:dyDescent="0.2">
      <c r="A3401" s="17"/>
      <c r="B3401" s="17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</row>
    <row r="3402" spans="1:18" x14ac:dyDescent="0.2">
      <c r="A3402" s="17"/>
      <c r="B3402" s="17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</row>
    <row r="3403" spans="1:18" x14ac:dyDescent="0.2">
      <c r="A3403" s="17"/>
      <c r="B3403" s="17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</row>
    <row r="3404" spans="1:18" x14ac:dyDescent="0.2">
      <c r="A3404" s="17"/>
      <c r="B3404" s="17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</row>
    <row r="3405" spans="1:18" x14ac:dyDescent="0.2">
      <c r="A3405" s="17"/>
      <c r="B3405" s="17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</row>
    <row r="3406" spans="1:18" x14ac:dyDescent="0.2">
      <c r="A3406" s="17"/>
      <c r="B3406" s="17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</row>
    <row r="3407" spans="1:18" x14ac:dyDescent="0.2">
      <c r="A3407" s="17"/>
      <c r="B3407" s="17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</row>
    <row r="3408" spans="1:18" x14ac:dyDescent="0.2">
      <c r="A3408" s="17"/>
      <c r="B3408" s="17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</row>
    <row r="3409" spans="1:18" x14ac:dyDescent="0.2">
      <c r="A3409" s="17"/>
      <c r="B3409" s="17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</row>
    <row r="3410" spans="1:18" x14ac:dyDescent="0.2">
      <c r="A3410" s="17"/>
      <c r="B3410" s="17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</row>
    <row r="3411" spans="1:18" x14ac:dyDescent="0.2">
      <c r="A3411" s="17"/>
      <c r="B3411" s="17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</row>
    <row r="3412" spans="1:18" x14ac:dyDescent="0.2">
      <c r="A3412" s="17"/>
      <c r="B3412" s="17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</row>
    <row r="3413" spans="1:18" x14ac:dyDescent="0.2">
      <c r="A3413" s="17"/>
      <c r="B3413" s="17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</row>
    <row r="3414" spans="1:18" x14ac:dyDescent="0.2">
      <c r="A3414" s="17"/>
      <c r="B3414" s="17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</row>
    <row r="3415" spans="1:18" x14ac:dyDescent="0.2">
      <c r="A3415" s="17"/>
      <c r="B3415" s="17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</row>
    <row r="3416" spans="1:18" x14ac:dyDescent="0.2">
      <c r="A3416" s="17"/>
      <c r="B3416" s="17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</row>
    <row r="3417" spans="1:18" x14ac:dyDescent="0.2">
      <c r="A3417" s="17"/>
      <c r="B3417" s="17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</row>
    <row r="3418" spans="1:18" x14ac:dyDescent="0.2">
      <c r="A3418" s="17"/>
      <c r="B3418" s="17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</row>
    <row r="3419" spans="1:18" x14ac:dyDescent="0.2">
      <c r="A3419" s="17"/>
      <c r="B3419" s="17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</row>
    <row r="3420" spans="1:18" x14ac:dyDescent="0.2">
      <c r="A3420" s="17"/>
      <c r="B3420" s="17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</row>
    <row r="3421" spans="1:18" x14ac:dyDescent="0.2">
      <c r="A3421" s="17"/>
      <c r="B3421" s="17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</row>
    <row r="3422" spans="1:18" x14ac:dyDescent="0.2">
      <c r="A3422" s="17"/>
      <c r="B3422" s="17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</row>
    <row r="3423" spans="1:18" x14ac:dyDescent="0.2">
      <c r="A3423" s="17"/>
      <c r="B3423" s="17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</row>
    <row r="3424" spans="1:18" x14ac:dyDescent="0.2">
      <c r="A3424" s="17"/>
      <c r="B3424" s="17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</row>
    <row r="3425" spans="1:18" x14ac:dyDescent="0.2">
      <c r="A3425" s="17"/>
      <c r="B3425" s="17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</row>
    <row r="3426" spans="1:18" x14ac:dyDescent="0.2">
      <c r="A3426" s="17"/>
      <c r="B3426" s="17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</row>
    <row r="3427" spans="1:18" x14ac:dyDescent="0.2">
      <c r="A3427" s="17"/>
      <c r="B3427" s="17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</row>
    <row r="3428" spans="1:18" x14ac:dyDescent="0.2">
      <c r="A3428" s="17"/>
      <c r="B3428" s="17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</row>
    <row r="3429" spans="1:18" x14ac:dyDescent="0.2">
      <c r="A3429" s="17"/>
      <c r="B3429" s="17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</row>
    <row r="3430" spans="1:18" x14ac:dyDescent="0.2">
      <c r="A3430" s="17"/>
      <c r="B3430" s="17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</row>
    <row r="3431" spans="1:18" x14ac:dyDescent="0.2">
      <c r="A3431" s="17"/>
      <c r="B3431" s="17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</row>
    <row r="3432" spans="1:18" x14ac:dyDescent="0.2">
      <c r="A3432" s="17"/>
      <c r="B3432" s="17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</row>
    <row r="3433" spans="1:18" x14ac:dyDescent="0.2">
      <c r="A3433" s="17"/>
      <c r="B3433" s="17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</row>
    <row r="3434" spans="1:18" x14ac:dyDescent="0.2">
      <c r="A3434" s="17"/>
      <c r="B3434" s="17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</row>
    <row r="3435" spans="1:18" x14ac:dyDescent="0.2">
      <c r="A3435" s="17"/>
      <c r="B3435" s="17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</row>
    <row r="3436" spans="1:18" x14ac:dyDescent="0.2">
      <c r="A3436" s="17"/>
      <c r="B3436" s="17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</row>
    <row r="3437" spans="1:18" x14ac:dyDescent="0.2">
      <c r="A3437" s="17"/>
      <c r="B3437" s="17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</row>
    <row r="3438" spans="1:18" x14ac:dyDescent="0.2">
      <c r="A3438" s="17"/>
      <c r="B3438" s="17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</row>
    <row r="3439" spans="1:18" x14ac:dyDescent="0.2">
      <c r="A3439" s="17"/>
      <c r="B3439" s="17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</row>
    <row r="3440" spans="1:18" x14ac:dyDescent="0.2">
      <c r="A3440" s="17"/>
      <c r="B3440" s="17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</row>
    <row r="3441" spans="1:18" x14ac:dyDescent="0.2">
      <c r="A3441" s="17"/>
      <c r="B3441" s="17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</row>
    <row r="3442" spans="1:18" x14ac:dyDescent="0.2">
      <c r="A3442" s="17"/>
      <c r="B3442" s="17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</row>
    <row r="3443" spans="1:18" x14ac:dyDescent="0.2">
      <c r="A3443" s="17"/>
      <c r="B3443" s="17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</row>
    <row r="3444" spans="1:18" x14ac:dyDescent="0.2">
      <c r="A3444" s="17"/>
      <c r="B3444" s="17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</row>
    <row r="3445" spans="1:18" x14ac:dyDescent="0.2">
      <c r="A3445" s="17"/>
      <c r="B3445" s="17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</row>
    <row r="3446" spans="1:18" x14ac:dyDescent="0.2">
      <c r="A3446" s="17"/>
      <c r="B3446" s="17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</row>
    <row r="3447" spans="1:18" x14ac:dyDescent="0.2">
      <c r="A3447" s="17"/>
      <c r="B3447" s="17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</row>
    <row r="3448" spans="1:18" x14ac:dyDescent="0.2">
      <c r="A3448" s="17"/>
      <c r="B3448" s="17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</row>
    <row r="3449" spans="1:18" x14ac:dyDescent="0.2">
      <c r="A3449" s="17"/>
      <c r="B3449" s="17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</row>
    <row r="3450" spans="1:18" x14ac:dyDescent="0.2">
      <c r="A3450" s="17"/>
      <c r="B3450" s="17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</row>
    <row r="3451" spans="1:18" x14ac:dyDescent="0.2">
      <c r="A3451" s="17"/>
      <c r="B3451" s="17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</row>
    <row r="3452" spans="1:18" x14ac:dyDescent="0.2">
      <c r="A3452" s="17"/>
      <c r="B3452" s="17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</row>
    <row r="3453" spans="1:18" x14ac:dyDescent="0.2">
      <c r="A3453" s="17"/>
      <c r="B3453" s="17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</row>
    <row r="3454" spans="1:18" x14ac:dyDescent="0.2">
      <c r="A3454" s="17"/>
      <c r="B3454" s="17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</row>
    <row r="3455" spans="1:18" x14ac:dyDescent="0.2">
      <c r="A3455" s="17"/>
      <c r="B3455" s="17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</row>
    <row r="3456" spans="1:18" x14ac:dyDescent="0.2">
      <c r="A3456" s="17"/>
      <c r="B3456" s="17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</row>
    <row r="3457" spans="1:18" x14ac:dyDescent="0.2">
      <c r="A3457" s="17"/>
      <c r="B3457" s="17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</row>
    <row r="3458" spans="1:18" x14ac:dyDescent="0.2">
      <c r="A3458" s="17"/>
      <c r="B3458" s="17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</row>
    <row r="3459" spans="1:18" x14ac:dyDescent="0.2">
      <c r="A3459" s="17"/>
      <c r="B3459" s="17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18"/>
    </row>
    <row r="3460" spans="1:18" x14ac:dyDescent="0.2">
      <c r="A3460" s="17"/>
      <c r="B3460" s="17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8"/>
      <c r="R3460" s="18"/>
    </row>
    <row r="3461" spans="1:18" x14ac:dyDescent="0.2">
      <c r="A3461" s="17"/>
      <c r="B3461" s="17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</row>
    <row r="3462" spans="1:18" x14ac:dyDescent="0.2">
      <c r="A3462" s="17"/>
      <c r="B3462" s="17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18"/>
    </row>
    <row r="3463" spans="1:18" x14ac:dyDescent="0.2">
      <c r="A3463" s="17"/>
      <c r="B3463" s="17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</row>
    <row r="3464" spans="1:18" x14ac:dyDescent="0.2">
      <c r="A3464" s="17"/>
      <c r="B3464" s="17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18"/>
    </row>
    <row r="3465" spans="1:18" x14ac:dyDescent="0.2">
      <c r="A3465" s="17"/>
      <c r="B3465" s="17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18"/>
    </row>
    <row r="3466" spans="1:18" x14ac:dyDescent="0.2">
      <c r="A3466" s="17"/>
      <c r="B3466" s="17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</row>
    <row r="3467" spans="1:18" x14ac:dyDescent="0.2">
      <c r="A3467" s="17"/>
      <c r="B3467" s="17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18"/>
    </row>
    <row r="3468" spans="1:18" x14ac:dyDescent="0.2">
      <c r="A3468" s="17"/>
      <c r="B3468" s="17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18"/>
    </row>
    <row r="3469" spans="1:18" x14ac:dyDescent="0.2">
      <c r="A3469" s="17"/>
      <c r="B3469" s="17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</row>
    <row r="3470" spans="1:18" x14ac:dyDescent="0.2">
      <c r="A3470" s="17"/>
      <c r="B3470" s="17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18"/>
    </row>
    <row r="3471" spans="1:18" x14ac:dyDescent="0.2">
      <c r="A3471" s="17"/>
      <c r="B3471" s="17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</row>
    <row r="3472" spans="1:18" x14ac:dyDescent="0.2">
      <c r="A3472" s="17"/>
      <c r="B3472" s="17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18"/>
    </row>
    <row r="3473" spans="1:18" x14ac:dyDescent="0.2">
      <c r="A3473" s="17"/>
      <c r="B3473" s="17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18"/>
    </row>
    <row r="3474" spans="1:18" x14ac:dyDescent="0.2">
      <c r="A3474" s="17"/>
      <c r="B3474" s="17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</row>
    <row r="3475" spans="1:18" x14ac:dyDescent="0.2">
      <c r="A3475" s="17"/>
      <c r="B3475" s="17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</row>
    <row r="3476" spans="1:18" x14ac:dyDescent="0.2">
      <c r="A3476" s="17"/>
      <c r="B3476" s="17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18"/>
    </row>
    <row r="3477" spans="1:18" x14ac:dyDescent="0.2">
      <c r="A3477" s="17"/>
      <c r="B3477" s="17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</row>
    <row r="3478" spans="1:18" x14ac:dyDescent="0.2">
      <c r="A3478" s="17"/>
      <c r="B3478" s="17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18"/>
    </row>
    <row r="3479" spans="1:18" x14ac:dyDescent="0.2">
      <c r="A3479" s="17"/>
      <c r="B3479" s="17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</row>
    <row r="3480" spans="1:18" x14ac:dyDescent="0.2">
      <c r="A3480" s="17"/>
      <c r="B3480" s="17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18"/>
    </row>
    <row r="3481" spans="1:18" x14ac:dyDescent="0.2">
      <c r="A3481" s="17"/>
      <c r="B3481" s="17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</row>
    <row r="3482" spans="1:18" x14ac:dyDescent="0.2">
      <c r="A3482" s="17"/>
      <c r="B3482" s="17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</row>
    <row r="3483" spans="1:18" x14ac:dyDescent="0.2">
      <c r="A3483" s="17"/>
      <c r="B3483" s="17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</row>
    <row r="3484" spans="1:18" x14ac:dyDescent="0.2">
      <c r="A3484" s="17"/>
      <c r="B3484" s="17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</row>
    <row r="3485" spans="1:18" x14ac:dyDescent="0.2">
      <c r="A3485" s="17"/>
      <c r="B3485" s="17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</row>
    <row r="3486" spans="1:18" x14ac:dyDescent="0.2">
      <c r="A3486" s="17"/>
      <c r="B3486" s="17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18"/>
    </row>
    <row r="3487" spans="1:18" x14ac:dyDescent="0.2">
      <c r="A3487" s="17"/>
      <c r="B3487" s="17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</row>
    <row r="3488" spans="1:18" x14ac:dyDescent="0.2">
      <c r="A3488" s="17"/>
      <c r="B3488" s="17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18"/>
    </row>
    <row r="3489" spans="1:18" x14ac:dyDescent="0.2">
      <c r="A3489" s="17"/>
      <c r="B3489" s="17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</row>
    <row r="3490" spans="1:18" x14ac:dyDescent="0.2">
      <c r="A3490" s="17"/>
      <c r="B3490" s="17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</row>
    <row r="3491" spans="1:18" x14ac:dyDescent="0.2">
      <c r="A3491" s="17"/>
      <c r="B3491" s="17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18"/>
    </row>
    <row r="3492" spans="1:18" x14ac:dyDescent="0.2">
      <c r="A3492" s="17"/>
      <c r="B3492" s="17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</row>
    <row r="3493" spans="1:18" x14ac:dyDescent="0.2">
      <c r="A3493" s="17"/>
      <c r="B3493" s="17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</row>
    <row r="3494" spans="1:18" x14ac:dyDescent="0.2">
      <c r="A3494" s="17"/>
      <c r="B3494" s="17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18"/>
    </row>
    <row r="3495" spans="1:18" x14ac:dyDescent="0.2">
      <c r="A3495" s="17"/>
      <c r="B3495" s="17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</row>
    <row r="3496" spans="1:18" x14ac:dyDescent="0.2">
      <c r="A3496" s="17"/>
      <c r="B3496" s="17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18"/>
    </row>
    <row r="3497" spans="1:18" x14ac:dyDescent="0.2">
      <c r="A3497" s="17"/>
      <c r="B3497" s="17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18"/>
    </row>
    <row r="3498" spans="1:18" x14ac:dyDescent="0.2">
      <c r="A3498" s="17"/>
      <c r="B3498" s="17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18"/>
    </row>
    <row r="3499" spans="1:18" x14ac:dyDescent="0.2">
      <c r="A3499" s="17"/>
      <c r="B3499" s="17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</row>
    <row r="3500" spans="1:18" x14ac:dyDescent="0.2">
      <c r="A3500" s="17"/>
      <c r="B3500" s="17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18"/>
    </row>
    <row r="3501" spans="1:18" x14ac:dyDescent="0.2">
      <c r="A3501" s="17"/>
      <c r="B3501" s="17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</row>
    <row r="3502" spans="1:18" x14ac:dyDescent="0.2">
      <c r="A3502" s="17"/>
      <c r="B3502" s="17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</row>
    <row r="3503" spans="1:18" x14ac:dyDescent="0.2">
      <c r="A3503" s="17"/>
      <c r="B3503" s="17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</row>
    <row r="3504" spans="1:18" x14ac:dyDescent="0.2">
      <c r="A3504" s="17"/>
      <c r="B3504" s="17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</row>
    <row r="3505" spans="1:18" x14ac:dyDescent="0.2">
      <c r="A3505" s="17"/>
      <c r="B3505" s="17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</row>
    <row r="3506" spans="1:18" x14ac:dyDescent="0.2">
      <c r="A3506" s="17"/>
      <c r="B3506" s="17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</row>
    <row r="3507" spans="1:18" x14ac:dyDescent="0.2">
      <c r="A3507" s="17"/>
      <c r="B3507" s="17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</row>
    <row r="3508" spans="1:18" x14ac:dyDescent="0.2">
      <c r="A3508" s="17"/>
      <c r="B3508" s="17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</row>
    <row r="3509" spans="1:18" x14ac:dyDescent="0.2">
      <c r="A3509" s="17"/>
      <c r="B3509" s="17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</row>
    <row r="3510" spans="1:18" x14ac:dyDescent="0.2">
      <c r="A3510" s="17"/>
      <c r="B3510" s="17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</row>
    <row r="3511" spans="1:18" x14ac:dyDescent="0.2">
      <c r="A3511" s="17"/>
      <c r="B3511" s="17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</row>
    <row r="3512" spans="1:18" x14ac:dyDescent="0.2">
      <c r="A3512" s="17"/>
      <c r="B3512" s="17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</row>
    <row r="3513" spans="1:18" x14ac:dyDescent="0.2">
      <c r="A3513" s="17"/>
      <c r="B3513" s="17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</row>
    <row r="3514" spans="1:18" x14ac:dyDescent="0.2">
      <c r="A3514" s="17"/>
      <c r="B3514" s="17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18"/>
    </row>
    <row r="3515" spans="1:18" x14ac:dyDescent="0.2">
      <c r="A3515" s="17"/>
      <c r="B3515" s="17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</row>
    <row r="3516" spans="1:18" x14ac:dyDescent="0.2">
      <c r="A3516" s="17"/>
      <c r="B3516" s="17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18"/>
    </row>
    <row r="3517" spans="1:18" x14ac:dyDescent="0.2">
      <c r="A3517" s="17"/>
      <c r="B3517" s="17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18"/>
    </row>
    <row r="3518" spans="1:18" x14ac:dyDescent="0.2">
      <c r="A3518" s="17"/>
      <c r="B3518" s="17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18"/>
    </row>
    <row r="3519" spans="1:18" x14ac:dyDescent="0.2">
      <c r="A3519" s="17"/>
      <c r="B3519" s="17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18"/>
    </row>
    <row r="3520" spans="1:18" x14ac:dyDescent="0.2">
      <c r="A3520" s="17"/>
      <c r="B3520" s="17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</row>
    <row r="3521" spans="1:18" x14ac:dyDescent="0.2">
      <c r="A3521" s="17"/>
      <c r="B3521" s="17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18"/>
    </row>
    <row r="3522" spans="1:18" x14ac:dyDescent="0.2">
      <c r="A3522" s="17"/>
      <c r="B3522" s="17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18"/>
    </row>
    <row r="3523" spans="1:18" x14ac:dyDescent="0.2">
      <c r="A3523" s="17"/>
      <c r="B3523" s="17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</row>
    <row r="3524" spans="1:18" x14ac:dyDescent="0.2">
      <c r="A3524" s="17"/>
      <c r="B3524" s="17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18"/>
    </row>
    <row r="3525" spans="1:18" x14ac:dyDescent="0.2">
      <c r="A3525" s="17"/>
      <c r="B3525" s="17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</row>
    <row r="3526" spans="1:18" x14ac:dyDescent="0.2">
      <c r="A3526" s="17"/>
      <c r="B3526" s="17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18"/>
    </row>
    <row r="3527" spans="1:18" x14ac:dyDescent="0.2">
      <c r="A3527" s="17"/>
      <c r="B3527" s="17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</row>
    <row r="3528" spans="1:18" x14ac:dyDescent="0.2">
      <c r="A3528" s="17"/>
      <c r="B3528" s="17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</row>
    <row r="3529" spans="1:18" x14ac:dyDescent="0.2">
      <c r="A3529" s="17"/>
      <c r="B3529" s="17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</row>
    <row r="3530" spans="1:18" x14ac:dyDescent="0.2">
      <c r="A3530" s="17"/>
      <c r="B3530" s="17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18"/>
    </row>
    <row r="3531" spans="1:18" x14ac:dyDescent="0.2">
      <c r="A3531" s="17"/>
      <c r="B3531" s="17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</row>
    <row r="3532" spans="1:18" x14ac:dyDescent="0.2">
      <c r="A3532" s="17"/>
      <c r="B3532" s="17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18"/>
    </row>
    <row r="3533" spans="1:18" x14ac:dyDescent="0.2">
      <c r="A3533" s="17"/>
      <c r="B3533" s="17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</row>
    <row r="3534" spans="1:18" x14ac:dyDescent="0.2">
      <c r="A3534" s="17"/>
      <c r="B3534" s="17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</row>
    <row r="3535" spans="1:18" x14ac:dyDescent="0.2">
      <c r="A3535" s="17"/>
      <c r="B3535" s="17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</row>
    <row r="3536" spans="1:18" x14ac:dyDescent="0.2">
      <c r="A3536" s="17"/>
      <c r="B3536" s="17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</row>
    <row r="3537" spans="1:18" x14ac:dyDescent="0.2">
      <c r="A3537" s="17"/>
      <c r="B3537" s="17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18"/>
    </row>
    <row r="3538" spans="1:18" x14ac:dyDescent="0.2">
      <c r="A3538" s="17"/>
      <c r="B3538" s="17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</row>
    <row r="3539" spans="1:18" x14ac:dyDescent="0.2">
      <c r="A3539" s="17"/>
      <c r="B3539" s="17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</row>
    <row r="3540" spans="1:18" x14ac:dyDescent="0.2">
      <c r="A3540" s="17"/>
      <c r="B3540" s="17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18"/>
    </row>
    <row r="3541" spans="1:18" x14ac:dyDescent="0.2">
      <c r="A3541" s="17"/>
      <c r="B3541" s="17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</row>
    <row r="3542" spans="1:18" x14ac:dyDescent="0.2">
      <c r="A3542" s="17"/>
      <c r="B3542" s="17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18"/>
    </row>
    <row r="3543" spans="1:18" x14ac:dyDescent="0.2">
      <c r="A3543" s="17"/>
      <c r="B3543" s="17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18"/>
    </row>
    <row r="3544" spans="1:18" x14ac:dyDescent="0.2">
      <c r="A3544" s="17"/>
      <c r="B3544" s="17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18"/>
    </row>
    <row r="3545" spans="1:18" x14ac:dyDescent="0.2">
      <c r="A3545" s="17"/>
      <c r="B3545" s="17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</row>
    <row r="3546" spans="1:18" x14ac:dyDescent="0.2">
      <c r="A3546" s="17"/>
      <c r="B3546" s="17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18"/>
    </row>
    <row r="3547" spans="1:18" x14ac:dyDescent="0.2">
      <c r="A3547" s="17"/>
      <c r="B3547" s="17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</row>
    <row r="3548" spans="1:18" x14ac:dyDescent="0.2">
      <c r="A3548" s="17"/>
      <c r="B3548" s="17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18"/>
    </row>
    <row r="3549" spans="1:18" x14ac:dyDescent="0.2">
      <c r="A3549" s="17"/>
      <c r="B3549" s="17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</row>
    <row r="3550" spans="1:18" x14ac:dyDescent="0.2">
      <c r="A3550" s="17"/>
      <c r="B3550" s="17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</row>
    <row r="3551" spans="1:18" x14ac:dyDescent="0.2">
      <c r="A3551" s="17"/>
      <c r="B3551" s="17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18"/>
    </row>
    <row r="3552" spans="1:18" x14ac:dyDescent="0.2">
      <c r="A3552" s="17"/>
      <c r="B3552" s="17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18"/>
    </row>
    <row r="3553" spans="1:18" x14ac:dyDescent="0.2">
      <c r="A3553" s="17"/>
      <c r="B3553" s="17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</row>
    <row r="3554" spans="1:18" x14ac:dyDescent="0.2">
      <c r="A3554" s="17"/>
      <c r="B3554" s="17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18"/>
    </row>
    <row r="3555" spans="1:18" x14ac:dyDescent="0.2">
      <c r="A3555" s="17"/>
      <c r="B3555" s="17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18"/>
    </row>
    <row r="3556" spans="1:18" x14ac:dyDescent="0.2">
      <c r="A3556" s="17"/>
      <c r="B3556" s="17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18"/>
    </row>
    <row r="3557" spans="1:18" x14ac:dyDescent="0.2">
      <c r="A3557" s="17"/>
      <c r="B3557" s="17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</row>
    <row r="3558" spans="1:18" x14ac:dyDescent="0.2">
      <c r="A3558" s="17"/>
      <c r="B3558" s="17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</row>
    <row r="3559" spans="1:18" x14ac:dyDescent="0.2">
      <c r="A3559" s="17"/>
      <c r="B3559" s="17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</row>
    <row r="3560" spans="1:18" x14ac:dyDescent="0.2">
      <c r="A3560" s="17"/>
      <c r="B3560" s="17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18"/>
    </row>
    <row r="3561" spans="1:18" x14ac:dyDescent="0.2">
      <c r="A3561" s="17"/>
      <c r="B3561" s="17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</row>
    <row r="3562" spans="1:18" x14ac:dyDescent="0.2">
      <c r="A3562" s="17"/>
      <c r="B3562" s="17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18"/>
    </row>
    <row r="3563" spans="1:18" x14ac:dyDescent="0.2">
      <c r="A3563" s="17"/>
      <c r="B3563" s="17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</row>
    <row r="3564" spans="1:18" x14ac:dyDescent="0.2">
      <c r="A3564" s="17"/>
      <c r="B3564" s="17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</row>
    <row r="3565" spans="1:18" x14ac:dyDescent="0.2">
      <c r="A3565" s="17"/>
      <c r="B3565" s="17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</row>
    <row r="3566" spans="1:18" x14ac:dyDescent="0.2">
      <c r="A3566" s="17"/>
      <c r="B3566" s="17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</row>
    <row r="3567" spans="1:18" x14ac:dyDescent="0.2">
      <c r="A3567" s="17"/>
      <c r="B3567" s="17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18"/>
    </row>
    <row r="3568" spans="1:18" x14ac:dyDescent="0.2">
      <c r="A3568" s="17"/>
      <c r="B3568" s="17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18"/>
    </row>
    <row r="3569" spans="1:18" x14ac:dyDescent="0.2">
      <c r="A3569" s="17"/>
      <c r="B3569" s="17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18"/>
    </row>
    <row r="3570" spans="1:18" x14ac:dyDescent="0.2">
      <c r="A3570" s="17"/>
      <c r="B3570" s="17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18"/>
    </row>
    <row r="3571" spans="1:18" x14ac:dyDescent="0.2">
      <c r="A3571" s="17"/>
      <c r="B3571" s="17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</row>
    <row r="3572" spans="1:18" x14ac:dyDescent="0.2">
      <c r="A3572" s="17"/>
      <c r="B3572" s="17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18"/>
    </row>
    <row r="3573" spans="1:18" x14ac:dyDescent="0.2">
      <c r="A3573" s="17"/>
      <c r="B3573" s="17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</row>
    <row r="3574" spans="1:18" x14ac:dyDescent="0.2">
      <c r="A3574" s="17"/>
      <c r="B3574" s="17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</row>
    <row r="3575" spans="1:18" x14ac:dyDescent="0.2">
      <c r="A3575" s="17"/>
      <c r="B3575" s="17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</row>
    <row r="3576" spans="1:18" x14ac:dyDescent="0.2">
      <c r="A3576" s="17"/>
      <c r="B3576" s="17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18"/>
    </row>
    <row r="3577" spans="1:18" x14ac:dyDescent="0.2">
      <c r="A3577" s="17"/>
      <c r="B3577" s="17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</row>
    <row r="3578" spans="1:18" x14ac:dyDescent="0.2">
      <c r="A3578" s="17"/>
      <c r="B3578" s="17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18"/>
    </row>
    <row r="3579" spans="1:18" x14ac:dyDescent="0.2">
      <c r="A3579" s="17"/>
      <c r="B3579" s="17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18"/>
    </row>
    <row r="3580" spans="1:18" x14ac:dyDescent="0.2">
      <c r="A3580" s="17"/>
      <c r="B3580" s="17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18"/>
    </row>
    <row r="3581" spans="1:18" x14ac:dyDescent="0.2">
      <c r="A3581" s="17"/>
      <c r="B3581" s="17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</row>
    <row r="3582" spans="1:18" x14ac:dyDescent="0.2">
      <c r="A3582" s="17"/>
      <c r="B3582" s="17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</row>
    <row r="3583" spans="1:18" x14ac:dyDescent="0.2">
      <c r="A3583" s="17"/>
      <c r="B3583" s="17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</row>
    <row r="3584" spans="1:18" x14ac:dyDescent="0.2">
      <c r="A3584" s="17"/>
      <c r="B3584" s="17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</row>
    <row r="3585" spans="1:18" x14ac:dyDescent="0.2">
      <c r="A3585" s="17"/>
      <c r="B3585" s="17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</row>
    <row r="3586" spans="1:18" x14ac:dyDescent="0.2">
      <c r="A3586" s="17"/>
      <c r="B3586" s="17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18"/>
    </row>
    <row r="3587" spans="1:18" x14ac:dyDescent="0.2">
      <c r="A3587" s="17"/>
      <c r="B3587" s="17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</row>
    <row r="3588" spans="1:18" x14ac:dyDescent="0.2">
      <c r="A3588" s="17"/>
      <c r="B3588" s="17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18"/>
    </row>
    <row r="3589" spans="1:18" x14ac:dyDescent="0.2">
      <c r="A3589" s="17"/>
      <c r="B3589" s="17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</row>
    <row r="3590" spans="1:18" x14ac:dyDescent="0.2">
      <c r="A3590" s="17"/>
      <c r="B3590" s="17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18"/>
    </row>
    <row r="3591" spans="1:18" x14ac:dyDescent="0.2">
      <c r="A3591" s="17"/>
      <c r="B3591" s="17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18"/>
    </row>
    <row r="3592" spans="1:18" x14ac:dyDescent="0.2">
      <c r="A3592" s="17"/>
      <c r="B3592" s="17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18"/>
    </row>
    <row r="3593" spans="1:18" x14ac:dyDescent="0.2">
      <c r="A3593" s="17"/>
      <c r="B3593" s="17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</row>
    <row r="3594" spans="1:18" x14ac:dyDescent="0.2">
      <c r="A3594" s="17"/>
      <c r="B3594" s="17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18"/>
    </row>
    <row r="3595" spans="1:18" x14ac:dyDescent="0.2">
      <c r="A3595" s="17"/>
      <c r="B3595" s="17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</row>
    <row r="3596" spans="1:18" x14ac:dyDescent="0.2">
      <c r="A3596" s="17"/>
      <c r="B3596" s="17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</row>
    <row r="3597" spans="1:18" x14ac:dyDescent="0.2">
      <c r="A3597" s="17"/>
      <c r="B3597" s="17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</row>
    <row r="3598" spans="1:18" x14ac:dyDescent="0.2">
      <c r="A3598" s="17"/>
      <c r="B3598" s="17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18"/>
    </row>
    <row r="3599" spans="1:18" x14ac:dyDescent="0.2">
      <c r="A3599" s="17"/>
      <c r="B3599" s="17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18"/>
    </row>
    <row r="3600" spans="1:18" x14ac:dyDescent="0.2">
      <c r="A3600" s="17"/>
      <c r="B3600" s="17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18"/>
    </row>
    <row r="3601" spans="1:18" x14ac:dyDescent="0.2">
      <c r="A3601" s="17"/>
      <c r="B3601" s="17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</row>
    <row r="3602" spans="1:18" x14ac:dyDescent="0.2">
      <c r="A3602" s="17"/>
      <c r="B3602" s="17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18"/>
    </row>
    <row r="3603" spans="1:18" x14ac:dyDescent="0.2">
      <c r="A3603" s="17"/>
      <c r="B3603" s="17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</row>
    <row r="3604" spans="1:18" x14ac:dyDescent="0.2">
      <c r="A3604" s="17"/>
      <c r="B3604" s="17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18"/>
    </row>
    <row r="3605" spans="1:18" x14ac:dyDescent="0.2">
      <c r="A3605" s="17"/>
      <c r="B3605" s="17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</row>
    <row r="3606" spans="1:18" x14ac:dyDescent="0.2">
      <c r="A3606" s="17"/>
      <c r="B3606" s="17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18"/>
    </row>
    <row r="3607" spans="1:18" x14ac:dyDescent="0.2">
      <c r="A3607" s="17"/>
      <c r="B3607" s="17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</row>
    <row r="3608" spans="1:18" x14ac:dyDescent="0.2">
      <c r="A3608" s="17"/>
      <c r="B3608" s="17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18"/>
    </row>
    <row r="3609" spans="1:18" x14ac:dyDescent="0.2">
      <c r="A3609" s="17"/>
      <c r="B3609" s="17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</row>
    <row r="3610" spans="1:18" x14ac:dyDescent="0.2">
      <c r="A3610" s="17"/>
      <c r="B3610" s="17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18"/>
    </row>
    <row r="3611" spans="1:18" x14ac:dyDescent="0.2">
      <c r="A3611" s="17"/>
      <c r="B3611" s="17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18"/>
    </row>
    <row r="3612" spans="1:18" x14ac:dyDescent="0.2">
      <c r="A3612" s="17"/>
      <c r="B3612" s="17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18"/>
    </row>
    <row r="3613" spans="1:18" x14ac:dyDescent="0.2">
      <c r="A3613" s="17"/>
      <c r="B3613" s="17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</row>
    <row r="3614" spans="1:18" x14ac:dyDescent="0.2">
      <c r="A3614" s="17"/>
      <c r="B3614" s="17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18"/>
    </row>
    <row r="3615" spans="1:18" x14ac:dyDescent="0.2">
      <c r="A3615" s="17"/>
      <c r="B3615" s="17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</row>
    <row r="3616" spans="1:18" x14ac:dyDescent="0.2">
      <c r="A3616" s="17"/>
      <c r="B3616" s="17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18"/>
    </row>
    <row r="3617" spans="1:18" x14ac:dyDescent="0.2">
      <c r="A3617" s="17"/>
      <c r="B3617" s="17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</row>
    <row r="3618" spans="1:18" x14ac:dyDescent="0.2">
      <c r="A3618" s="17"/>
      <c r="B3618" s="17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18"/>
    </row>
    <row r="3619" spans="1:18" x14ac:dyDescent="0.2">
      <c r="A3619" s="17"/>
      <c r="B3619" s="17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</row>
    <row r="3620" spans="1:18" x14ac:dyDescent="0.2">
      <c r="A3620" s="17"/>
      <c r="B3620" s="17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18"/>
    </row>
    <row r="3621" spans="1:18" x14ac:dyDescent="0.2">
      <c r="A3621" s="17"/>
      <c r="B3621" s="17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</row>
    <row r="3622" spans="1:18" x14ac:dyDescent="0.2">
      <c r="A3622" s="17"/>
      <c r="B3622" s="17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18"/>
    </row>
    <row r="3623" spans="1:18" x14ac:dyDescent="0.2">
      <c r="A3623" s="17"/>
      <c r="B3623" s="17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</row>
    <row r="3624" spans="1:18" x14ac:dyDescent="0.2">
      <c r="A3624" s="17"/>
      <c r="B3624" s="17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18"/>
    </row>
    <row r="3625" spans="1:18" x14ac:dyDescent="0.2">
      <c r="A3625" s="17"/>
      <c r="B3625" s="17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/>
    </row>
    <row r="3626" spans="1:18" x14ac:dyDescent="0.2">
      <c r="A3626" s="17"/>
      <c r="B3626" s="17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18"/>
    </row>
    <row r="3627" spans="1:18" x14ac:dyDescent="0.2">
      <c r="A3627" s="17"/>
      <c r="B3627" s="17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</row>
    <row r="3628" spans="1:18" x14ac:dyDescent="0.2">
      <c r="A3628" s="17"/>
      <c r="B3628" s="17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18"/>
    </row>
    <row r="3629" spans="1:18" x14ac:dyDescent="0.2">
      <c r="A3629" s="17"/>
      <c r="B3629" s="17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</row>
    <row r="3630" spans="1:18" x14ac:dyDescent="0.2">
      <c r="A3630" s="17"/>
      <c r="B3630" s="17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</row>
    <row r="3631" spans="1:18" x14ac:dyDescent="0.2">
      <c r="A3631" s="17"/>
      <c r="B3631" s="17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</row>
    <row r="3632" spans="1:18" x14ac:dyDescent="0.2">
      <c r="A3632" s="17"/>
      <c r="B3632" s="17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18"/>
    </row>
    <row r="3633" spans="1:18" x14ac:dyDescent="0.2">
      <c r="A3633" s="17"/>
      <c r="B3633" s="17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</row>
    <row r="3634" spans="1:18" x14ac:dyDescent="0.2">
      <c r="A3634" s="17"/>
      <c r="B3634" s="17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</row>
    <row r="3635" spans="1:18" x14ac:dyDescent="0.2">
      <c r="A3635" s="17"/>
      <c r="B3635" s="17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18"/>
    </row>
    <row r="3636" spans="1:18" x14ac:dyDescent="0.2">
      <c r="A3636" s="17"/>
      <c r="B3636" s="17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18"/>
    </row>
    <row r="3637" spans="1:18" x14ac:dyDescent="0.2">
      <c r="A3637" s="17"/>
      <c r="B3637" s="17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18"/>
    </row>
    <row r="3638" spans="1:18" x14ac:dyDescent="0.2">
      <c r="A3638" s="17"/>
      <c r="B3638" s="17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18"/>
    </row>
    <row r="3639" spans="1:18" x14ac:dyDescent="0.2">
      <c r="A3639" s="17"/>
      <c r="B3639" s="17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</row>
    <row r="3640" spans="1:18" x14ac:dyDescent="0.2">
      <c r="A3640" s="17"/>
      <c r="B3640" s="17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18"/>
    </row>
    <row r="3641" spans="1:18" x14ac:dyDescent="0.2">
      <c r="A3641" s="17"/>
      <c r="B3641" s="17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</row>
    <row r="3642" spans="1:18" x14ac:dyDescent="0.2">
      <c r="A3642" s="17"/>
      <c r="B3642" s="17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</row>
    <row r="3643" spans="1:18" x14ac:dyDescent="0.2">
      <c r="A3643" s="17"/>
      <c r="B3643" s="17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</row>
    <row r="3644" spans="1:18" x14ac:dyDescent="0.2">
      <c r="A3644" s="17"/>
      <c r="B3644" s="17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18"/>
    </row>
    <row r="3645" spans="1:18" x14ac:dyDescent="0.2">
      <c r="A3645" s="17"/>
      <c r="B3645" s="17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</row>
    <row r="3646" spans="1:18" x14ac:dyDescent="0.2">
      <c r="A3646" s="17"/>
      <c r="B3646" s="17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18"/>
    </row>
    <row r="3647" spans="1:18" x14ac:dyDescent="0.2">
      <c r="A3647" s="17"/>
      <c r="B3647" s="17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</row>
    <row r="3648" spans="1:18" x14ac:dyDescent="0.2">
      <c r="A3648" s="17"/>
      <c r="B3648" s="17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18"/>
    </row>
    <row r="3649" spans="1:18" x14ac:dyDescent="0.2">
      <c r="A3649" s="17"/>
      <c r="B3649" s="17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</row>
    <row r="3650" spans="1:18" x14ac:dyDescent="0.2">
      <c r="A3650" s="17"/>
      <c r="B3650" s="17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</row>
    <row r="3651" spans="1:18" x14ac:dyDescent="0.2">
      <c r="A3651" s="17"/>
      <c r="B3651" s="17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/>
    </row>
    <row r="3652" spans="1:18" x14ac:dyDescent="0.2">
      <c r="A3652" s="17"/>
      <c r="B3652" s="17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18"/>
    </row>
    <row r="3653" spans="1:18" x14ac:dyDescent="0.2">
      <c r="A3653" s="17"/>
      <c r="B3653" s="17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</row>
    <row r="3654" spans="1:18" x14ac:dyDescent="0.2">
      <c r="A3654" s="17"/>
      <c r="B3654" s="17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18"/>
    </row>
    <row r="3655" spans="1:18" x14ac:dyDescent="0.2">
      <c r="A3655" s="17"/>
      <c r="B3655" s="17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</row>
    <row r="3656" spans="1:18" x14ac:dyDescent="0.2">
      <c r="A3656" s="17"/>
      <c r="B3656" s="17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8"/>
      <c r="R3656" s="18"/>
    </row>
    <row r="3657" spans="1:18" x14ac:dyDescent="0.2">
      <c r="A3657" s="17"/>
      <c r="B3657" s="17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</row>
    <row r="3658" spans="1:18" x14ac:dyDescent="0.2">
      <c r="A3658" s="17"/>
      <c r="B3658" s="17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</row>
    <row r="3659" spans="1:18" x14ac:dyDescent="0.2">
      <c r="A3659" s="17"/>
      <c r="B3659" s="17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18"/>
    </row>
    <row r="3660" spans="1:18" x14ac:dyDescent="0.2">
      <c r="A3660" s="17"/>
      <c r="B3660" s="17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18"/>
    </row>
    <row r="3661" spans="1:18" x14ac:dyDescent="0.2">
      <c r="A3661" s="17"/>
      <c r="B3661" s="17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</row>
    <row r="3662" spans="1:18" x14ac:dyDescent="0.2">
      <c r="A3662" s="17"/>
      <c r="B3662" s="17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18"/>
    </row>
    <row r="3663" spans="1:18" x14ac:dyDescent="0.2">
      <c r="A3663" s="17"/>
      <c r="B3663" s="17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18"/>
    </row>
    <row r="3664" spans="1:18" x14ac:dyDescent="0.2">
      <c r="A3664" s="17"/>
      <c r="B3664" s="17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18"/>
    </row>
    <row r="3665" spans="1:18" x14ac:dyDescent="0.2">
      <c r="A3665" s="17"/>
      <c r="B3665" s="17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</row>
    <row r="3666" spans="1:18" x14ac:dyDescent="0.2">
      <c r="A3666" s="17"/>
      <c r="B3666" s="17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</row>
    <row r="3667" spans="1:18" x14ac:dyDescent="0.2">
      <c r="A3667" s="17"/>
      <c r="B3667" s="17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</row>
    <row r="3668" spans="1:18" x14ac:dyDescent="0.2">
      <c r="A3668" s="17"/>
      <c r="B3668" s="17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18"/>
    </row>
    <row r="3669" spans="1:18" x14ac:dyDescent="0.2">
      <c r="A3669" s="17"/>
      <c r="B3669" s="17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</row>
    <row r="3670" spans="1:18" x14ac:dyDescent="0.2">
      <c r="A3670" s="17"/>
      <c r="B3670" s="17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18"/>
    </row>
    <row r="3671" spans="1:18" x14ac:dyDescent="0.2">
      <c r="A3671" s="17"/>
      <c r="B3671" s="17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</row>
    <row r="3672" spans="1:18" x14ac:dyDescent="0.2">
      <c r="A3672" s="17"/>
      <c r="B3672" s="17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18"/>
    </row>
    <row r="3673" spans="1:18" x14ac:dyDescent="0.2">
      <c r="A3673" s="17"/>
      <c r="B3673" s="17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</row>
    <row r="3674" spans="1:18" x14ac:dyDescent="0.2">
      <c r="A3674" s="17"/>
      <c r="B3674" s="17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</row>
    <row r="3675" spans="1:18" x14ac:dyDescent="0.2">
      <c r="A3675" s="17"/>
      <c r="B3675" s="17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</row>
    <row r="3676" spans="1:18" x14ac:dyDescent="0.2">
      <c r="A3676" s="17"/>
      <c r="B3676" s="17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</row>
    <row r="3677" spans="1:18" x14ac:dyDescent="0.2">
      <c r="A3677" s="17"/>
      <c r="B3677" s="17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</row>
    <row r="3678" spans="1:18" x14ac:dyDescent="0.2">
      <c r="A3678" s="17"/>
      <c r="B3678" s="17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18"/>
    </row>
    <row r="3679" spans="1:18" x14ac:dyDescent="0.2">
      <c r="A3679" s="17"/>
      <c r="B3679" s="17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</row>
    <row r="3680" spans="1:18" x14ac:dyDescent="0.2">
      <c r="A3680" s="17"/>
      <c r="B3680" s="17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18"/>
    </row>
    <row r="3681" spans="1:18" x14ac:dyDescent="0.2">
      <c r="A3681" s="17"/>
      <c r="B3681" s="17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</row>
    <row r="3682" spans="1:18" x14ac:dyDescent="0.2">
      <c r="A3682" s="17"/>
      <c r="B3682" s="17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18"/>
    </row>
    <row r="3683" spans="1:18" x14ac:dyDescent="0.2">
      <c r="A3683" s="17"/>
      <c r="B3683" s="17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</row>
    <row r="3684" spans="1:18" x14ac:dyDescent="0.2">
      <c r="A3684" s="17"/>
      <c r="B3684" s="17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</row>
    <row r="3685" spans="1:18" x14ac:dyDescent="0.2">
      <c r="A3685" s="17"/>
      <c r="B3685" s="17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</row>
    <row r="3686" spans="1:18" x14ac:dyDescent="0.2">
      <c r="A3686" s="17"/>
      <c r="B3686" s="17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18"/>
    </row>
    <row r="3687" spans="1:18" x14ac:dyDescent="0.2">
      <c r="A3687" s="17"/>
      <c r="B3687" s="17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18"/>
    </row>
    <row r="3688" spans="1:18" x14ac:dyDescent="0.2">
      <c r="A3688" s="17"/>
      <c r="B3688" s="17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</row>
    <row r="3689" spans="1:18" x14ac:dyDescent="0.2">
      <c r="A3689" s="17"/>
      <c r="B3689" s="17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</row>
    <row r="3690" spans="1:18" x14ac:dyDescent="0.2">
      <c r="A3690" s="17"/>
      <c r="B3690" s="17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8"/>
      <c r="R3690" s="18"/>
    </row>
    <row r="3691" spans="1:18" x14ac:dyDescent="0.2">
      <c r="A3691" s="17"/>
      <c r="B3691" s="17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</row>
    <row r="3692" spans="1:18" x14ac:dyDescent="0.2">
      <c r="A3692" s="17"/>
      <c r="B3692" s="17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8"/>
      <c r="R3692" s="18"/>
    </row>
    <row r="3693" spans="1:18" x14ac:dyDescent="0.2">
      <c r="A3693" s="17"/>
      <c r="B3693" s="17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8"/>
      <c r="R3693" s="18"/>
    </row>
    <row r="3694" spans="1:18" x14ac:dyDescent="0.2">
      <c r="A3694" s="17"/>
      <c r="B3694" s="17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8"/>
      <c r="R3694" s="18"/>
    </row>
    <row r="3695" spans="1:18" x14ac:dyDescent="0.2">
      <c r="A3695" s="17"/>
      <c r="B3695" s="17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</row>
    <row r="3696" spans="1:18" x14ac:dyDescent="0.2">
      <c r="A3696" s="17"/>
      <c r="B3696" s="17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</row>
    <row r="3697" spans="1:18" x14ac:dyDescent="0.2">
      <c r="A3697" s="17"/>
      <c r="B3697" s="17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18"/>
    </row>
    <row r="3698" spans="1:18" x14ac:dyDescent="0.2">
      <c r="A3698" s="17"/>
      <c r="B3698" s="17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18"/>
    </row>
    <row r="3699" spans="1:18" x14ac:dyDescent="0.2">
      <c r="A3699" s="17"/>
      <c r="B3699" s="17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</row>
    <row r="3700" spans="1:18" x14ac:dyDescent="0.2">
      <c r="A3700" s="17"/>
      <c r="B3700" s="17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18"/>
    </row>
    <row r="3701" spans="1:18" x14ac:dyDescent="0.2">
      <c r="A3701" s="17"/>
      <c r="B3701" s="17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</row>
    <row r="3702" spans="1:18" x14ac:dyDescent="0.2">
      <c r="A3702" s="17"/>
      <c r="B3702" s="17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</row>
    <row r="3703" spans="1:18" x14ac:dyDescent="0.2">
      <c r="A3703" s="17"/>
      <c r="B3703" s="17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18"/>
    </row>
    <row r="3704" spans="1:18" x14ac:dyDescent="0.2">
      <c r="A3704" s="17"/>
      <c r="B3704" s="17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</row>
    <row r="3705" spans="1:18" x14ac:dyDescent="0.2">
      <c r="A3705" s="17"/>
      <c r="B3705" s="17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</row>
    <row r="3706" spans="1:18" x14ac:dyDescent="0.2">
      <c r="A3706" s="17"/>
      <c r="B3706" s="17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18"/>
    </row>
    <row r="3707" spans="1:18" x14ac:dyDescent="0.2">
      <c r="A3707" s="17"/>
      <c r="B3707" s="17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</row>
    <row r="3708" spans="1:18" x14ac:dyDescent="0.2">
      <c r="A3708" s="17"/>
      <c r="B3708" s="17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18"/>
    </row>
    <row r="3709" spans="1:18" x14ac:dyDescent="0.2">
      <c r="A3709" s="17"/>
      <c r="B3709" s="17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</row>
    <row r="3710" spans="1:18" x14ac:dyDescent="0.2">
      <c r="A3710" s="17"/>
      <c r="B3710" s="17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18"/>
    </row>
    <row r="3711" spans="1:18" x14ac:dyDescent="0.2">
      <c r="A3711" s="17"/>
      <c r="B3711" s="17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</row>
    <row r="3712" spans="1:18" x14ac:dyDescent="0.2">
      <c r="A3712" s="17"/>
      <c r="B3712" s="17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18"/>
    </row>
    <row r="3713" spans="1:18" x14ac:dyDescent="0.2">
      <c r="A3713" s="17"/>
      <c r="B3713" s="17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</row>
    <row r="3714" spans="1:18" x14ac:dyDescent="0.2">
      <c r="A3714" s="17"/>
      <c r="B3714" s="17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18"/>
    </row>
    <row r="3715" spans="1:18" x14ac:dyDescent="0.2">
      <c r="A3715" s="17"/>
      <c r="B3715" s="17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</row>
    <row r="3716" spans="1:18" x14ac:dyDescent="0.2">
      <c r="A3716" s="17"/>
      <c r="B3716" s="17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18"/>
    </row>
    <row r="3717" spans="1:18" x14ac:dyDescent="0.2">
      <c r="A3717" s="17"/>
      <c r="B3717" s="17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</row>
    <row r="3718" spans="1:18" x14ac:dyDescent="0.2">
      <c r="A3718" s="17"/>
      <c r="B3718" s="17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18"/>
    </row>
    <row r="3719" spans="1:18" x14ac:dyDescent="0.2">
      <c r="A3719" s="17"/>
      <c r="B3719" s="17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</row>
    <row r="3720" spans="1:18" x14ac:dyDescent="0.2">
      <c r="A3720" s="17"/>
      <c r="B3720" s="17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18"/>
    </row>
    <row r="3721" spans="1:18" x14ac:dyDescent="0.2">
      <c r="A3721" s="17"/>
      <c r="B3721" s="17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</row>
    <row r="3722" spans="1:18" x14ac:dyDescent="0.2">
      <c r="A3722" s="17"/>
      <c r="B3722" s="17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</row>
    <row r="3723" spans="1:18" x14ac:dyDescent="0.2">
      <c r="A3723" s="17"/>
      <c r="B3723" s="17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</row>
    <row r="3724" spans="1:18" x14ac:dyDescent="0.2">
      <c r="A3724" s="17"/>
      <c r="B3724" s="17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18"/>
    </row>
    <row r="3725" spans="1:18" x14ac:dyDescent="0.2">
      <c r="A3725" s="17"/>
      <c r="B3725" s="17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</row>
    <row r="3726" spans="1:18" x14ac:dyDescent="0.2">
      <c r="A3726" s="17"/>
      <c r="B3726" s="17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18"/>
    </row>
    <row r="3727" spans="1:18" x14ac:dyDescent="0.2">
      <c r="A3727" s="17"/>
      <c r="B3727" s="17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18"/>
    </row>
    <row r="3728" spans="1:18" x14ac:dyDescent="0.2">
      <c r="A3728" s="17"/>
      <c r="B3728" s="17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8"/>
      <c r="R3728" s="18"/>
    </row>
    <row r="3729" spans="1:18" x14ac:dyDescent="0.2">
      <c r="A3729" s="17"/>
      <c r="B3729" s="17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</row>
    <row r="3730" spans="1:18" x14ac:dyDescent="0.2">
      <c r="A3730" s="17"/>
      <c r="B3730" s="17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18"/>
    </row>
    <row r="3731" spans="1:18" x14ac:dyDescent="0.2">
      <c r="A3731" s="17"/>
      <c r="B3731" s="17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18"/>
    </row>
    <row r="3732" spans="1:18" x14ac:dyDescent="0.2">
      <c r="A3732" s="17"/>
      <c r="B3732" s="17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18"/>
    </row>
    <row r="3733" spans="1:18" x14ac:dyDescent="0.2">
      <c r="A3733" s="17"/>
      <c r="B3733" s="17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</row>
    <row r="3734" spans="1:18" x14ac:dyDescent="0.2">
      <c r="A3734" s="17"/>
      <c r="B3734" s="17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</row>
    <row r="3735" spans="1:18" x14ac:dyDescent="0.2">
      <c r="A3735" s="17"/>
      <c r="B3735" s="17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/>
    </row>
    <row r="3736" spans="1:18" x14ac:dyDescent="0.2">
      <c r="A3736" s="17"/>
      <c r="B3736" s="17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8"/>
      <c r="R3736" s="18"/>
    </row>
    <row r="3737" spans="1:18" x14ac:dyDescent="0.2">
      <c r="A3737" s="17"/>
      <c r="B3737" s="17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</row>
    <row r="3738" spans="1:18" x14ac:dyDescent="0.2">
      <c r="A3738" s="17"/>
      <c r="B3738" s="17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8"/>
      <c r="R3738" s="18"/>
    </row>
    <row r="3739" spans="1:18" x14ac:dyDescent="0.2">
      <c r="A3739" s="17"/>
      <c r="B3739" s="17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</row>
    <row r="3740" spans="1:18" x14ac:dyDescent="0.2">
      <c r="A3740" s="17"/>
      <c r="B3740" s="17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18"/>
    </row>
    <row r="3741" spans="1:18" x14ac:dyDescent="0.2">
      <c r="A3741" s="17"/>
      <c r="B3741" s="17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</row>
    <row r="3742" spans="1:18" x14ac:dyDescent="0.2">
      <c r="A3742" s="17"/>
      <c r="B3742" s="17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18"/>
    </row>
    <row r="3743" spans="1:18" x14ac:dyDescent="0.2">
      <c r="A3743" s="17"/>
      <c r="B3743" s="17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</row>
    <row r="3744" spans="1:18" x14ac:dyDescent="0.2">
      <c r="A3744" s="17"/>
      <c r="B3744" s="17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18"/>
    </row>
    <row r="3745" spans="1:18" x14ac:dyDescent="0.2">
      <c r="A3745" s="17"/>
      <c r="B3745" s="17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</row>
    <row r="3746" spans="1:18" x14ac:dyDescent="0.2">
      <c r="A3746" s="17"/>
      <c r="B3746" s="17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18"/>
    </row>
    <row r="3747" spans="1:18" x14ac:dyDescent="0.2">
      <c r="A3747" s="17"/>
      <c r="B3747" s="17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</row>
    <row r="3748" spans="1:18" x14ac:dyDescent="0.2">
      <c r="A3748" s="17"/>
      <c r="B3748" s="17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18"/>
    </row>
    <row r="3749" spans="1:18" x14ac:dyDescent="0.2">
      <c r="A3749" s="17"/>
      <c r="B3749" s="17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</row>
    <row r="3750" spans="1:18" x14ac:dyDescent="0.2">
      <c r="A3750" s="17"/>
      <c r="B3750" s="17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18"/>
    </row>
    <row r="3751" spans="1:18" x14ac:dyDescent="0.2">
      <c r="A3751" s="17"/>
      <c r="B3751" s="17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</row>
    <row r="3752" spans="1:18" x14ac:dyDescent="0.2">
      <c r="A3752" s="17"/>
      <c r="B3752" s="17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18"/>
    </row>
    <row r="3753" spans="1:18" x14ac:dyDescent="0.2">
      <c r="A3753" s="17"/>
      <c r="B3753" s="17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</row>
    <row r="3754" spans="1:18" x14ac:dyDescent="0.2">
      <c r="A3754" s="17"/>
      <c r="B3754" s="17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18"/>
    </row>
    <row r="3755" spans="1:18" x14ac:dyDescent="0.2">
      <c r="A3755" s="17"/>
      <c r="B3755" s="17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</row>
    <row r="3756" spans="1:18" x14ac:dyDescent="0.2">
      <c r="A3756" s="17"/>
      <c r="B3756" s="17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8"/>
      <c r="R3756" s="18"/>
    </row>
    <row r="3757" spans="1:18" x14ac:dyDescent="0.2">
      <c r="A3757" s="17"/>
      <c r="B3757" s="17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</row>
    <row r="3758" spans="1:18" x14ac:dyDescent="0.2">
      <c r="A3758" s="17"/>
      <c r="B3758" s="17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18"/>
    </row>
    <row r="3759" spans="1:18" x14ac:dyDescent="0.2">
      <c r="A3759" s="17"/>
      <c r="B3759" s="17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/>
      <c r="R3759" s="18"/>
    </row>
    <row r="3760" spans="1:18" x14ac:dyDescent="0.2">
      <c r="A3760" s="17"/>
      <c r="B3760" s="17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18"/>
    </row>
    <row r="3761" spans="1:18" x14ac:dyDescent="0.2">
      <c r="A3761" s="17"/>
      <c r="B3761" s="17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</row>
    <row r="3762" spans="1:18" x14ac:dyDescent="0.2">
      <c r="A3762" s="17"/>
      <c r="B3762" s="17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18"/>
    </row>
    <row r="3763" spans="1:18" x14ac:dyDescent="0.2">
      <c r="A3763" s="17"/>
      <c r="B3763" s="17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</row>
    <row r="3764" spans="1:18" x14ac:dyDescent="0.2">
      <c r="A3764" s="17"/>
      <c r="B3764" s="17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18"/>
    </row>
    <row r="3765" spans="1:18" x14ac:dyDescent="0.2">
      <c r="A3765" s="17"/>
      <c r="B3765" s="17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</row>
    <row r="3766" spans="1:18" x14ac:dyDescent="0.2">
      <c r="A3766" s="17"/>
      <c r="B3766" s="17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18"/>
    </row>
    <row r="3767" spans="1:18" x14ac:dyDescent="0.2">
      <c r="A3767" s="17"/>
      <c r="B3767" s="17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</row>
    <row r="3768" spans="1:18" x14ac:dyDescent="0.2">
      <c r="A3768" s="17"/>
      <c r="B3768" s="17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</row>
    <row r="3769" spans="1:18" x14ac:dyDescent="0.2">
      <c r="A3769" s="17"/>
      <c r="B3769" s="17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</row>
    <row r="3770" spans="1:18" x14ac:dyDescent="0.2">
      <c r="A3770" s="17"/>
      <c r="B3770" s="17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18"/>
    </row>
    <row r="3771" spans="1:18" x14ac:dyDescent="0.2">
      <c r="A3771" s="17"/>
      <c r="B3771" s="17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18"/>
    </row>
    <row r="3772" spans="1:18" x14ac:dyDescent="0.2">
      <c r="A3772" s="17"/>
      <c r="B3772" s="17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18"/>
    </row>
    <row r="3773" spans="1:18" x14ac:dyDescent="0.2">
      <c r="A3773" s="17"/>
      <c r="B3773" s="17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</row>
    <row r="3774" spans="1:18" x14ac:dyDescent="0.2">
      <c r="A3774" s="17"/>
      <c r="B3774" s="17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18"/>
    </row>
    <row r="3775" spans="1:18" x14ac:dyDescent="0.2">
      <c r="A3775" s="17"/>
      <c r="B3775" s="17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18"/>
    </row>
    <row r="3776" spans="1:18" x14ac:dyDescent="0.2">
      <c r="A3776" s="17"/>
      <c r="B3776" s="17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18"/>
    </row>
    <row r="3777" spans="1:18" x14ac:dyDescent="0.2">
      <c r="A3777" s="17"/>
      <c r="B3777" s="17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18"/>
    </row>
    <row r="3778" spans="1:18" x14ac:dyDescent="0.2">
      <c r="A3778" s="17"/>
      <c r="B3778" s="17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18"/>
    </row>
    <row r="3779" spans="1:18" x14ac:dyDescent="0.2">
      <c r="A3779" s="17"/>
      <c r="B3779" s="17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</row>
    <row r="3780" spans="1:18" x14ac:dyDescent="0.2">
      <c r="A3780" s="17"/>
      <c r="B3780" s="17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</row>
    <row r="3781" spans="1:18" x14ac:dyDescent="0.2">
      <c r="A3781" s="17"/>
      <c r="B3781" s="17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</row>
    <row r="3782" spans="1:18" x14ac:dyDescent="0.2">
      <c r="A3782" s="17"/>
      <c r="B3782" s="17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18"/>
    </row>
    <row r="3783" spans="1:18" x14ac:dyDescent="0.2">
      <c r="A3783" s="17"/>
      <c r="B3783" s="17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</row>
    <row r="3784" spans="1:18" x14ac:dyDescent="0.2">
      <c r="A3784" s="17"/>
      <c r="B3784" s="17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</row>
    <row r="3785" spans="1:18" x14ac:dyDescent="0.2">
      <c r="A3785" s="17"/>
      <c r="B3785" s="17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</row>
    <row r="3786" spans="1:18" x14ac:dyDescent="0.2">
      <c r="A3786" s="17"/>
      <c r="B3786" s="17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18"/>
    </row>
    <row r="3787" spans="1:18" x14ac:dyDescent="0.2">
      <c r="A3787" s="17"/>
      <c r="B3787" s="17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18"/>
    </row>
    <row r="3788" spans="1:18" x14ac:dyDescent="0.2">
      <c r="A3788" s="17"/>
      <c r="B3788" s="17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</row>
    <row r="3789" spans="1:18" x14ac:dyDescent="0.2">
      <c r="A3789" s="17"/>
      <c r="B3789" s="17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</row>
    <row r="3790" spans="1:18" x14ac:dyDescent="0.2">
      <c r="A3790" s="17"/>
      <c r="B3790" s="17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18"/>
    </row>
    <row r="3791" spans="1:18" x14ac:dyDescent="0.2">
      <c r="A3791" s="17"/>
      <c r="B3791" s="17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</row>
    <row r="3792" spans="1:18" x14ac:dyDescent="0.2">
      <c r="A3792" s="17"/>
      <c r="B3792" s="17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18"/>
    </row>
    <row r="3793" spans="1:18" x14ac:dyDescent="0.2">
      <c r="A3793" s="17"/>
      <c r="B3793" s="17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</row>
    <row r="3794" spans="1:18" x14ac:dyDescent="0.2">
      <c r="A3794" s="17"/>
      <c r="B3794" s="17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18"/>
    </row>
    <row r="3795" spans="1:18" x14ac:dyDescent="0.2">
      <c r="A3795" s="17"/>
      <c r="B3795" s="17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</row>
    <row r="3796" spans="1:18" x14ac:dyDescent="0.2">
      <c r="A3796" s="17"/>
      <c r="B3796" s="17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</row>
    <row r="3797" spans="1:18" x14ac:dyDescent="0.2">
      <c r="A3797" s="17"/>
      <c r="B3797" s="17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</row>
    <row r="3798" spans="1:18" x14ac:dyDescent="0.2">
      <c r="A3798" s="17"/>
      <c r="B3798" s="17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8"/>
      <c r="R3798" s="18"/>
    </row>
    <row r="3799" spans="1:18" x14ac:dyDescent="0.2">
      <c r="A3799" s="17"/>
      <c r="B3799" s="17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</row>
    <row r="3800" spans="1:18" x14ac:dyDescent="0.2">
      <c r="A3800" s="17"/>
      <c r="B3800" s="17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18"/>
    </row>
    <row r="3801" spans="1:18" x14ac:dyDescent="0.2">
      <c r="A3801" s="17"/>
      <c r="B3801" s="17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</row>
    <row r="3802" spans="1:18" x14ac:dyDescent="0.2">
      <c r="A3802" s="17"/>
      <c r="B3802" s="17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8"/>
      <c r="R3802" s="18"/>
    </row>
    <row r="3803" spans="1:18" x14ac:dyDescent="0.2">
      <c r="A3803" s="17"/>
      <c r="B3803" s="17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</row>
    <row r="3804" spans="1:18" x14ac:dyDescent="0.2">
      <c r="A3804" s="17"/>
      <c r="B3804" s="17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</row>
    <row r="3805" spans="1:18" x14ac:dyDescent="0.2">
      <c r="A3805" s="17"/>
      <c r="B3805" s="17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</row>
    <row r="3806" spans="1:18" x14ac:dyDescent="0.2">
      <c r="A3806" s="17"/>
      <c r="B3806" s="17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18"/>
    </row>
    <row r="3807" spans="1:18" x14ac:dyDescent="0.2">
      <c r="A3807" s="17"/>
      <c r="B3807" s="17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</row>
    <row r="3808" spans="1:18" x14ac:dyDescent="0.2">
      <c r="A3808" s="17"/>
      <c r="B3808" s="17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18"/>
    </row>
    <row r="3809" spans="1:18" x14ac:dyDescent="0.2">
      <c r="A3809" s="17"/>
      <c r="B3809" s="17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</row>
    <row r="3810" spans="1:18" x14ac:dyDescent="0.2">
      <c r="A3810" s="17"/>
      <c r="B3810" s="17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18"/>
    </row>
    <row r="3811" spans="1:18" x14ac:dyDescent="0.2">
      <c r="A3811" s="17"/>
      <c r="B3811" s="17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</row>
    <row r="3812" spans="1:18" x14ac:dyDescent="0.2">
      <c r="A3812" s="17"/>
      <c r="B3812" s="17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18"/>
    </row>
    <row r="3813" spans="1:18" x14ac:dyDescent="0.2">
      <c r="A3813" s="17"/>
      <c r="B3813" s="17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</row>
    <row r="3814" spans="1:18" x14ac:dyDescent="0.2">
      <c r="A3814" s="17"/>
      <c r="B3814" s="17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</row>
    <row r="3815" spans="1:18" x14ac:dyDescent="0.2">
      <c r="A3815" s="17"/>
      <c r="B3815" s="17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</row>
    <row r="3816" spans="1:18" x14ac:dyDescent="0.2">
      <c r="A3816" s="17"/>
      <c r="B3816" s="17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18"/>
    </row>
    <row r="3817" spans="1:18" x14ac:dyDescent="0.2">
      <c r="A3817" s="17"/>
      <c r="B3817" s="17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</row>
    <row r="3818" spans="1:18" x14ac:dyDescent="0.2">
      <c r="A3818" s="17"/>
      <c r="B3818" s="17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8"/>
      <c r="R3818" s="18"/>
    </row>
    <row r="3819" spans="1:18" x14ac:dyDescent="0.2">
      <c r="A3819" s="17"/>
      <c r="B3819" s="17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</row>
    <row r="3820" spans="1:18" x14ac:dyDescent="0.2">
      <c r="A3820" s="17"/>
      <c r="B3820" s="17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18"/>
    </row>
    <row r="3821" spans="1:18" x14ac:dyDescent="0.2">
      <c r="A3821" s="17"/>
      <c r="B3821" s="17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</row>
    <row r="3822" spans="1:18" x14ac:dyDescent="0.2">
      <c r="A3822" s="17"/>
      <c r="B3822" s="17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18"/>
    </row>
    <row r="3823" spans="1:18" x14ac:dyDescent="0.2">
      <c r="A3823" s="17"/>
      <c r="B3823" s="17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</row>
    <row r="3824" spans="1:18" x14ac:dyDescent="0.2">
      <c r="A3824" s="17"/>
      <c r="B3824" s="17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8"/>
      <c r="R3824" s="18"/>
    </row>
    <row r="3825" spans="1:18" x14ac:dyDescent="0.2">
      <c r="A3825" s="17"/>
      <c r="B3825" s="17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</row>
    <row r="3826" spans="1:18" x14ac:dyDescent="0.2">
      <c r="A3826" s="17"/>
      <c r="B3826" s="17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</row>
    <row r="3827" spans="1:18" x14ac:dyDescent="0.2">
      <c r="A3827" s="17"/>
      <c r="B3827" s="17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</row>
    <row r="3828" spans="1:18" x14ac:dyDescent="0.2">
      <c r="A3828" s="17"/>
      <c r="B3828" s="17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8"/>
      <c r="R3828" s="18"/>
    </row>
    <row r="3829" spans="1:18" x14ac:dyDescent="0.2">
      <c r="A3829" s="17"/>
      <c r="B3829" s="17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</row>
    <row r="3830" spans="1:18" x14ac:dyDescent="0.2">
      <c r="A3830" s="17"/>
      <c r="B3830" s="17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8"/>
      <c r="R3830" s="18"/>
    </row>
    <row r="3831" spans="1:18" x14ac:dyDescent="0.2">
      <c r="A3831" s="17"/>
      <c r="B3831" s="17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/>
    </row>
    <row r="3832" spans="1:18" x14ac:dyDescent="0.2">
      <c r="A3832" s="17"/>
      <c r="B3832" s="17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18"/>
    </row>
    <row r="3833" spans="1:18" x14ac:dyDescent="0.2">
      <c r="A3833" s="17"/>
      <c r="B3833" s="17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</row>
    <row r="3834" spans="1:18" x14ac:dyDescent="0.2">
      <c r="A3834" s="17"/>
      <c r="B3834" s="17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</row>
    <row r="3835" spans="1:18" x14ac:dyDescent="0.2">
      <c r="A3835" s="17"/>
      <c r="B3835" s="17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</row>
    <row r="3836" spans="1:18" x14ac:dyDescent="0.2">
      <c r="A3836" s="17"/>
      <c r="B3836" s="17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18"/>
    </row>
    <row r="3837" spans="1:18" x14ac:dyDescent="0.2">
      <c r="A3837" s="17"/>
      <c r="B3837" s="17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</row>
    <row r="3838" spans="1:18" x14ac:dyDescent="0.2">
      <c r="A3838" s="17"/>
      <c r="B3838" s="17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18"/>
    </row>
    <row r="3839" spans="1:18" x14ac:dyDescent="0.2">
      <c r="A3839" s="17"/>
      <c r="B3839" s="17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/>
    </row>
    <row r="3840" spans="1:18" x14ac:dyDescent="0.2">
      <c r="A3840" s="17"/>
      <c r="B3840" s="17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18"/>
    </row>
    <row r="3841" spans="1:18" x14ac:dyDescent="0.2">
      <c r="A3841" s="17"/>
      <c r="B3841" s="17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</row>
    <row r="3842" spans="1:18" x14ac:dyDescent="0.2">
      <c r="A3842" s="17"/>
      <c r="B3842" s="17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</row>
    <row r="3843" spans="1:18" x14ac:dyDescent="0.2">
      <c r="A3843" s="17"/>
      <c r="B3843" s="17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</row>
    <row r="3844" spans="1:18" x14ac:dyDescent="0.2">
      <c r="A3844" s="17"/>
      <c r="B3844" s="17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18"/>
    </row>
    <row r="3845" spans="1:18" x14ac:dyDescent="0.2">
      <c r="A3845" s="17"/>
      <c r="B3845" s="17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8"/>
      <c r="R3845" s="18"/>
    </row>
    <row r="3846" spans="1:18" x14ac:dyDescent="0.2">
      <c r="A3846" s="17"/>
      <c r="B3846" s="17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18"/>
    </row>
    <row r="3847" spans="1:18" x14ac:dyDescent="0.2">
      <c r="A3847" s="17"/>
      <c r="B3847" s="17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</row>
    <row r="3848" spans="1:18" x14ac:dyDescent="0.2">
      <c r="A3848" s="17"/>
      <c r="B3848" s="17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18"/>
    </row>
    <row r="3849" spans="1:18" x14ac:dyDescent="0.2">
      <c r="A3849" s="17"/>
      <c r="B3849" s="17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</row>
    <row r="3850" spans="1:18" x14ac:dyDescent="0.2">
      <c r="A3850" s="17"/>
      <c r="B3850" s="17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</row>
    <row r="3851" spans="1:18" x14ac:dyDescent="0.2">
      <c r="A3851" s="17"/>
      <c r="B3851" s="17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</row>
    <row r="3852" spans="1:18" x14ac:dyDescent="0.2">
      <c r="A3852" s="17"/>
      <c r="B3852" s="17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18"/>
    </row>
    <row r="3853" spans="1:18" x14ac:dyDescent="0.2">
      <c r="A3853" s="17"/>
      <c r="B3853" s="17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</row>
    <row r="3854" spans="1:18" x14ac:dyDescent="0.2">
      <c r="A3854" s="17"/>
      <c r="B3854" s="17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18"/>
    </row>
    <row r="3855" spans="1:18" x14ac:dyDescent="0.2">
      <c r="A3855" s="17"/>
      <c r="B3855" s="17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</row>
    <row r="3856" spans="1:18" x14ac:dyDescent="0.2">
      <c r="A3856" s="17"/>
      <c r="B3856" s="17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18"/>
    </row>
    <row r="3857" spans="1:18" x14ac:dyDescent="0.2">
      <c r="A3857" s="17"/>
      <c r="B3857" s="17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18"/>
    </row>
    <row r="3858" spans="1:18" x14ac:dyDescent="0.2">
      <c r="A3858" s="17"/>
      <c r="B3858" s="17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8"/>
      <c r="R3858" s="18"/>
    </row>
    <row r="3859" spans="1:18" x14ac:dyDescent="0.2">
      <c r="A3859" s="17"/>
      <c r="B3859" s="17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</row>
    <row r="3860" spans="1:18" x14ac:dyDescent="0.2">
      <c r="A3860" s="17"/>
      <c r="B3860" s="17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</row>
    <row r="3861" spans="1:18" x14ac:dyDescent="0.2">
      <c r="A3861" s="17"/>
      <c r="B3861" s="17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</row>
    <row r="3862" spans="1:18" x14ac:dyDescent="0.2">
      <c r="A3862" s="17"/>
      <c r="B3862" s="17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8"/>
      <c r="R3862" s="18"/>
    </row>
    <row r="3863" spans="1:18" x14ac:dyDescent="0.2">
      <c r="A3863" s="17"/>
      <c r="B3863" s="17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</row>
    <row r="3864" spans="1:18" x14ac:dyDescent="0.2">
      <c r="A3864" s="17"/>
      <c r="B3864" s="17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8"/>
      <c r="R3864" s="18"/>
    </row>
    <row r="3865" spans="1:18" x14ac:dyDescent="0.2">
      <c r="A3865" s="17"/>
      <c r="B3865" s="17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</row>
    <row r="3866" spans="1:18" x14ac:dyDescent="0.2">
      <c r="A3866" s="17"/>
      <c r="B3866" s="17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18"/>
    </row>
    <row r="3867" spans="1:18" x14ac:dyDescent="0.2">
      <c r="A3867" s="17"/>
      <c r="B3867" s="17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</row>
    <row r="3868" spans="1:18" x14ac:dyDescent="0.2">
      <c r="A3868" s="17"/>
      <c r="B3868" s="17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18"/>
    </row>
    <row r="3869" spans="1:18" x14ac:dyDescent="0.2">
      <c r="A3869" s="17"/>
      <c r="B3869" s="17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</row>
    <row r="3870" spans="1:18" x14ac:dyDescent="0.2">
      <c r="A3870" s="17"/>
      <c r="B3870" s="17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18"/>
    </row>
    <row r="3871" spans="1:18" x14ac:dyDescent="0.2">
      <c r="A3871" s="17"/>
      <c r="B3871" s="17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</row>
    <row r="3872" spans="1:18" x14ac:dyDescent="0.2">
      <c r="A3872" s="17"/>
      <c r="B3872" s="17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18"/>
    </row>
    <row r="3873" spans="1:18" x14ac:dyDescent="0.2">
      <c r="A3873" s="17"/>
      <c r="B3873" s="17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</row>
    <row r="3874" spans="1:18" x14ac:dyDescent="0.2">
      <c r="A3874" s="17"/>
      <c r="B3874" s="17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18"/>
    </row>
    <row r="3875" spans="1:18" x14ac:dyDescent="0.2">
      <c r="A3875" s="17"/>
      <c r="B3875" s="17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</row>
    <row r="3876" spans="1:18" x14ac:dyDescent="0.2">
      <c r="A3876" s="17"/>
      <c r="B3876" s="17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18"/>
    </row>
    <row r="3877" spans="1:18" x14ac:dyDescent="0.2">
      <c r="A3877" s="17"/>
      <c r="B3877" s="17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</row>
    <row r="3878" spans="1:18" x14ac:dyDescent="0.2">
      <c r="A3878" s="17"/>
      <c r="B3878" s="17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18"/>
    </row>
    <row r="3879" spans="1:18" x14ac:dyDescent="0.2">
      <c r="A3879" s="17"/>
      <c r="B3879" s="17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</row>
    <row r="3880" spans="1:18" x14ac:dyDescent="0.2">
      <c r="A3880" s="17"/>
      <c r="B3880" s="17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18"/>
    </row>
    <row r="3881" spans="1:18" x14ac:dyDescent="0.2">
      <c r="A3881" s="17"/>
      <c r="B3881" s="17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</row>
    <row r="3882" spans="1:18" x14ac:dyDescent="0.2">
      <c r="A3882" s="17"/>
      <c r="B3882" s="17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18"/>
    </row>
    <row r="3883" spans="1:18" x14ac:dyDescent="0.2">
      <c r="A3883" s="17"/>
      <c r="B3883" s="17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</row>
    <row r="3884" spans="1:18" x14ac:dyDescent="0.2">
      <c r="A3884" s="17"/>
      <c r="B3884" s="17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</row>
    <row r="3885" spans="1:18" x14ac:dyDescent="0.2">
      <c r="A3885" s="17"/>
      <c r="B3885" s="17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</row>
    <row r="3886" spans="1:18" x14ac:dyDescent="0.2">
      <c r="A3886" s="17"/>
      <c r="B3886" s="17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18"/>
    </row>
    <row r="3887" spans="1:18" x14ac:dyDescent="0.2">
      <c r="A3887" s="17"/>
      <c r="B3887" s="17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</row>
    <row r="3888" spans="1:18" x14ac:dyDescent="0.2">
      <c r="A3888" s="17"/>
      <c r="B3888" s="17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18"/>
    </row>
    <row r="3889" spans="1:18" x14ac:dyDescent="0.2">
      <c r="A3889" s="17"/>
      <c r="B3889" s="17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</row>
    <row r="3890" spans="1:18" x14ac:dyDescent="0.2">
      <c r="A3890" s="17"/>
      <c r="B3890" s="17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18"/>
    </row>
    <row r="3891" spans="1:18" x14ac:dyDescent="0.2">
      <c r="A3891" s="17"/>
      <c r="B3891" s="17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</row>
    <row r="3892" spans="1:18" x14ac:dyDescent="0.2">
      <c r="A3892" s="17"/>
      <c r="B3892" s="17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18"/>
    </row>
    <row r="3893" spans="1:18" x14ac:dyDescent="0.2">
      <c r="A3893" s="17"/>
      <c r="B3893" s="17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</row>
    <row r="3894" spans="1:18" x14ac:dyDescent="0.2">
      <c r="A3894" s="17"/>
      <c r="B3894" s="17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18"/>
    </row>
    <row r="3895" spans="1:18" x14ac:dyDescent="0.2">
      <c r="A3895" s="17"/>
      <c r="B3895" s="17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8"/>
      <c r="R3895" s="18"/>
    </row>
    <row r="3896" spans="1:18" x14ac:dyDescent="0.2">
      <c r="A3896" s="17"/>
      <c r="B3896" s="17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8"/>
      <c r="R3896" s="18"/>
    </row>
    <row r="3897" spans="1:18" x14ac:dyDescent="0.2">
      <c r="A3897" s="17"/>
      <c r="B3897" s="17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</row>
    <row r="3898" spans="1:18" x14ac:dyDescent="0.2">
      <c r="A3898" s="17"/>
      <c r="B3898" s="17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8"/>
      <c r="R3898" s="18"/>
    </row>
    <row r="3899" spans="1:18" x14ac:dyDescent="0.2">
      <c r="A3899" s="17"/>
      <c r="B3899" s="17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</row>
    <row r="3900" spans="1:18" x14ac:dyDescent="0.2">
      <c r="A3900" s="17"/>
      <c r="B3900" s="17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18"/>
    </row>
    <row r="3901" spans="1:18" x14ac:dyDescent="0.2">
      <c r="A3901" s="17"/>
      <c r="B3901" s="17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</row>
    <row r="3902" spans="1:18" x14ac:dyDescent="0.2">
      <c r="A3902" s="17"/>
      <c r="B3902" s="17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8"/>
      <c r="R3902" s="18"/>
    </row>
    <row r="3903" spans="1:18" x14ac:dyDescent="0.2">
      <c r="A3903" s="17"/>
      <c r="B3903" s="17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</row>
    <row r="3904" spans="1:18" x14ac:dyDescent="0.2">
      <c r="A3904" s="17"/>
      <c r="B3904" s="17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8"/>
      <c r="R3904" s="18"/>
    </row>
    <row r="3905" spans="1:18" x14ac:dyDescent="0.2">
      <c r="A3905" s="17"/>
      <c r="B3905" s="17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</row>
    <row r="3906" spans="1:18" x14ac:dyDescent="0.2">
      <c r="A3906" s="17"/>
      <c r="B3906" s="17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</row>
    <row r="3907" spans="1:18" x14ac:dyDescent="0.2">
      <c r="A3907" s="17"/>
      <c r="B3907" s="17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</row>
    <row r="3908" spans="1:18" x14ac:dyDescent="0.2">
      <c r="A3908" s="17"/>
      <c r="B3908" s="17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18"/>
    </row>
    <row r="3909" spans="1:18" x14ac:dyDescent="0.2">
      <c r="A3909" s="17"/>
      <c r="B3909" s="17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</row>
    <row r="3910" spans="1:18" x14ac:dyDescent="0.2">
      <c r="A3910" s="17"/>
      <c r="B3910" s="17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18"/>
    </row>
    <row r="3911" spans="1:18" x14ac:dyDescent="0.2">
      <c r="A3911" s="17"/>
      <c r="B3911" s="17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</row>
    <row r="3912" spans="1:18" x14ac:dyDescent="0.2">
      <c r="A3912" s="17"/>
      <c r="B3912" s="17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8"/>
      <c r="R3912" s="18"/>
    </row>
    <row r="3913" spans="1:18" x14ac:dyDescent="0.2">
      <c r="A3913" s="17"/>
      <c r="B3913" s="17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</row>
    <row r="3914" spans="1:18" x14ac:dyDescent="0.2">
      <c r="A3914" s="17"/>
      <c r="B3914" s="17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8"/>
      <c r="R3914" s="18"/>
    </row>
    <row r="3915" spans="1:18" x14ac:dyDescent="0.2">
      <c r="A3915" s="17"/>
      <c r="B3915" s="17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</row>
    <row r="3916" spans="1:18" x14ac:dyDescent="0.2">
      <c r="A3916" s="17"/>
      <c r="B3916" s="17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8"/>
      <c r="R3916" s="18"/>
    </row>
    <row r="3917" spans="1:18" x14ac:dyDescent="0.2">
      <c r="A3917" s="17"/>
      <c r="B3917" s="17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</row>
    <row r="3918" spans="1:18" x14ac:dyDescent="0.2">
      <c r="A3918" s="17"/>
      <c r="B3918" s="17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8"/>
      <c r="R3918" s="18"/>
    </row>
    <row r="3919" spans="1:18" x14ac:dyDescent="0.2">
      <c r="A3919" s="17"/>
      <c r="B3919" s="17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</row>
    <row r="3920" spans="1:18" x14ac:dyDescent="0.2">
      <c r="A3920" s="17"/>
      <c r="B3920" s="17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18"/>
    </row>
    <row r="3921" spans="1:18" x14ac:dyDescent="0.2">
      <c r="A3921" s="17"/>
      <c r="B3921" s="17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</row>
    <row r="3922" spans="1:18" x14ac:dyDescent="0.2">
      <c r="A3922" s="17"/>
      <c r="B3922" s="17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8"/>
      <c r="R3922" s="18"/>
    </row>
    <row r="3923" spans="1:18" x14ac:dyDescent="0.2">
      <c r="A3923" s="17"/>
      <c r="B3923" s="17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</row>
    <row r="3924" spans="1:18" x14ac:dyDescent="0.2">
      <c r="A3924" s="17"/>
      <c r="B3924" s="17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18"/>
    </row>
    <row r="3925" spans="1:18" x14ac:dyDescent="0.2">
      <c r="A3925" s="17"/>
      <c r="B3925" s="17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</row>
    <row r="3926" spans="1:18" x14ac:dyDescent="0.2">
      <c r="A3926" s="17"/>
      <c r="B3926" s="17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8"/>
      <c r="R3926" s="18"/>
    </row>
    <row r="3927" spans="1:18" x14ac:dyDescent="0.2">
      <c r="A3927" s="17"/>
      <c r="B3927" s="17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</row>
    <row r="3928" spans="1:18" x14ac:dyDescent="0.2">
      <c r="A3928" s="17"/>
      <c r="B3928" s="17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18"/>
    </row>
    <row r="3929" spans="1:18" x14ac:dyDescent="0.2">
      <c r="A3929" s="17"/>
      <c r="B3929" s="17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</row>
    <row r="3930" spans="1:18" x14ac:dyDescent="0.2">
      <c r="A3930" s="17"/>
      <c r="B3930" s="17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18"/>
    </row>
    <row r="3931" spans="1:18" x14ac:dyDescent="0.2">
      <c r="A3931" s="17"/>
      <c r="B3931" s="17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</row>
    <row r="3932" spans="1:18" x14ac:dyDescent="0.2">
      <c r="A3932" s="17"/>
      <c r="B3932" s="17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8"/>
      <c r="R3932" s="18"/>
    </row>
    <row r="3933" spans="1:18" x14ac:dyDescent="0.2">
      <c r="A3933" s="17"/>
      <c r="B3933" s="17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</row>
    <row r="3934" spans="1:18" x14ac:dyDescent="0.2">
      <c r="A3934" s="17"/>
      <c r="B3934" s="17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</row>
    <row r="3935" spans="1:18" x14ac:dyDescent="0.2">
      <c r="A3935" s="17"/>
      <c r="B3935" s="17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/>
    </row>
    <row r="3936" spans="1:18" x14ac:dyDescent="0.2">
      <c r="A3936" s="17"/>
      <c r="B3936" s="17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8"/>
      <c r="R3936" s="18"/>
    </row>
    <row r="3937" spans="1:18" x14ac:dyDescent="0.2">
      <c r="A3937" s="17"/>
      <c r="B3937" s="17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</row>
    <row r="3938" spans="1:18" x14ac:dyDescent="0.2">
      <c r="A3938" s="17"/>
      <c r="B3938" s="17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8"/>
      <c r="R3938" s="18"/>
    </row>
    <row r="3939" spans="1:18" x14ac:dyDescent="0.2">
      <c r="A3939" s="17"/>
      <c r="B3939" s="17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</row>
    <row r="3940" spans="1:18" x14ac:dyDescent="0.2">
      <c r="A3940" s="17"/>
      <c r="B3940" s="17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8"/>
      <c r="R3940" s="18"/>
    </row>
    <row r="3941" spans="1:18" x14ac:dyDescent="0.2">
      <c r="A3941" s="17"/>
      <c r="B3941" s="17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</row>
    <row r="3942" spans="1:18" x14ac:dyDescent="0.2">
      <c r="A3942" s="17"/>
      <c r="B3942" s="17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8"/>
      <c r="R3942" s="18"/>
    </row>
    <row r="3943" spans="1:18" x14ac:dyDescent="0.2">
      <c r="A3943" s="17"/>
      <c r="B3943" s="17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</row>
    <row r="3944" spans="1:18" x14ac:dyDescent="0.2">
      <c r="A3944" s="17"/>
      <c r="B3944" s="17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18"/>
    </row>
    <row r="3945" spans="1:18" x14ac:dyDescent="0.2">
      <c r="A3945" s="17"/>
      <c r="B3945" s="17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</row>
    <row r="3946" spans="1:18" x14ac:dyDescent="0.2">
      <c r="A3946" s="17"/>
      <c r="B3946" s="17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8"/>
      <c r="R3946" s="18"/>
    </row>
    <row r="3947" spans="1:18" x14ac:dyDescent="0.2">
      <c r="A3947" s="17"/>
      <c r="B3947" s="17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8"/>
      <c r="R3947" s="18"/>
    </row>
    <row r="3948" spans="1:18" x14ac:dyDescent="0.2">
      <c r="A3948" s="17"/>
      <c r="B3948" s="17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18"/>
    </row>
    <row r="3949" spans="1:18" x14ac:dyDescent="0.2">
      <c r="A3949" s="17"/>
      <c r="B3949" s="17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</row>
    <row r="3950" spans="1:18" x14ac:dyDescent="0.2">
      <c r="A3950" s="17"/>
      <c r="B3950" s="17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8"/>
      <c r="R3950" s="18"/>
    </row>
    <row r="3951" spans="1:18" x14ac:dyDescent="0.2">
      <c r="A3951" s="17"/>
      <c r="B3951" s="17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8"/>
      <c r="R3951" s="18"/>
    </row>
    <row r="3952" spans="1:18" x14ac:dyDescent="0.2">
      <c r="A3952" s="17"/>
      <c r="B3952" s="17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</row>
    <row r="3953" spans="1:18" x14ac:dyDescent="0.2">
      <c r="A3953" s="17"/>
      <c r="B3953" s="17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</row>
    <row r="3954" spans="1:18" x14ac:dyDescent="0.2">
      <c r="A3954" s="17"/>
      <c r="B3954" s="17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8"/>
      <c r="R3954" s="18"/>
    </row>
    <row r="3955" spans="1:18" x14ac:dyDescent="0.2">
      <c r="A3955" s="17"/>
      <c r="B3955" s="17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</row>
    <row r="3956" spans="1:18" x14ac:dyDescent="0.2">
      <c r="A3956" s="17"/>
      <c r="B3956" s="17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8"/>
      <c r="R3956" s="18"/>
    </row>
    <row r="3957" spans="1:18" x14ac:dyDescent="0.2">
      <c r="A3957" s="17"/>
      <c r="B3957" s="17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8"/>
      <c r="R3957" s="18"/>
    </row>
    <row r="3958" spans="1:18" x14ac:dyDescent="0.2">
      <c r="A3958" s="17"/>
      <c r="B3958" s="17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8"/>
      <c r="R3958" s="18"/>
    </row>
    <row r="3959" spans="1:18" x14ac:dyDescent="0.2">
      <c r="A3959" s="17"/>
      <c r="B3959" s="17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8"/>
      <c r="R3959" s="18"/>
    </row>
    <row r="3960" spans="1:18" x14ac:dyDescent="0.2">
      <c r="A3960" s="17"/>
      <c r="B3960" s="17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8"/>
      <c r="R3960" s="18"/>
    </row>
    <row r="3961" spans="1:18" x14ac:dyDescent="0.2">
      <c r="A3961" s="17"/>
      <c r="B3961" s="17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</row>
    <row r="3962" spans="1:18" x14ac:dyDescent="0.2">
      <c r="A3962" s="17"/>
      <c r="B3962" s="17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8"/>
      <c r="R3962" s="18"/>
    </row>
    <row r="3963" spans="1:18" x14ac:dyDescent="0.2">
      <c r="A3963" s="17"/>
      <c r="B3963" s="17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</row>
    <row r="3964" spans="1:18" x14ac:dyDescent="0.2">
      <c r="A3964" s="17"/>
      <c r="B3964" s="17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</row>
    <row r="3965" spans="1:18" x14ac:dyDescent="0.2">
      <c r="A3965" s="17"/>
      <c r="B3965" s="17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</row>
    <row r="3966" spans="1:18" x14ac:dyDescent="0.2">
      <c r="A3966" s="17"/>
      <c r="B3966" s="17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8"/>
      <c r="R3966" s="18"/>
    </row>
    <row r="3967" spans="1:18" x14ac:dyDescent="0.2">
      <c r="A3967" s="17"/>
      <c r="B3967" s="17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18"/>
    </row>
    <row r="3968" spans="1:18" x14ac:dyDescent="0.2">
      <c r="A3968" s="17"/>
      <c r="B3968" s="17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8"/>
      <c r="R3968" s="18"/>
    </row>
    <row r="3969" spans="1:18" x14ac:dyDescent="0.2">
      <c r="A3969" s="17"/>
      <c r="B3969" s="17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</row>
    <row r="3970" spans="1:18" x14ac:dyDescent="0.2">
      <c r="A3970" s="17"/>
      <c r="B3970" s="17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18"/>
    </row>
    <row r="3971" spans="1:18" x14ac:dyDescent="0.2">
      <c r="A3971" s="17"/>
      <c r="B3971" s="17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8"/>
      <c r="R3971" s="18"/>
    </row>
    <row r="3972" spans="1:18" x14ac:dyDescent="0.2">
      <c r="A3972" s="17"/>
      <c r="B3972" s="17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8"/>
      <c r="R3972" s="18"/>
    </row>
    <row r="3973" spans="1:18" x14ac:dyDescent="0.2">
      <c r="A3973" s="17"/>
      <c r="B3973" s="17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</row>
    <row r="3974" spans="1:18" x14ac:dyDescent="0.2">
      <c r="A3974" s="17"/>
      <c r="B3974" s="17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18"/>
    </row>
    <row r="3975" spans="1:18" x14ac:dyDescent="0.2">
      <c r="A3975" s="17"/>
      <c r="B3975" s="17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</row>
    <row r="3976" spans="1:18" x14ac:dyDescent="0.2">
      <c r="A3976" s="17"/>
      <c r="B3976" s="17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18"/>
    </row>
    <row r="3977" spans="1:18" x14ac:dyDescent="0.2">
      <c r="A3977" s="17"/>
      <c r="B3977" s="17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</row>
    <row r="3978" spans="1:18" x14ac:dyDescent="0.2">
      <c r="A3978" s="17"/>
      <c r="B3978" s="17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18"/>
    </row>
    <row r="3979" spans="1:18" x14ac:dyDescent="0.2">
      <c r="A3979" s="17"/>
      <c r="B3979" s="17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</row>
    <row r="3980" spans="1:18" x14ac:dyDescent="0.2">
      <c r="A3980" s="17"/>
      <c r="B3980" s="17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</row>
    <row r="3981" spans="1:18" x14ac:dyDescent="0.2">
      <c r="A3981" s="17"/>
      <c r="B3981" s="17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</row>
    <row r="3982" spans="1:18" x14ac:dyDescent="0.2">
      <c r="A3982" s="17"/>
      <c r="B3982" s="17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18"/>
    </row>
    <row r="3983" spans="1:18" x14ac:dyDescent="0.2">
      <c r="A3983" s="17"/>
      <c r="B3983" s="17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</row>
    <row r="3984" spans="1:18" x14ac:dyDescent="0.2">
      <c r="A3984" s="17"/>
      <c r="B3984" s="17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</row>
    <row r="3985" spans="1:18" x14ac:dyDescent="0.2">
      <c r="A3985" s="17"/>
      <c r="B3985" s="17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</row>
    <row r="3986" spans="1:18" x14ac:dyDescent="0.2">
      <c r="A3986" s="17"/>
      <c r="B3986" s="17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18"/>
    </row>
    <row r="3987" spans="1:18" x14ac:dyDescent="0.2">
      <c r="A3987" s="17"/>
      <c r="B3987" s="17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</row>
    <row r="3988" spans="1:18" x14ac:dyDescent="0.2">
      <c r="A3988" s="17"/>
      <c r="B3988" s="17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</row>
    <row r="3989" spans="1:18" x14ac:dyDescent="0.2">
      <c r="A3989" s="17"/>
      <c r="B3989" s="17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</row>
    <row r="3990" spans="1:18" x14ac:dyDescent="0.2">
      <c r="A3990" s="17"/>
      <c r="B3990" s="17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18"/>
    </row>
    <row r="3991" spans="1:18" x14ac:dyDescent="0.2">
      <c r="A3991" s="17"/>
      <c r="B3991" s="17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</row>
    <row r="3992" spans="1:18" x14ac:dyDescent="0.2">
      <c r="A3992" s="17"/>
      <c r="B3992" s="17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18"/>
    </row>
    <row r="3993" spans="1:18" x14ac:dyDescent="0.2">
      <c r="A3993" s="17"/>
      <c r="B3993" s="17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</row>
    <row r="3994" spans="1:18" x14ac:dyDescent="0.2">
      <c r="A3994" s="17"/>
      <c r="B3994" s="17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18"/>
    </row>
    <row r="3995" spans="1:18" x14ac:dyDescent="0.2">
      <c r="A3995" s="17"/>
      <c r="B3995" s="17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</row>
    <row r="3996" spans="1:18" x14ac:dyDescent="0.2">
      <c r="A3996" s="17"/>
      <c r="B3996" s="17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</row>
    <row r="3997" spans="1:18" x14ac:dyDescent="0.2">
      <c r="A3997" s="17"/>
      <c r="B3997" s="17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</row>
    <row r="3998" spans="1:18" x14ac:dyDescent="0.2">
      <c r="A3998" s="17"/>
      <c r="B3998" s="17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</row>
    <row r="3999" spans="1:18" x14ac:dyDescent="0.2">
      <c r="A3999" s="17"/>
      <c r="B3999" s="17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</row>
    <row r="4000" spans="1:18" x14ac:dyDescent="0.2">
      <c r="A4000" s="17"/>
      <c r="B4000" s="17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18"/>
    </row>
    <row r="4001" spans="1:18" x14ac:dyDescent="0.2">
      <c r="A4001" s="17"/>
      <c r="B4001" s="17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</row>
    <row r="4002" spans="1:18" x14ac:dyDescent="0.2">
      <c r="A4002" s="17"/>
      <c r="B4002" s="17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8"/>
      <c r="R4002" s="18"/>
    </row>
    <row r="4003" spans="1:18" x14ac:dyDescent="0.2">
      <c r="A4003" s="17"/>
      <c r="B4003" s="17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</row>
    <row r="4004" spans="1:18" x14ac:dyDescent="0.2">
      <c r="A4004" s="17"/>
      <c r="B4004" s="17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18"/>
    </row>
    <row r="4005" spans="1:18" x14ac:dyDescent="0.2">
      <c r="A4005" s="17"/>
      <c r="B4005" s="17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</row>
    <row r="4006" spans="1:18" x14ac:dyDescent="0.2">
      <c r="A4006" s="17"/>
      <c r="B4006" s="17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8"/>
      <c r="R4006" s="18"/>
    </row>
    <row r="4007" spans="1:18" x14ac:dyDescent="0.2">
      <c r="A4007" s="17"/>
      <c r="B4007" s="17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</row>
    <row r="4008" spans="1:18" x14ac:dyDescent="0.2">
      <c r="A4008" s="17"/>
      <c r="B4008" s="17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8"/>
      <c r="R4008" s="18"/>
    </row>
    <row r="4009" spans="1:18" x14ac:dyDescent="0.2">
      <c r="A4009" s="17"/>
      <c r="B4009" s="17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</row>
    <row r="4010" spans="1:18" x14ac:dyDescent="0.2">
      <c r="A4010" s="17"/>
      <c r="B4010" s="17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</row>
    <row r="4011" spans="1:18" x14ac:dyDescent="0.2">
      <c r="A4011" s="17"/>
      <c r="B4011" s="17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8"/>
      <c r="R4011" s="18"/>
    </row>
    <row r="4012" spans="1:18" x14ac:dyDescent="0.2">
      <c r="A4012" s="17"/>
      <c r="B4012" s="17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18"/>
    </row>
    <row r="4013" spans="1:18" x14ac:dyDescent="0.2">
      <c r="A4013" s="17"/>
      <c r="B4013" s="17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</row>
    <row r="4014" spans="1:18" x14ac:dyDescent="0.2">
      <c r="A4014" s="17"/>
      <c r="B4014" s="17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8"/>
      <c r="R4014" s="18"/>
    </row>
    <row r="4015" spans="1:18" x14ac:dyDescent="0.2">
      <c r="A4015" s="17"/>
      <c r="B4015" s="17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</row>
    <row r="4016" spans="1:18" x14ac:dyDescent="0.2">
      <c r="A4016" s="17"/>
      <c r="B4016" s="17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18"/>
    </row>
    <row r="4017" spans="1:18" x14ac:dyDescent="0.2">
      <c r="A4017" s="17"/>
      <c r="B4017" s="17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</row>
    <row r="4018" spans="1:18" x14ac:dyDescent="0.2">
      <c r="A4018" s="17"/>
      <c r="B4018" s="17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</row>
    <row r="4019" spans="1:18" x14ac:dyDescent="0.2">
      <c r="A4019" s="17"/>
      <c r="B4019" s="17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</row>
    <row r="4020" spans="1:18" x14ac:dyDescent="0.2">
      <c r="A4020" s="17"/>
      <c r="B4020" s="17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18"/>
    </row>
    <row r="4021" spans="1:18" x14ac:dyDescent="0.2">
      <c r="A4021" s="17"/>
      <c r="B4021" s="17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</row>
    <row r="4022" spans="1:18" x14ac:dyDescent="0.2">
      <c r="A4022" s="17"/>
      <c r="B4022" s="17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18"/>
    </row>
    <row r="4023" spans="1:18" x14ac:dyDescent="0.2">
      <c r="A4023" s="17"/>
      <c r="B4023" s="17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</row>
    <row r="4024" spans="1:18" x14ac:dyDescent="0.2">
      <c r="A4024" s="17"/>
      <c r="B4024" s="17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18"/>
    </row>
    <row r="4025" spans="1:18" x14ac:dyDescent="0.2">
      <c r="A4025" s="17"/>
      <c r="B4025" s="17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</row>
    <row r="4026" spans="1:18" x14ac:dyDescent="0.2">
      <c r="A4026" s="17"/>
      <c r="B4026" s="17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</row>
    <row r="4027" spans="1:18" x14ac:dyDescent="0.2">
      <c r="A4027" s="17"/>
      <c r="B4027" s="17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</row>
    <row r="4028" spans="1:18" x14ac:dyDescent="0.2">
      <c r="A4028" s="17"/>
      <c r="B4028" s="17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8"/>
      <c r="R4028" s="18"/>
    </row>
    <row r="4029" spans="1:18" x14ac:dyDescent="0.2">
      <c r="A4029" s="17"/>
      <c r="B4029" s="17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</row>
    <row r="4030" spans="1:18" x14ac:dyDescent="0.2">
      <c r="A4030" s="17"/>
      <c r="B4030" s="17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8"/>
      <c r="R4030" s="18"/>
    </row>
    <row r="4031" spans="1:18" x14ac:dyDescent="0.2">
      <c r="A4031" s="17"/>
      <c r="B4031" s="17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</row>
    <row r="4032" spans="1:18" x14ac:dyDescent="0.2">
      <c r="A4032" s="17"/>
      <c r="B4032" s="17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18"/>
    </row>
    <row r="4033" spans="1:18" x14ac:dyDescent="0.2">
      <c r="A4033" s="17"/>
      <c r="B4033" s="17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</row>
    <row r="4034" spans="1:18" x14ac:dyDescent="0.2">
      <c r="A4034" s="17"/>
      <c r="B4034" s="17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</row>
    <row r="4035" spans="1:18" x14ac:dyDescent="0.2">
      <c r="A4035" s="17"/>
      <c r="B4035" s="17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18"/>
    </row>
    <row r="4036" spans="1:18" x14ac:dyDescent="0.2">
      <c r="A4036" s="17"/>
      <c r="B4036" s="17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8"/>
      <c r="R4036" s="18"/>
    </row>
    <row r="4037" spans="1:18" x14ac:dyDescent="0.2">
      <c r="A4037" s="17"/>
      <c r="B4037" s="17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</row>
    <row r="4038" spans="1:18" x14ac:dyDescent="0.2">
      <c r="A4038" s="17"/>
      <c r="B4038" s="17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8"/>
      <c r="R4038" s="18"/>
    </row>
    <row r="4039" spans="1:18" x14ac:dyDescent="0.2">
      <c r="A4039" s="17"/>
      <c r="B4039" s="17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</row>
    <row r="4040" spans="1:18" x14ac:dyDescent="0.2">
      <c r="A4040" s="17"/>
      <c r="B4040" s="17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8"/>
      <c r="R4040" s="18"/>
    </row>
    <row r="4041" spans="1:18" x14ac:dyDescent="0.2">
      <c r="A4041" s="17"/>
      <c r="B4041" s="17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</row>
    <row r="4042" spans="1:18" x14ac:dyDescent="0.2">
      <c r="A4042" s="17"/>
      <c r="B4042" s="17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</row>
    <row r="4043" spans="1:18" x14ac:dyDescent="0.2">
      <c r="A4043" s="17"/>
      <c r="B4043" s="17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</row>
    <row r="4044" spans="1:18" x14ac:dyDescent="0.2">
      <c r="A4044" s="17"/>
      <c r="B4044" s="17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</row>
    <row r="4045" spans="1:18" x14ac:dyDescent="0.2">
      <c r="A4045" s="17"/>
      <c r="B4045" s="17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</row>
    <row r="4046" spans="1:18" x14ac:dyDescent="0.2">
      <c r="A4046" s="17"/>
      <c r="B4046" s="17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18"/>
    </row>
    <row r="4047" spans="1:18" x14ac:dyDescent="0.2">
      <c r="A4047" s="17"/>
      <c r="B4047" s="17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</row>
    <row r="4048" spans="1:18" x14ac:dyDescent="0.2">
      <c r="A4048" s="17"/>
      <c r="B4048" s="17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18"/>
    </row>
    <row r="4049" spans="1:18" x14ac:dyDescent="0.2">
      <c r="A4049" s="17"/>
      <c r="B4049" s="17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</row>
    <row r="4050" spans="1:18" x14ac:dyDescent="0.2">
      <c r="A4050" s="17"/>
      <c r="B4050" s="17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8"/>
      <c r="R4050" s="18"/>
    </row>
    <row r="4051" spans="1:18" x14ac:dyDescent="0.2">
      <c r="A4051" s="17"/>
      <c r="B4051" s="17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</row>
    <row r="4052" spans="1:18" x14ac:dyDescent="0.2">
      <c r="A4052" s="17"/>
      <c r="B4052" s="17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8"/>
      <c r="R4052" s="18"/>
    </row>
    <row r="4053" spans="1:18" x14ac:dyDescent="0.2">
      <c r="A4053" s="17"/>
      <c r="B4053" s="17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</row>
    <row r="4054" spans="1:18" x14ac:dyDescent="0.2">
      <c r="A4054" s="17"/>
      <c r="B4054" s="17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8"/>
      <c r="R4054" s="18"/>
    </row>
    <row r="4055" spans="1:18" x14ac:dyDescent="0.2">
      <c r="A4055" s="17"/>
      <c r="B4055" s="17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</row>
    <row r="4056" spans="1:18" x14ac:dyDescent="0.2">
      <c r="A4056" s="17"/>
      <c r="B4056" s="17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18"/>
    </row>
    <row r="4057" spans="1:18" x14ac:dyDescent="0.2">
      <c r="A4057" s="17"/>
      <c r="B4057" s="17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</row>
    <row r="4058" spans="1:18" x14ac:dyDescent="0.2">
      <c r="A4058" s="17"/>
      <c r="B4058" s="17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8"/>
      <c r="R4058" s="18"/>
    </row>
    <row r="4059" spans="1:18" x14ac:dyDescent="0.2">
      <c r="A4059" s="17"/>
      <c r="B4059" s="17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</row>
    <row r="4060" spans="1:18" x14ac:dyDescent="0.2">
      <c r="A4060" s="17"/>
      <c r="B4060" s="17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8"/>
      <c r="R4060" s="18"/>
    </row>
    <row r="4061" spans="1:18" x14ac:dyDescent="0.2">
      <c r="A4061" s="17"/>
      <c r="B4061" s="17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</row>
    <row r="4062" spans="1:18" x14ac:dyDescent="0.2">
      <c r="A4062" s="17"/>
      <c r="B4062" s="17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8"/>
      <c r="R4062" s="18"/>
    </row>
    <row r="4063" spans="1:18" x14ac:dyDescent="0.2">
      <c r="A4063" s="17"/>
      <c r="B4063" s="17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</row>
    <row r="4064" spans="1:18" x14ac:dyDescent="0.2">
      <c r="A4064" s="17"/>
      <c r="B4064" s="17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8"/>
    </row>
    <row r="4065" spans="1:18" x14ac:dyDescent="0.2">
      <c r="A4065" s="17"/>
      <c r="B4065" s="17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</row>
    <row r="4066" spans="1:18" x14ac:dyDescent="0.2">
      <c r="A4066" s="17"/>
      <c r="B4066" s="17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8"/>
      <c r="R4066" s="18"/>
    </row>
    <row r="4067" spans="1:18" x14ac:dyDescent="0.2">
      <c r="A4067" s="17"/>
      <c r="B4067" s="17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</row>
    <row r="4068" spans="1:18" x14ac:dyDescent="0.2">
      <c r="A4068" s="17"/>
      <c r="B4068" s="17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8"/>
      <c r="R4068" s="18"/>
    </row>
    <row r="4069" spans="1:18" x14ac:dyDescent="0.2">
      <c r="A4069" s="17"/>
      <c r="B4069" s="17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</row>
    <row r="4070" spans="1:18" x14ac:dyDescent="0.2">
      <c r="A4070" s="17"/>
      <c r="B4070" s="17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8"/>
      <c r="R4070" s="18"/>
    </row>
    <row r="4071" spans="1:18" x14ac:dyDescent="0.2">
      <c r="A4071" s="17"/>
      <c r="B4071" s="17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</row>
    <row r="4072" spans="1:18" x14ac:dyDescent="0.2">
      <c r="A4072" s="17"/>
      <c r="B4072" s="17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8"/>
    </row>
    <row r="4073" spans="1:18" x14ac:dyDescent="0.2">
      <c r="A4073" s="17"/>
      <c r="B4073" s="17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</row>
    <row r="4074" spans="1:18" x14ac:dyDescent="0.2">
      <c r="A4074" s="17"/>
      <c r="B4074" s="17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8"/>
      <c r="R4074" s="18"/>
    </row>
    <row r="4075" spans="1:18" x14ac:dyDescent="0.2">
      <c r="A4075" s="17"/>
      <c r="B4075" s="17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</row>
    <row r="4076" spans="1:18" x14ac:dyDescent="0.2">
      <c r="A4076" s="17"/>
      <c r="B4076" s="17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8"/>
      <c r="R4076" s="18"/>
    </row>
    <row r="4077" spans="1:18" x14ac:dyDescent="0.2">
      <c r="A4077" s="17"/>
      <c r="B4077" s="17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</row>
    <row r="4078" spans="1:18" x14ac:dyDescent="0.2">
      <c r="A4078" s="17"/>
      <c r="B4078" s="17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8"/>
      <c r="R4078" s="18"/>
    </row>
    <row r="4079" spans="1:18" x14ac:dyDescent="0.2">
      <c r="A4079" s="17"/>
      <c r="B4079" s="17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8"/>
      <c r="R4079" s="18"/>
    </row>
    <row r="4080" spans="1:18" x14ac:dyDescent="0.2">
      <c r="A4080" s="17"/>
      <c r="B4080" s="17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8"/>
      <c r="R4080" s="18"/>
    </row>
    <row r="4081" spans="1:18" x14ac:dyDescent="0.2">
      <c r="A4081" s="17"/>
      <c r="B4081" s="17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</row>
    <row r="4082" spans="1:18" x14ac:dyDescent="0.2">
      <c r="A4082" s="17"/>
      <c r="B4082" s="17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8"/>
      <c r="R4082" s="18"/>
    </row>
    <row r="4083" spans="1:18" x14ac:dyDescent="0.2">
      <c r="A4083" s="17"/>
      <c r="B4083" s="17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</row>
    <row r="4084" spans="1:18" x14ac:dyDescent="0.2">
      <c r="A4084" s="17"/>
      <c r="B4084" s="17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</row>
    <row r="4085" spans="1:18" x14ac:dyDescent="0.2">
      <c r="A4085" s="17"/>
      <c r="B4085" s="17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8"/>
      <c r="R4085" s="18"/>
    </row>
    <row r="4086" spans="1:18" x14ac:dyDescent="0.2">
      <c r="A4086" s="17"/>
      <c r="B4086" s="17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8"/>
      <c r="R4086" s="18"/>
    </row>
    <row r="4087" spans="1:18" x14ac:dyDescent="0.2">
      <c r="A4087" s="17"/>
      <c r="B4087" s="17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</row>
    <row r="4088" spans="1:18" x14ac:dyDescent="0.2">
      <c r="A4088" s="17"/>
      <c r="B4088" s="17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8"/>
      <c r="R4088" s="18"/>
    </row>
    <row r="4089" spans="1:18" x14ac:dyDescent="0.2">
      <c r="A4089" s="17"/>
      <c r="B4089" s="17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8"/>
      <c r="R4089" s="18"/>
    </row>
    <row r="4090" spans="1:18" x14ac:dyDescent="0.2">
      <c r="A4090" s="17"/>
      <c r="B4090" s="17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</row>
    <row r="4091" spans="1:18" x14ac:dyDescent="0.2">
      <c r="A4091" s="17"/>
      <c r="B4091" s="17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</row>
    <row r="4092" spans="1:18" x14ac:dyDescent="0.2">
      <c r="A4092" s="17"/>
      <c r="B4092" s="17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8"/>
      <c r="R4092" s="18"/>
    </row>
    <row r="4093" spans="1:18" x14ac:dyDescent="0.2">
      <c r="A4093" s="17"/>
      <c r="B4093" s="17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</row>
    <row r="4094" spans="1:18" x14ac:dyDescent="0.2">
      <c r="A4094" s="17"/>
      <c r="B4094" s="17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8"/>
      <c r="R4094" s="18"/>
    </row>
    <row r="4095" spans="1:18" x14ac:dyDescent="0.2">
      <c r="A4095" s="17"/>
      <c r="B4095" s="17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</row>
    <row r="4096" spans="1:18" x14ac:dyDescent="0.2">
      <c r="A4096" s="17"/>
      <c r="B4096" s="17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18"/>
    </row>
    <row r="4097" spans="1:18" x14ac:dyDescent="0.2">
      <c r="A4097" s="17"/>
      <c r="B4097" s="17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</row>
    <row r="4098" spans="1:18" x14ac:dyDescent="0.2">
      <c r="A4098" s="17"/>
      <c r="B4098" s="17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18"/>
      <c r="R4098" s="18"/>
    </row>
    <row r="4099" spans="1:18" x14ac:dyDescent="0.2">
      <c r="A4099" s="17"/>
      <c r="B4099" s="17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</row>
    <row r="4100" spans="1:18" x14ac:dyDescent="0.2">
      <c r="A4100" s="17"/>
      <c r="B4100" s="17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</row>
    <row r="4101" spans="1:18" x14ac:dyDescent="0.2">
      <c r="A4101" s="17"/>
      <c r="B4101" s="17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18"/>
    </row>
    <row r="4102" spans="1:18" x14ac:dyDescent="0.2">
      <c r="A4102" s="17"/>
      <c r="B4102" s="17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8"/>
    </row>
    <row r="4103" spans="1:18" x14ac:dyDescent="0.2">
      <c r="A4103" s="17"/>
      <c r="B4103" s="17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</row>
    <row r="4104" spans="1:18" x14ac:dyDescent="0.2">
      <c r="A4104" s="17"/>
      <c r="B4104" s="17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18"/>
    </row>
    <row r="4105" spans="1:18" x14ac:dyDescent="0.2">
      <c r="A4105" s="17"/>
      <c r="B4105" s="17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</row>
    <row r="4106" spans="1:18" x14ac:dyDescent="0.2">
      <c r="A4106" s="17"/>
      <c r="B4106" s="17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18"/>
      <c r="R4106" s="18"/>
    </row>
    <row r="4107" spans="1:18" x14ac:dyDescent="0.2">
      <c r="A4107" s="17"/>
      <c r="B4107" s="17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</row>
    <row r="4108" spans="1:18" x14ac:dyDescent="0.2">
      <c r="A4108" s="17"/>
      <c r="B4108" s="17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18"/>
      <c r="R4108" s="18"/>
    </row>
    <row r="4109" spans="1:18" x14ac:dyDescent="0.2">
      <c r="A4109" s="17"/>
      <c r="B4109" s="17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18"/>
    </row>
    <row r="4110" spans="1:18" x14ac:dyDescent="0.2">
      <c r="A4110" s="17"/>
      <c r="B4110" s="17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8"/>
    </row>
    <row r="4111" spans="1:18" x14ac:dyDescent="0.2">
      <c r="A4111" s="17"/>
      <c r="B4111" s="17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</row>
    <row r="4112" spans="1:18" x14ac:dyDescent="0.2">
      <c r="A4112" s="17"/>
      <c r="B4112" s="17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18"/>
    </row>
    <row r="4113" spans="1:18" x14ac:dyDescent="0.2">
      <c r="A4113" s="17"/>
      <c r="B4113" s="17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</row>
    <row r="4114" spans="1:18" x14ac:dyDescent="0.2">
      <c r="A4114" s="17"/>
      <c r="B4114" s="17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18"/>
    </row>
    <row r="4115" spans="1:18" x14ac:dyDescent="0.2">
      <c r="A4115" s="17"/>
      <c r="B4115" s="17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</row>
    <row r="4116" spans="1:18" x14ac:dyDescent="0.2">
      <c r="A4116" s="17"/>
      <c r="B4116" s="17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18"/>
    </row>
    <row r="4117" spans="1:18" x14ac:dyDescent="0.2">
      <c r="A4117" s="17"/>
      <c r="B4117" s="17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</row>
    <row r="4118" spans="1:18" x14ac:dyDescent="0.2">
      <c r="A4118" s="17"/>
      <c r="B4118" s="17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</row>
    <row r="4119" spans="1:18" x14ac:dyDescent="0.2">
      <c r="A4119" s="17"/>
      <c r="B4119" s="17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</row>
    <row r="4120" spans="1:18" x14ac:dyDescent="0.2">
      <c r="A4120" s="17"/>
      <c r="B4120" s="17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18"/>
    </row>
    <row r="4121" spans="1:18" x14ac:dyDescent="0.2">
      <c r="A4121" s="17"/>
      <c r="B4121" s="17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</row>
    <row r="4122" spans="1:18" x14ac:dyDescent="0.2">
      <c r="A4122" s="17"/>
      <c r="B4122" s="17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18"/>
    </row>
    <row r="4123" spans="1:18" x14ac:dyDescent="0.2">
      <c r="A4123" s="17"/>
      <c r="B4123" s="17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</row>
    <row r="4124" spans="1:18" x14ac:dyDescent="0.2">
      <c r="A4124" s="17"/>
      <c r="B4124" s="17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18"/>
    </row>
    <row r="4125" spans="1:18" x14ac:dyDescent="0.2">
      <c r="A4125" s="17"/>
      <c r="B4125" s="17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</row>
    <row r="4126" spans="1:18" x14ac:dyDescent="0.2">
      <c r="A4126" s="17"/>
      <c r="B4126" s="17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8"/>
    </row>
    <row r="4127" spans="1:18" x14ac:dyDescent="0.2">
      <c r="A4127" s="17"/>
      <c r="B4127" s="17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18"/>
    </row>
    <row r="4128" spans="1:18" x14ac:dyDescent="0.2">
      <c r="A4128" s="17"/>
      <c r="B4128" s="17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18"/>
    </row>
    <row r="4129" spans="1:18" x14ac:dyDescent="0.2">
      <c r="A4129" s="17"/>
      <c r="B4129" s="17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</row>
    <row r="4130" spans="1:18" x14ac:dyDescent="0.2">
      <c r="A4130" s="17"/>
      <c r="B4130" s="17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18"/>
    </row>
    <row r="4131" spans="1:18" x14ac:dyDescent="0.2">
      <c r="A4131" s="17"/>
      <c r="B4131" s="17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</row>
    <row r="4132" spans="1:18" x14ac:dyDescent="0.2">
      <c r="A4132" s="17"/>
      <c r="B4132" s="17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18"/>
    </row>
    <row r="4133" spans="1:18" x14ac:dyDescent="0.2">
      <c r="A4133" s="17"/>
      <c r="B4133" s="17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18"/>
    </row>
    <row r="4134" spans="1:18" x14ac:dyDescent="0.2">
      <c r="A4134" s="17"/>
      <c r="B4134" s="17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</row>
    <row r="4135" spans="1:18" x14ac:dyDescent="0.2">
      <c r="A4135" s="17"/>
      <c r="B4135" s="17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</row>
    <row r="4136" spans="1:18" x14ac:dyDescent="0.2">
      <c r="A4136" s="17"/>
      <c r="B4136" s="17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</row>
    <row r="4137" spans="1:18" x14ac:dyDescent="0.2">
      <c r="A4137" s="17"/>
      <c r="B4137" s="17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</row>
    <row r="4138" spans="1:18" x14ac:dyDescent="0.2">
      <c r="A4138" s="17"/>
      <c r="B4138" s="17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18"/>
    </row>
    <row r="4139" spans="1:18" x14ac:dyDescent="0.2">
      <c r="A4139" s="17"/>
      <c r="B4139" s="17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</row>
    <row r="4140" spans="1:18" x14ac:dyDescent="0.2">
      <c r="A4140" s="17"/>
      <c r="B4140" s="17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18"/>
    </row>
    <row r="4141" spans="1:18" x14ac:dyDescent="0.2">
      <c r="A4141" s="17"/>
      <c r="B4141" s="17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</row>
    <row r="4142" spans="1:18" x14ac:dyDescent="0.2">
      <c r="A4142" s="17"/>
      <c r="B4142" s="17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18"/>
    </row>
    <row r="4143" spans="1:18" x14ac:dyDescent="0.2">
      <c r="A4143" s="17"/>
      <c r="B4143" s="17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</row>
    <row r="4144" spans="1:18" x14ac:dyDescent="0.2">
      <c r="A4144" s="17"/>
      <c r="B4144" s="17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18"/>
    </row>
    <row r="4145" spans="1:18" x14ac:dyDescent="0.2">
      <c r="A4145" s="17"/>
      <c r="B4145" s="17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</row>
    <row r="4146" spans="1:18" x14ac:dyDescent="0.2">
      <c r="A4146" s="17"/>
      <c r="B4146" s="17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18"/>
    </row>
    <row r="4147" spans="1:18" x14ac:dyDescent="0.2">
      <c r="A4147" s="17"/>
      <c r="B4147" s="17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</row>
    <row r="4148" spans="1:18" x14ac:dyDescent="0.2">
      <c r="A4148" s="17"/>
      <c r="B4148" s="17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</row>
    <row r="4149" spans="1:18" x14ac:dyDescent="0.2">
      <c r="A4149" s="17"/>
      <c r="B4149" s="17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</row>
    <row r="4150" spans="1:18" x14ac:dyDescent="0.2">
      <c r="A4150" s="17"/>
      <c r="B4150" s="17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18"/>
    </row>
    <row r="4151" spans="1:18" x14ac:dyDescent="0.2">
      <c r="A4151" s="17"/>
      <c r="B4151" s="17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</row>
    <row r="4152" spans="1:18" x14ac:dyDescent="0.2">
      <c r="A4152" s="17"/>
      <c r="B4152" s="17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18"/>
    </row>
    <row r="4153" spans="1:18" x14ac:dyDescent="0.2">
      <c r="A4153" s="17"/>
      <c r="B4153" s="17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</row>
    <row r="4154" spans="1:18" x14ac:dyDescent="0.2">
      <c r="A4154" s="17"/>
      <c r="B4154" s="17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18"/>
    </row>
    <row r="4155" spans="1:18" x14ac:dyDescent="0.2">
      <c r="A4155" s="17"/>
      <c r="B4155" s="17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18"/>
    </row>
    <row r="4156" spans="1:18" x14ac:dyDescent="0.2">
      <c r="A4156" s="17"/>
      <c r="B4156" s="17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</row>
    <row r="4157" spans="1:18" x14ac:dyDescent="0.2">
      <c r="A4157" s="17"/>
      <c r="B4157" s="17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</row>
    <row r="4158" spans="1:18" x14ac:dyDescent="0.2">
      <c r="A4158" s="17"/>
      <c r="B4158" s="17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18"/>
    </row>
    <row r="4159" spans="1:18" x14ac:dyDescent="0.2">
      <c r="A4159" s="17"/>
      <c r="B4159" s="17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</row>
    <row r="4160" spans="1:18" x14ac:dyDescent="0.2">
      <c r="A4160" s="17"/>
      <c r="B4160" s="17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18"/>
    </row>
    <row r="4161" spans="1:18" x14ac:dyDescent="0.2">
      <c r="A4161" s="17"/>
      <c r="B4161" s="17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</row>
    <row r="4162" spans="1:18" x14ac:dyDescent="0.2">
      <c r="A4162" s="17"/>
      <c r="B4162" s="17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18"/>
    </row>
    <row r="4163" spans="1:18" x14ac:dyDescent="0.2">
      <c r="A4163" s="17"/>
      <c r="B4163" s="17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</row>
    <row r="4164" spans="1:18" x14ac:dyDescent="0.2">
      <c r="A4164" s="17"/>
      <c r="B4164" s="17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18"/>
    </row>
    <row r="4165" spans="1:18" x14ac:dyDescent="0.2">
      <c r="A4165" s="17"/>
      <c r="B4165" s="17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</row>
    <row r="4166" spans="1:18" x14ac:dyDescent="0.2">
      <c r="A4166" s="17"/>
      <c r="B4166" s="17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18"/>
    </row>
    <row r="4167" spans="1:18" x14ac:dyDescent="0.2">
      <c r="A4167" s="17"/>
      <c r="B4167" s="17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</row>
    <row r="4168" spans="1:18" x14ac:dyDescent="0.2">
      <c r="A4168" s="17"/>
      <c r="B4168" s="17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18"/>
    </row>
    <row r="4169" spans="1:18" x14ac:dyDescent="0.2">
      <c r="A4169" s="17"/>
      <c r="B4169" s="17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</row>
    <row r="4170" spans="1:18" x14ac:dyDescent="0.2">
      <c r="A4170" s="17"/>
      <c r="B4170" s="17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18"/>
    </row>
    <row r="4171" spans="1:18" x14ac:dyDescent="0.2">
      <c r="A4171" s="17"/>
      <c r="B4171" s="17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</row>
    <row r="4172" spans="1:18" x14ac:dyDescent="0.2">
      <c r="A4172" s="17"/>
      <c r="B4172" s="17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</row>
    <row r="4173" spans="1:18" x14ac:dyDescent="0.2">
      <c r="A4173" s="17"/>
      <c r="B4173" s="17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</row>
    <row r="4174" spans="1:18" x14ac:dyDescent="0.2">
      <c r="A4174" s="17"/>
      <c r="B4174" s="17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18"/>
    </row>
    <row r="4175" spans="1:18" x14ac:dyDescent="0.2">
      <c r="A4175" s="17"/>
      <c r="B4175" s="17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</row>
    <row r="4176" spans="1:18" x14ac:dyDescent="0.2">
      <c r="A4176" s="17"/>
      <c r="B4176" s="17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18"/>
    </row>
    <row r="4177" spans="1:18" x14ac:dyDescent="0.2">
      <c r="A4177" s="17"/>
      <c r="B4177" s="17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18"/>
    </row>
    <row r="4178" spans="1:18" x14ac:dyDescent="0.2">
      <c r="A4178" s="17"/>
      <c r="B4178" s="17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18"/>
    </row>
    <row r="4179" spans="1:18" x14ac:dyDescent="0.2">
      <c r="A4179" s="17"/>
      <c r="B4179" s="17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</row>
    <row r="4180" spans="1:18" x14ac:dyDescent="0.2">
      <c r="A4180" s="17"/>
      <c r="B4180" s="17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18"/>
    </row>
    <row r="4181" spans="1:18" x14ac:dyDescent="0.2">
      <c r="A4181" s="17"/>
      <c r="B4181" s="17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</row>
    <row r="4182" spans="1:18" x14ac:dyDescent="0.2">
      <c r="A4182" s="17"/>
      <c r="B4182" s="17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</row>
    <row r="4183" spans="1:18" x14ac:dyDescent="0.2">
      <c r="A4183" s="17"/>
      <c r="B4183" s="17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</row>
    <row r="4184" spans="1:18" x14ac:dyDescent="0.2">
      <c r="A4184" s="17"/>
      <c r="B4184" s="17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</row>
    <row r="4185" spans="1:18" x14ac:dyDescent="0.2">
      <c r="A4185" s="17"/>
      <c r="B4185" s="17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</row>
    <row r="4186" spans="1:18" x14ac:dyDescent="0.2">
      <c r="A4186" s="17"/>
      <c r="B4186" s="17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18"/>
    </row>
    <row r="4187" spans="1:18" x14ac:dyDescent="0.2">
      <c r="A4187" s="17"/>
      <c r="B4187" s="17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</row>
    <row r="4188" spans="1:18" x14ac:dyDescent="0.2">
      <c r="A4188" s="17"/>
      <c r="B4188" s="17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18"/>
    </row>
    <row r="4189" spans="1:18" x14ac:dyDescent="0.2">
      <c r="A4189" s="17"/>
      <c r="B4189" s="17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18"/>
    </row>
    <row r="4190" spans="1:18" x14ac:dyDescent="0.2">
      <c r="A4190" s="17"/>
      <c r="B4190" s="17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18"/>
    </row>
    <row r="4191" spans="1:18" x14ac:dyDescent="0.2">
      <c r="A4191" s="17"/>
      <c r="B4191" s="17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18"/>
    </row>
    <row r="4192" spans="1:18" x14ac:dyDescent="0.2">
      <c r="A4192" s="17"/>
      <c r="B4192" s="17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18"/>
    </row>
    <row r="4193" spans="1:18" x14ac:dyDescent="0.2">
      <c r="A4193" s="17"/>
      <c r="B4193" s="17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18"/>
    </row>
    <row r="4194" spans="1:18" x14ac:dyDescent="0.2">
      <c r="A4194" s="17"/>
      <c r="B4194" s="17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18"/>
    </row>
    <row r="4195" spans="1:18" x14ac:dyDescent="0.2">
      <c r="A4195" s="17"/>
      <c r="B4195" s="17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18"/>
    </row>
    <row r="4196" spans="1:18" x14ac:dyDescent="0.2">
      <c r="A4196" s="17"/>
      <c r="B4196" s="17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18"/>
    </row>
    <row r="4197" spans="1:18" x14ac:dyDescent="0.2">
      <c r="A4197" s="17"/>
      <c r="B4197" s="17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</row>
    <row r="4198" spans="1:18" x14ac:dyDescent="0.2">
      <c r="A4198" s="17"/>
      <c r="B4198" s="17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18"/>
    </row>
    <row r="4199" spans="1:18" x14ac:dyDescent="0.2">
      <c r="A4199" s="17"/>
      <c r="B4199" s="17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</row>
    <row r="4200" spans="1:18" x14ac:dyDescent="0.2">
      <c r="A4200" s="17"/>
      <c r="B4200" s="17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18"/>
    </row>
    <row r="4201" spans="1:18" x14ac:dyDescent="0.2">
      <c r="A4201" s="17"/>
      <c r="B4201" s="17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</row>
    <row r="4202" spans="1:18" x14ac:dyDescent="0.2">
      <c r="A4202" s="17"/>
      <c r="B4202" s="17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18"/>
    </row>
    <row r="4203" spans="1:18" x14ac:dyDescent="0.2">
      <c r="A4203" s="17"/>
      <c r="B4203" s="17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</row>
    <row r="4204" spans="1:18" x14ac:dyDescent="0.2">
      <c r="A4204" s="17"/>
      <c r="B4204" s="17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18"/>
    </row>
    <row r="4205" spans="1:18" x14ac:dyDescent="0.2">
      <c r="A4205" s="17"/>
      <c r="B4205" s="17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</row>
    <row r="4206" spans="1:18" x14ac:dyDescent="0.2">
      <c r="A4206" s="17"/>
      <c r="B4206" s="17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18"/>
    </row>
    <row r="4207" spans="1:18" x14ac:dyDescent="0.2">
      <c r="A4207" s="17"/>
      <c r="B4207" s="17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</row>
    <row r="4208" spans="1:18" x14ac:dyDescent="0.2">
      <c r="A4208" s="17"/>
      <c r="B4208" s="17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18"/>
    </row>
    <row r="4209" spans="1:18" x14ac:dyDescent="0.2">
      <c r="A4209" s="17"/>
      <c r="B4209" s="17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</row>
    <row r="4210" spans="1:18" x14ac:dyDescent="0.2">
      <c r="A4210" s="17"/>
      <c r="B4210" s="17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18"/>
    </row>
    <row r="4211" spans="1:18" x14ac:dyDescent="0.2">
      <c r="A4211" s="17"/>
      <c r="B4211" s="17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</row>
    <row r="4212" spans="1:18" x14ac:dyDescent="0.2">
      <c r="A4212" s="17"/>
      <c r="B4212" s="17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18"/>
    </row>
    <row r="4213" spans="1:18" x14ac:dyDescent="0.2">
      <c r="A4213" s="17"/>
      <c r="B4213" s="17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</row>
    <row r="4214" spans="1:18" x14ac:dyDescent="0.2">
      <c r="A4214" s="17"/>
      <c r="B4214" s="17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18"/>
    </row>
    <row r="4215" spans="1:18" x14ac:dyDescent="0.2">
      <c r="A4215" s="17"/>
      <c r="B4215" s="17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</row>
    <row r="4216" spans="1:18" x14ac:dyDescent="0.2">
      <c r="A4216" s="17"/>
      <c r="B4216" s="17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18"/>
    </row>
    <row r="4217" spans="1:18" x14ac:dyDescent="0.2">
      <c r="A4217" s="17"/>
      <c r="B4217" s="17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18"/>
    </row>
    <row r="4218" spans="1:18" x14ac:dyDescent="0.2">
      <c r="A4218" s="17"/>
      <c r="B4218" s="17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</row>
    <row r="4219" spans="1:18" x14ac:dyDescent="0.2">
      <c r="A4219" s="17"/>
      <c r="B4219" s="17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</row>
    <row r="4220" spans="1:18" x14ac:dyDescent="0.2">
      <c r="A4220" s="17"/>
      <c r="B4220" s="17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18"/>
    </row>
    <row r="4221" spans="1:18" x14ac:dyDescent="0.2">
      <c r="A4221" s="17"/>
      <c r="B4221" s="17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18"/>
    </row>
    <row r="4222" spans="1:18" x14ac:dyDescent="0.2">
      <c r="A4222" s="17"/>
      <c r="B4222" s="17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18"/>
    </row>
    <row r="4223" spans="1:18" x14ac:dyDescent="0.2">
      <c r="A4223" s="17"/>
      <c r="B4223" s="17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</row>
    <row r="4224" spans="1:18" x14ac:dyDescent="0.2">
      <c r="A4224" s="17"/>
      <c r="B4224" s="17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18"/>
    </row>
    <row r="4225" spans="1:18" x14ac:dyDescent="0.2">
      <c r="A4225" s="17"/>
      <c r="B4225" s="17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</row>
    <row r="4226" spans="1:18" x14ac:dyDescent="0.2">
      <c r="A4226" s="17"/>
      <c r="B4226" s="17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18"/>
    </row>
    <row r="4227" spans="1:18" x14ac:dyDescent="0.2">
      <c r="A4227" s="17"/>
      <c r="B4227" s="17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</row>
    <row r="4228" spans="1:18" x14ac:dyDescent="0.2">
      <c r="A4228" s="17"/>
      <c r="B4228" s="17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</row>
    <row r="4229" spans="1:18" x14ac:dyDescent="0.2">
      <c r="A4229" s="17"/>
      <c r="B4229" s="17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</row>
    <row r="4230" spans="1:18" x14ac:dyDescent="0.2">
      <c r="A4230" s="17"/>
      <c r="B4230" s="17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18"/>
    </row>
    <row r="4231" spans="1:18" x14ac:dyDescent="0.2">
      <c r="A4231" s="17"/>
      <c r="B4231" s="17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</row>
    <row r="4232" spans="1:18" x14ac:dyDescent="0.2">
      <c r="A4232" s="17"/>
      <c r="B4232" s="17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18"/>
    </row>
    <row r="4233" spans="1:18" x14ac:dyDescent="0.2">
      <c r="A4233" s="17"/>
      <c r="B4233" s="17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</row>
    <row r="4234" spans="1:18" x14ac:dyDescent="0.2">
      <c r="A4234" s="17"/>
      <c r="B4234" s="17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</row>
    <row r="4235" spans="1:18" x14ac:dyDescent="0.2">
      <c r="A4235" s="17"/>
      <c r="B4235" s="17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</row>
    <row r="4236" spans="1:18" x14ac:dyDescent="0.2">
      <c r="A4236" s="17"/>
      <c r="B4236" s="17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18"/>
    </row>
    <row r="4237" spans="1:18" x14ac:dyDescent="0.2">
      <c r="A4237" s="17"/>
      <c r="B4237" s="17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</row>
    <row r="4238" spans="1:18" x14ac:dyDescent="0.2">
      <c r="A4238" s="17"/>
      <c r="B4238" s="17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18"/>
    </row>
    <row r="4239" spans="1:18" x14ac:dyDescent="0.2">
      <c r="A4239" s="17"/>
      <c r="B4239" s="17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</row>
    <row r="4240" spans="1:18" x14ac:dyDescent="0.2">
      <c r="A4240" s="17"/>
      <c r="B4240" s="17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18"/>
    </row>
  </sheetData>
  <phoneticPr fontId="6" type="noConversion"/>
  <pageMargins left="0" right="0" top="0.7" bottom="0" header="0.25" footer="0"/>
  <pageSetup scale="63" orientation="landscape" horizontalDpi="300" r:id="rId1"/>
  <headerFooter alignWithMargins="0">
    <oddFooter>Page &amp;P of &amp;N</oddFooter>
  </headerFooter>
  <rowBreaks count="2" manualBreakCount="2">
    <brk id="67" max="18" man="1"/>
    <brk id="174" max="16383" man="1"/>
  </rowBreaks>
  <colBreaks count="1" manualBreakCount="1">
    <brk id="18" max="1048575" man="1"/>
  </colBreaks>
  <customProperties>
    <customPr name="_pios_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5">
    <pageSetUpPr fitToPage="1"/>
  </sheetPr>
  <dimension ref="A1:Z675"/>
  <sheetViews>
    <sheetView showGridLines="0" view="pageBreakPreview" topLeftCell="B13" zoomScale="90" zoomScaleNormal="100" zoomScaleSheetLayoutView="90" workbookViewId="0">
      <selection activeCell="E28" sqref="E28"/>
    </sheetView>
  </sheetViews>
  <sheetFormatPr defaultColWidth="11" defaultRowHeight="15.75" x14ac:dyDescent="0.25"/>
  <cols>
    <col min="1" max="1" width="4.85546875" style="109" customWidth="1"/>
    <col min="2" max="2" width="43.42578125" style="109" bestFit="1" customWidth="1"/>
    <col min="3" max="3" width="16.5703125" style="109" customWidth="1"/>
    <col min="4" max="4" width="15.140625" style="109" bestFit="1" customWidth="1"/>
    <col min="5" max="5" width="15.42578125" style="109" bestFit="1" customWidth="1"/>
    <col min="6" max="6" width="13.42578125" style="109" customWidth="1"/>
    <col min="7" max="7" width="16.5703125" style="109" customWidth="1"/>
    <col min="8" max="8" width="15.42578125" style="109" bestFit="1" customWidth="1"/>
    <col min="9" max="9" width="3.5703125" style="109" customWidth="1"/>
    <col min="10" max="10" width="15.42578125" style="109" customWidth="1"/>
    <col min="11" max="11" width="18.42578125" style="109" customWidth="1"/>
    <col min="12" max="12" width="3.5703125" style="109" customWidth="1"/>
    <col min="13" max="13" width="15.42578125" style="109" bestFit="1" customWidth="1"/>
    <col min="14" max="14" width="3.5703125" style="109" customWidth="1"/>
    <col min="15" max="15" width="11" style="109"/>
    <col min="16" max="16" width="19" style="109" bestFit="1" customWidth="1"/>
    <col min="17" max="17" width="19" style="109" customWidth="1"/>
    <col min="18" max="18" width="21.5703125" style="109" bestFit="1" customWidth="1"/>
    <col min="19" max="19" width="16.140625" style="109" bestFit="1" customWidth="1"/>
    <col min="20" max="20" width="17" style="109" bestFit="1" customWidth="1"/>
    <col min="21" max="22" width="14.5703125" style="109" bestFit="1" customWidth="1"/>
    <col min="23" max="23" width="16.140625" style="109" bestFit="1" customWidth="1"/>
    <col min="24" max="26" width="14.5703125" style="109" bestFit="1" customWidth="1"/>
    <col min="27" max="16384" width="11" style="109"/>
  </cols>
  <sheetData>
    <row r="1" spans="1:26" x14ac:dyDescent="0.25"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</row>
    <row r="2" spans="1:26" x14ac:dyDescent="0.25"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S2" s="150"/>
      <c r="T2" s="150"/>
      <c r="U2" s="150"/>
    </row>
    <row r="3" spans="1:26" x14ac:dyDescent="0.25"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549" t="s">
        <v>718</v>
      </c>
      <c r="Q3" s="110"/>
      <c r="S3" s="150"/>
      <c r="T3" s="150"/>
      <c r="U3" s="150"/>
    </row>
    <row r="4" spans="1:26" x14ac:dyDescent="0.25">
      <c r="B4" s="150"/>
      <c r="C4" s="150"/>
      <c r="D4" s="150"/>
      <c r="E4" s="150"/>
      <c r="F4" s="150"/>
      <c r="G4" s="111" t="s">
        <v>93</v>
      </c>
      <c r="H4" s="150"/>
      <c r="I4" s="150"/>
      <c r="J4" s="150"/>
      <c r="K4" s="150"/>
      <c r="L4" s="150"/>
      <c r="M4" s="150"/>
      <c r="N4" s="150"/>
      <c r="O4" s="150"/>
      <c r="P4" s="150"/>
      <c r="S4" s="150"/>
      <c r="T4" s="150"/>
      <c r="U4" s="151"/>
      <c r="V4" s="113"/>
      <c r="W4" s="113"/>
      <c r="X4" s="113"/>
      <c r="Y4" s="113"/>
      <c r="Z4" s="113"/>
    </row>
    <row r="5" spans="1:26" x14ac:dyDescent="0.25">
      <c r="B5" s="150"/>
      <c r="C5" s="150"/>
      <c r="D5" s="150"/>
      <c r="E5" s="150"/>
      <c r="F5" s="150"/>
      <c r="G5" s="550" t="s">
        <v>346</v>
      </c>
      <c r="H5" s="150"/>
      <c r="I5" s="150"/>
      <c r="J5" s="150"/>
      <c r="K5" s="150"/>
      <c r="L5" s="150"/>
      <c r="M5" s="150"/>
      <c r="N5" s="150"/>
      <c r="O5" s="150"/>
      <c r="P5" s="549"/>
      <c r="Q5" s="110"/>
      <c r="S5" s="150"/>
      <c r="T5" s="150"/>
      <c r="U5" s="424"/>
      <c r="V5" s="407"/>
      <c r="W5" s="407"/>
      <c r="X5" s="407"/>
      <c r="Y5" s="407"/>
      <c r="Z5" s="407"/>
    </row>
    <row r="6" spans="1:26" x14ac:dyDescent="0.25">
      <c r="B6" s="150"/>
      <c r="C6" s="150"/>
      <c r="D6" s="150"/>
      <c r="E6" s="150"/>
      <c r="F6" s="150"/>
      <c r="G6" s="550" t="str">
        <f>"TEST YEAR ENDING "&amp;UPPER(TEXT(Dashboard!B10,"MMM, DD YYYY"))</f>
        <v>TEST YEAR ENDING MAR, 31 2019</v>
      </c>
      <c r="H6" s="150"/>
      <c r="I6" s="150"/>
      <c r="J6" s="150"/>
      <c r="K6" s="150"/>
      <c r="L6" s="150"/>
      <c r="M6" s="150"/>
      <c r="N6" s="150"/>
      <c r="O6" s="150"/>
      <c r="P6" s="150"/>
      <c r="S6" s="150"/>
      <c r="T6" s="150"/>
      <c r="U6" s="424"/>
      <c r="V6" s="407"/>
      <c r="W6" s="407"/>
      <c r="X6" s="407"/>
      <c r="Y6" s="407"/>
      <c r="Z6" s="407"/>
    </row>
    <row r="7" spans="1:26" x14ac:dyDescent="0.25">
      <c r="B7" s="150"/>
      <c r="C7" s="150"/>
      <c r="D7" s="150"/>
      <c r="E7" s="550"/>
      <c r="F7" s="550"/>
      <c r="G7" s="150"/>
      <c r="H7" s="150"/>
      <c r="I7" s="150"/>
      <c r="J7" s="150"/>
      <c r="K7" s="150"/>
      <c r="L7" s="150"/>
      <c r="M7" s="150"/>
      <c r="N7" s="150"/>
      <c r="O7" s="150"/>
      <c r="P7" s="150"/>
      <c r="S7" s="150"/>
      <c r="T7" s="150"/>
      <c r="U7" s="200"/>
      <c r="V7" s="118"/>
      <c r="W7" s="118"/>
      <c r="X7" s="118"/>
      <c r="Y7" s="118"/>
      <c r="Z7" s="118"/>
    </row>
    <row r="8" spans="1:26" x14ac:dyDescent="0.25">
      <c r="B8" s="150"/>
      <c r="C8" s="150"/>
      <c r="D8" s="150"/>
      <c r="E8" s="150"/>
      <c r="F8" s="150"/>
      <c r="G8" s="150"/>
      <c r="H8" s="150"/>
      <c r="I8" s="150"/>
      <c r="J8" s="751" t="s">
        <v>142</v>
      </c>
      <c r="K8" s="751"/>
      <c r="L8" s="150"/>
      <c r="M8" s="150"/>
      <c r="N8" s="150"/>
      <c r="O8" s="150"/>
      <c r="P8" s="150"/>
      <c r="S8" s="150"/>
      <c r="T8" s="150"/>
      <c r="U8" s="425"/>
      <c r="V8" s="408"/>
      <c r="W8" s="408"/>
      <c r="X8" s="408"/>
      <c r="Y8" s="408"/>
      <c r="Z8" s="408"/>
    </row>
    <row r="9" spans="1:26" ht="16.5" thickBot="1" x14ac:dyDescent="0.3">
      <c r="B9" s="150"/>
      <c r="C9" s="150"/>
      <c r="D9" s="551"/>
      <c r="E9" s="551"/>
      <c r="F9" s="552" t="str">
        <f>"Reference Period - Twelve Months Ending "&amp;TEXT(Dashboard!B7,"MM/DD/YYYY")</f>
        <v>Reference Period - Twelve Months Ending 06/30/2017</v>
      </c>
      <c r="G9" s="552"/>
      <c r="H9" s="551"/>
      <c r="I9" s="553"/>
      <c r="J9" s="752" t="s">
        <v>348</v>
      </c>
      <c r="K9" s="752"/>
      <c r="L9" s="553"/>
      <c r="M9" s="553"/>
      <c r="N9" s="553"/>
      <c r="O9" s="150"/>
      <c r="P9" s="150"/>
      <c r="S9" s="150"/>
      <c r="T9" s="150"/>
      <c r="U9" s="425"/>
      <c r="V9" s="408"/>
      <c r="W9" s="408"/>
      <c r="X9" s="408"/>
      <c r="Y9" s="408"/>
      <c r="Z9" s="408"/>
    </row>
    <row r="10" spans="1:26" ht="16.5" thickTop="1" x14ac:dyDescent="0.25">
      <c r="B10" s="150"/>
      <c r="C10" s="150"/>
      <c r="D10" s="150"/>
      <c r="E10" s="151"/>
      <c r="F10" s="151" t="s">
        <v>143</v>
      </c>
      <c r="G10" s="141" t="s">
        <v>148</v>
      </c>
      <c r="H10" s="151"/>
      <c r="I10" s="151"/>
      <c r="J10" s="151" t="s">
        <v>105</v>
      </c>
      <c r="K10" s="151" t="s">
        <v>144</v>
      </c>
      <c r="L10" s="151"/>
      <c r="M10" s="151" t="s">
        <v>19</v>
      </c>
      <c r="N10" s="151"/>
      <c r="O10" s="151"/>
      <c r="P10" s="150"/>
      <c r="S10" s="150"/>
      <c r="T10" s="150"/>
      <c r="U10" s="425"/>
      <c r="V10" s="408"/>
      <c r="W10" s="408"/>
      <c r="X10" s="408"/>
      <c r="Y10" s="408"/>
      <c r="Z10" s="408"/>
    </row>
    <row r="11" spans="1:26" x14ac:dyDescent="0.25">
      <c r="A11" s="113" t="s">
        <v>12</v>
      </c>
      <c r="B11" s="150"/>
      <c r="C11" s="150"/>
      <c r="D11" s="151" t="s">
        <v>146</v>
      </c>
      <c r="E11" s="141" t="s">
        <v>106</v>
      </c>
      <c r="F11" s="151" t="s">
        <v>147</v>
      </c>
      <c r="G11" s="141" t="s">
        <v>106</v>
      </c>
      <c r="H11" s="141" t="s">
        <v>19</v>
      </c>
      <c r="I11" s="141"/>
      <c r="J11" s="141" t="s">
        <v>149</v>
      </c>
      <c r="K11" s="151" t="s">
        <v>150</v>
      </c>
      <c r="L11" s="151"/>
      <c r="M11" s="151" t="s">
        <v>151</v>
      </c>
      <c r="N11" s="141"/>
      <c r="O11" s="151" t="s">
        <v>145</v>
      </c>
      <c r="P11" s="151" t="s">
        <v>145</v>
      </c>
      <c r="Q11" s="113"/>
      <c r="R11" s="113"/>
      <c r="S11" s="150"/>
      <c r="T11" s="150"/>
      <c r="U11" s="425"/>
      <c r="V11" s="408"/>
      <c r="W11" s="408"/>
      <c r="X11" s="408"/>
      <c r="Y11" s="408"/>
      <c r="Z11" s="408"/>
    </row>
    <row r="12" spans="1:26" x14ac:dyDescent="0.25">
      <c r="A12" s="114" t="s">
        <v>17</v>
      </c>
      <c r="B12" s="152" t="s">
        <v>152</v>
      </c>
      <c r="C12" s="152" t="s">
        <v>153</v>
      </c>
      <c r="D12" s="152" t="s">
        <v>154</v>
      </c>
      <c r="E12" s="152" t="s">
        <v>155</v>
      </c>
      <c r="F12" s="152" t="s">
        <v>106</v>
      </c>
      <c r="G12" s="554" t="s">
        <v>710</v>
      </c>
      <c r="H12" s="152" t="s">
        <v>106</v>
      </c>
      <c r="I12" s="554"/>
      <c r="J12" s="152" t="s">
        <v>156</v>
      </c>
      <c r="K12" s="152" t="s">
        <v>157</v>
      </c>
      <c r="L12" s="152"/>
      <c r="M12" s="152" t="s">
        <v>106</v>
      </c>
      <c r="N12" s="554"/>
      <c r="O12" s="555" t="s">
        <v>66</v>
      </c>
      <c r="P12" s="152" t="s">
        <v>22</v>
      </c>
      <c r="Q12" s="222"/>
      <c r="S12" s="150"/>
      <c r="T12" s="150"/>
      <c r="U12" s="426"/>
      <c r="V12" s="409"/>
      <c r="W12" s="409"/>
      <c r="X12" s="409"/>
      <c r="Y12" s="409"/>
      <c r="Z12" s="409"/>
    </row>
    <row r="13" spans="1:26" x14ac:dyDescent="0.25">
      <c r="B13" s="151"/>
      <c r="C13" s="151"/>
      <c r="D13" s="151" t="s">
        <v>13</v>
      </c>
      <c r="E13" s="151" t="s">
        <v>14</v>
      </c>
      <c r="F13" s="151" t="s">
        <v>15</v>
      </c>
      <c r="G13" s="151" t="s">
        <v>16</v>
      </c>
      <c r="H13" s="151" t="s">
        <v>108</v>
      </c>
      <c r="I13" s="151"/>
      <c r="J13" s="151" t="s">
        <v>109</v>
      </c>
      <c r="K13" s="151" t="s">
        <v>110</v>
      </c>
      <c r="L13" s="151"/>
      <c r="M13" s="556" t="s">
        <v>112</v>
      </c>
      <c r="N13" s="150"/>
      <c r="O13" s="556" t="s">
        <v>113</v>
      </c>
      <c r="P13" s="556" t="s">
        <v>114</v>
      </c>
      <c r="Q13" s="116"/>
      <c r="R13" s="118"/>
      <c r="S13" s="150"/>
      <c r="T13" s="427"/>
      <c r="U13" s="424"/>
      <c r="V13" s="407"/>
      <c r="W13" s="407"/>
      <c r="X13" s="407"/>
      <c r="Y13" s="407"/>
      <c r="Z13" s="407"/>
    </row>
    <row r="14" spans="1:26" x14ac:dyDescent="0.25">
      <c r="A14" s="113">
        <v>1</v>
      </c>
      <c r="B14" s="557" t="s">
        <v>158</v>
      </c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R14" s="118"/>
      <c r="S14" s="426"/>
      <c r="T14" s="150"/>
      <c r="U14" s="424"/>
      <c r="V14" s="407"/>
      <c r="W14" s="407"/>
      <c r="X14" s="407"/>
      <c r="Y14" s="407"/>
      <c r="Z14" s="407"/>
    </row>
    <row r="15" spans="1:26" x14ac:dyDescent="0.25">
      <c r="A15" s="113">
        <v>2</v>
      </c>
      <c r="B15" s="150" t="s">
        <v>528</v>
      </c>
      <c r="C15" s="151" t="s">
        <v>159</v>
      </c>
      <c r="D15" s="153">
        <f>'Bill Frequency'!O13</f>
        <v>1880067</v>
      </c>
      <c r="E15" s="153"/>
      <c r="F15" s="153"/>
      <c r="G15" s="153"/>
      <c r="H15" s="153"/>
      <c r="I15" s="153"/>
      <c r="J15" s="153">
        <f>'Test Year Monthly - (Pres)'!P13-'Test Year Revenue Present'!D15</f>
        <v>6300</v>
      </c>
      <c r="K15" s="153"/>
      <c r="L15" s="153"/>
      <c r="M15" s="153"/>
      <c r="N15" s="153"/>
      <c r="O15" s="558">
        <f>'Rate Design'!G12</f>
        <v>19.059999999999999</v>
      </c>
      <c r="P15" s="156">
        <f>ROUND(+O15*(D15+F15+J15),0)</f>
        <v>35954155</v>
      </c>
      <c r="Q15" s="156"/>
      <c r="R15" s="117"/>
      <c r="S15" s="428"/>
      <c r="T15" s="150"/>
      <c r="U15" s="200"/>
      <c r="V15" s="118"/>
      <c r="W15" s="118"/>
      <c r="X15" s="118"/>
      <c r="Y15" s="123"/>
      <c r="Z15" s="123"/>
    </row>
    <row r="16" spans="1:26" x14ac:dyDescent="0.25">
      <c r="A16" s="113">
        <v>3</v>
      </c>
      <c r="B16" s="150"/>
      <c r="C16" s="151" t="s">
        <v>159</v>
      </c>
      <c r="D16" s="200">
        <f>'Bill Frequency'!O20+'Bill Frequency'!O27+'Bill Frequency'!O34</f>
        <v>229990.32222222222</v>
      </c>
      <c r="E16" s="153"/>
      <c r="F16" s="153">
        <f>+'Contract &amp; Vol Adj'!O20+'Contract &amp; Vol Adj'!O27+'Contract &amp; Vol Adj'!O34</f>
        <v>13</v>
      </c>
      <c r="G16" s="150"/>
      <c r="H16" s="150"/>
      <c r="I16" s="150"/>
      <c r="J16" s="200"/>
      <c r="K16" s="200"/>
      <c r="L16" s="150"/>
      <c r="M16" s="428"/>
      <c r="N16" s="150"/>
      <c r="O16" s="559">
        <f>'Rate Design'!G13</f>
        <v>49.74</v>
      </c>
      <c r="P16" s="157">
        <f>ROUND(+O16*(D16+F16+J16),0)</f>
        <v>11440365</v>
      </c>
      <c r="Q16" s="157"/>
      <c r="R16" s="117"/>
      <c r="S16" s="428"/>
      <c r="T16" s="150"/>
      <c r="U16" s="425"/>
      <c r="V16" s="408"/>
      <c r="W16" s="118"/>
      <c r="X16" s="118"/>
      <c r="Y16" s="123"/>
      <c r="Z16" s="123"/>
    </row>
    <row r="17" spans="1:26" x14ac:dyDescent="0.25">
      <c r="A17" s="113">
        <v>4</v>
      </c>
      <c r="B17" s="150"/>
      <c r="C17" s="151" t="s">
        <v>160</v>
      </c>
      <c r="D17" s="200"/>
      <c r="E17" s="153">
        <f>'Bill Frequency'!P21+'Bill Frequency'!P28+'Bill Frequency'!P35+'Bill Frequency'!P14</f>
        <v>12806756.629999999</v>
      </c>
      <c r="F17" s="153">
        <f>'Contract &amp; Vol Adj'!P21+'Contract &amp; Vol Adj'!P28+'Contract &amp; Vol Adj'!P35+'Contract &amp; Vol Adj'!P14</f>
        <v>2648.4300000000003</v>
      </c>
      <c r="G17" s="153">
        <f>'WNA Summary'!P14+'WNA Summary'!P21+'WNA Summary'!P28</f>
        <v>2573875.2732027033</v>
      </c>
      <c r="H17" s="153">
        <f>SUM(E17:G17)</f>
        <v>15383280.333202701</v>
      </c>
      <c r="I17" s="153"/>
      <c r="J17" s="153">
        <f>M17-H17</f>
        <v>35393.092694049701</v>
      </c>
      <c r="K17" s="153">
        <v>0</v>
      </c>
      <c r="L17" s="153"/>
      <c r="M17" s="157">
        <f>Q17</f>
        <v>15418673.425896751</v>
      </c>
      <c r="N17" s="153"/>
      <c r="O17" s="560">
        <f>'Rate Design'!G19</f>
        <v>1.534</v>
      </c>
      <c r="P17" s="153">
        <f>ROUND((+M17)*O17,0)</f>
        <v>23652245</v>
      </c>
      <c r="Q17" s="153">
        <f>'Test Year Monthly - (Pres)'!P14+'Test Year Monthly - (Pres)'!P23+'Test Year Monthly - (Pres)'!P32+'Test Year Monthly - (Pres)'!P41</f>
        <v>15418673.425896751</v>
      </c>
      <c r="R17" s="117"/>
      <c r="S17" s="428"/>
      <c r="T17" s="429"/>
      <c r="U17" s="429"/>
      <c r="V17" s="125"/>
      <c r="W17" s="119"/>
      <c r="X17" s="119"/>
      <c r="Y17" s="123"/>
      <c r="Z17" s="123"/>
    </row>
    <row r="18" spans="1:26" x14ac:dyDescent="0.25">
      <c r="A18" s="113">
        <v>5</v>
      </c>
      <c r="B18" s="200"/>
      <c r="C18" s="151" t="s">
        <v>161</v>
      </c>
      <c r="D18" s="200"/>
      <c r="E18" s="153">
        <f>'Bill Frequency'!P22+'Bill Frequency'!P29+'Bill Frequency'!P36+'Bill Frequency'!P15</f>
        <v>992822.01</v>
      </c>
      <c r="F18" s="153">
        <f>'Contract &amp; Vol Adj'!P15+'Contract &amp; Vol Adj'!P22+'Contract &amp; Vol Adj'!P29+'Contract &amp; Vol Adj'!P36</f>
        <v>-34945.43</v>
      </c>
      <c r="G18" s="153">
        <f>'WNA Summary'!P15+'WNA Summary'!P22+'WNA Summary'!P29</f>
        <v>66415.726797296797</v>
      </c>
      <c r="H18" s="153">
        <f>SUM(E18:G18)</f>
        <v>1024292.3067972967</v>
      </c>
      <c r="I18" s="153"/>
      <c r="J18" s="153">
        <v>0</v>
      </c>
      <c r="K18" s="153">
        <v>0</v>
      </c>
      <c r="L18" s="153"/>
      <c r="M18" s="157">
        <f>H18+J18+K18</f>
        <v>1024292.3067972967</v>
      </c>
      <c r="N18" s="153"/>
      <c r="O18" s="560">
        <f>'Rate Design'!G20</f>
        <v>0.95</v>
      </c>
      <c r="P18" s="153">
        <f>ROUND((+M18)*O18,0)</f>
        <v>973078</v>
      </c>
      <c r="Q18" s="153">
        <f>'Test Year Monthly - (Pres)'!P15+'Test Year Monthly - (Pres)'!P24+'Test Year Monthly - (Pres)'!P33+'Test Year Monthly - (Pres)'!P42</f>
        <v>1024292.3067972969</v>
      </c>
      <c r="R18" s="117"/>
      <c r="S18" s="428"/>
      <c r="T18" s="150"/>
      <c r="U18" s="429"/>
      <c r="W18" s="119"/>
      <c r="X18" s="119"/>
      <c r="Y18" s="123"/>
      <c r="Z18" s="123"/>
    </row>
    <row r="19" spans="1:26" x14ac:dyDescent="0.25">
      <c r="A19" s="113">
        <v>6</v>
      </c>
      <c r="B19" s="561"/>
      <c r="C19" s="151" t="s">
        <v>162</v>
      </c>
      <c r="D19" s="200"/>
      <c r="E19" s="153">
        <f>'Bill Frequency'!P23+'Bill Frequency'!P30+'Bill Frequency'!P37+'Bill Frequency'!P16</f>
        <v>0</v>
      </c>
      <c r="F19" s="153">
        <f>'Contract &amp; Vol Adj'!P16+'Contract &amp; Vol Adj'!P23+'Contract &amp; Vol Adj'!P30+'Contract &amp; Vol Adj'!P37</f>
        <v>0</v>
      </c>
      <c r="G19" s="153">
        <f>'WNA Summary'!P16+'WNA Summary'!P23+'WNA Summary'!P53+'WNA Summary'!P30</f>
        <v>0</v>
      </c>
      <c r="H19" s="153">
        <f>SUM(E19:G19)</f>
        <v>0</v>
      </c>
      <c r="I19" s="153"/>
      <c r="J19" s="153">
        <v>0</v>
      </c>
      <c r="K19" s="153">
        <v>0</v>
      </c>
      <c r="L19" s="153"/>
      <c r="M19" s="157">
        <f>H19+J19+K19</f>
        <v>0</v>
      </c>
      <c r="N19" s="153"/>
      <c r="O19" s="560">
        <f>'Rate Design'!G21</f>
        <v>0.74</v>
      </c>
      <c r="P19" s="153">
        <f>ROUND((+M19)*O19,0)</f>
        <v>0</v>
      </c>
      <c r="Q19" s="153"/>
      <c r="R19" s="117"/>
      <c r="S19" s="428"/>
      <c r="T19" s="150"/>
      <c r="U19" s="150"/>
      <c r="W19" s="119"/>
      <c r="X19" s="119"/>
      <c r="Y19" s="123"/>
      <c r="Z19" s="123"/>
    </row>
    <row r="20" spans="1:26" x14ac:dyDescent="0.25">
      <c r="A20" s="113">
        <v>7</v>
      </c>
      <c r="B20" s="150" t="s">
        <v>529</v>
      </c>
      <c r="C20" s="151" t="s">
        <v>159</v>
      </c>
      <c r="D20" s="153">
        <f>'Bill Frequency'!O41+'Bill Frequency'!O47</f>
        <v>142</v>
      </c>
      <c r="E20" s="153"/>
      <c r="F20" s="153">
        <f>'Contract &amp; Vol Adj'!O41+'Contract &amp; Vol Adj'!O47</f>
        <v>0</v>
      </c>
      <c r="G20" s="153"/>
      <c r="H20" s="153"/>
      <c r="I20" s="153"/>
      <c r="J20" s="153"/>
      <c r="K20" s="153"/>
      <c r="L20" s="153"/>
      <c r="M20" s="157"/>
      <c r="N20" s="153"/>
      <c r="O20" s="559">
        <f>'Rate Design'!G14</f>
        <v>393.35</v>
      </c>
      <c r="P20" s="157">
        <f>ROUND(+O20*(D20+F20+J20),0)</f>
        <v>55856</v>
      </c>
      <c r="Q20" s="157"/>
      <c r="R20" s="120" t="s">
        <v>563</v>
      </c>
      <c r="S20" s="430" t="s">
        <v>561</v>
      </c>
      <c r="T20" s="431" t="s">
        <v>562</v>
      </c>
      <c r="U20" s="115" t="s">
        <v>162</v>
      </c>
      <c r="W20" s="118"/>
      <c r="X20" s="118"/>
      <c r="Y20" s="123"/>
      <c r="Z20" s="123"/>
    </row>
    <row r="21" spans="1:26" x14ac:dyDescent="0.25">
      <c r="A21" s="113">
        <v>8</v>
      </c>
      <c r="B21" s="562"/>
      <c r="C21" s="151" t="s">
        <v>163</v>
      </c>
      <c r="D21" s="153"/>
      <c r="E21" s="153">
        <f>'Bill Frequency'!P42+'Bill Frequency'!P48</f>
        <v>432169</v>
      </c>
      <c r="F21" s="153">
        <f>'Contract &amp; Vol Adj'!P42+'Contract &amp; Vol Adj'!P48</f>
        <v>-75000</v>
      </c>
      <c r="G21" s="153"/>
      <c r="H21" s="153">
        <f>SUM(E21:G21)</f>
        <v>357169</v>
      </c>
      <c r="I21" s="153"/>
      <c r="J21" s="153"/>
      <c r="K21" s="153"/>
      <c r="L21" s="153"/>
      <c r="M21" s="157">
        <f>H21+J21+K21</f>
        <v>357169</v>
      </c>
      <c r="N21" s="153"/>
      <c r="O21" s="560">
        <f>'Rate Design'!G27</f>
        <v>0.90900000000000003</v>
      </c>
      <c r="P21" s="153">
        <f>ROUND((+M21)*O21,0)</f>
        <v>324667</v>
      </c>
      <c r="Q21" s="153"/>
      <c r="R21" s="117" t="s">
        <v>94</v>
      </c>
      <c r="S21" s="119">
        <f>'Bill Frequency'!P14+'Contract &amp; Vol Adj'!P14+'WNA Summary'!P14</f>
        <v>9990992.4299999997</v>
      </c>
      <c r="T21" s="118">
        <f>'Bill Frequency'!P15+'Contract &amp; Vol Adj'!P15+'WNA Summary'!P15</f>
        <v>0</v>
      </c>
      <c r="U21" s="118">
        <f>'Bill Frequency'!P16+'Contract &amp; Vol Adj'!P16+'WNA Summary'!P16</f>
        <v>0</v>
      </c>
      <c r="W21" s="118"/>
      <c r="X21" s="118"/>
      <c r="Y21" s="123"/>
      <c r="Z21" s="123"/>
    </row>
    <row r="22" spans="1:26" x14ac:dyDescent="0.25">
      <c r="A22" s="113">
        <v>9</v>
      </c>
      <c r="B22" s="150"/>
      <c r="C22" s="151" t="s">
        <v>162</v>
      </c>
      <c r="D22" s="153"/>
      <c r="E22" s="153">
        <f>'Bill Frequency'!P43+'Bill Frequency'!P49</f>
        <v>324655.01</v>
      </c>
      <c r="F22" s="153">
        <f>'Contract &amp; Vol Adj'!P43+'Contract &amp; Vol Adj'!P49</f>
        <v>-266795</v>
      </c>
      <c r="G22" s="153"/>
      <c r="H22" s="153">
        <f>SUM(E22:G22)</f>
        <v>57860.010000000009</v>
      </c>
      <c r="I22" s="153"/>
      <c r="J22" s="153"/>
      <c r="K22" s="153"/>
      <c r="L22" s="153"/>
      <c r="M22" s="157">
        <f>H22+J22+K22</f>
        <v>57860.010000000009</v>
      </c>
      <c r="N22" s="153"/>
      <c r="O22" s="560">
        <f>'Rate Design'!G28</f>
        <v>0.68489999999999995</v>
      </c>
      <c r="P22" s="153">
        <f>ROUND((+M22)*O22,0)</f>
        <v>39628</v>
      </c>
      <c r="Q22" s="153"/>
      <c r="R22" s="117" t="s">
        <v>124</v>
      </c>
      <c r="S22" s="119">
        <f>'Bill Frequency'!P21+'Contract &amp; Vol Adj'!P21+'WNA Summary'!P21</f>
        <v>4334304.8366618566</v>
      </c>
      <c r="T22" s="118">
        <f>'Bill Frequency'!P22+'Contract &amp; Vol Adj'!P22+'WNA Summary'!P22</f>
        <v>551148.50333814183</v>
      </c>
      <c r="U22" s="118">
        <f>'Bill Frequency'!P23+'Contract &amp; Vol Adj'!P23+'WNA Summary'!P23</f>
        <v>0</v>
      </c>
      <c r="W22" s="118"/>
      <c r="X22" s="118"/>
      <c r="Y22" s="123"/>
      <c r="Z22" s="123"/>
    </row>
    <row r="23" spans="1:26" x14ac:dyDescent="0.25">
      <c r="A23" s="113">
        <v>10</v>
      </c>
      <c r="B23" s="563"/>
      <c r="C23" s="564"/>
      <c r="D23" s="154"/>
      <c r="E23" s="154"/>
      <c r="F23" s="154"/>
      <c r="G23" s="563"/>
      <c r="H23" s="154"/>
      <c r="I23" s="154"/>
      <c r="J23" s="154"/>
      <c r="K23" s="154"/>
      <c r="L23" s="154"/>
      <c r="M23" s="609"/>
      <c r="N23" s="154"/>
      <c r="O23" s="565"/>
      <c r="P23" s="154"/>
      <c r="Q23" s="154"/>
      <c r="R23" s="117" t="s">
        <v>317</v>
      </c>
      <c r="S23" s="428">
        <f>'Bill Frequency'!P28+'Contract &amp; Vol Adj'!P28+'WNA Summary'!P51</f>
        <v>242140.31999999998</v>
      </c>
      <c r="T23" s="200">
        <f>'Bill Frequency'!P29+'Contract &amp; Vol Adj'!P29+'WNA Summary'!P52</f>
        <v>325879.88</v>
      </c>
      <c r="U23" s="200">
        <f>'Bill Frequency'!P30+'Contract &amp; Vol Adj'!P30+'WNA Summary'!P53</f>
        <v>0</v>
      </c>
      <c r="Y23" s="123"/>
      <c r="Z23" s="123"/>
    </row>
    <row r="24" spans="1:26" x14ac:dyDescent="0.25">
      <c r="A24" s="113">
        <v>11</v>
      </c>
      <c r="B24" s="557" t="s">
        <v>70</v>
      </c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428"/>
      <c r="N24" s="150"/>
      <c r="O24" s="150"/>
      <c r="P24" s="153"/>
      <c r="Q24" s="153"/>
      <c r="R24" s="120" t="s">
        <v>560</v>
      </c>
      <c r="S24" s="432">
        <f>'Bill Frequency'!P35+'Contract &amp; Vol Adj'!P35+'WNA Summary'!P28</f>
        <v>815842.74654084514</v>
      </c>
      <c r="T24" s="432">
        <f>'Bill Frequency'!P36+'Contract &amp; Vol Adj'!P36+'WNA Summary'!P29</f>
        <v>147263.9234591549</v>
      </c>
      <c r="U24" s="432">
        <f>'Bill Frequency'!P37+'Contract &amp; Vol Adj'!P37+'WNA Summary'!P30</f>
        <v>0</v>
      </c>
      <c r="Y24" s="123"/>
      <c r="Z24" s="123"/>
    </row>
    <row r="25" spans="1:26" x14ac:dyDescent="0.25">
      <c r="A25" s="113">
        <v>12</v>
      </c>
      <c r="B25" s="150" t="s">
        <v>533</v>
      </c>
      <c r="C25" s="151" t="s">
        <v>159</v>
      </c>
      <c r="D25" s="200">
        <f>'Bill Frequency'!O53</f>
        <v>1485</v>
      </c>
      <c r="E25" s="150"/>
      <c r="F25" s="194">
        <f>'Contract &amp; Vol Adj'!O53</f>
        <v>11</v>
      </c>
      <c r="G25" s="150"/>
      <c r="H25" s="153"/>
      <c r="I25" s="153"/>
      <c r="J25" s="153"/>
      <c r="K25" s="153"/>
      <c r="L25" s="153"/>
      <c r="M25" s="157"/>
      <c r="N25" s="153"/>
      <c r="O25" s="559">
        <f>'Rate Design'!G15</f>
        <v>396.49</v>
      </c>
      <c r="P25" s="153">
        <f>ROUND(+O25*(D25+F25),0)</f>
        <v>593149</v>
      </c>
      <c r="Q25" s="153"/>
      <c r="R25" s="117"/>
      <c r="S25" s="119">
        <f>SUM(S21:S24)</f>
        <v>15383280.333202701</v>
      </c>
      <c r="T25" s="119">
        <f>SUM(T21:T24)</f>
        <v>1024292.3067972967</v>
      </c>
      <c r="U25" s="118">
        <f>SUM(U21:U24)</f>
        <v>0</v>
      </c>
      <c r="W25" s="118"/>
      <c r="X25" s="118"/>
      <c r="Y25" s="123"/>
      <c r="Z25" s="123"/>
    </row>
    <row r="26" spans="1:26" x14ac:dyDescent="0.25">
      <c r="A26" s="113">
        <v>13</v>
      </c>
      <c r="B26" s="150" t="s">
        <v>532</v>
      </c>
      <c r="C26" s="151" t="s">
        <v>159</v>
      </c>
      <c r="D26" s="200">
        <f>'Bill Frequency'!O69</f>
        <v>869</v>
      </c>
      <c r="E26" s="150"/>
      <c r="F26" s="194">
        <f>'Contract &amp; Vol Adj'!O69</f>
        <v>-17</v>
      </c>
      <c r="G26" s="150"/>
      <c r="H26" s="153"/>
      <c r="I26" s="153"/>
      <c r="J26" s="153"/>
      <c r="K26" s="153"/>
      <c r="L26" s="153"/>
      <c r="M26" s="153"/>
      <c r="N26" s="153"/>
      <c r="O26" s="559">
        <f>'Rate Design'!G16</f>
        <v>398.04</v>
      </c>
      <c r="P26" s="153">
        <f>ROUND(+O26*(D26+F26),0)</f>
        <v>339130</v>
      </c>
      <c r="Q26" s="153"/>
      <c r="S26" s="119"/>
      <c r="W26" s="118"/>
      <c r="X26" s="118"/>
      <c r="Y26" s="123"/>
      <c r="Z26" s="123"/>
    </row>
    <row r="27" spans="1:26" x14ac:dyDescent="0.25">
      <c r="A27" s="113">
        <v>14</v>
      </c>
      <c r="B27" s="150" t="s">
        <v>534</v>
      </c>
      <c r="C27" s="151" t="s">
        <v>159</v>
      </c>
      <c r="D27" s="610">
        <f>'Bill Frequency'!O78</f>
        <v>173.60000000000005</v>
      </c>
      <c r="E27" s="150"/>
      <c r="F27" s="611">
        <f>'Contract &amp; Vol Adj'!O78</f>
        <v>-7</v>
      </c>
      <c r="G27" s="150"/>
      <c r="H27" s="150"/>
      <c r="I27" s="150"/>
      <c r="J27" s="150"/>
      <c r="K27" s="150"/>
      <c r="L27" s="150"/>
      <c r="M27" s="150"/>
      <c r="N27" s="150"/>
      <c r="O27" s="559">
        <f>'Rate Design'!G17</f>
        <v>375</v>
      </c>
      <c r="P27" s="153">
        <f>ROUND(+O27*(D27+F27),0)</f>
        <v>62475</v>
      </c>
      <c r="Q27" s="153"/>
      <c r="R27" s="433" t="s">
        <v>564</v>
      </c>
      <c r="S27" s="433"/>
      <c r="T27" s="433"/>
      <c r="U27" s="433"/>
      <c r="Y27" s="123"/>
      <c r="Z27" s="123"/>
    </row>
    <row r="28" spans="1:26" x14ac:dyDescent="0.25">
      <c r="A28" s="113">
        <v>15</v>
      </c>
      <c r="B28" s="150" t="s">
        <v>164</v>
      </c>
      <c r="C28" s="151" t="s">
        <v>159</v>
      </c>
      <c r="D28" s="428">
        <f>('Bill Frequency'!R54+'Bill Frequency'!R70+'Bill Frequency'!R79)/50</f>
        <v>2493</v>
      </c>
      <c r="E28" s="150"/>
      <c r="F28" s="194">
        <f>(+'Contract &amp; Vol Adj'!R54+'Contract &amp; Vol Adj'!R70+'Contract &amp; Vol Adj'!R79)/50</f>
        <v>-13</v>
      </c>
      <c r="G28" s="150"/>
      <c r="H28" s="153"/>
      <c r="I28" s="153"/>
      <c r="J28" s="153"/>
      <c r="K28" s="153"/>
      <c r="L28" s="153"/>
      <c r="M28" s="153"/>
      <c r="N28" s="153"/>
      <c r="O28" s="559">
        <f>'Rate Design'!G33</f>
        <v>50</v>
      </c>
      <c r="P28" s="153">
        <f>ROUND(+O28*(D28+F28),0)</f>
        <v>124000</v>
      </c>
      <c r="Q28" s="117"/>
      <c r="R28" s="117" t="s">
        <v>94</v>
      </c>
      <c r="S28" s="119">
        <f>'Test Year Monthly - (Pres)'!P14</f>
        <v>10026385.522694048</v>
      </c>
      <c r="T28" s="119">
        <f>'Test Year Monthly - (Pres)'!P15</f>
        <v>0</v>
      </c>
      <c r="U28" s="118">
        <f>'Test Year Monthly - (Pres)'!P16</f>
        <v>0</v>
      </c>
      <c r="Y28" s="123"/>
      <c r="Z28" s="123"/>
    </row>
    <row r="29" spans="1:26" x14ac:dyDescent="0.25">
      <c r="A29" s="113">
        <v>16</v>
      </c>
      <c r="B29" s="150" t="s">
        <v>472</v>
      </c>
      <c r="C29" s="150"/>
      <c r="D29" s="150"/>
      <c r="E29" s="428">
        <f>(+'Bill Frequency'!R56+'Bill Frequency'!R72+'Bill Frequency'!R81)/0.1</f>
        <v>757887.00000000012</v>
      </c>
      <c r="F29" s="194">
        <f>(+'Contract &amp; Vol Adj'!R56+'Contract &amp; Vol Adj'!R72+'Contract &amp; Vol Adj'!R81)/0.1</f>
        <v>0</v>
      </c>
      <c r="G29" s="150"/>
      <c r="H29" s="150"/>
      <c r="I29" s="150"/>
      <c r="J29" s="150"/>
      <c r="K29" s="150"/>
      <c r="L29" s="150"/>
      <c r="M29" s="150"/>
      <c r="N29" s="150"/>
      <c r="O29" s="559">
        <f>'Rate Design'!G34</f>
        <v>0.1</v>
      </c>
      <c r="P29" s="153">
        <f>ROUND((+E29+G29+F29)*O29,0)</f>
        <v>75789</v>
      </c>
      <c r="Q29" s="117"/>
      <c r="R29" s="117" t="s">
        <v>124</v>
      </c>
      <c r="S29" s="119">
        <f>'Test Year Monthly - (Pres)'!P23</f>
        <v>4334304.8366618585</v>
      </c>
      <c r="T29" s="119">
        <f>'Test Year Monthly - (Pres)'!P24</f>
        <v>551148.50333814195</v>
      </c>
      <c r="U29" s="118">
        <f>'Test Year Monthly - (Pres)'!P25</f>
        <v>0</v>
      </c>
      <c r="Y29" s="123"/>
      <c r="Z29" s="123"/>
    </row>
    <row r="30" spans="1:26" x14ac:dyDescent="0.25">
      <c r="A30" s="113">
        <v>17</v>
      </c>
      <c r="B30" s="150" t="s">
        <v>0</v>
      </c>
      <c r="C30" s="150"/>
      <c r="D30" s="150"/>
      <c r="E30" s="150"/>
      <c r="F30" s="194"/>
      <c r="G30" s="150"/>
      <c r="H30" s="150"/>
      <c r="I30" s="150"/>
      <c r="J30" s="150"/>
      <c r="K30" s="150"/>
      <c r="L30" s="150"/>
      <c r="M30" s="150"/>
      <c r="N30" s="150"/>
      <c r="O30" s="549" t="s">
        <v>61</v>
      </c>
      <c r="P30" s="200">
        <f>'Test Year Monthly - (Pres)'!P67+'Test Year Monthly - (Pres)'!P83+'Test Year Monthly - (Pres)'!P92</f>
        <v>130600</v>
      </c>
      <c r="Q30" s="118"/>
      <c r="R30" s="117" t="s">
        <v>317</v>
      </c>
      <c r="S30" s="119">
        <f>'Test Year Monthly - (Pres)'!P32</f>
        <v>242140.31999999995</v>
      </c>
      <c r="T30" s="119">
        <f>'Test Year Monthly - (Pres)'!P33</f>
        <v>325879.88</v>
      </c>
      <c r="U30" s="118">
        <f>'Test Year Monthly - (Pres)'!P34</f>
        <v>0</v>
      </c>
      <c r="Y30" s="123"/>
      <c r="Z30" s="123"/>
    </row>
    <row r="31" spans="1:26" x14ac:dyDescent="0.25">
      <c r="A31" s="113">
        <v>18</v>
      </c>
      <c r="B31" s="150" t="s">
        <v>530</v>
      </c>
      <c r="C31" s="151" t="s">
        <v>160</v>
      </c>
      <c r="D31" s="153"/>
      <c r="E31" s="200">
        <f>'Bill Frequency'!P57</f>
        <v>425359</v>
      </c>
      <c r="F31" s="200">
        <f>'Contract &amp; Vol Adj'!P57</f>
        <v>5494</v>
      </c>
      <c r="G31" s="153"/>
      <c r="H31" s="153">
        <f t="shared" ref="H31:H38" si="0">SUM(E31:G31)</f>
        <v>430853</v>
      </c>
      <c r="I31" s="153"/>
      <c r="J31" s="153"/>
      <c r="K31" s="153"/>
      <c r="L31" s="153"/>
      <c r="M31" s="153">
        <f t="shared" ref="M31:M38" si="1">H31+J31+K31</f>
        <v>430853</v>
      </c>
      <c r="N31" s="153"/>
      <c r="O31" s="560">
        <f>'Rate Design'!G23</f>
        <v>1.6233</v>
      </c>
      <c r="P31" s="153">
        <f t="shared" ref="P31:P37" si="2">ROUND((+M31)*O31,0)</f>
        <v>699404</v>
      </c>
      <c r="Q31" s="117"/>
      <c r="R31" s="120" t="s">
        <v>560</v>
      </c>
      <c r="S31" s="412">
        <f>'Test Year Monthly - (Pres)'!P41</f>
        <v>815842.74654084502</v>
      </c>
      <c r="T31" s="412">
        <f>'Test Year Monthly - (Pres)'!P42</f>
        <v>147263.9234591549</v>
      </c>
      <c r="U31" s="124">
        <f>'Test Year Monthly - (Pres)'!P43</f>
        <v>0</v>
      </c>
      <c r="Y31" s="123"/>
      <c r="Z31" s="123"/>
    </row>
    <row r="32" spans="1:26" x14ac:dyDescent="0.25">
      <c r="A32" s="113">
        <v>19</v>
      </c>
      <c r="B32" s="150"/>
      <c r="C32" s="151" t="s">
        <v>161</v>
      </c>
      <c r="D32" s="153"/>
      <c r="E32" s="200">
        <f>'Bill Frequency'!P58</f>
        <v>5289535</v>
      </c>
      <c r="F32" s="200">
        <f>'Contract &amp; Vol Adj'!P58</f>
        <v>151171.46734954938</v>
      </c>
      <c r="G32" s="153"/>
      <c r="H32" s="153">
        <f t="shared" si="0"/>
        <v>5440706.4673495498</v>
      </c>
      <c r="I32" s="153"/>
      <c r="J32" s="153"/>
      <c r="K32" s="153"/>
      <c r="L32" s="153"/>
      <c r="M32" s="153">
        <f t="shared" si="1"/>
        <v>5440706.4673495498</v>
      </c>
      <c r="N32" s="153"/>
      <c r="O32" s="560">
        <f>'Rate Design'!G24</f>
        <v>1.0052999999999999</v>
      </c>
      <c r="P32" s="153">
        <f t="shared" si="2"/>
        <v>5469542</v>
      </c>
      <c r="Q32" s="117"/>
      <c r="R32" s="117"/>
      <c r="S32" s="119">
        <f>SUM(S28:S31)</f>
        <v>15418673.425896751</v>
      </c>
      <c r="T32" s="123">
        <f>SUM(T28:T31)</f>
        <v>1024292.3067972969</v>
      </c>
      <c r="U32" s="118">
        <f>SUM(U28:U31)</f>
        <v>0</v>
      </c>
      <c r="Y32" s="123"/>
      <c r="Z32" s="123"/>
    </row>
    <row r="33" spans="1:26" x14ac:dyDescent="0.25">
      <c r="A33" s="113">
        <v>20</v>
      </c>
      <c r="B33" s="150"/>
      <c r="C33" s="151" t="s">
        <v>162</v>
      </c>
      <c r="D33" s="153"/>
      <c r="E33" s="200">
        <f>'Bill Frequency'!P59</f>
        <v>1178385</v>
      </c>
      <c r="F33" s="200">
        <f>'Contract &amp; Vol Adj'!P59</f>
        <v>-22342.46734954937</v>
      </c>
      <c r="G33" s="153"/>
      <c r="H33" s="153">
        <f t="shared" si="0"/>
        <v>1156042.5326504507</v>
      </c>
      <c r="I33" s="153"/>
      <c r="J33" s="153"/>
      <c r="K33" s="153"/>
      <c r="L33" s="153"/>
      <c r="M33" s="153">
        <f t="shared" si="1"/>
        <v>1156042.5326504507</v>
      </c>
      <c r="N33" s="153"/>
      <c r="O33" s="560">
        <f>'Rate Design'!G25</f>
        <v>0.78310000000000002</v>
      </c>
      <c r="P33" s="153">
        <f t="shared" si="2"/>
        <v>905297</v>
      </c>
      <c r="Q33" s="117"/>
      <c r="Y33" s="123"/>
      <c r="Z33" s="123"/>
    </row>
    <row r="34" spans="1:26" x14ac:dyDescent="0.25">
      <c r="A34" s="113">
        <v>21</v>
      </c>
      <c r="B34" s="150" t="s">
        <v>646</v>
      </c>
      <c r="C34" s="151" t="s">
        <v>161</v>
      </c>
      <c r="D34" s="153"/>
      <c r="E34" s="200">
        <f>'Bill Frequency'!P64</f>
        <v>0</v>
      </c>
      <c r="F34" s="200">
        <f>'Contract &amp; Vol Adj'!P64</f>
        <v>0</v>
      </c>
      <c r="G34" s="153"/>
      <c r="H34" s="153">
        <f t="shared" si="0"/>
        <v>0</v>
      </c>
      <c r="I34" s="153"/>
      <c r="J34" s="153"/>
      <c r="K34" s="153"/>
      <c r="L34" s="153"/>
      <c r="M34" s="153">
        <f t="shared" si="1"/>
        <v>0</v>
      </c>
      <c r="N34" s="153"/>
      <c r="O34" s="560">
        <f>'Rate Design'!S24</f>
        <v>0.71249999999999991</v>
      </c>
      <c r="P34" s="153">
        <f t="shared" si="2"/>
        <v>0</v>
      </c>
      <c r="Q34" s="117"/>
      <c r="Y34" s="123"/>
      <c r="Z34" s="123"/>
    </row>
    <row r="35" spans="1:26" x14ac:dyDescent="0.25">
      <c r="A35" s="113">
        <v>22</v>
      </c>
      <c r="B35" s="150"/>
      <c r="C35" s="151" t="s">
        <v>162</v>
      </c>
      <c r="D35" s="153"/>
      <c r="E35" s="200">
        <f>'Bill Frequency'!P65</f>
        <v>212615</v>
      </c>
      <c r="F35" s="200">
        <f>'Contract &amp; Vol Adj'!P65</f>
        <v>0</v>
      </c>
      <c r="G35" s="153"/>
      <c r="H35" s="153">
        <f t="shared" si="0"/>
        <v>212615</v>
      </c>
      <c r="I35" s="153"/>
      <c r="J35" s="153"/>
      <c r="K35" s="153"/>
      <c r="L35" s="153"/>
      <c r="M35" s="153">
        <f t="shared" si="1"/>
        <v>212615</v>
      </c>
      <c r="N35" s="153"/>
      <c r="O35" s="560">
        <f>'Rate Design'!S25</f>
        <v>0.55499999999999994</v>
      </c>
      <c r="P35" s="153">
        <f t="shared" si="2"/>
        <v>118001</v>
      </c>
      <c r="Q35" s="117"/>
      <c r="Y35" s="123"/>
      <c r="Z35" s="123"/>
    </row>
    <row r="36" spans="1:26" x14ac:dyDescent="0.25">
      <c r="A36" s="113">
        <v>23</v>
      </c>
      <c r="B36" s="150" t="s">
        <v>531</v>
      </c>
      <c r="C36" s="151" t="s">
        <v>163</v>
      </c>
      <c r="D36" s="153"/>
      <c r="E36" s="200">
        <f>'Bill Frequency'!P73</f>
        <v>5227792</v>
      </c>
      <c r="F36" s="200">
        <f>'Contract &amp; Vol Adj'!P73</f>
        <v>161611.16855604001</v>
      </c>
      <c r="G36" s="153"/>
      <c r="H36" s="153">
        <f t="shared" si="0"/>
        <v>5389403.1685560402</v>
      </c>
      <c r="I36" s="153"/>
      <c r="J36" s="153"/>
      <c r="K36" s="153"/>
      <c r="L36" s="153"/>
      <c r="M36" s="153">
        <f t="shared" si="1"/>
        <v>5389403.1685560402</v>
      </c>
      <c r="N36" s="153"/>
      <c r="O36" s="560">
        <f>'Rate Design'!G30</f>
        <v>0.90310000000000012</v>
      </c>
      <c r="P36" s="153">
        <f t="shared" si="2"/>
        <v>4867170</v>
      </c>
      <c r="Q36" s="117"/>
      <c r="R36" s="120" t="s">
        <v>65</v>
      </c>
      <c r="S36" s="412"/>
      <c r="T36" s="433"/>
      <c r="U36" s="433"/>
      <c r="Y36" s="123"/>
      <c r="Z36" s="123"/>
    </row>
    <row r="37" spans="1:26" x14ac:dyDescent="0.25">
      <c r="A37" s="113">
        <v>24</v>
      </c>
      <c r="B37" s="150"/>
      <c r="C37" s="151" t="s">
        <v>162</v>
      </c>
      <c r="D37" s="153"/>
      <c r="E37" s="200">
        <f>'Bill Frequency'!P74</f>
        <v>2598044</v>
      </c>
      <c r="F37" s="200">
        <f>'Contract &amp; Vol Adj'!P74</f>
        <v>291249.83144395996</v>
      </c>
      <c r="G37" s="153"/>
      <c r="H37" s="153">
        <f t="shared" si="0"/>
        <v>2889293.8314439598</v>
      </c>
      <c r="I37" s="153"/>
      <c r="J37" s="153"/>
      <c r="K37" s="153"/>
      <c r="L37" s="153"/>
      <c r="M37" s="153">
        <f t="shared" si="1"/>
        <v>2889293.8314439598</v>
      </c>
      <c r="N37" s="153"/>
      <c r="O37" s="560">
        <f>'Rate Design'!G31</f>
        <v>0.68049999999999999</v>
      </c>
      <c r="P37" s="153">
        <f t="shared" si="2"/>
        <v>1966164</v>
      </c>
      <c r="Q37" s="117"/>
      <c r="R37" s="117" t="s">
        <v>94</v>
      </c>
      <c r="S37" s="119">
        <f>S28-S21</f>
        <v>35393.092694047838</v>
      </c>
      <c r="T37" s="119">
        <f>T28-T21</f>
        <v>0</v>
      </c>
      <c r="U37" s="119">
        <f>U28-U21</f>
        <v>0</v>
      </c>
      <c r="Y37" s="123"/>
      <c r="Z37" s="123"/>
    </row>
    <row r="38" spans="1:26" x14ac:dyDescent="0.25">
      <c r="A38" s="113">
        <v>25</v>
      </c>
      <c r="B38" s="150" t="s">
        <v>473</v>
      </c>
      <c r="C38" s="150"/>
      <c r="D38" s="566"/>
      <c r="E38" s="566">
        <f>'Bill Frequency'!P82</f>
        <v>13847313</v>
      </c>
      <c r="F38" s="566">
        <f>'Contract &amp; Vol Adj'!P82</f>
        <v>-24300.000000000015</v>
      </c>
      <c r="G38" s="553"/>
      <c r="H38" s="512">
        <f t="shared" si="0"/>
        <v>13823013</v>
      </c>
      <c r="I38" s="512"/>
      <c r="J38" s="512"/>
      <c r="K38" s="512"/>
      <c r="L38" s="512"/>
      <c r="M38" s="512">
        <f t="shared" si="1"/>
        <v>13823013</v>
      </c>
      <c r="N38" s="512"/>
      <c r="O38" s="567" t="s">
        <v>61</v>
      </c>
      <c r="P38" s="566">
        <f>'Test Year Monthly - (Pres)'!P95-P39</f>
        <v>2125425.460282953</v>
      </c>
      <c r="Q38" s="201"/>
      <c r="R38" s="117" t="s">
        <v>124</v>
      </c>
      <c r="S38" s="119">
        <f>S29-S22</f>
        <v>0</v>
      </c>
      <c r="T38" s="119">
        <f t="shared" ref="T38:U38" si="3">T29-T22</f>
        <v>0</v>
      </c>
      <c r="U38" s="119">
        <f t="shared" si="3"/>
        <v>0</v>
      </c>
      <c r="Y38" s="123"/>
      <c r="Z38" s="123"/>
    </row>
    <row r="39" spans="1:26" x14ac:dyDescent="0.25">
      <c r="A39" s="113">
        <v>26</v>
      </c>
      <c r="B39" s="150"/>
      <c r="C39" s="150"/>
      <c r="D39" s="568"/>
      <c r="E39" s="568"/>
      <c r="F39" s="568"/>
      <c r="G39" s="569"/>
      <c r="H39" s="199"/>
      <c r="I39" s="512"/>
      <c r="J39" s="199"/>
      <c r="K39" s="199"/>
      <c r="L39" s="199"/>
      <c r="M39" s="199"/>
      <c r="N39" s="512"/>
      <c r="O39" s="567"/>
      <c r="P39" s="568"/>
      <c r="Q39" s="201"/>
      <c r="R39" s="117"/>
      <c r="S39" s="119"/>
      <c r="T39" s="119"/>
      <c r="U39" s="119"/>
      <c r="Y39" s="123"/>
      <c r="Z39" s="123"/>
    </row>
    <row r="40" spans="1:26" ht="16.5" thickBot="1" x14ac:dyDescent="0.3">
      <c r="A40" s="113">
        <v>27</v>
      </c>
      <c r="B40" s="150" t="s">
        <v>165</v>
      </c>
      <c r="C40" s="150"/>
      <c r="D40" s="570">
        <f>SUM(D15:D38)-D28</f>
        <v>2112726.9222222222</v>
      </c>
      <c r="E40" s="570">
        <f>SUM((E17:E23),(E31:E38))</f>
        <v>43335445.649999999</v>
      </c>
      <c r="F40" s="570">
        <f>F17+F18+F19+F21+F22+F23+SUM(F31:F38)</f>
        <v>188792</v>
      </c>
      <c r="G40" s="570">
        <f>SUM(G14:G38)</f>
        <v>2640291</v>
      </c>
      <c r="H40" s="570">
        <f>SUM(H14:H38)</f>
        <v>46164528.649999999</v>
      </c>
      <c r="I40" s="571"/>
      <c r="J40" s="155">
        <f>SUM(J14:J38)</f>
        <v>41693.092694049701</v>
      </c>
      <c r="K40" s="155">
        <f>SUM(K17:K38)</f>
        <v>0</v>
      </c>
      <c r="L40" s="570"/>
      <c r="M40" s="570">
        <f>SUM(M14:M38)</f>
        <v>46199921.74269405</v>
      </c>
      <c r="N40" s="571"/>
      <c r="O40" s="150"/>
      <c r="P40" s="428">
        <f>SUM(P14:P39)</f>
        <v>89916140.460282952</v>
      </c>
      <c r="Q40" s="119"/>
      <c r="R40" s="117" t="s">
        <v>317</v>
      </c>
      <c r="S40" s="119">
        <f>S30-S23</f>
        <v>0</v>
      </c>
      <c r="T40" s="119">
        <f t="shared" ref="T40:U40" si="4">T30-T23</f>
        <v>0</v>
      </c>
      <c r="U40" s="119">
        <f t="shared" si="4"/>
        <v>0</v>
      </c>
      <c r="Y40" s="123"/>
      <c r="Z40" s="123"/>
    </row>
    <row r="41" spans="1:26" ht="16.5" thickTop="1" x14ac:dyDescent="0.25">
      <c r="A41" s="113">
        <v>28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R41" s="120" t="s">
        <v>560</v>
      </c>
      <c r="S41" s="412">
        <f>S31-S24</f>
        <v>0</v>
      </c>
      <c r="T41" s="412">
        <f t="shared" ref="T41:U41" si="5">T31-T24</f>
        <v>0</v>
      </c>
      <c r="U41" s="412">
        <f t="shared" si="5"/>
        <v>0</v>
      </c>
      <c r="Y41" s="123"/>
      <c r="Z41" s="123"/>
    </row>
    <row r="42" spans="1:26" x14ac:dyDescent="0.25">
      <c r="A42" s="113">
        <v>29</v>
      </c>
      <c r="B42" s="150" t="s">
        <v>292</v>
      </c>
      <c r="C42" s="150"/>
      <c r="D42" s="150"/>
      <c r="E42" s="572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571">
        <f>'Test Year Monthly - (Pres)'!P99</f>
        <v>806054</v>
      </c>
      <c r="Q42" s="122"/>
      <c r="R42" s="118"/>
      <c r="S42" s="123">
        <f>SUM(S37:S41)</f>
        <v>35393.092694047838</v>
      </c>
      <c r="T42" s="123">
        <f>SUM(T37:T41)</f>
        <v>0</v>
      </c>
      <c r="U42" s="123">
        <f>SUM(U37:U41)</f>
        <v>0</v>
      </c>
      <c r="Y42" s="123"/>
      <c r="Z42" s="123"/>
    </row>
    <row r="43" spans="1:26" x14ac:dyDescent="0.25">
      <c r="A43" s="113">
        <v>30</v>
      </c>
      <c r="B43" s="150" t="s">
        <v>99</v>
      </c>
      <c r="C43" s="150"/>
      <c r="D43" s="612"/>
      <c r="E43" s="429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432">
        <f>'Test Year Monthly - (Pres)'!P100</f>
        <v>1297964.1796976668</v>
      </c>
      <c r="Q43" s="201"/>
      <c r="Y43" s="123"/>
      <c r="Z43" s="123"/>
    </row>
    <row r="44" spans="1:26" x14ac:dyDescent="0.25">
      <c r="A44" s="113">
        <v>31</v>
      </c>
      <c r="B44" s="150" t="s">
        <v>314</v>
      </c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428">
        <f>P40+P42+P43</f>
        <v>92020158.639980614</v>
      </c>
      <c r="Q44" s="119">
        <v>88767028.063150674</v>
      </c>
      <c r="R44" s="117"/>
      <c r="S44" s="119"/>
      <c r="Y44" s="123"/>
      <c r="Z44" s="123"/>
    </row>
    <row r="45" spans="1:26" x14ac:dyDescent="0.25">
      <c r="A45" s="113">
        <v>32</v>
      </c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S45" s="123"/>
      <c r="Y45" s="123"/>
      <c r="Z45" s="123"/>
    </row>
    <row r="46" spans="1:26" x14ac:dyDescent="0.25">
      <c r="A46" s="113">
        <v>33</v>
      </c>
      <c r="B46" s="150" t="s">
        <v>218</v>
      </c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573">
        <f>'Test Year Monthly - (Pres)'!P103</f>
        <v>78709117.242809042</v>
      </c>
      <c r="Q46" s="122"/>
      <c r="S46" s="411"/>
      <c r="Y46" s="123"/>
      <c r="Z46" s="123"/>
    </row>
    <row r="47" spans="1:26" x14ac:dyDescent="0.25">
      <c r="A47" s="113">
        <v>34</v>
      </c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Y47" s="123"/>
      <c r="Z47" s="123"/>
    </row>
    <row r="48" spans="1:26" ht="16.5" thickBot="1" x14ac:dyDescent="0.3">
      <c r="A48" s="113">
        <v>35</v>
      </c>
      <c r="B48" s="150" t="s">
        <v>96</v>
      </c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574">
        <f>P40+P42+P46+P43</f>
        <v>170729275.88278964</v>
      </c>
      <c r="Q48" s="202"/>
      <c r="R48" s="205"/>
      <c r="S48" s="205"/>
      <c r="T48" s="205"/>
      <c r="Y48" s="123"/>
      <c r="Z48" s="123"/>
    </row>
    <row r="49" spans="1:26" ht="16.5" thickTop="1" x14ac:dyDescent="0.25">
      <c r="A49" s="113">
        <v>36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R49" s="205"/>
      <c r="S49" s="205"/>
      <c r="T49" s="205"/>
      <c r="Y49" s="123"/>
      <c r="Z49" s="123"/>
    </row>
    <row r="50" spans="1:26" x14ac:dyDescent="0.25">
      <c r="A50" s="113">
        <v>37</v>
      </c>
      <c r="B50" s="575" t="s">
        <v>471</v>
      </c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549"/>
      <c r="P50" s="150"/>
      <c r="Q50" s="123"/>
      <c r="R50" s="205"/>
      <c r="S50" s="205"/>
      <c r="T50" s="205"/>
      <c r="U50" s="412"/>
    </row>
    <row r="51" spans="1:26" x14ac:dyDescent="0.25">
      <c r="A51" s="113">
        <v>38</v>
      </c>
      <c r="B51" s="575" t="s">
        <v>548</v>
      </c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429"/>
      <c r="N51" s="150"/>
      <c r="O51" s="150"/>
      <c r="P51" s="150"/>
      <c r="Q51" s="123"/>
      <c r="U51" s="119"/>
    </row>
    <row r="52" spans="1:26" x14ac:dyDescent="0.25">
      <c r="A52" s="113"/>
      <c r="H52" s="118"/>
      <c r="M52" s="205"/>
      <c r="N52" s="205"/>
      <c r="O52" s="205"/>
      <c r="P52" s="434"/>
    </row>
    <row r="53" spans="1:26" x14ac:dyDescent="0.25">
      <c r="A53" s="113"/>
      <c r="M53" s="205"/>
      <c r="N53" s="205"/>
      <c r="O53" s="205"/>
      <c r="P53" s="35"/>
    </row>
    <row r="54" spans="1:26" x14ac:dyDescent="0.25">
      <c r="A54" s="113"/>
      <c r="M54" s="205"/>
      <c r="N54" s="205"/>
      <c r="O54" s="205"/>
      <c r="P54" s="209"/>
    </row>
    <row r="55" spans="1:26" x14ac:dyDescent="0.25">
      <c r="A55" s="113"/>
    </row>
    <row r="56" spans="1:26" x14ac:dyDescent="0.25">
      <c r="A56" s="113"/>
      <c r="P56" s="209"/>
      <c r="Q56" s="125"/>
    </row>
    <row r="57" spans="1:26" x14ac:dyDescent="0.25">
      <c r="A57" s="113"/>
    </row>
    <row r="58" spans="1:26" x14ac:dyDescent="0.25">
      <c r="A58" s="113"/>
      <c r="P58" s="123"/>
    </row>
    <row r="59" spans="1:26" x14ac:dyDescent="0.25">
      <c r="A59" s="113"/>
    </row>
    <row r="60" spans="1:26" x14ac:dyDescent="0.25">
      <c r="A60" s="113"/>
    </row>
    <row r="61" spans="1:26" x14ac:dyDescent="0.25">
      <c r="A61" s="113"/>
    </row>
    <row r="64" spans="1:26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</row>
    <row r="65" spans="1:25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</row>
    <row r="66" spans="1:25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</row>
    <row r="67" spans="1:25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</row>
    <row r="68" spans="1:25" x14ac:dyDescent="0.25">
      <c r="A68" s="112"/>
      <c r="B68" s="112"/>
      <c r="C68" s="112"/>
      <c r="D68" s="112"/>
      <c r="E68" s="413"/>
      <c r="F68" s="413"/>
      <c r="G68" s="112"/>
      <c r="H68" s="112"/>
      <c r="I68" s="112"/>
      <c r="J68" s="112"/>
      <c r="K68" s="112"/>
      <c r="L68" s="112"/>
      <c r="M68" s="112"/>
      <c r="N68" s="112"/>
      <c r="O68" s="112"/>
      <c r="P68" s="414"/>
      <c r="Q68" s="414"/>
      <c r="R68" s="112"/>
      <c r="S68" s="112"/>
      <c r="T68" s="112"/>
      <c r="U68" s="112"/>
      <c r="V68" s="112"/>
      <c r="W68" s="112"/>
      <c r="X68" s="112"/>
      <c r="Y68" s="112"/>
    </row>
    <row r="69" spans="1:25" x14ac:dyDescent="0.25">
      <c r="A69" s="112"/>
      <c r="B69" s="112"/>
      <c r="C69" s="112"/>
      <c r="D69" s="112"/>
      <c r="E69" s="413"/>
      <c r="F69" s="413"/>
      <c r="G69" s="112"/>
      <c r="H69" s="112"/>
      <c r="I69" s="112"/>
      <c r="J69" s="112"/>
      <c r="K69" s="112"/>
      <c r="L69" s="112"/>
      <c r="M69" s="112"/>
      <c r="N69" s="112"/>
      <c r="O69" s="112"/>
      <c r="P69" s="414"/>
      <c r="Q69" s="414"/>
      <c r="R69" s="112"/>
      <c r="S69" s="112"/>
      <c r="T69" s="112"/>
      <c r="U69" s="112"/>
      <c r="V69" s="112"/>
      <c r="W69" s="112"/>
      <c r="X69" s="112"/>
      <c r="Y69" s="112"/>
    </row>
    <row r="70" spans="1:25" x14ac:dyDescent="0.25">
      <c r="A70" s="112"/>
      <c r="B70" s="112"/>
      <c r="C70" s="112"/>
      <c r="D70" s="112"/>
      <c r="E70" s="413"/>
      <c r="F70" s="413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</row>
    <row r="71" spans="1:25" x14ac:dyDescent="0.25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</row>
    <row r="72" spans="1:25" x14ac:dyDescent="0.25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222"/>
      <c r="P72" s="112"/>
      <c r="Q72" s="112"/>
      <c r="R72" s="112"/>
      <c r="S72" s="112"/>
      <c r="T72" s="112"/>
      <c r="U72" s="112"/>
      <c r="V72" s="112"/>
      <c r="W72" s="112"/>
      <c r="X72" s="112"/>
      <c r="Y72" s="112"/>
    </row>
    <row r="73" spans="1:25" x14ac:dyDescent="0.25">
      <c r="A73" s="222"/>
      <c r="B73" s="112"/>
      <c r="C73" s="11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112"/>
      <c r="S73" s="112"/>
      <c r="T73" s="112"/>
      <c r="U73" s="112"/>
      <c r="V73" s="112"/>
      <c r="W73" s="112"/>
      <c r="X73" s="112"/>
      <c r="Y73" s="112"/>
    </row>
    <row r="74" spans="1:25" x14ac:dyDescent="0.25">
      <c r="A74" s="222"/>
      <c r="B74" s="222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112"/>
      <c r="S74" s="112"/>
      <c r="T74" s="112"/>
      <c r="U74" s="112"/>
      <c r="V74" s="112"/>
      <c r="W74" s="112"/>
      <c r="X74" s="112"/>
      <c r="Y74" s="112"/>
    </row>
    <row r="75" spans="1:25" x14ac:dyDescent="0.25">
      <c r="A75" s="11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112"/>
      <c r="S75" s="112"/>
      <c r="T75" s="112"/>
      <c r="U75" s="112"/>
      <c r="V75" s="112"/>
      <c r="W75" s="112"/>
      <c r="X75" s="112"/>
      <c r="Y75" s="112"/>
    </row>
    <row r="76" spans="1:25" x14ac:dyDescent="0.25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</row>
    <row r="77" spans="1:25" x14ac:dyDescent="0.25">
      <c r="A77" s="112"/>
      <c r="B77" s="415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21"/>
      <c r="S77" s="112"/>
      <c r="T77" s="112"/>
      <c r="U77" s="112"/>
      <c r="V77" s="112"/>
      <c r="W77" s="112"/>
      <c r="X77" s="112"/>
      <c r="Y77" s="112"/>
    </row>
    <row r="78" spans="1:25" x14ac:dyDescent="0.25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21"/>
      <c r="S78" s="112"/>
      <c r="T78" s="112"/>
      <c r="U78" s="112"/>
      <c r="V78" s="112"/>
      <c r="W78" s="112"/>
      <c r="X78" s="112"/>
      <c r="Y78" s="112"/>
    </row>
    <row r="79" spans="1:25" x14ac:dyDescent="0.25">
      <c r="A79" s="112"/>
      <c r="B79" s="112"/>
      <c r="C79" s="22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416"/>
      <c r="P79" s="417"/>
      <c r="Q79" s="417"/>
      <c r="R79" s="121"/>
      <c r="S79" s="112"/>
      <c r="T79" s="112"/>
      <c r="U79" s="112"/>
      <c r="V79" s="112"/>
      <c r="W79" s="112"/>
      <c r="X79" s="112"/>
      <c r="Y79" s="112"/>
    </row>
    <row r="80" spans="1:25" x14ac:dyDescent="0.25">
      <c r="A80" s="112"/>
      <c r="B80" s="112"/>
      <c r="C80" s="22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21"/>
      <c r="Q80" s="121"/>
      <c r="R80" s="121"/>
      <c r="S80" s="112"/>
      <c r="T80" s="112"/>
      <c r="U80" s="112"/>
      <c r="V80" s="112"/>
      <c r="W80" s="112"/>
      <c r="X80" s="112"/>
      <c r="Y80" s="112"/>
    </row>
    <row r="81" spans="1:25" x14ac:dyDescent="0.25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</row>
    <row r="82" spans="1:25" x14ac:dyDescent="0.25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</row>
    <row r="83" spans="1:25" x14ac:dyDescent="0.25">
      <c r="A83" s="112"/>
      <c r="B83" s="112"/>
      <c r="C83" s="222"/>
      <c r="D83" s="112"/>
      <c r="E83" s="112"/>
      <c r="F83" s="112"/>
      <c r="G83" s="112"/>
      <c r="H83" s="121"/>
      <c r="I83" s="121"/>
      <c r="J83" s="121"/>
      <c r="K83" s="121"/>
      <c r="L83" s="121"/>
      <c r="M83" s="121"/>
      <c r="N83" s="121"/>
      <c r="O83" s="418"/>
      <c r="P83" s="121"/>
      <c r="Q83" s="121"/>
      <c r="R83" s="121"/>
      <c r="S83" s="112"/>
      <c r="T83" s="112"/>
      <c r="U83" s="112"/>
      <c r="V83" s="112"/>
      <c r="W83" s="112"/>
      <c r="X83" s="112"/>
      <c r="Y83" s="112"/>
    </row>
    <row r="84" spans="1:25" x14ac:dyDescent="0.25">
      <c r="A84" s="112"/>
      <c r="B84" s="112"/>
      <c r="C84" s="222"/>
      <c r="D84" s="112"/>
      <c r="E84" s="112"/>
      <c r="F84" s="112"/>
      <c r="G84" s="112"/>
      <c r="H84" s="121"/>
      <c r="I84" s="121"/>
      <c r="J84" s="121"/>
      <c r="K84" s="121"/>
      <c r="L84" s="121"/>
      <c r="M84" s="121"/>
      <c r="N84" s="121"/>
      <c r="O84" s="418"/>
      <c r="P84" s="121"/>
      <c r="Q84" s="121"/>
      <c r="R84" s="121"/>
      <c r="S84" s="112"/>
      <c r="T84" s="112"/>
      <c r="U84" s="112"/>
      <c r="V84" s="112"/>
      <c r="W84" s="112"/>
      <c r="X84" s="112"/>
      <c r="Y84" s="112"/>
    </row>
    <row r="85" spans="1:25" x14ac:dyDescent="0.25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</row>
    <row r="86" spans="1:25" x14ac:dyDescent="0.25">
      <c r="A86" s="112"/>
      <c r="B86" s="112"/>
      <c r="C86" s="222"/>
      <c r="D86" s="112"/>
      <c r="E86" s="112"/>
      <c r="F86" s="112"/>
      <c r="G86" s="112"/>
      <c r="H86" s="121"/>
      <c r="I86" s="121"/>
      <c r="J86" s="121"/>
      <c r="K86" s="121"/>
      <c r="L86" s="121"/>
      <c r="M86" s="121"/>
      <c r="N86" s="121"/>
      <c r="O86" s="418"/>
      <c r="P86" s="121"/>
      <c r="Q86" s="121"/>
      <c r="R86" s="121"/>
      <c r="S86" s="112"/>
      <c r="T86" s="112"/>
      <c r="U86" s="112"/>
      <c r="V86" s="112"/>
      <c r="W86" s="112"/>
      <c r="X86" s="112"/>
      <c r="Y86" s="112"/>
    </row>
    <row r="87" spans="1:25" x14ac:dyDescent="0.25">
      <c r="A87" s="112"/>
      <c r="B87" s="112"/>
      <c r="C87" s="222"/>
      <c r="D87" s="112"/>
      <c r="E87" s="112"/>
      <c r="F87" s="112"/>
      <c r="G87" s="112"/>
      <c r="H87" s="121"/>
      <c r="I87" s="121"/>
      <c r="J87" s="121"/>
      <c r="K87" s="121"/>
      <c r="L87" s="121"/>
      <c r="M87" s="121"/>
      <c r="N87" s="121"/>
      <c r="O87" s="418"/>
      <c r="P87" s="121"/>
      <c r="Q87" s="121"/>
      <c r="R87" s="121"/>
      <c r="S87" s="112"/>
      <c r="T87" s="112"/>
      <c r="U87" s="112"/>
      <c r="V87" s="112"/>
      <c r="W87" s="112"/>
      <c r="X87" s="112"/>
      <c r="Y87" s="112"/>
    </row>
    <row r="88" spans="1:25" x14ac:dyDescent="0.25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</row>
    <row r="89" spans="1:25" x14ac:dyDescent="0.25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</row>
    <row r="90" spans="1:25" x14ac:dyDescent="0.25">
      <c r="A90" s="112"/>
      <c r="B90" s="112"/>
      <c r="C90" s="222"/>
      <c r="D90" s="112"/>
      <c r="E90" s="112"/>
      <c r="F90" s="112"/>
      <c r="G90" s="112"/>
      <c r="H90" s="121"/>
      <c r="I90" s="121"/>
      <c r="J90" s="121"/>
      <c r="K90" s="121"/>
      <c r="L90" s="121"/>
      <c r="M90" s="121"/>
      <c r="N90" s="121"/>
      <c r="O90" s="418"/>
      <c r="P90" s="121"/>
      <c r="Q90" s="121"/>
      <c r="R90" s="121"/>
      <c r="S90" s="112"/>
      <c r="T90" s="112"/>
      <c r="U90" s="112"/>
      <c r="V90" s="112"/>
      <c r="W90" s="112"/>
      <c r="X90" s="112"/>
      <c r="Y90" s="112"/>
    </row>
    <row r="91" spans="1:25" x14ac:dyDescent="0.25">
      <c r="A91" s="112"/>
      <c r="B91" s="112"/>
      <c r="C91" s="222"/>
      <c r="D91" s="112"/>
      <c r="E91" s="112"/>
      <c r="F91" s="112"/>
      <c r="G91" s="112"/>
      <c r="H91" s="121"/>
      <c r="I91" s="121"/>
      <c r="J91" s="121"/>
      <c r="K91" s="121"/>
      <c r="L91" s="121"/>
      <c r="M91" s="121"/>
      <c r="N91" s="121"/>
      <c r="O91" s="418"/>
      <c r="P91" s="121"/>
      <c r="Q91" s="121"/>
      <c r="R91" s="121"/>
      <c r="S91" s="112"/>
      <c r="T91" s="112"/>
      <c r="U91" s="112"/>
      <c r="V91" s="112"/>
      <c r="W91" s="112"/>
      <c r="X91" s="112"/>
      <c r="Y91" s="112"/>
    </row>
    <row r="92" spans="1:25" x14ac:dyDescent="0.25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</row>
    <row r="93" spans="1:25" x14ac:dyDescent="0.25">
      <c r="A93" s="112"/>
      <c r="B93" s="112"/>
      <c r="C93" s="222"/>
      <c r="D93" s="112"/>
      <c r="E93" s="112"/>
      <c r="F93" s="112"/>
      <c r="G93" s="112"/>
      <c r="H93" s="121"/>
      <c r="I93" s="121"/>
      <c r="J93" s="121"/>
      <c r="K93" s="121"/>
      <c r="L93" s="121"/>
      <c r="M93" s="121"/>
      <c r="N93" s="121"/>
      <c r="O93" s="418"/>
      <c r="P93" s="121"/>
      <c r="Q93" s="121"/>
      <c r="R93" s="121"/>
      <c r="S93" s="112"/>
      <c r="T93" s="112"/>
      <c r="U93" s="112"/>
      <c r="V93" s="112"/>
      <c r="W93" s="112"/>
      <c r="X93" s="112"/>
      <c r="Y93" s="112"/>
    </row>
    <row r="94" spans="1:25" x14ac:dyDescent="0.25">
      <c r="A94" s="112"/>
      <c r="B94" s="112"/>
      <c r="C94" s="222"/>
      <c r="D94" s="112"/>
      <c r="E94" s="112"/>
      <c r="F94" s="112"/>
      <c r="G94" s="112"/>
      <c r="H94" s="121"/>
      <c r="I94" s="121"/>
      <c r="J94" s="121"/>
      <c r="K94" s="121"/>
      <c r="L94" s="121"/>
      <c r="M94" s="121"/>
      <c r="N94" s="121"/>
      <c r="O94" s="418"/>
      <c r="P94" s="121"/>
      <c r="Q94" s="121"/>
      <c r="R94" s="121"/>
      <c r="S94" s="112"/>
      <c r="T94" s="112"/>
      <c r="U94" s="112"/>
      <c r="V94" s="112"/>
      <c r="W94" s="112"/>
      <c r="X94" s="112"/>
      <c r="Y94" s="112"/>
    </row>
    <row r="95" spans="1:25" x14ac:dyDescent="0.25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</row>
    <row r="96" spans="1:25" x14ac:dyDescent="0.25">
      <c r="A96" s="112"/>
      <c r="B96" s="112"/>
      <c r="C96" s="222"/>
      <c r="D96" s="112"/>
      <c r="E96" s="112"/>
      <c r="F96" s="112"/>
      <c r="G96" s="112"/>
      <c r="H96" s="121"/>
      <c r="I96" s="121"/>
      <c r="J96" s="121"/>
      <c r="K96" s="121"/>
      <c r="L96" s="121"/>
      <c r="M96" s="121"/>
      <c r="N96" s="121"/>
      <c r="O96" s="418"/>
      <c r="P96" s="121"/>
      <c r="Q96" s="121"/>
      <c r="R96" s="121"/>
      <c r="S96" s="112"/>
      <c r="T96" s="112"/>
      <c r="U96" s="112"/>
      <c r="V96" s="112"/>
      <c r="W96" s="112"/>
      <c r="X96" s="112"/>
      <c r="Y96" s="112"/>
    </row>
    <row r="97" spans="1:25" x14ac:dyDescent="0.25">
      <c r="A97" s="112"/>
      <c r="B97" s="112"/>
      <c r="C97" s="222"/>
      <c r="D97" s="112"/>
      <c r="E97" s="112"/>
      <c r="F97" s="112"/>
      <c r="G97" s="112"/>
      <c r="H97" s="121"/>
      <c r="I97" s="121"/>
      <c r="J97" s="121"/>
      <c r="K97" s="121"/>
      <c r="L97" s="121"/>
      <c r="M97" s="121"/>
      <c r="N97" s="121"/>
      <c r="O97" s="418"/>
      <c r="P97" s="121"/>
      <c r="Q97" s="121"/>
      <c r="R97" s="121"/>
      <c r="S97" s="112"/>
      <c r="T97" s="112"/>
      <c r="U97" s="112"/>
      <c r="V97" s="112"/>
      <c r="W97" s="112"/>
      <c r="X97" s="112"/>
      <c r="Y97" s="112"/>
    </row>
    <row r="98" spans="1:25" x14ac:dyDescent="0.25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</row>
    <row r="99" spans="1:25" x14ac:dyDescent="0.25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</row>
    <row r="100" spans="1:25" x14ac:dyDescent="0.25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</row>
    <row r="101" spans="1:25" x14ac:dyDescent="0.25">
      <c r="A101" s="112"/>
      <c r="B101" s="112"/>
      <c r="C101" s="222"/>
      <c r="D101" s="112"/>
      <c r="E101" s="112"/>
      <c r="F101" s="112"/>
      <c r="G101" s="112"/>
      <c r="H101" s="121"/>
      <c r="I101" s="121"/>
      <c r="J101" s="121"/>
      <c r="K101" s="121"/>
      <c r="L101" s="121"/>
      <c r="M101" s="121"/>
      <c r="N101" s="121"/>
      <c r="O101" s="418"/>
      <c r="P101" s="121"/>
      <c r="Q101" s="121"/>
      <c r="R101" s="121"/>
      <c r="S101" s="112"/>
      <c r="T101" s="112"/>
      <c r="U101" s="112"/>
      <c r="V101" s="112"/>
      <c r="W101" s="112"/>
      <c r="X101" s="112"/>
      <c r="Y101" s="112"/>
    </row>
    <row r="102" spans="1:25" x14ac:dyDescent="0.25">
      <c r="A102" s="112"/>
      <c r="B102" s="112"/>
      <c r="C102" s="222"/>
      <c r="D102" s="112"/>
      <c r="E102" s="112"/>
      <c r="F102" s="112"/>
      <c r="G102" s="112"/>
      <c r="H102" s="121"/>
      <c r="I102" s="121"/>
      <c r="J102" s="121"/>
      <c r="K102" s="121"/>
      <c r="L102" s="121"/>
      <c r="M102" s="121"/>
      <c r="N102" s="121"/>
      <c r="O102" s="418"/>
      <c r="P102" s="121"/>
      <c r="Q102" s="121"/>
      <c r="R102" s="121"/>
      <c r="S102" s="112"/>
      <c r="T102" s="112"/>
      <c r="U102" s="112"/>
      <c r="V102" s="112"/>
      <c r="W102" s="112"/>
      <c r="X102" s="112"/>
      <c r="Y102" s="112"/>
    </row>
    <row r="103" spans="1:25" x14ac:dyDescent="0.25">
      <c r="A103" s="112"/>
      <c r="B103" s="112"/>
      <c r="C103" s="222"/>
      <c r="D103" s="112"/>
      <c r="E103" s="112"/>
      <c r="F103" s="112"/>
      <c r="G103" s="112"/>
      <c r="H103" s="121"/>
      <c r="I103" s="121"/>
      <c r="J103" s="121"/>
      <c r="K103" s="121"/>
      <c r="L103" s="121"/>
      <c r="M103" s="121"/>
      <c r="N103" s="121"/>
      <c r="O103" s="418"/>
      <c r="P103" s="121"/>
      <c r="Q103" s="121"/>
      <c r="R103" s="121"/>
      <c r="S103" s="112"/>
      <c r="T103" s="112"/>
      <c r="U103" s="112"/>
      <c r="V103" s="112"/>
      <c r="W103" s="112"/>
      <c r="X103" s="112"/>
      <c r="Y103" s="112"/>
    </row>
    <row r="104" spans="1:25" x14ac:dyDescent="0.25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</row>
    <row r="105" spans="1:25" x14ac:dyDescent="0.25">
      <c r="A105" s="112"/>
      <c r="B105" s="112"/>
      <c r="C105" s="222"/>
      <c r="D105" s="112"/>
      <c r="E105" s="112"/>
      <c r="F105" s="112"/>
      <c r="G105" s="112"/>
      <c r="H105" s="121"/>
      <c r="I105" s="121"/>
      <c r="J105" s="121"/>
      <c r="K105" s="121"/>
      <c r="L105" s="121"/>
      <c r="M105" s="121"/>
      <c r="N105" s="121"/>
      <c r="O105" s="418"/>
      <c r="P105" s="121"/>
      <c r="Q105" s="121"/>
      <c r="R105" s="121"/>
      <c r="S105" s="112"/>
      <c r="T105" s="112"/>
      <c r="U105" s="112"/>
      <c r="V105" s="112"/>
      <c r="W105" s="112"/>
      <c r="X105" s="112"/>
      <c r="Y105" s="112"/>
    </row>
    <row r="106" spans="1:25" x14ac:dyDescent="0.25">
      <c r="A106" s="112"/>
      <c r="B106" s="112"/>
      <c r="C106" s="222"/>
      <c r="D106" s="112"/>
      <c r="E106" s="112"/>
      <c r="F106" s="112"/>
      <c r="G106" s="112"/>
      <c r="H106" s="121"/>
      <c r="I106" s="121"/>
      <c r="J106" s="121"/>
      <c r="K106" s="121"/>
      <c r="L106" s="121"/>
      <c r="M106" s="121"/>
      <c r="N106" s="121"/>
      <c r="O106" s="418"/>
      <c r="P106" s="121"/>
      <c r="Q106" s="121"/>
      <c r="R106" s="121"/>
      <c r="S106" s="112"/>
      <c r="T106" s="112"/>
      <c r="U106" s="112"/>
      <c r="V106" s="112"/>
      <c r="W106" s="112"/>
      <c r="X106" s="112"/>
      <c r="Y106" s="112"/>
    </row>
    <row r="107" spans="1:25" x14ac:dyDescent="0.25">
      <c r="A107" s="112"/>
      <c r="B107" s="112"/>
      <c r="C107" s="222"/>
      <c r="D107" s="112"/>
      <c r="E107" s="112"/>
      <c r="F107" s="112"/>
      <c r="G107" s="112"/>
      <c r="H107" s="121"/>
      <c r="I107" s="121"/>
      <c r="J107" s="121"/>
      <c r="K107" s="121"/>
      <c r="L107" s="121"/>
      <c r="M107" s="121"/>
      <c r="N107" s="121"/>
      <c r="O107" s="418"/>
      <c r="P107" s="121"/>
      <c r="Q107" s="121"/>
      <c r="R107" s="121"/>
      <c r="S107" s="112"/>
      <c r="T107" s="112"/>
      <c r="U107" s="112"/>
      <c r="V107" s="112"/>
      <c r="W107" s="112"/>
      <c r="X107" s="112"/>
      <c r="Y107" s="112"/>
    </row>
    <row r="108" spans="1:25" x14ac:dyDescent="0.25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21"/>
      <c r="Q108" s="121"/>
      <c r="R108" s="121"/>
      <c r="S108" s="112"/>
      <c r="T108" s="112"/>
      <c r="U108" s="112"/>
      <c r="V108" s="112"/>
      <c r="W108" s="112"/>
      <c r="X108" s="112"/>
      <c r="Y108" s="112"/>
    </row>
    <row r="109" spans="1:25" x14ac:dyDescent="0.25">
      <c r="A109" s="112"/>
      <c r="B109" s="112"/>
      <c r="C109" s="22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21"/>
      <c r="Q109" s="121"/>
      <c r="R109" s="121"/>
      <c r="S109" s="112"/>
      <c r="T109" s="112"/>
      <c r="U109" s="112"/>
      <c r="V109" s="112"/>
      <c r="W109" s="112"/>
      <c r="X109" s="112"/>
      <c r="Y109" s="112"/>
    </row>
    <row r="110" spans="1:25" x14ac:dyDescent="0.25">
      <c r="A110" s="112"/>
      <c r="B110" s="112"/>
      <c r="C110" s="22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419"/>
      <c r="P110" s="121"/>
      <c r="Q110" s="121"/>
      <c r="R110" s="121"/>
      <c r="S110" s="112"/>
      <c r="T110" s="112"/>
      <c r="U110" s="112"/>
      <c r="V110" s="112"/>
      <c r="W110" s="112"/>
      <c r="X110" s="112"/>
      <c r="Y110" s="112"/>
    </row>
    <row r="111" spans="1:25" x14ac:dyDescent="0.25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</row>
    <row r="112" spans="1:25" x14ac:dyDescent="0.25">
      <c r="A112" s="112"/>
      <c r="B112" s="112"/>
      <c r="C112" s="222"/>
      <c r="D112" s="112"/>
      <c r="E112" s="112"/>
      <c r="F112" s="112"/>
      <c r="G112" s="112"/>
      <c r="H112" s="121"/>
      <c r="I112" s="121"/>
      <c r="J112" s="121"/>
      <c r="K112" s="121"/>
      <c r="L112" s="121"/>
      <c r="M112" s="121"/>
      <c r="N112" s="121"/>
      <c r="O112" s="418"/>
      <c r="P112" s="121"/>
      <c r="Q112" s="121"/>
      <c r="R112" s="121"/>
      <c r="S112" s="112"/>
      <c r="T112" s="112"/>
      <c r="U112" s="112"/>
      <c r="V112" s="112"/>
      <c r="W112" s="112"/>
      <c r="X112" s="112"/>
      <c r="Y112" s="112"/>
    </row>
    <row r="113" spans="1:25" x14ac:dyDescent="0.25">
      <c r="A113" s="112"/>
      <c r="B113" s="112"/>
      <c r="C113" s="222"/>
      <c r="D113" s="112"/>
      <c r="E113" s="112"/>
      <c r="F113" s="112"/>
      <c r="G113" s="112"/>
      <c r="H113" s="121"/>
      <c r="I113" s="121"/>
      <c r="J113" s="121"/>
      <c r="K113" s="121"/>
      <c r="L113" s="121"/>
      <c r="M113" s="121"/>
      <c r="N113" s="121"/>
      <c r="O113" s="418"/>
      <c r="P113" s="121"/>
      <c r="Q113" s="121"/>
      <c r="R113" s="121"/>
      <c r="S113" s="112"/>
      <c r="T113" s="112"/>
      <c r="U113" s="112"/>
      <c r="V113" s="112"/>
      <c r="W113" s="112"/>
      <c r="X113" s="112"/>
      <c r="Y113" s="112"/>
    </row>
    <row r="114" spans="1:25" x14ac:dyDescent="0.25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</row>
    <row r="115" spans="1:25" x14ac:dyDescent="0.25">
      <c r="A115" s="112"/>
      <c r="B115" s="112"/>
      <c r="C115" s="222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418"/>
      <c r="P115" s="121"/>
      <c r="Q115" s="121"/>
      <c r="R115" s="121"/>
      <c r="S115" s="112"/>
      <c r="T115" s="112"/>
      <c r="U115" s="112"/>
      <c r="V115" s="112"/>
      <c r="W115" s="112"/>
      <c r="X115" s="112"/>
      <c r="Y115" s="112"/>
    </row>
    <row r="116" spans="1:25" x14ac:dyDescent="0.25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21"/>
      <c r="Q116" s="121"/>
      <c r="R116" s="121"/>
      <c r="S116" s="112"/>
      <c r="T116" s="112"/>
      <c r="U116" s="112"/>
      <c r="V116" s="112"/>
      <c r="W116" s="112"/>
      <c r="X116" s="112"/>
      <c r="Y116" s="112"/>
    </row>
    <row r="117" spans="1:25" x14ac:dyDescent="0.25">
      <c r="A117" s="112"/>
      <c r="B117" s="112"/>
      <c r="C117" s="222"/>
      <c r="D117" s="112"/>
      <c r="E117" s="112"/>
      <c r="F117" s="112"/>
      <c r="G117" s="112"/>
      <c r="H117" s="121"/>
      <c r="I117" s="121"/>
      <c r="J117" s="121"/>
      <c r="K117" s="121"/>
      <c r="L117" s="121"/>
      <c r="M117" s="121"/>
      <c r="N117" s="121"/>
      <c r="O117" s="418"/>
      <c r="P117" s="121"/>
      <c r="Q117" s="121"/>
      <c r="R117" s="121"/>
      <c r="S117" s="112"/>
      <c r="T117" s="112"/>
      <c r="U117" s="112"/>
      <c r="V117" s="112"/>
      <c r="W117" s="112"/>
      <c r="X117" s="112"/>
      <c r="Y117" s="112"/>
    </row>
    <row r="118" spans="1:25" x14ac:dyDescent="0.25">
      <c r="A118" s="112"/>
      <c r="B118" s="112"/>
      <c r="C118" s="222"/>
      <c r="D118" s="112"/>
      <c r="E118" s="112"/>
      <c r="F118" s="112"/>
      <c r="G118" s="112"/>
      <c r="H118" s="121"/>
      <c r="I118" s="121"/>
      <c r="J118" s="121"/>
      <c r="K118" s="121"/>
      <c r="L118" s="121"/>
      <c r="M118" s="121"/>
      <c r="N118" s="121"/>
      <c r="O118" s="418"/>
      <c r="P118" s="121"/>
      <c r="Q118" s="121"/>
      <c r="R118" s="121"/>
      <c r="S118" s="112"/>
      <c r="T118" s="112"/>
      <c r="U118" s="112"/>
      <c r="V118" s="112"/>
      <c r="W118" s="112"/>
      <c r="X118" s="112"/>
      <c r="Y118" s="112"/>
    </row>
    <row r="119" spans="1:25" x14ac:dyDescent="0.25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420"/>
      <c r="P119" s="121"/>
      <c r="Q119" s="121"/>
      <c r="R119" s="121"/>
      <c r="S119" s="112"/>
      <c r="T119" s="112"/>
      <c r="U119" s="112"/>
      <c r="V119" s="112"/>
      <c r="W119" s="112"/>
      <c r="X119" s="112"/>
      <c r="Y119" s="112"/>
    </row>
    <row r="120" spans="1:25" x14ac:dyDescent="0.25">
      <c r="A120" s="112"/>
      <c r="B120" s="112"/>
      <c r="C120" s="222"/>
      <c r="D120" s="112"/>
      <c r="E120" s="112"/>
      <c r="F120" s="112"/>
      <c r="G120" s="112"/>
      <c r="H120" s="121"/>
      <c r="I120" s="121"/>
      <c r="J120" s="121"/>
      <c r="K120" s="121"/>
      <c r="L120" s="121"/>
      <c r="M120" s="121"/>
      <c r="N120" s="121"/>
      <c r="O120" s="418"/>
      <c r="P120" s="121"/>
      <c r="Q120" s="121"/>
      <c r="R120" s="121"/>
      <c r="S120" s="112"/>
      <c r="T120" s="112"/>
      <c r="U120" s="112"/>
      <c r="V120" s="112"/>
      <c r="W120" s="112"/>
      <c r="X120" s="112"/>
      <c r="Y120" s="112"/>
    </row>
    <row r="121" spans="1:25" x14ac:dyDescent="0.25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418"/>
      <c r="P121" s="121"/>
      <c r="Q121" s="121"/>
      <c r="R121" s="121"/>
      <c r="S121" s="112"/>
      <c r="T121" s="112"/>
      <c r="U121" s="112"/>
      <c r="V121" s="112"/>
      <c r="W121" s="112"/>
      <c r="X121" s="112"/>
      <c r="Y121" s="112"/>
    </row>
    <row r="122" spans="1:25" x14ac:dyDescent="0.25">
      <c r="A122" s="112"/>
      <c r="B122" s="112"/>
      <c r="C122" s="222"/>
      <c r="D122" s="112"/>
      <c r="E122" s="112"/>
      <c r="F122" s="112"/>
      <c r="G122" s="112"/>
      <c r="H122" s="121"/>
      <c r="I122" s="121"/>
      <c r="J122" s="121"/>
      <c r="K122" s="121"/>
      <c r="L122" s="121"/>
      <c r="M122" s="121"/>
      <c r="N122" s="121"/>
      <c r="O122" s="418"/>
      <c r="P122" s="121"/>
      <c r="Q122" s="121"/>
      <c r="R122" s="121"/>
      <c r="S122" s="112"/>
      <c r="T122" s="112"/>
      <c r="U122" s="112"/>
      <c r="V122" s="112"/>
      <c r="W122" s="112"/>
      <c r="X122" s="112"/>
      <c r="Y122" s="112"/>
    </row>
    <row r="123" spans="1:25" x14ac:dyDescent="0.25">
      <c r="A123" s="112"/>
      <c r="B123" s="112"/>
      <c r="C123" s="222"/>
      <c r="D123" s="112"/>
      <c r="E123" s="112"/>
      <c r="F123" s="112"/>
      <c r="G123" s="112"/>
      <c r="H123" s="121"/>
      <c r="I123" s="121"/>
      <c r="J123" s="121"/>
      <c r="K123" s="121"/>
      <c r="L123" s="121"/>
      <c r="M123" s="121"/>
      <c r="N123" s="121"/>
      <c r="O123" s="418"/>
      <c r="P123" s="121"/>
      <c r="Q123" s="121"/>
      <c r="R123" s="121"/>
      <c r="S123" s="112"/>
      <c r="T123" s="112"/>
      <c r="U123" s="112"/>
      <c r="V123" s="112"/>
      <c r="W123" s="112"/>
      <c r="X123" s="112"/>
      <c r="Y123" s="112"/>
    </row>
    <row r="124" spans="1:25" x14ac:dyDescent="0.25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</row>
    <row r="125" spans="1:25" x14ac:dyDescent="0.25">
      <c r="A125" s="112"/>
      <c r="B125" s="112"/>
      <c r="C125" s="112"/>
      <c r="D125" s="112"/>
      <c r="E125" s="121"/>
      <c r="F125" s="121"/>
      <c r="G125" s="112"/>
      <c r="H125" s="121"/>
      <c r="I125" s="121"/>
      <c r="J125" s="121"/>
      <c r="K125" s="121"/>
      <c r="L125" s="121"/>
      <c r="M125" s="121"/>
      <c r="N125" s="121"/>
      <c r="O125" s="418"/>
      <c r="P125" s="121"/>
      <c r="Q125" s="121"/>
      <c r="R125" s="121"/>
      <c r="S125" s="112"/>
      <c r="T125" s="112"/>
      <c r="U125" s="112"/>
      <c r="V125" s="112"/>
      <c r="W125" s="112"/>
      <c r="X125" s="112"/>
      <c r="Y125" s="112"/>
    </row>
    <row r="126" spans="1:25" x14ac:dyDescent="0.25">
      <c r="A126" s="112"/>
      <c r="B126" s="112"/>
      <c r="C126" s="4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422"/>
      <c r="P126" s="417"/>
      <c r="Q126" s="417"/>
      <c r="R126" s="121"/>
      <c r="S126" s="112"/>
      <c r="T126" s="112"/>
      <c r="U126" s="112"/>
      <c r="V126" s="112"/>
      <c r="W126" s="112"/>
      <c r="X126" s="112"/>
      <c r="Y126" s="112"/>
    </row>
    <row r="127" spans="1:25" x14ac:dyDescent="0.25">
      <c r="A127" s="112"/>
      <c r="B127" s="112"/>
      <c r="C127" s="112"/>
      <c r="D127" s="112"/>
      <c r="E127" s="121"/>
      <c r="F127" s="121"/>
      <c r="G127" s="112"/>
      <c r="H127" s="422"/>
      <c r="I127" s="422"/>
      <c r="J127" s="422"/>
      <c r="K127" s="422"/>
      <c r="L127" s="422"/>
      <c r="M127" s="422"/>
      <c r="N127" s="422"/>
      <c r="O127" s="112"/>
      <c r="P127" s="121"/>
      <c r="Q127" s="121"/>
      <c r="R127" s="121"/>
      <c r="S127" s="112"/>
      <c r="T127" s="112"/>
      <c r="U127" s="112"/>
      <c r="V127" s="112"/>
      <c r="W127" s="112"/>
      <c r="X127" s="112"/>
      <c r="Y127" s="112"/>
    </row>
    <row r="128" spans="1:25" x14ac:dyDescent="0.25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21"/>
      <c r="S128" s="112"/>
      <c r="T128" s="112"/>
      <c r="U128" s="112"/>
      <c r="V128" s="112"/>
      <c r="W128" s="112"/>
      <c r="X128" s="112"/>
      <c r="Y128" s="112"/>
    </row>
    <row r="129" spans="1:25" x14ac:dyDescent="0.25">
      <c r="A129" s="112"/>
      <c r="B129" s="421"/>
      <c r="C129" s="112"/>
      <c r="D129" s="112"/>
      <c r="E129" s="112"/>
      <c r="F129" s="112"/>
      <c r="G129" s="112"/>
      <c r="H129" s="121"/>
      <c r="I129" s="121"/>
      <c r="J129" s="121"/>
      <c r="K129" s="121"/>
      <c r="L129" s="121"/>
      <c r="M129" s="121"/>
      <c r="N129" s="121"/>
      <c r="O129" s="112"/>
      <c r="P129" s="423"/>
      <c r="Q129" s="423"/>
      <c r="R129" s="121"/>
      <c r="S129" s="112"/>
      <c r="T129" s="112"/>
      <c r="U129" s="112"/>
      <c r="V129" s="112"/>
      <c r="W129" s="112"/>
      <c r="X129" s="112"/>
      <c r="Y129" s="112"/>
    </row>
    <row r="130" spans="1:25" x14ac:dyDescent="0.25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</row>
    <row r="131" spans="1:25" x14ac:dyDescent="0.25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</row>
    <row r="132" spans="1:25" x14ac:dyDescent="0.25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</row>
    <row r="133" spans="1:25" x14ac:dyDescent="0.25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</row>
    <row r="134" spans="1:25" x14ac:dyDescent="0.25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</row>
    <row r="135" spans="1:25" x14ac:dyDescent="0.25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</row>
    <row r="136" spans="1:25" x14ac:dyDescent="0.25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</row>
    <row r="137" spans="1:25" x14ac:dyDescent="0.25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</row>
    <row r="138" spans="1:25" x14ac:dyDescent="0.25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</row>
    <row r="139" spans="1:25" x14ac:dyDescent="0.25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</row>
    <row r="140" spans="1:25" x14ac:dyDescent="0.25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</row>
    <row r="141" spans="1:25" x14ac:dyDescent="0.25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</row>
    <row r="142" spans="1:25" x14ac:dyDescent="0.25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</row>
    <row r="143" spans="1:25" x14ac:dyDescent="0.25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</row>
    <row r="144" spans="1:25" x14ac:dyDescent="0.25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</row>
    <row r="145" spans="1:25" x14ac:dyDescent="0.25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</row>
    <row r="146" spans="1:25" x14ac:dyDescent="0.25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</row>
    <row r="147" spans="1:25" x14ac:dyDescent="0.25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</row>
    <row r="148" spans="1:25" x14ac:dyDescent="0.25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</row>
    <row r="149" spans="1:25" x14ac:dyDescent="0.25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</row>
    <row r="150" spans="1:25" x14ac:dyDescent="0.25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</row>
    <row r="151" spans="1:25" x14ac:dyDescent="0.25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</row>
    <row r="152" spans="1:25" x14ac:dyDescent="0.25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</row>
    <row r="153" spans="1:25" x14ac:dyDescent="0.25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</row>
    <row r="154" spans="1:25" x14ac:dyDescent="0.25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</row>
    <row r="155" spans="1:25" x14ac:dyDescent="0.25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</row>
    <row r="156" spans="1:25" x14ac:dyDescent="0.25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</row>
    <row r="157" spans="1:25" x14ac:dyDescent="0.25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</row>
    <row r="158" spans="1:25" x14ac:dyDescent="0.25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</row>
    <row r="159" spans="1:25" x14ac:dyDescent="0.25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</row>
    <row r="160" spans="1:25" x14ac:dyDescent="0.25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</row>
    <row r="161" spans="1:25" x14ac:dyDescent="0.25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</row>
    <row r="162" spans="1:25" x14ac:dyDescent="0.25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</row>
    <row r="163" spans="1:25" x14ac:dyDescent="0.25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</row>
    <row r="164" spans="1:25" x14ac:dyDescent="0.25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</row>
    <row r="165" spans="1:25" x14ac:dyDescent="0.25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</row>
    <row r="166" spans="1:25" x14ac:dyDescent="0.25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</row>
    <row r="167" spans="1:25" x14ac:dyDescent="0.25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</row>
    <row r="168" spans="1:25" x14ac:dyDescent="0.25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</row>
    <row r="169" spans="1:25" x14ac:dyDescent="0.25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</row>
    <row r="170" spans="1:25" x14ac:dyDescent="0.25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</row>
    <row r="171" spans="1:25" x14ac:dyDescent="0.25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</row>
    <row r="172" spans="1:25" x14ac:dyDescent="0.25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</row>
    <row r="173" spans="1:25" x14ac:dyDescent="0.25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</row>
    <row r="174" spans="1:25" x14ac:dyDescent="0.25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</row>
    <row r="175" spans="1:25" x14ac:dyDescent="0.25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</row>
    <row r="176" spans="1:25" x14ac:dyDescent="0.25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</row>
    <row r="177" spans="1:25" x14ac:dyDescent="0.25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</row>
    <row r="178" spans="1:25" x14ac:dyDescent="0.25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</row>
    <row r="179" spans="1:25" x14ac:dyDescent="0.25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</row>
    <row r="180" spans="1:25" x14ac:dyDescent="0.25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</row>
    <row r="181" spans="1:25" x14ac:dyDescent="0.25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</row>
    <row r="182" spans="1:25" x14ac:dyDescent="0.25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</row>
    <row r="183" spans="1:25" x14ac:dyDescent="0.25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</row>
    <row r="184" spans="1:25" x14ac:dyDescent="0.25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</row>
    <row r="185" spans="1:25" x14ac:dyDescent="0.25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</row>
    <row r="186" spans="1:25" x14ac:dyDescent="0.25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</row>
    <row r="187" spans="1:25" x14ac:dyDescent="0.25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</row>
    <row r="188" spans="1:25" x14ac:dyDescent="0.25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</row>
    <row r="189" spans="1:25" x14ac:dyDescent="0.25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</row>
    <row r="190" spans="1:25" x14ac:dyDescent="0.25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</row>
    <row r="191" spans="1:25" x14ac:dyDescent="0.25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</row>
    <row r="192" spans="1:25" x14ac:dyDescent="0.25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</row>
    <row r="193" spans="1:25" x14ac:dyDescent="0.25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</row>
    <row r="194" spans="1:25" x14ac:dyDescent="0.25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</row>
    <row r="195" spans="1:25" x14ac:dyDescent="0.25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</row>
    <row r="196" spans="1:25" x14ac:dyDescent="0.25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</row>
    <row r="197" spans="1:25" x14ac:dyDescent="0.25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</row>
    <row r="198" spans="1:25" x14ac:dyDescent="0.25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</row>
    <row r="199" spans="1:25" x14ac:dyDescent="0.25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</row>
    <row r="200" spans="1:25" x14ac:dyDescent="0.25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</row>
    <row r="201" spans="1:25" x14ac:dyDescent="0.25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</row>
    <row r="202" spans="1:25" x14ac:dyDescent="0.25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</row>
    <row r="203" spans="1:25" x14ac:dyDescent="0.25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</row>
    <row r="204" spans="1:25" x14ac:dyDescent="0.25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</row>
    <row r="205" spans="1:25" x14ac:dyDescent="0.25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</row>
    <row r="206" spans="1:25" x14ac:dyDescent="0.25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</row>
    <row r="207" spans="1:25" x14ac:dyDescent="0.25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</row>
    <row r="208" spans="1:25" x14ac:dyDescent="0.25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</row>
    <row r="209" spans="1:25" x14ac:dyDescent="0.25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</row>
    <row r="210" spans="1:25" x14ac:dyDescent="0.25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</row>
    <row r="211" spans="1:25" x14ac:dyDescent="0.25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</row>
    <row r="212" spans="1:25" x14ac:dyDescent="0.25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</row>
    <row r="213" spans="1:25" x14ac:dyDescent="0.25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</row>
    <row r="214" spans="1:25" x14ac:dyDescent="0.25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</row>
    <row r="215" spans="1:25" x14ac:dyDescent="0.25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</row>
    <row r="216" spans="1:25" x14ac:dyDescent="0.25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</row>
    <row r="217" spans="1:25" x14ac:dyDescent="0.25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</row>
    <row r="218" spans="1:25" x14ac:dyDescent="0.25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</row>
    <row r="219" spans="1:25" x14ac:dyDescent="0.25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</row>
    <row r="220" spans="1:25" x14ac:dyDescent="0.25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</row>
    <row r="221" spans="1:25" x14ac:dyDescent="0.25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</row>
    <row r="222" spans="1:25" x14ac:dyDescent="0.25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</row>
    <row r="223" spans="1:25" x14ac:dyDescent="0.25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</row>
    <row r="224" spans="1:25" x14ac:dyDescent="0.25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</row>
    <row r="225" spans="1:25" x14ac:dyDescent="0.25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</row>
    <row r="226" spans="1:25" x14ac:dyDescent="0.25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</row>
    <row r="227" spans="1:25" x14ac:dyDescent="0.25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</row>
    <row r="228" spans="1:25" x14ac:dyDescent="0.25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</row>
    <row r="229" spans="1:25" x14ac:dyDescent="0.25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</row>
    <row r="230" spans="1:25" x14ac:dyDescent="0.25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</row>
    <row r="231" spans="1:25" x14ac:dyDescent="0.25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</row>
    <row r="232" spans="1:25" x14ac:dyDescent="0.25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</row>
    <row r="233" spans="1:25" x14ac:dyDescent="0.25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</row>
    <row r="234" spans="1:25" x14ac:dyDescent="0.25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</row>
    <row r="235" spans="1:25" x14ac:dyDescent="0.25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</row>
    <row r="236" spans="1:25" x14ac:dyDescent="0.25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</row>
    <row r="237" spans="1:25" x14ac:dyDescent="0.25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</row>
    <row r="238" spans="1:25" x14ac:dyDescent="0.25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</row>
    <row r="239" spans="1:25" x14ac:dyDescent="0.25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</row>
    <row r="240" spans="1:25" x14ac:dyDescent="0.25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</row>
    <row r="241" spans="1:25" x14ac:dyDescent="0.25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</row>
    <row r="242" spans="1:25" x14ac:dyDescent="0.25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</row>
    <row r="243" spans="1:25" x14ac:dyDescent="0.25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</row>
    <row r="244" spans="1:25" x14ac:dyDescent="0.25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</row>
    <row r="245" spans="1:25" x14ac:dyDescent="0.25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</row>
    <row r="246" spans="1:25" x14ac:dyDescent="0.25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</row>
    <row r="247" spans="1:25" x14ac:dyDescent="0.25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</row>
    <row r="248" spans="1:25" x14ac:dyDescent="0.25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</row>
    <row r="249" spans="1:25" x14ac:dyDescent="0.25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</row>
    <row r="250" spans="1:25" x14ac:dyDescent="0.25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</row>
    <row r="251" spans="1:25" x14ac:dyDescent="0.25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</row>
    <row r="252" spans="1:25" x14ac:dyDescent="0.25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</row>
    <row r="253" spans="1:25" x14ac:dyDescent="0.25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</row>
    <row r="254" spans="1:25" x14ac:dyDescent="0.25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</row>
    <row r="255" spans="1:25" x14ac:dyDescent="0.25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</row>
    <row r="256" spans="1:25" x14ac:dyDescent="0.25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</row>
    <row r="257" spans="1:25" x14ac:dyDescent="0.25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</row>
    <row r="258" spans="1:25" x14ac:dyDescent="0.25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</row>
    <row r="259" spans="1:25" x14ac:dyDescent="0.25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</row>
    <row r="260" spans="1:25" x14ac:dyDescent="0.25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</row>
    <row r="261" spans="1:25" x14ac:dyDescent="0.25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</row>
    <row r="262" spans="1:25" x14ac:dyDescent="0.25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</row>
    <row r="263" spans="1:25" x14ac:dyDescent="0.25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</row>
    <row r="264" spans="1:25" x14ac:dyDescent="0.25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</row>
    <row r="265" spans="1:25" x14ac:dyDescent="0.25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</row>
    <row r="266" spans="1:25" x14ac:dyDescent="0.25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</row>
    <row r="267" spans="1:25" x14ac:dyDescent="0.25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</row>
    <row r="268" spans="1:25" x14ac:dyDescent="0.25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</row>
    <row r="269" spans="1:25" x14ac:dyDescent="0.25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</row>
    <row r="270" spans="1:25" x14ac:dyDescent="0.25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</row>
    <row r="271" spans="1:25" x14ac:dyDescent="0.25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</row>
    <row r="272" spans="1:25" x14ac:dyDescent="0.25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</row>
    <row r="273" spans="1:25" x14ac:dyDescent="0.25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</row>
    <row r="274" spans="1:25" x14ac:dyDescent="0.25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</row>
    <row r="275" spans="1:25" x14ac:dyDescent="0.25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</row>
    <row r="276" spans="1:25" x14ac:dyDescent="0.25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</row>
    <row r="277" spans="1:25" x14ac:dyDescent="0.25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</row>
    <row r="278" spans="1:25" x14ac:dyDescent="0.25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</row>
    <row r="279" spans="1:25" x14ac:dyDescent="0.25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</row>
    <row r="280" spans="1:25" x14ac:dyDescent="0.25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</row>
    <row r="281" spans="1:25" x14ac:dyDescent="0.25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</row>
    <row r="282" spans="1:25" x14ac:dyDescent="0.25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</row>
    <row r="283" spans="1:25" x14ac:dyDescent="0.25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</row>
    <row r="284" spans="1:25" x14ac:dyDescent="0.25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</row>
    <row r="285" spans="1:25" x14ac:dyDescent="0.25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</row>
    <row r="286" spans="1:25" x14ac:dyDescent="0.25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</row>
    <row r="287" spans="1:25" x14ac:dyDescent="0.25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</row>
    <row r="288" spans="1:25" x14ac:dyDescent="0.25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</row>
    <row r="289" spans="1:25" x14ac:dyDescent="0.25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</row>
    <row r="290" spans="1:25" x14ac:dyDescent="0.25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</row>
    <row r="291" spans="1:25" x14ac:dyDescent="0.25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</row>
    <row r="292" spans="1:25" x14ac:dyDescent="0.25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</row>
    <row r="293" spans="1:25" x14ac:dyDescent="0.25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</row>
    <row r="294" spans="1:25" x14ac:dyDescent="0.25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</row>
    <row r="295" spans="1:25" x14ac:dyDescent="0.25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</row>
    <row r="296" spans="1:25" x14ac:dyDescent="0.25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</row>
    <row r="297" spans="1:25" x14ac:dyDescent="0.25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</row>
    <row r="298" spans="1:25" x14ac:dyDescent="0.25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</row>
    <row r="299" spans="1:25" x14ac:dyDescent="0.25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</row>
    <row r="300" spans="1:25" x14ac:dyDescent="0.25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</row>
    <row r="301" spans="1:25" x14ac:dyDescent="0.25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</row>
    <row r="302" spans="1:25" x14ac:dyDescent="0.25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</row>
    <row r="303" spans="1:25" x14ac:dyDescent="0.25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</row>
    <row r="304" spans="1:25" x14ac:dyDescent="0.25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</row>
    <row r="305" spans="1:25" x14ac:dyDescent="0.25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</row>
    <row r="306" spans="1:25" x14ac:dyDescent="0.25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</row>
    <row r="307" spans="1:25" x14ac:dyDescent="0.25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</row>
    <row r="308" spans="1:25" x14ac:dyDescent="0.25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</row>
    <row r="309" spans="1:25" x14ac:dyDescent="0.25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</row>
    <row r="310" spans="1:25" x14ac:dyDescent="0.25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</row>
    <row r="311" spans="1:25" x14ac:dyDescent="0.25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</row>
    <row r="312" spans="1:25" x14ac:dyDescent="0.25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</row>
    <row r="313" spans="1:25" x14ac:dyDescent="0.25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</row>
    <row r="314" spans="1:25" x14ac:dyDescent="0.25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</row>
    <row r="315" spans="1:25" x14ac:dyDescent="0.25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</row>
    <row r="316" spans="1:25" x14ac:dyDescent="0.25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</row>
    <row r="317" spans="1:25" x14ac:dyDescent="0.25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</row>
    <row r="318" spans="1:25" x14ac:dyDescent="0.25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</row>
    <row r="319" spans="1:25" x14ac:dyDescent="0.25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</row>
    <row r="320" spans="1:25" x14ac:dyDescent="0.25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</row>
    <row r="321" spans="1:25" x14ac:dyDescent="0.25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</row>
    <row r="322" spans="1:25" x14ac:dyDescent="0.25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</row>
    <row r="323" spans="1:25" x14ac:dyDescent="0.25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</row>
    <row r="324" spans="1:25" x14ac:dyDescent="0.25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</row>
    <row r="325" spans="1:25" x14ac:dyDescent="0.25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</row>
    <row r="326" spans="1:25" x14ac:dyDescent="0.25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</row>
    <row r="327" spans="1:25" x14ac:dyDescent="0.25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</row>
    <row r="328" spans="1:25" x14ac:dyDescent="0.25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</row>
    <row r="329" spans="1:25" x14ac:dyDescent="0.25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</row>
    <row r="330" spans="1:25" x14ac:dyDescent="0.25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</row>
    <row r="331" spans="1:25" x14ac:dyDescent="0.25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</row>
    <row r="332" spans="1:25" x14ac:dyDescent="0.25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</row>
    <row r="333" spans="1:25" x14ac:dyDescent="0.25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</row>
    <row r="334" spans="1:25" x14ac:dyDescent="0.25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</row>
    <row r="335" spans="1:25" x14ac:dyDescent="0.25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</row>
    <row r="336" spans="1:25" x14ac:dyDescent="0.25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</row>
    <row r="337" spans="1:25" x14ac:dyDescent="0.25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</row>
    <row r="338" spans="1:25" x14ac:dyDescent="0.25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</row>
    <row r="339" spans="1:25" x14ac:dyDescent="0.25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</row>
    <row r="340" spans="1:25" x14ac:dyDescent="0.25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</row>
    <row r="341" spans="1:25" x14ac:dyDescent="0.25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</row>
    <row r="342" spans="1:25" x14ac:dyDescent="0.25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</row>
    <row r="343" spans="1:25" x14ac:dyDescent="0.25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</row>
    <row r="344" spans="1:25" x14ac:dyDescent="0.25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</row>
    <row r="345" spans="1:25" x14ac:dyDescent="0.25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</row>
    <row r="346" spans="1:25" x14ac:dyDescent="0.25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</row>
    <row r="347" spans="1:25" x14ac:dyDescent="0.25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</row>
    <row r="348" spans="1:25" x14ac:dyDescent="0.25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</row>
    <row r="349" spans="1:25" x14ac:dyDescent="0.25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</row>
    <row r="350" spans="1:25" x14ac:dyDescent="0.25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</row>
    <row r="351" spans="1:25" x14ac:dyDescent="0.25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</row>
    <row r="352" spans="1:25" x14ac:dyDescent="0.25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</row>
    <row r="353" spans="1:25" x14ac:dyDescent="0.25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</row>
    <row r="354" spans="1:25" x14ac:dyDescent="0.25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</row>
    <row r="355" spans="1:25" x14ac:dyDescent="0.25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</row>
    <row r="356" spans="1:25" x14ac:dyDescent="0.25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</row>
    <row r="357" spans="1:25" x14ac:dyDescent="0.25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</row>
    <row r="358" spans="1:25" x14ac:dyDescent="0.25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</row>
    <row r="359" spans="1:25" x14ac:dyDescent="0.25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</row>
    <row r="360" spans="1:25" x14ac:dyDescent="0.25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</row>
    <row r="361" spans="1:25" x14ac:dyDescent="0.25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</row>
    <row r="362" spans="1:25" x14ac:dyDescent="0.25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</row>
    <row r="363" spans="1:25" x14ac:dyDescent="0.25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</row>
    <row r="364" spans="1:25" x14ac:dyDescent="0.25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</row>
    <row r="365" spans="1:25" x14ac:dyDescent="0.25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</row>
    <row r="366" spans="1:25" x14ac:dyDescent="0.25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</row>
    <row r="367" spans="1:25" x14ac:dyDescent="0.25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</row>
    <row r="368" spans="1:25" x14ac:dyDescent="0.25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</row>
    <row r="369" spans="1:25" x14ac:dyDescent="0.25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</row>
    <row r="370" spans="1:25" x14ac:dyDescent="0.25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</row>
    <row r="371" spans="1:25" x14ac:dyDescent="0.25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</row>
    <row r="372" spans="1:25" x14ac:dyDescent="0.25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</row>
    <row r="373" spans="1:25" x14ac:dyDescent="0.25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</row>
    <row r="374" spans="1:25" x14ac:dyDescent="0.25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</row>
    <row r="375" spans="1:25" x14ac:dyDescent="0.25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</row>
    <row r="376" spans="1:25" x14ac:dyDescent="0.25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</row>
    <row r="377" spans="1:25" x14ac:dyDescent="0.25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</row>
    <row r="378" spans="1:25" x14ac:dyDescent="0.25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</row>
    <row r="379" spans="1:25" x14ac:dyDescent="0.25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</row>
    <row r="380" spans="1:25" x14ac:dyDescent="0.25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</row>
    <row r="381" spans="1:25" x14ac:dyDescent="0.25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</row>
    <row r="382" spans="1:25" x14ac:dyDescent="0.25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</row>
    <row r="383" spans="1:25" x14ac:dyDescent="0.25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</row>
    <row r="384" spans="1:25" x14ac:dyDescent="0.25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</row>
    <row r="385" spans="1:25" x14ac:dyDescent="0.25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</row>
    <row r="386" spans="1:25" x14ac:dyDescent="0.25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</row>
    <row r="387" spans="1:25" x14ac:dyDescent="0.25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</row>
    <row r="388" spans="1:25" x14ac:dyDescent="0.25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</row>
    <row r="389" spans="1:25" x14ac:dyDescent="0.25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</row>
    <row r="390" spans="1:25" x14ac:dyDescent="0.25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</row>
    <row r="391" spans="1:25" x14ac:dyDescent="0.25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</row>
    <row r="392" spans="1:25" x14ac:dyDescent="0.25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</row>
    <row r="393" spans="1:25" x14ac:dyDescent="0.25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</row>
    <row r="394" spans="1:25" x14ac:dyDescent="0.25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</row>
    <row r="395" spans="1:25" x14ac:dyDescent="0.25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</row>
    <row r="396" spans="1:25" x14ac:dyDescent="0.25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</row>
    <row r="397" spans="1:25" x14ac:dyDescent="0.25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</row>
    <row r="398" spans="1:25" x14ac:dyDescent="0.25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</row>
    <row r="399" spans="1:25" x14ac:dyDescent="0.25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</row>
    <row r="400" spans="1:25" x14ac:dyDescent="0.25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</row>
    <row r="401" spans="1:25" x14ac:dyDescent="0.25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</row>
    <row r="402" spans="1:25" x14ac:dyDescent="0.25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</row>
    <row r="403" spans="1:25" x14ac:dyDescent="0.25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</row>
    <row r="404" spans="1:25" x14ac:dyDescent="0.25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</row>
    <row r="405" spans="1:25" x14ac:dyDescent="0.25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</row>
    <row r="406" spans="1:25" x14ac:dyDescent="0.25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</row>
    <row r="407" spans="1:25" x14ac:dyDescent="0.25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</row>
    <row r="408" spans="1:25" x14ac:dyDescent="0.25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</row>
    <row r="409" spans="1:25" x14ac:dyDescent="0.25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</row>
    <row r="410" spans="1:25" x14ac:dyDescent="0.25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</row>
    <row r="411" spans="1:25" x14ac:dyDescent="0.25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</row>
    <row r="412" spans="1:25" x14ac:dyDescent="0.25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</row>
    <row r="413" spans="1:25" x14ac:dyDescent="0.25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</row>
    <row r="414" spans="1:25" x14ac:dyDescent="0.25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</row>
    <row r="415" spans="1:25" x14ac:dyDescent="0.25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</row>
    <row r="416" spans="1:25" x14ac:dyDescent="0.25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</row>
    <row r="417" spans="1:25" x14ac:dyDescent="0.25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</row>
    <row r="418" spans="1:25" x14ac:dyDescent="0.25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</row>
    <row r="419" spans="1:25" x14ac:dyDescent="0.25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</row>
    <row r="420" spans="1:25" x14ac:dyDescent="0.25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</row>
    <row r="421" spans="1:25" x14ac:dyDescent="0.25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</row>
    <row r="422" spans="1:25" x14ac:dyDescent="0.25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</row>
    <row r="423" spans="1:25" x14ac:dyDescent="0.25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</row>
    <row r="424" spans="1:25" x14ac:dyDescent="0.25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</row>
    <row r="425" spans="1:25" x14ac:dyDescent="0.25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</row>
    <row r="426" spans="1:25" x14ac:dyDescent="0.25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</row>
    <row r="427" spans="1:25" x14ac:dyDescent="0.25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</row>
    <row r="428" spans="1:25" x14ac:dyDescent="0.25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</row>
    <row r="429" spans="1:25" x14ac:dyDescent="0.25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</row>
    <row r="430" spans="1:25" x14ac:dyDescent="0.25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</row>
    <row r="431" spans="1:25" x14ac:dyDescent="0.25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</row>
    <row r="432" spans="1:25" x14ac:dyDescent="0.25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</row>
    <row r="433" spans="1:25" x14ac:dyDescent="0.25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</row>
    <row r="434" spans="1:25" x14ac:dyDescent="0.25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</row>
    <row r="435" spans="1:25" x14ac:dyDescent="0.25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</row>
    <row r="436" spans="1:25" x14ac:dyDescent="0.25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</row>
    <row r="437" spans="1:25" x14ac:dyDescent="0.25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</row>
    <row r="438" spans="1:25" x14ac:dyDescent="0.25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</row>
    <row r="439" spans="1:25" x14ac:dyDescent="0.25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</row>
    <row r="440" spans="1:25" x14ac:dyDescent="0.25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</row>
    <row r="441" spans="1:25" x14ac:dyDescent="0.25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</row>
    <row r="442" spans="1:25" x14ac:dyDescent="0.25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</row>
    <row r="443" spans="1:25" x14ac:dyDescent="0.25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</row>
    <row r="444" spans="1:25" x14ac:dyDescent="0.25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</row>
    <row r="445" spans="1:25" x14ac:dyDescent="0.25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</row>
    <row r="446" spans="1:25" x14ac:dyDescent="0.25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</row>
    <row r="447" spans="1:25" x14ac:dyDescent="0.25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</row>
    <row r="448" spans="1:25" x14ac:dyDescent="0.25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</row>
    <row r="449" spans="1:25" x14ac:dyDescent="0.25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</row>
    <row r="450" spans="1:25" x14ac:dyDescent="0.25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</row>
    <row r="451" spans="1:25" x14ac:dyDescent="0.25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</row>
    <row r="452" spans="1:25" x14ac:dyDescent="0.25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</row>
    <row r="453" spans="1:25" x14ac:dyDescent="0.25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</row>
    <row r="454" spans="1:25" x14ac:dyDescent="0.25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</row>
    <row r="455" spans="1:25" x14ac:dyDescent="0.25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</row>
    <row r="456" spans="1:25" x14ac:dyDescent="0.25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</row>
    <row r="457" spans="1:25" x14ac:dyDescent="0.25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</row>
    <row r="458" spans="1:25" x14ac:dyDescent="0.25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</row>
    <row r="459" spans="1:25" x14ac:dyDescent="0.25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</row>
    <row r="460" spans="1:25" x14ac:dyDescent="0.25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</row>
    <row r="461" spans="1:25" x14ac:dyDescent="0.25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</row>
    <row r="462" spans="1:25" x14ac:dyDescent="0.25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</row>
    <row r="463" spans="1:25" x14ac:dyDescent="0.25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</row>
    <row r="464" spans="1:25" x14ac:dyDescent="0.25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</row>
    <row r="465" spans="1:25" x14ac:dyDescent="0.25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</row>
    <row r="466" spans="1:25" x14ac:dyDescent="0.25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</row>
    <row r="467" spans="1:25" x14ac:dyDescent="0.25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</row>
    <row r="468" spans="1:25" x14ac:dyDescent="0.25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</row>
    <row r="469" spans="1:25" x14ac:dyDescent="0.25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</row>
    <row r="470" spans="1:25" x14ac:dyDescent="0.25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</row>
    <row r="471" spans="1:25" x14ac:dyDescent="0.25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</row>
    <row r="472" spans="1:25" x14ac:dyDescent="0.25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</row>
    <row r="473" spans="1:25" x14ac:dyDescent="0.25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</row>
    <row r="474" spans="1:25" x14ac:dyDescent="0.25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</row>
    <row r="475" spans="1:25" x14ac:dyDescent="0.25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</row>
    <row r="476" spans="1:25" x14ac:dyDescent="0.25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</row>
    <row r="477" spans="1:25" x14ac:dyDescent="0.25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</row>
    <row r="478" spans="1:25" x14ac:dyDescent="0.25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</row>
    <row r="479" spans="1:25" x14ac:dyDescent="0.25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</row>
    <row r="480" spans="1:25" x14ac:dyDescent="0.25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</row>
    <row r="481" spans="1:25" x14ac:dyDescent="0.25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</row>
    <row r="482" spans="1:25" x14ac:dyDescent="0.25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</row>
    <row r="483" spans="1:25" x14ac:dyDescent="0.25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</row>
    <row r="484" spans="1:25" x14ac:dyDescent="0.25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</row>
    <row r="485" spans="1:25" x14ac:dyDescent="0.25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</row>
    <row r="486" spans="1:25" x14ac:dyDescent="0.25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</row>
    <row r="487" spans="1:25" x14ac:dyDescent="0.25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</row>
    <row r="488" spans="1:25" x14ac:dyDescent="0.25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</row>
    <row r="489" spans="1:25" x14ac:dyDescent="0.25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</row>
    <row r="490" spans="1:25" x14ac:dyDescent="0.25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</row>
    <row r="491" spans="1:25" x14ac:dyDescent="0.25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</row>
    <row r="492" spans="1:25" x14ac:dyDescent="0.25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</row>
    <row r="493" spans="1:25" x14ac:dyDescent="0.25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</row>
    <row r="494" spans="1:25" x14ac:dyDescent="0.25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</row>
    <row r="495" spans="1:25" x14ac:dyDescent="0.25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</row>
    <row r="496" spans="1:25" x14ac:dyDescent="0.25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</row>
    <row r="497" spans="1:25" x14ac:dyDescent="0.25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</row>
    <row r="498" spans="1:25" x14ac:dyDescent="0.25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</row>
    <row r="499" spans="1:25" x14ac:dyDescent="0.25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</row>
    <row r="500" spans="1:25" x14ac:dyDescent="0.25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</row>
    <row r="501" spans="1:25" x14ac:dyDescent="0.25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</row>
    <row r="502" spans="1:25" x14ac:dyDescent="0.25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</row>
    <row r="503" spans="1:25" x14ac:dyDescent="0.25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</row>
    <row r="504" spans="1:25" x14ac:dyDescent="0.25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</row>
    <row r="505" spans="1:25" x14ac:dyDescent="0.25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</row>
    <row r="506" spans="1:25" x14ac:dyDescent="0.25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</row>
    <row r="507" spans="1:25" x14ac:dyDescent="0.25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</row>
    <row r="508" spans="1:25" x14ac:dyDescent="0.25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</row>
    <row r="509" spans="1:25" x14ac:dyDescent="0.25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</row>
    <row r="510" spans="1:25" x14ac:dyDescent="0.25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</row>
    <row r="511" spans="1:25" x14ac:dyDescent="0.25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</row>
    <row r="512" spans="1:25" x14ac:dyDescent="0.25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</row>
    <row r="513" spans="1:25" x14ac:dyDescent="0.25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</row>
    <row r="514" spans="1:25" x14ac:dyDescent="0.25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</row>
    <row r="515" spans="1:25" x14ac:dyDescent="0.25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</row>
    <row r="516" spans="1:25" x14ac:dyDescent="0.25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</row>
    <row r="517" spans="1:25" x14ac:dyDescent="0.25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</row>
    <row r="518" spans="1:25" x14ac:dyDescent="0.25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</row>
    <row r="519" spans="1:25" x14ac:dyDescent="0.25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</row>
    <row r="520" spans="1:25" x14ac:dyDescent="0.25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</row>
    <row r="521" spans="1:25" x14ac:dyDescent="0.25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</row>
    <row r="522" spans="1:25" x14ac:dyDescent="0.25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</row>
    <row r="523" spans="1:25" x14ac:dyDescent="0.25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</row>
    <row r="524" spans="1:25" x14ac:dyDescent="0.25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</row>
    <row r="525" spans="1:25" x14ac:dyDescent="0.25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</row>
    <row r="526" spans="1:25" x14ac:dyDescent="0.25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</row>
    <row r="527" spans="1:25" x14ac:dyDescent="0.25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</row>
    <row r="528" spans="1:25" x14ac:dyDescent="0.25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</row>
    <row r="529" spans="1:25" x14ac:dyDescent="0.25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</row>
    <row r="530" spans="1:25" x14ac:dyDescent="0.25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</row>
    <row r="531" spans="1:25" x14ac:dyDescent="0.25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</row>
    <row r="532" spans="1:25" x14ac:dyDescent="0.25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</row>
    <row r="533" spans="1:25" x14ac:dyDescent="0.25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</row>
    <row r="534" spans="1:25" x14ac:dyDescent="0.25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</row>
    <row r="535" spans="1:25" x14ac:dyDescent="0.25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</row>
    <row r="536" spans="1:25" x14ac:dyDescent="0.25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</row>
    <row r="537" spans="1:25" x14ac:dyDescent="0.25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</row>
    <row r="538" spans="1:25" x14ac:dyDescent="0.25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</row>
    <row r="539" spans="1:25" x14ac:dyDescent="0.25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</row>
    <row r="540" spans="1:25" x14ac:dyDescent="0.25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</row>
    <row r="541" spans="1:25" x14ac:dyDescent="0.25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</row>
    <row r="542" spans="1:25" x14ac:dyDescent="0.25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</row>
    <row r="543" spans="1:25" x14ac:dyDescent="0.25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</row>
    <row r="544" spans="1:25" x14ac:dyDescent="0.25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</row>
    <row r="545" spans="1:25" x14ac:dyDescent="0.25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</row>
    <row r="546" spans="1:25" x14ac:dyDescent="0.25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</row>
    <row r="547" spans="1:25" x14ac:dyDescent="0.25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</row>
    <row r="548" spans="1:25" x14ac:dyDescent="0.25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</row>
    <row r="549" spans="1:25" x14ac:dyDescent="0.25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</row>
    <row r="550" spans="1:25" x14ac:dyDescent="0.25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</row>
    <row r="551" spans="1:25" x14ac:dyDescent="0.25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</row>
    <row r="552" spans="1:25" x14ac:dyDescent="0.25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</row>
    <row r="553" spans="1:25" x14ac:dyDescent="0.25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</row>
    <row r="554" spans="1:25" x14ac:dyDescent="0.25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</row>
    <row r="555" spans="1:25" x14ac:dyDescent="0.25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</row>
    <row r="556" spans="1:25" x14ac:dyDescent="0.25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</row>
    <row r="557" spans="1:25" x14ac:dyDescent="0.25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</row>
    <row r="558" spans="1:25" x14ac:dyDescent="0.25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</row>
    <row r="559" spans="1:25" x14ac:dyDescent="0.25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</row>
    <row r="560" spans="1:25" x14ac:dyDescent="0.25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</row>
    <row r="561" spans="1:25" x14ac:dyDescent="0.25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</row>
    <row r="562" spans="1:25" x14ac:dyDescent="0.25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</row>
    <row r="563" spans="1:25" x14ac:dyDescent="0.25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</row>
    <row r="564" spans="1:25" x14ac:dyDescent="0.25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</row>
    <row r="565" spans="1:25" x14ac:dyDescent="0.25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</row>
    <row r="566" spans="1:25" x14ac:dyDescent="0.25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</row>
    <row r="567" spans="1:25" x14ac:dyDescent="0.25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</row>
    <row r="568" spans="1:25" x14ac:dyDescent="0.25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</row>
    <row r="569" spans="1:25" x14ac:dyDescent="0.25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</row>
    <row r="570" spans="1:25" x14ac:dyDescent="0.25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</row>
    <row r="571" spans="1:25" x14ac:dyDescent="0.25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</row>
    <row r="572" spans="1:25" x14ac:dyDescent="0.25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</row>
    <row r="573" spans="1:25" x14ac:dyDescent="0.25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</row>
    <row r="574" spans="1:25" x14ac:dyDescent="0.25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</row>
    <row r="575" spans="1:25" x14ac:dyDescent="0.25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</row>
    <row r="576" spans="1:25" x14ac:dyDescent="0.25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</row>
    <row r="577" spans="1:25" x14ac:dyDescent="0.25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</row>
    <row r="578" spans="1:25" x14ac:dyDescent="0.25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</row>
    <row r="579" spans="1:25" x14ac:dyDescent="0.25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</row>
    <row r="580" spans="1:25" x14ac:dyDescent="0.25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</row>
    <row r="581" spans="1:25" x14ac:dyDescent="0.25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</row>
    <row r="582" spans="1:25" x14ac:dyDescent="0.25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</row>
    <row r="583" spans="1:25" x14ac:dyDescent="0.25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</row>
    <row r="584" spans="1:25" x14ac:dyDescent="0.25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</row>
    <row r="585" spans="1:25" x14ac:dyDescent="0.25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</row>
    <row r="586" spans="1:25" x14ac:dyDescent="0.25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</row>
    <row r="587" spans="1:25" x14ac:dyDescent="0.25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</row>
    <row r="588" spans="1:25" x14ac:dyDescent="0.25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</row>
    <row r="589" spans="1:25" x14ac:dyDescent="0.25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</row>
    <row r="590" spans="1:25" x14ac:dyDescent="0.25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</row>
    <row r="591" spans="1:25" x14ac:dyDescent="0.25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</row>
    <row r="592" spans="1:25" x14ac:dyDescent="0.25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</row>
    <row r="593" spans="1:25" x14ac:dyDescent="0.25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</row>
    <row r="594" spans="1:25" x14ac:dyDescent="0.25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</row>
    <row r="595" spans="1:25" x14ac:dyDescent="0.25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</row>
    <row r="596" spans="1:25" x14ac:dyDescent="0.25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</row>
    <row r="597" spans="1:25" x14ac:dyDescent="0.25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</row>
    <row r="598" spans="1:25" x14ac:dyDescent="0.25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</row>
    <row r="599" spans="1:25" x14ac:dyDescent="0.25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</row>
    <row r="600" spans="1:25" x14ac:dyDescent="0.25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</row>
    <row r="601" spans="1:25" x14ac:dyDescent="0.25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</row>
    <row r="602" spans="1:25" x14ac:dyDescent="0.25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</row>
    <row r="603" spans="1:25" x14ac:dyDescent="0.25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</row>
    <row r="604" spans="1:25" x14ac:dyDescent="0.25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</row>
    <row r="605" spans="1:25" x14ac:dyDescent="0.25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</row>
    <row r="606" spans="1:25" x14ac:dyDescent="0.25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</row>
    <row r="607" spans="1:25" x14ac:dyDescent="0.25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</row>
    <row r="608" spans="1:25" x14ac:dyDescent="0.25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</row>
    <row r="609" spans="1:25" x14ac:dyDescent="0.25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</row>
    <row r="610" spans="1:25" x14ac:dyDescent="0.25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</row>
    <row r="611" spans="1:25" x14ac:dyDescent="0.25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</row>
    <row r="612" spans="1:25" x14ac:dyDescent="0.25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</row>
    <row r="613" spans="1:25" x14ac:dyDescent="0.25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</row>
    <row r="614" spans="1:25" x14ac:dyDescent="0.25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</row>
    <row r="615" spans="1:25" x14ac:dyDescent="0.25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</row>
    <row r="616" spans="1:25" x14ac:dyDescent="0.25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</row>
    <row r="617" spans="1:25" x14ac:dyDescent="0.25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</row>
    <row r="618" spans="1:25" x14ac:dyDescent="0.25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</row>
    <row r="619" spans="1:25" x14ac:dyDescent="0.25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</row>
    <row r="620" spans="1:25" x14ac:dyDescent="0.25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</row>
    <row r="621" spans="1:25" x14ac:dyDescent="0.25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</row>
    <row r="622" spans="1:25" x14ac:dyDescent="0.25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</row>
    <row r="623" spans="1:25" x14ac:dyDescent="0.25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</row>
    <row r="624" spans="1:25" x14ac:dyDescent="0.25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</row>
    <row r="625" spans="1:25" x14ac:dyDescent="0.25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</row>
    <row r="626" spans="1:25" x14ac:dyDescent="0.25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</row>
    <row r="627" spans="1:25" x14ac:dyDescent="0.25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</row>
    <row r="628" spans="1:25" x14ac:dyDescent="0.25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</row>
    <row r="629" spans="1:25" x14ac:dyDescent="0.25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</row>
    <row r="630" spans="1:25" x14ac:dyDescent="0.25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</row>
    <row r="631" spans="1:25" x14ac:dyDescent="0.25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</row>
    <row r="632" spans="1:25" x14ac:dyDescent="0.25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</row>
    <row r="633" spans="1:25" x14ac:dyDescent="0.25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</row>
    <row r="634" spans="1:25" x14ac:dyDescent="0.25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</row>
    <row r="635" spans="1:25" x14ac:dyDescent="0.25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</row>
    <row r="636" spans="1:25" x14ac:dyDescent="0.25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</row>
    <row r="637" spans="1:25" x14ac:dyDescent="0.25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</row>
    <row r="638" spans="1:25" x14ac:dyDescent="0.25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</row>
    <row r="639" spans="1:25" x14ac:dyDescent="0.25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</row>
    <row r="640" spans="1:25" x14ac:dyDescent="0.25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</row>
    <row r="641" spans="1:25" x14ac:dyDescent="0.25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</row>
    <row r="642" spans="1:25" x14ac:dyDescent="0.25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</row>
    <row r="643" spans="1:25" x14ac:dyDescent="0.25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</row>
    <row r="644" spans="1:25" x14ac:dyDescent="0.25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</row>
    <row r="645" spans="1:25" x14ac:dyDescent="0.25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</row>
    <row r="646" spans="1:25" x14ac:dyDescent="0.25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</row>
    <row r="647" spans="1:25" x14ac:dyDescent="0.25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</row>
    <row r="648" spans="1:25" x14ac:dyDescent="0.25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</row>
    <row r="649" spans="1:25" x14ac:dyDescent="0.25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</row>
    <row r="650" spans="1:25" x14ac:dyDescent="0.25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</row>
    <row r="651" spans="1:25" x14ac:dyDescent="0.25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</row>
    <row r="652" spans="1:25" x14ac:dyDescent="0.25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</row>
    <row r="653" spans="1:25" x14ac:dyDescent="0.25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</row>
    <row r="654" spans="1:25" x14ac:dyDescent="0.25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</row>
    <row r="655" spans="1:25" x14ac:dyDescent="0.25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</row>
    <row r="656" spans="1:25" x14ac:dyDescent="0.25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</row>
    <row r="657" spans="1:25" x14ac:dyDescent="0.25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</row>
    <row r="658" spans="1:25" x14ac:dyDescent="0.25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</row>
    <row r="659" spans="1:25" x14ac:dyDescent="0.25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</row>
    <row r="660" spans="1:25" x14ac:dyDescent="0.25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</row>
    <row r="661" spans="1:25" x14ac:dyDescent="0.25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</row>
    <row r="662" spans="1:25" x14ac:dyDescent="0.25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</row>
    <row r="663" spans="1:25" x14ac:dyDescent="0.25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</row>
    <row r="664" spans="1:25" x14ac:dyDescent="0.25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</row>
    <row r="665" spans="1:25" x14ac:dyDescent="0.25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</row>
    <row r="666" spans="1:25" x14ac:dyDescent="0.25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</row>
    <row r="667" spans="1:25" x14ac:dyDescent="0.25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</row>
    <row r="668" spans="1:25" x14ac:dyDescent="0.25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</row>
    <row r="669" spans="1:25" x14ac:dyDescent="0.25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</row>
    <row r="670" spans="1:25" x14ac:dyDescent="0.25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</row>
    <row r="671" spans="1:25" x14ac:dyDescent="0.25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</row>
    <row r="672" spans="1:25" x14ac:dyDescent="0.25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</row>
    <row r="673" spans="1:25" x14ac:dyDescent="0.25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</row>
    <row r="674" spans="1:25" x14ac:dyDescent="0.25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</row>
    <row r="675" spans="1:25" x14ac:dyDescent="0.25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</row>
  </sheetData>
  <mergeCells count="2">
    <mergeCell ref="J8:K8"/>
    <mergeCell ref="J9:K9"/>
  </mergeCells>
  <phoneticPr fontId="15" type="noConversion"/>
  <pageMargins left="0.75" right="0.5" top="0.5" bottom="0.5" header="0.5" footer="0.5"/>
  <pageSetup scale="54" orientation="landscape" horizontalDpi="300" verticalDpi="300" r:id="rId1"/>
  <headerFooter alignWithMargins="0">
    <oddFooter>&amp;CPage &amp;P of &amp;N</oddFooter>
  </headerFooter>
  <rowBreaks count="1" manualBreakCount="1">
    <brk id="67" max="16383" man="1"/>
  </rowBreaks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20"/>
  <dimension ref="A3:AV139"/>
  <sheetViews>
    <sheetView showGridLines="0" view="pageBreakPreview" zoomScale="115" zoomScaleNormal="160" zoomScaleSheetLayoutView="115" workbookViewId="0">
      <pane xSplit="2" ySplit="9" topLeftCell="C79" activePane="bottomRight" state="frozen"/>
      <selection activeCell="E28" sqref="E28"/>
      <selection pane="topRight" activeCell="E28" sqref="E28"/>
      <selection pane="bottomLeft" activeCell="E28" sqref="E28"/>
      <selection pane="bottomRight" activeCell="E28" sqref="E28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4" width="8.5703125" style="3" customWidth="1"/>
    <col min="5" max="5" width="9.42578125" style="3" bestFit="1" customWidth="1"/>
    <col min="6" max="9" width="8.5703125" style="3" customWidth="1"/>
    <col min="10" max="10" width="9.42578125" style="3" bestFit="1" customWidth="1"/>
    <col min="11" max="14" width="8.5703125" style="3" customWidth="1"/>
    <col min="15" max="15" width="9.85546875" style="3" bestFit="1" customWidth="1"/>
    <col min="16" max="16" width="10.5703125" style="3" customWidth="1"/>
    <col min="17" max="17" width="9.5703125" style="3" bestFit="1" customWidth="1"/>
    <col min="18" max="18" width="11.5703125" style="3" customWidth="1"/>
    <col min="19" max="19" width="15.5703125" style="18" customWidth="1"/>
    <col min="20" max="20" width="15.140625" style="18" customWidth="1"/>
    <col min="21" max="21" width="16.42578125" style="18" customWidth="1"/>
    <col min="22" max="22" width="13.85546875" style="18" customWidth="1"/>
    <col min="23" max="23" width="16.5703125" style="18" customWidth="1"/>
    <col min="24" max="24" width="11.5703125" style="18" bestFit="1" customWidth="1"/>
    <col min="25" max="25" width="17.5703125" style="18" customWidth="1"/>
    <col min="26" max="48" width="12.5703125" style="18"/>
    <col min="49" max="16384" width="12.5703125" style="3"/>
  </cols>
  <sheetData>
    <row r="3" spans="1:25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71"/>
      <c r="P3" s="71"/>
      <c r="Q3" s="2"/>
      <c r="R3" s="73" t="s">
        <v>717</v>
      </c>
      <c r="S3" s="17"/>
      <c r="T3" s="39"/>
      <c r="U3" s="17"/>
      <c r="V3" s="17"/>
      <c r="W3" s="17"/>
      <c r="X3" s="17"/>
      <c r="Y3" s="17"/>
    </row>
    <row r="4" spans="1:25" x14ac:dyDescent="0.2">
      <c r="A4" s="8"/>
      <c r="B4" s="19"/>
      <c r="C4" s="19"/>
      <c r="D4" s="19"/>
      <c r="E4" s="19"/>
      <c r="F4" s="19"/>
      <c r="G4" s="19"/>
      <c r="H4" s="19"/>
      <c r="I4" s="5" t="s">
        <v>93</v>
      </c>
      <c r="J4" s="19"/>
      <c r="K4" s="19"/>
      <c r="L4" s="19"/>
      <c r="M4" s="19"/>
      <c r="N4" s="19"/>
      <c r="O4" s="72"/>
      <c r="P4" s="72"/>
      <c r="Q4" s="20"/>
      <c r="R4" s="73"/>
      <c r="T4" s="17"/>
      <c r="U4" s="17"/>
      <c r="V4" s="17"/>
      <c r="W4" s="17"/>
      <c r="X4" s="17"/>
    </row>
    <row r="5" spans="1:25" x14ac:dyDescent="0.2">
      <c r="A5" s="8"/>
      <c r="B5" s="19"/>
      <c r="C5" s="19"/>
      <c r="D5" s="19"/>
      <c r="E5" s="19"/>
      <c r="F5" s="19"/>
      <c r="G5" s="19"/>
      <c r="H5" s="19"/>
      <c r="I5" s="5" t="s">
        <v>216</v>
      </c>
      <c r="J5" s="19"/>
      <c r="K5" s="19"/>
      <c r="L5" s="19"/>
      <c r="M5" s="19"/>
      <c r="N5" s="19"/>
      <c r="O5" s="19"/>
      <c r="P5" s="19"/>
      <c r="Q5" s="20"/>
      <c r="R5" s="19"/>
      <c r="T5" s="17"/>
      <c r="U5" s="17"/>
      <c r="V5" s="17"/>
      <c r="W5" s="22"/>
      <c r="X5" s="17"/>
      <c r="Y5" s="17"/>
    </row>
    <row r="6" spans="1:25" x14ac:dyDescent="0.2">
      <c r="A6" s="8"/>
      <c r="B6" s="19"/>
      <c r="C6" s="19"/>
      <c r="D6" s="19"/>
      <c r="E6" s="19"/>
      <c r="F6" s="19"/>
      <c r="G6" s="19"/>
      <c r="H6" s="19"/>
      <c r="I6" s="5" t="str">
        <f>'WNA Summary'!I6</f>
        <v>Reference Period - Twelve Months Ending 06/30/2017</v>
      </c>
      <c r="J6" s="19"/>
      <c r="K6" s="19"/>
      <c r="L6" s="19"/>
      <c r="M6" s="19"/>
      <c r="N6" s="19"/>
      <c r="O6" s="19"/>
      <c r="P6" s="19"/>
      <c r="Q6" s="74"/>
      <c r="R6" s="19"/>
      <c r="T6" s="17"/>
      <c r="U6" s="17"/>
      <c r="V6" s="17"/>
      <c r="W6" s="23"/>
      <c r="X6" s="17"/>
      <c r="Y6" s="23"/>
    </row>
    <row r="7" spans="1:25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7"/>
      <c r="T7" s="17"/>
      <c r="U7" s="17"/>
      <c r="V7" s="17"/>
      <c r="W7" s="17"/>
      <c r="X7" s="17"/>
      <c r="Y7" s="17"/>
    </row>
    <row r="8" spans="1:25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5" t="s">
        <v>18</v>
      </c>
      <c r="P8" s="2"/>
      <c r="Q8" s="2"/>
      <c r="R8" s="5" t="s">
        <v>19</v>
      </c>
      <c r="S8" s="16"/>
      <c r="U8" s="16"/>
      <c r="V8" s="16"/>
      <c r="W8" s="16"/>
      <c r="X8" s="16"/>
      <c r="Y8" s="16"/>
    </row>
    <row r="9" spans="1:25" x14ac:dyDescent="0.2">
      <c r="A9" s="9" t="s">
        <v>17</v>
      </c>
      <c r="B9" s="10" t="s">
        <v>27</v>
      </c>
      <c r="C9" s="66">
        <f>WNA!C10</f>
        <v>42582</v>
      </c>
      <c r="D9" s="66">
        <f>WNA!D10</f>
        <v>42613</v>
      </c>
      <c r="E9" s="66">
        <f>WNA!E10</f>
        <v>42643</v>
      </c>
      <c r="F9" s="66">
        <f>WNA!F10</f>
        <v>42674</v>
      </c>
      <c r="G9" s="66">
        <f>WNA!G10</f>
        <v>42704</v>
      </c>
      <c r="H9" s="66">
        <f>WNA!H10</f>
        <v>42735</v>
      </c>
      <c r="I9" s="66">
        <f>WNA!I10</f>
        <v>42766</v>
      </c>
      <c r="J9" s="66">
        <f>WNA!J10</f>
        <v>42794</v>
      </c>
      <c r="K9" s="66">
        <f>WNA!K10</f>
        <v>42825</v>
      </c>
      <c r="L9" s="66">
        <f>WNA!L10</f>
        <v>42855</v>
      </c>
      <c r="M9" s="66">
        <f>WNA!M10</f>
        <v>42886</v>
      </c>
      <c r="N9" s="66">
        <f>WNA!N10</f>
        <v>42916</v>
      </c>
      <c r="O9" s="11" t="s">
        <v>20</v>
      </c>
      <c r="P9" s="11" t="s">
        <v>21</v>
      </c>
      <c r="Q9" s="11" t="s">
        <v>6</v>
      </c>
      <c r="R9" s="11" t="s">
        <v>22</v>
      </c>
      <c r="S9" s="51"/>
      <c r="U9" s="17"/>
      <c r="V9" s="59"/>
      <c r="X9" s="17"/>
      <c r="Y9" s="17"/>
    </row>
    <row r="10" spans="1:25" x14ac:dyDescent="0.2">
      <c r="A10" s="2"/>
      <c r="B10" s="2"/>
      <c r="C10" s="82" t="s">
        <v>13</v>
      </c>
      <c r="D10" s="82" t="s">
        <v>14</v>
      </c>
      <c r="E10" s="5" t="s">
        <v>15</v>
      </c>
      <c r="F10" s="96" t="s">
        <v>16</v>
      </c>
      <c r="G10" s="97" t="s">
        <v>108</v>
      </c>
      <c r="H10" s="97" t="s">
        <v>109</v>
      </c>
      <c r="I10" s="97" t="s">
        <v>110</v>
      </c>
      <c r="J10" s="97" t="s">
        <v>111</v>
      </c>
      <c r="K10" s="97" t="s">
        <v>112</v>
      </c>
      <c r="L10" s="97" t="s">
        <v>113</v>
      </c>
      <c r="M10" s="97" t="s">
        <v>114</v>
      </c>
      <c r="N10" s="97" t="s">
        <v>115</v>
      </c>
      <c r="O10" s="97" t="s">
        <v>116</v>
      </c>
      <c r="P10" s="97" t="s">
        <v>234</v>
      </c>
      <c r="Q10" s="97" t="s">
        <v>235</v>
      </c>
      <c r="R10" s="82" t="s">
        <v>236</v>
      </c>
      <c r="S10" s="17"/>
      <c r="U10" s="17"/>
      <c r="V10" s="16"/>
      <c r="W10" s="17"/>
      <c r="X10" s="17"/>
      <c r="Y10" s="16"/>
    </row>
    <row r="11" spans="1:25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6"/>
      <c r="U11" s="16"/>
      <c r="V11" s="16"/>
      <c r="W11" s="16"/>
      <c r="X11" s="16"/>
      <c r="Y11" s="16"/>
    </row>
    <row r="12" spans="1:25" x14ac:dyDescent="0.2">
      <c r="A12" s="5">
        <v>1</v>
      </c>
      <c r="B12" s="36" t="s">
        <v>30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16"/>
      <c r="P12" s="16"/>
      <c r="Q12" s="16"/>
      <c r="R12" s="16"/>
      <c r="W12" s="16"/>
      <c r="X12" s="16"/>
      <c r="Y12" s="16"/>
    </row>
    <row r="13" spans="1:25" x14ac:dyDescent="0.2">
      <c r="A13" s="5">
        <v>2</v>
      </c>
      <c r="B13" s="2" t="s">
        <v>23</v>
      </c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7">
        <f>SUM(C13:N13)</f>
        <v>0</v>
      </c>
      <c r="P13" s="7"/>
      <c r="Q13" s="12">
        <f>'WNA Summary'!Q13</f>
        <v>19.059999999999999</v>
      </c>
      <c r="R13" s="4">
        <f>O13*Q13</f>
        <v>0</v>
      </c>
      <c r="U13" s="50"/>
      <c r="V13" s="4"/>
    </row>
    <row r="14" spans="1:25" x14ac:dyDescent="0.2">
      <c r="A14" s="5">
        <v>3</v>
      </c>
      <c r="B14" s="2" t="s">
        <v>24</v>
      </c>
      <c r="C14" s="71">
        <f>'Bill Frequency'!C15</f>
        <v>0</v>
      </c>
      <c r="D14" s="71">
        <f>'Bill Frequency'!D15</f>
        <v>0</v>
      </c>
      <c r="E14" s="71">
        <f>'Bill Frequency'!E15</f>
        <v>40.950000000000003</v>
      </c>
      <c r="F14" s="71">
        <f>'Bill Frequency'!F15</f>
        <v>904.96</v>
      </c>
      <c r="G14" s="71">
        <f>'Bill Frequency'!G15</f>
        <v>146.03</v>
      </c>
      <c r="H14" s="71">
        <f>-H15-H16</f>
        <v>28.38</v>
      </c>
      <c r="I14" s="71">
        <f>'Bill Frequency'!I15</f>
        <v>273.86</v>
      </c>
      <c r="J14" s="71">
        <f>'Bill Frequency'!J15</f>
        <v>337.05</v>
      </c>
      <c r="K14" s="71">
        <f>'Bill Frequency'!K15</f>
        <v>737.21</v>
      </c>
      <c r="L14" s="71">
        <f>'Bill Frequency'!L15</f>
        <v>-502.12</v>
      </c>
      <c r="M14" s="71">
        <f>'Bill Frequency'!M15</f>
        <v>36.11</v>
      </c>
      <c r="N14" s="71">
        <f>'Bill Frequency'!N15</f>
        <v>0</v>
      </c>
      <c r="O14" s="7"/>
      <c r="P14" s="7">
        <f>SUM(C14:N14)</f>
        <v>2002.4300000000005</v>
      </c>
      <c r="Q14" s="15">
        <f>'WNA Summary'!Q14</f>
        <v>1.534</v>
      </c>
      <c r="R14" s="7">
        <f>P14*Q14</f>
        <v>3071.727620000001</v>
      </c>
      <c r="S14" s="50"/>
      <c r="T14" s="47"/>
      <c r="U14" s="50"/>
      <c r="V14" s="4"/>
    </row>
    <row r="15" spans="1:25" x14ac:dyDescent="0.2">
      <c r="A15" s="5">
        <v>4</v>
      </c>
      <c r="B15" s="2" t="s">
        <v>25</v>
      </c>
      <c r="C15" s="71">
        <f>-C14</f>
        <v>0</v>
      </c>
      <c r="D15" s="71">
        <f>-D14</f>
        <v>0</v>
      </c>
      <c r="E15" s="71">
        <f>-E14</f>
        <v>-40.950000000000003</v>
      </c>
      <c r="F15" s="71">
        <f>-F14</f>
        <v>-904.96</v>
      </c>
      <c r="G15" s="71">
        <f>-G14</f>
        <v>-146.03</v>
      </c>
      <c r="H15" s="71">
        <f>-'Bill Frequency'!H15</f>
        <v>-28.38</v>
      </c>
      <c r="I15" s="71">
        <f t="shared" ref="I15:N15" si="0">-I14</f>
        <v>-273.86</v>
      </c>
      <c r="J15" s="71">
        <f t="shared" si="0"/>
        <v>-337.05</v>
      </c>
      <c r="K15" s="71">
        <f t="shared" si="0"/>
        <v>-737.21</v>
      </c>
      <c r="L15" s="71">
        <f t="shared" si="0"/>
        <v>502.12</v>
      </c>
      <c r="M15" s="71">
        <f t="shared" si="0"/>
        <v>-36.11</v>
      </c>
      <c r="N15" s="71">
        <f t="shared" si="0"/>
        <v>0</v>
      </c>
      <c r="O15" s="7"/>
      <c r="P15" s="7">
        <f>SUM(C15:N15)</f>
        <v>-2002.4300000000005</v>
      </c>
      <c r="Q15" s="15">
        <f>'WNA Summary'!Q15</f>
        <v>0.95</v>
      </c>
      <c r="R15" s="7">
        <f>P15*Q15</f>
        <v>-1902.3085000000003</v>
      </c>
      <c r="S15" s="50"/>
      <c r="T15" s="47"/>
      <c r="U15" s="50"/>
      <c r="V15" s="4"/>
    </row>
    <row r="16" spans="1:25" x14ac:dyDescent="0.2">
      <c r="A16" s="5">
        <v>5</v>
      </c>
      <c r="B16" s="2" t="s">
        <v>81</v>
      </c>
      <c r="C16" s="2"/>
      <c r="D16" s="2"/>
      <c r="E16" s="2"/>
      <c r="F16" s="2"/>
      <c r="G16" s="2"/>
      <c r="H16" s="71">
        <f>-'Bill Frequency'!H16</f>
        <v>0</v>
      </c>
      <c r="I16" s="2"/>
      <c r="J16" s="2"/>
      <c r="K16" s="2"/>
      <c r="L16" s="2"/>
      <c r="M16" s="2"/>
      <c r="N16" s="2"/>
      <c r="O16" s="2"/>
      <c r="P16" s="7">
        <f>SUM(C16:N16)</f>
        <v>0</v>
      </c>
      <c r="Q16" s="15">
        <f>'WNA Summary'!Q16</f>
        <v>0.74</v>
      </c>
      <c r="R16" s="7">
        <f>P16*Q16</f>
        <v>0</v>
      </c>
      <c r="S16" s="50"/>
    </row>
    <row r="17" spans="1:22" x14ac:dyDescent="0.2">
      <c r="A17" s="5">
        <v>6</v>
      </c>
      <c r="B17" s="33" t="s">
        <v>79</v>
      </c>
      <c r="C17" s="68">
        <f t="shared" ref="C17:N17" si="1">C14+C15+C16</f>
        <v>0</v>
      </c>
      <c r="D17" s="68">
        <f t="shared" si="1"/>
        <v>0</v>
      </c>
      <c r="E17" s="68">
        <f t="shared" si="1"/>
        <v>0</v>
      </c>
      <c r="F17" s="68">
        <f t="shared" si="1"/>
        <v>0</v>
      </c>
      <c r="G17" s="68">
        <f t="shared" si="1"/>
        <v>0</v>
      </c>
      <c r="H17" s="68">
        <f t="shared" si="1"/>
        <v>0</v>
      </c>
      <c r="I17" s="68">
        <f t="shared" si="1"/>
        <v>0</v>
      </c>
      <c r="J17" s="68">
        <f t="shared" si="1"/>
        <v>0</v>
      </c>
      <c r="K17" s="68">
        <f t="shared" si="1"/>
        <v>0</v>
      </c>
      <c r="L17" s="68">
        <f t="shared" si="1"/>
        <v>0</v>
      </c>
      <c r="M17" s="68">
        <f t="shared" si="1"/>
        <v>0</v>
      </c>
      <c r="N17" s="68">
        <f t="shared" si="1"/>
        <v>0</v>
      </c>
      <c r="O17" s="32">
        <f>O13</f>
        <v>0</v>
      </c>
      <c r="P17" s="32">
        <f>SUM(P14:P16)</f>
        <v>0</v>
      </c>
      <c r="Q17" s="33"/>
      <c r="R17" s="34">
        <f>SUM(R13:R16)</f>
        <v>1169.4191200000007</v>
      </c>
      <c r="S17" s="38"/>
      <c r="V17" s="60"/>
    </row>
    <row r="18" spans="1:22" x14ac:dyDescent="0.2">
      <c r="A18" s="5">
        <v>7</v>
      </c>
      <c r="B18" s="17"/>
      <c r="C18" s="17"/>
      <c r="D18" s="17"/>
      <c r="E18" s="39"/>
      <c r="F18" s="39"/>
      <c r="G18" s="39"/>
      <c r="H18" s="39"/>
      <c r="I18" s="39"/>
      <c r="J18" s="39"/>
      <c r="K18" s="17"/>
      <c r="L18" s="17"/>
      <c r="M18" s="17"/>
      <c r="N18" s="17"/>
      <c r="O18" s="17"/>
      <c r="P18" s="17"/>
      <c r="Q18" s="17"/>
      <c r="R18" s="39"/>
      <c r="S18" s="17"/>
      <c r="T18" s="65"/>
    </row>
    <row r="19" spans="1:22" x14ac:dyDescent="0.2">
      <c r="A19" s="5">
        <v>8</v>
      </c>
      <c r="B19" s="36" t="s">
        <v>31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2"/>
      <c r="P19" s="2"/>
      <c r="Q19" s="2"/>
      <c r="R19" s="2"/>
      <c r="S19" s="45"/>
    </row>
    <row r="20" spans="1:22" x14ac:dyDescent="0.2">
      <c r="A20" s="5">
        <v>9</v>
      </c>
      <c r="B20" s="2" t="s">
        <v>23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"/>
      <c r="P20" s="16"/>
      <c r="Q20" s="101">
        <f>'WNA Summary'!Q20</f>
        <v>49.74</v>
      </c>
      <c r="R20" s="4">
        <f>O20*Q20</f>
        <v>0</v>
      </c>
      <c r="S20" s="45"/>
      <c r="U20" s="47"/>
    </row>
    <row r="21" spans="1:22" x14ac:dyDescent="0.2">
      <c r="A21" s="5">
        <v>10</v>
      </c>
      <c r="B21" s="2" t="s">
        <v>24</v>
      </c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"/>
      <c r="P21" s="7"/>
      <c r="Q21" s="15">
        <f>'WNA Summary'!Q21</f>
        <v>1.534</v>
      </c>
      <c r="R21" s="7">
        <f>P21*Q21</f>
        <v>0</v>
      </c>
      <c r="S21" s="75"/>
      <c r="U21" s="47"/>
    </row>
    <row r="22" spans="1:22" x14ac:dyDescent="0.2">
      <c r="A22" s="5">
        <v>11</v>
      </c>
      <c r="B22" s="2" t="s">
        <v>25</v>
      </c>
      <c r="C22" s="71">
        <f>-C23</f>
        <v>0</v>
      </c>
      <c r="D22" s="71">
        <f t="shared" ref="D22:N22" si="2">-D23</f>
        <v>0</v>
      </c>
      <c r="E22" s="71">
        <f t="shared" si="2"/>
        <v>0</v>
      </c>
      <c r="F22" s="71">
        <f t="shared" si="2"/>
        <v>2056</v>
      </c>
      <c r="G22" s="71">
        <f t="shared" si="2"/>
        <v>-2056</v>
      </c>
      <c r="H22" s="71">
        <f t="shared" si="2"/>
        <v>0</v>
      </c>
      <c r="I22" s="71">
        <f t="shared" si="2"/>
        <v>0</v>
      </c>
      <c r="J22" s="71">
        <f t="shared" si="2"/>
        <v>0</v>
      </c>
      <c r="K22" s="71">
        <f t="shared" si="2"/>
        <v>0</v>
      </c>
      <c r="L22" s="71">
        <f t="shared" si="2"/>
        <v>0</v>
      </c>
      <c r="M22" s="71">
        <f t="shared" si="2"/>
        <v>0</v>
      </c>
      <c r="N22" s="71">
        <f t="shared" si="2"/>
        <v>0</v>
      </c>
      <c r="O22" s="7"/>
      <c r="P22" s="7"/>
      <c r="Q22" s="15">
        <f>'WNA Summary'!Q22</f>
        <v>0.95</v>
      </c>
      <c r="R22" s="7">
        <f>P22*Q22</f>
        <v>0</v>
      </c>
      <c r="S22" s="75"/>
    </row>
    <row r="23" spans="1:22" x14ac:dyDescent="0.2">
      <c r="A23" s="5">
        <v>12</v>
      </c>
      <c r="B23" s="2" t="s">
        <v>81</v>
      </c>
      <c r="C23" s="71">
        <f>-'Bill Frequency'!C23</f>
        <v>0</v>
      </c>
      <c r="D23" s="71">
        <f>-'Bill Frequency'!D23</f>
        <v>0</v>
      </c>
      <c r="E23" s="71">
        <f>-'Bill Frequency'!E23</f>
        <v>0</v>
      </c>
      <c r="F23" s="71">
        <f>-'Bill Frequency'!F23</f>
        <v>-2056</v>
      </c>
      <c r="G23" s="71">
        <f>-'Bill Frequency'!G23</f>
        <v>2056</v>
      </c>
      <c r="H23" s="71">
        <f>-'Bill Frequency'!H23</f>
        <v>0</v>
      </c>
      <c r="I23" s="71">
        <f>-'Bill Frequency'!I23</f>
        <v>0</v>
      </c>
      <c r="J23" s="71">
        <f>-'Bill Frequency'!J23</f>
        <v>0</v>
      </c>
      <c r="K23" s="71">
        <f>-'Bill Frequency'!K23</f>
        <v>0</v>
      </c>
      <c r="L23" s="71">
        <f>-'Bill Frequency'!L23</f>
        <v>0</v>
      </c>
      <c r="M23" s="71">
        <f>-'Bill Frequency'!M23</f>
        <v>0</v>
      </c>
      <c r="N23" s="71">
        <f>-'Bill Frequency'!N23</f>
        <v>0</v>
      </c>
      <c r="O23" s="7"/>
      <c r="P23" s="7"/>
      <c r="Q23" s="15">
        <f>'WNA Summary'!Q23</f>
        <v>0.74</v>
      </c>
      <c r="R23" s="7">
        <f>P23*Q23</f>
        <v>0</v>
      </c>
    </row>
    <row r="24" spans="1:22" x14ac:dyDescent="0.2">
      <c r="A24" s="5">
        <v>13</v>
      </c>
      <c r="B24" s="33" t="s">
        <v>79</v>
      </c>
      <c r="C24" s="32">
        <f t="shared" ref="C24:N24" si="3">C21+C22+C23</f>
        <v>0</v>
      </c>
      <c r="D24" s="32">
        <f t="shared" si="3"/>
        <v>0</v>
      </c>
      <c r="E24" s="32">
        <f t="shared" si="3"/>
        <v>0</v>
      </c>
      <c r="F24" s="32">
        <f t="shared" si="3"/>
        <v>0</v>
      </c>
      <c r="G24" s="32">
        <f t="shared" si="3"/>
        <v>0</v>
      </c>
      <c r="H24" s="32">
        <f t="shared" si="3"/>
        <v>0</v>
      </c>
      <c r="I24" s="32">
        <f t="shared" si="3"/>
        <v>0</v>
      </c>
      <c r="J24" s="32">
        <f t="shared" si="3"/>
        <v>0</v>
      </c>
      <c r="K24" s="32">
        <f t="shared" si="3"/>
        <v>0</v>
      </c>
      <c r="L24" s="32">
        <f t="shared" si="3"/>
        <v>0</v>
      </c>
      <c r="M24" s="32">
        <f t="shared" si="3"/>
        <v>0</v>
      </c>
      <c r="N24" s="32">
        <f t="shared" si="3"/>
        <v>0</v>
      </c>
      <c r="O24" s="32">
        <f>O20</f>
        <v>0</v>
      </c>
      <c r="P24" s="32">
        <f>SUM(P21:P23)</f>
        <v>0</v>
      </c>
      <c r="Q24" s="33"/>
      <c r="R24" s="34">
        <f>SUM(R20:R23)</f>
        <v>0</v>
      </c>
      <c r="S24" s="17"/>
      <c r="T24" s="65"/>
    </row>
    <row r="25" spans="1:22" x14ac:dyDescent="0.2">
      <c r="A25" s="5">
        <v>14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pans="1:22" x14ac:dyDescent="0.2">
      <c r="A26" s="5">
        <v>15</v>
      </c>
      <c r="B26" s="36" t="s">
        <v>80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71"/>
      <c r="P26" s="71"/>
      <c r="Q26" s="15"/>
      <c r="R26" s="71"/>
      <c r="S26" s="27"/>
    </row>
    <row r="27" spans="1:22" x14ac:dyDescent="0.2">
      <c r="A27" s="5">
        <v>16</v>
      </c>
      <c r="B27" s="2" t="s">
        <v>23</v>
      </c>
      <c r="C27" s="71">
        <f>'TBS Adjustments'!E159</f>
        <v>1</v>
      </c>
      <c r="D27" s="71">
        <f>'TBS Adjustments'!F159</f>
        <v>1</v>
      </c>
      <c r="E27" s="71">
        <f>'TBS Adjustments'!G159</f>
        <v>1</v>
      </c>
      <c r="F27" s="71">
        <f>'TBS Adjustments'!H159</f>
        <v>1</v>
      </c>
      <c r="G27" s="71">
        <f>'TBS Adjustments'!I159</f>
        <v>1</v>
      </c>
      <c r="H27" s="71">
        <f>'TBS Adjustments'!J159</f>
        <v>1</v>
      </c>
      <c r="I27" s="71">
        <f>'TBS Adjustments'!K159</f>
        <v>1</v>
      </c>
      <c r="J27" s="71">
        <f>'TBS Adjustments'!L159</f>
        <v>1</v>
      </c>
      <c r="K27" s="71">
        <f>'TBS Adjustments'!M159</f>
        <v>1</v>
      </c>
      <c r="L27" s="71">
        <f>'TBS Adjustments'!N159</f>
        <v>1</v>
      </c>
      <c r="M27" s="71">
        <f>'TBS Adjustments'!O159</f>
        <v>1</v>
      </c>
      <c r="N27" s="71">
        <f>'TBS Adjustments'!P159</f>
        <v>2</v>
      </c>
      <c r="O27" s="7">
        <f>SUM(C27:N27)</f>
        <v>13</v>
      </c>
      <c r="P27" s="16"/>
      <c r="Q27" s="497">
        <f>Q20</f>
        <v>49.74</v>
      </c>
      <c r="R27" s="4">
        <f>O27*Q27</f>
        <v>646.62</v>
      </c>
      <c r="S27" s="27"/>
      <c r="U27" s="47"/>
    </row>
    <row r="28" spans="1:22" x14ac:dyDescent="0.2">
      <c r="A28" s="5">
        <v>17</v>
      </c>
      <c r="B28" s="2" t="s">
        <v>24</v>
      </c>
      <c r="C28" s="71">
        <f>'TBS Adjustments'!E160</f>
        <v>-155</v>
      </c>
      <c r="D28" s="71">
        <f>'TBS Adjustments'!F160</f>
        <v>-150</v>
      </c>
      <c r="E28" s="71">
        <f>'TBS Adjustments'!G160</f>
        <v>-171</v>
      </c>
      <c r="F28" s="71">
        <f>'TBS Adjustments'!H160</f>
        <v>-146</v>
      </c>
      <c r="G28" s="71">
        <f>'TBS Adjustments'!I160</f>
        <v>89</v>
      </c>
      <c r="H28" s="71">
        <f>'TBS Adjustments'!J160</f>
        <v>654</v>
      </c>
      <c r="I28" s="71">
        <f>'TBS Adjustments'!K160</f>
        <v>403</v>
      </c>
      <c r="J28" s="71">
        <f>'TBS Adjustments'!L160</f>
        <v>237</v>
      </c>
      <c r="K28" s="71">
        <f>'TBS Adjustments'!M160</f>
        <v>294</v>
      </c>
      <c r="L28" s="71">
        <f>'TBS Adjustments'!N160</f>
        <v>-242</v>
      </c>
      <c r="M28" s="71">
        <f>'TBS Adjustments'!O160</f>
        <v>-237</v>
      </c>
      <c r="N28" s="71">
        <f>'TBS Adjustments'!P160</f>
        <v>70</v>
      </c>
      <c r="O28" s="7"/>
      <c r="P28" s="7">
        <f>SUM(C28:N28)</f>
        <v>646</v>
      </c>
      <c r="Q28" s="14">
        <f t="shared" ref="Q28:Q30" si="4">Q21</f>
        <v>1.534</v>
      </c>
      <c r="R28" s="7">
        <f>P28*Q28</f>
        <v>990.96400000000006</v>
      </c>
      <c r="S28" s="27"/>
      <c r="U28" s="47"/>
    </row>
    <row r="29" spans="1:22" x14ac:dyDescent="0.2">
      <c r="A29" s="5">
        <v>18</v>
      </c>
      <c r="B29" s="2" t="s">
        <v>25</v>
      </c>
      <c r="C29" s="71">
        <f>'TBS Adjustments'!E161</f>
        <v>-361</v>
      </c>
      <c r="D29" s="71">
        <f>'TBS Adjustments'!F161</f>
        <v>-42</v>
      </c>
      <c r="E29" s="71">
        <f>'TBS Adjustments'!G161</f>
        <v>-1267</v>
      </c>
      <c r="F29" s="71">
        <f>'TBS Adjustments'!H161</f>
        <v>-1542</v>
      </c>
      <c r="G29" s="71">
        <f>'TBS Adjustments'!I161</f>
        <v>-2605</v>
      </c>
      <c r="H29" s="71">
        <f>'TBS Adjustments'!J161</f>
        <v>-4398</v>
      </c>
      <c r="I29" s="71">
        <f>'TBS Adjustments'!K161</f>
        <v>-5124</v>
      </c>
      <c r="J29" s="71">
        <f>'TBS Adjustments'!L161</f>
        <v>-5329</v>
      </c>
      <c r="K29" s="71">
        <f>'TBS Adjustments'!M161</f>
        <v>-3814</v>
      </c>
      <c r="L29" s="71">
        <f>'TBS Adjustments'!N161</f>
        <v>-4193</v>
      </c>
      <c r="M29" s="71">
        <f>'TBS Adjustments'!O161</f>
        <v>-4268</v>
      </c>
      <c r="N29" s="71">
        <f>'TBS Adjustments'!P161</f>
        <v>0</v>
      </c>
      <c r="O29" s="7"/>
      <c r="P29" s="7">
        <f>SUM(C29:N29)</f>
        <v>-32943</v>
      </c>
      <c r="Q29" s="14">
        <f t="shared" si="4"/>
        <v>0.95</v>
      </c>
      <c r="R29" s="7">
        <f>P29*Q29</f>
        <v>-31295.85</v>
      </c>
      <c r="S29" s="27"/>
      <c r="U29" s="47"/>
    </row>
    <row r="30" spans="1:22" x14ac:dyDescent="0.2">
      <c r="A30" s="5">
        <v>19</v>
      </c>
      <c r="B30" s="2" t="s">
        <v>81</v>
      </c>
      <c r="C30" s="71">
        <f>'TBS Adjustments'!E162</f>
        <v>0</v>
      </c>
      <c r="D30" s="71">
        <f>'TBS Adjustments'!F162</f>
        <v>0</v>
      </c>
      <c r="E30" s="71">
        <f>'TBS Adjustments'!G162</f>
        <v>0</v>
      </c>
      <c r="F30" s="71">
        <f>'TBS Adjustments'!H162</f>
        <v>0</v>
      </c>
      <c r="G30" s="71">
        <f>'TBS Adjustments'!I162</f>
        <v>0</v>
      </c>
      <c r="H30" s="71">
        <f>'TBS Adjustments'!J162</f>
        <v>0</v>
      </c>
      <c r="I30" s="71">
        <f>'TBS Adjustments'!K162</f>
        <v>0</v>
      </c>
      <c r="J30" s="71">
        <f>'TBS Adjustments'!L162</f>
        <v>0</v>
      </c>
      <c r="K30" s="71">
        <f>'TBS Adjustments'!M162</f>
        <v>0</v>
      </c>
      <c r="L30" s="71">
        <f>'TBS Adjustments'!N162</f>
        <v>0</v>
      </c>
      <c r="M30" s="71">
        <f>'TBS Adjustments'!O162</f>
        <v>0</v>
      </c>
      <c r="N30" s="71">
        <f>'TBS Adjustments'!P162</f>
        <v>0</v>
      </c>
      <c r="O30" s="7"/>
      <c r="P30" s="7">
        <f>SUM(C30:N30)</f>
        <v>0</v>
      </c>
      <c r="Q30" s="14">
        <f t="shared" si="4"/>
        <v>0.74</v>
      </c>
      <c r="R30" s="7">
        <f>P30*Q30</f>
        <v>0</v>
      </c>
      <c r="S30" s="27"/>
      <c r="T30" s="17"/>
      <c r="U30" s="47"/>
    </row>
    <row r="31" spans="1:22" x14ac:dyDescent="0.2">
      <c r="A31" s="5">
        <v>20</v>
      </c>
      <c r="B31" s="33" t="s">
        <v>79</v>
      </c>
      <c r="C31" s="32">
        <f t="shared" ref="C31:N31" si="5">C28+C29+C30</f>
        <v>-516</v>
      </c>
      <c r="D31" s="32">
        <f t="shared" si="5"/>
        <v>-192</v>
      </c>
      <c r="E31" s="32">
        <f t="shared" si="5"/>
        <v>-1438</v>
      </c>
      <c r="F31" s="32">
        <f t="shared" si="5"/>
        <v>-1688</v>
      </c>
      <c r="G31" s="32">
        <f t="shared" si="5"/>
        <v>-2516</v>
      </c>
      <c r="H31" s="32">
        <f t="shared" si="5"/>
        <v>-3744</v>
      </c>
      <c r="I31" s="32">
        <f t="shared" si="5"/>
        <v>-4721</v>
      </c>
      <c r="J31" s="32">
        <f t="shared" si="5"/>
        <v>-5092</v>
      </c>
      <c r="K31" s="32">
        <f t="shared" si="5"/>
        <v>-3520</v>
      </c>
      <c r="L31" s="32">
        <f t="shared" si="5"/>
        <v>-4435</v>
      </c>
      <c r="M31" s="32">
        <f t="shared" si="5"/>
        <v>-4505</v>
      </c>
      <c r="N31" s="32">
        <f t="shared" si="5"/>
        <v>70</v>
      </c>
      <c r="O31" s="32">
        <f>O27</f>
        <v>13</v>
      </c>
      <c r="P31" s="32">
        <f>SUM(P28:P30)</f>
        <v>-32297</v>
      </c>
      <c r="Q31" s="139"/>
      <c r="R31" s="34">
        <f>SUM(R27:R30)</f>
        <v>-29658.266</v>
      </c>
      <c r="S31" s="27"/>
      <c r="T31" s="17"/>
      <c r="U31" s="47"/>
    </row>
    <row r="32" spans="1:22" x14ac:dyDescent="0.2">
      <c r="A32" s="5">
        <v>21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520"/>
      <c r="R32" s="2"/>
    </row>
    <row r="33" spans="1:19" x14ac:dyDescent="0.2">
      <c r="A33" s="5">
        <v>22</v>
      </c>
      <c r="B33" s="36" t="s">
        <v>82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2"/>
      <c r="P33" s="2"/>
      <c r="Q33" s="138"/>
      <c r="R33" s="61"/>
      <c r="S33" s="27"/>
    </row>
    <row r="34" spans="1:19" x14ac:dyDescent="0.2">
      <c r="A34" s="5">
        <v>23</v>
      </c>
      <c r="B34" s="2" t="s">
        <v>23</v>
      </c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">
        <f>SUM(C34:N34)</f>
        <v>0</v>
      </c>
      <c r="P34" s="16"/>
      <c r="Q34" s="140">
        <f>Q27</f>
        <v>49.74</v>
      </c>
      <c r="R34" s="4">
        <f>O34*Q34</f>
        <v>0</v>
      </c>
      <c r="S34" s="27"/>
    </row>
    <row r="35" spans="1:19" x14ac:dyDescent="0.2">
      <c r="A35" s="5">
        <v>24</v>
      </c>
      <c r="B35" s="2" t="s">
        <v>24</v>
      </c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"/>
      <c r="P35" s="7">
        <f>SUM(C35:N35)</f>
        <v>0</v>
      </c>
      <c r="Q35" s="15">
        <f>Q28</f>
        <v>1.534</v>
      </c>
      <c r="R35" s="7">
        <f>P35*Q35</f>
        <v>0</v>
      </c>
      <c r="S35" s="75"/>
    </row>
    <row r="36" spans="1:19" x14ac:dyDescent="0.2">
      <c r="A36" s="5">
        <v>25</v>
      </c>
      <c r="B36" s="2" t="s">
        <v>25</v>
      </c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"/>
      <c r="P36" s="7">
        <f>SUM(C36:N36)</f>
        <v>0</v>
      </c>
      <c r="Q36" s="15">
        <f>Q29</f>
        <v>0.95</v>
      </c>
      <c r="R36" s="7">
        <f>P36*Q36</f>
        <v>0</v>
      </c>
      <c r="S36" s="75"/>
    </row>
    <row r="37" spans="1:19" x14ac:dyDescent="0.2">
      <c r="A37" s="5">
        <v>26</v>
      </c>
      <c r="B37" s="2" t="s">
        <v>81</v>
      </c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"/>
      <c r="P37" s="7">
        <f>SUM(C37:N37)</f>
        <v>0</v>
      </c>
      <c r="Q37" s="15">
        <f>Q30</f>
        <v>0.74</v>
      </c>
      <c r="R37" s="7">
        <f>P37*Q37</f>
        <v>0</v>
      </c>
    </row>
    <row r="38" spans="1:19" x14ac:dyDescent="0.2">
      <c r="A38" s="5">
        <v>27</v>
      </c>
      <c r="B38" s="33" t="s">
        <v>79</v>
      </c>
      <c r="C38" s="32">
        <f t="shared" ref="C38:N38" si="6">C35+C36+C37</f>
        <v>0</v>
      </c>
      <c r="D38" s="32">
        <f t="shared" si="6"/>
        <v>0</v>
      </c>
      <c r="E38" s="32">
        <f t="shared" si="6"/>
        <v>0</v>
      </c>
      <c r="F38" s="32">
        <f t="shared" si="6"/>
        <v>0</v>
      </c>
      <c r="G38" s="32">
        <f t="shared" si="6"/>
        <v>0</v>
      </c>
      <c r="H38" s="32">
        <f t="shared" si="6"/>
        <v>0</v>
      </c>
      <c r="I38" s="32">
        <f t="shared" si="6"/>
        <v>0</v>
      </c>
      <c r="J38" s="32">
        <f t="shared" si="6"/>
        <v>0</v>
      </c>
      <c r="K38" s="32">
        <f t="shared" si="6"/>
        <v>0</v>
      </c>
      <c r="L38" s="32">
        <f t="shared" si="6"/>
        <v>0</v>
      </c>
      <c r="M38" s="32">
        <f t="shared" si="6"/>
        <v>0</v>
      </c>
      <c r="N38" s="32">
        <f t="shared" si="6"/>
        <v>0</v>
      </c>
      <c r="O38" s="32">
        <f>O34</f>
        <v>0</v>
      </c>
      <c r="P38" s="32">
        <f>SUM(P35:P37)</f>
        <v>0</v>
      </c>
      <c r="Q38" s="33"/>
      <c r="R38" s="34">
        <f>SUM(R34:R37)</f>
        <v>0</v>
      </c>
    </row>
    <row r="39" spans="1:19" x14ac:dyDescent="0.2">
      <c r="A39" s="5">
        <v>28</v>
      </c>
      <c r="B39" s="17"/>
      <c r="C39" s="17"/>
      <c r="D39" s="17"/>
      <c r="E39" s="39"/>
      <c r="F39" s="39"/>
      <c r="G39" s="39"/>
      <c r="H39" s="39"/>
      <c r="I39" s="39"/>
      <c r="J39" s="39"/>
      <c r="K39" s="17"/>
      <c r="L39" s="17"/>
      <c r="M39" s="17"/>
      <c r="N39" s="17"/>
      <c r="O39" s="17"/>
      <c r="P39" s="17"/>
      <c r="Q39" s="17"/>
      <c r="R39" s="39"/>
    </row>
    <row r="40" spans="1:19" x14ac:dyDescent="0.2">
      <c r="A40" s="5">
        <v>29</v>
      </c>
      <c r="B40" s="172" t="s">
        <v>83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</row>
    <row r="41" spans="1:19" x14ac:dyDescent="0.2">
      <c r="A41" s="5">
        <v>30</v>
      </c>
      <c r="B41" s="2" t="s">
        <v>84</v>
      </c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">
        <f>SUM(C41:N41)</f>
        <v>0</v>
      </c>
      <c r="P41" s="16"/>
      <c r="Q41" s="101">
        <f>'Bill Frequency'!Q41</f>
        <v>393.35</v>
      </c>
      <c r="R41" s="4">
        <f>O41*Q41</f>
        <v>0</v>
      </c>
    </row>
    <row r="42" spans="1:19" x14ac:dyDescent="0.2">
      <c r="A42" s="5">
        <v>31</v>
      </c>
      <c r="B42" s="2" t="s">
        <v>85</v>
      </c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"/>
      <c r="P42" s="7">
        <f>SUM(C42:N42)</f>
        <v>0</v>
      </c>
      <c r="Q42" s="15">
        <f>'Bill Frequency'!Q42</f>
        <v>0.90900000000000003</v>
      </c>
      <c r="R42" s="7">
        <f>P42*Q42</f>
        <v>0</v>
      </c>
    </row>
    <row r="43" spans="1:19" x14ac:dyDescent="0.2">
      <c r="A43" s="5">
        <v>32</v>
      </c>
      <c r="B43" s="2" t="s">
        <v>81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"/>
      <c r="P43" s="7">
        <f>SUM(C43:N43)</f>
        <v>0</v>
      </c>
      <c r="Q43" s="15">
        <f>'Bill Frequency'!Q43</f>
        <v>0.68489999999999995</v>
      </c>
      <c r="R43" s="7">
        <f>P43*Q43</f>
        <v>0</v>
      </c>
    </row>
    <row r="44" spans="1:19" x14ac:dyDescent="0.2">
      <c r="A44" s="5">
        <v>33</v>
      </c>
      <c r="B44" s="33" t="s">
        <v>79</v>
      </c>
      <c r="C44" s="32">
        <f t="shared" ref="C44:N44" si="7">C42+C43</f>
        <v>0</v>
      </c>
      <c r="D44" s="32">
        <f t="shared" si="7"/>
        <v>0</v>
      </c>
      <c r="E44" s="32">
        <f t="shared" si="7"/>
        <v>0</v>
      </c>
      <c r="F44" s="32">
        <f t="shared" si="7"/>
        <v>0</v>
      </c>
      <c r="G44" s="32">
        <f t="shared" si="7"/>
        <v>0</v>
      </c>
      <c r="H44" s="32">
        <f t="shared" si="7"/>
        <v>0</v>
      </c>
      <c r="I44" s="32">
        <f t="shared" si="7"/>
        <v>0</v>
      </c>
      <c r="J44" s="32">
        <f t="shared" si="7"/>
        <v>0</v>
      </c>
      <c r="K44" s="32">
        <f t="shared" si="7"/>
        <v>0</v>
      </c>
      <c r="L44" s="32">
        <f t="shared" si="7"/>
        <v>0</v>
      </c>
      <c r="M44" s="32">
        <f t="shared" si="7"/>
        <v>0</v>
      </c>
      <c r="N44" s="32">
        <f t="shared" si="7"/>
        <v>0</v>
      </c>
      <c r="O44" s="32">
        <f>O41</f>
        <v>0</v>
      </c>
      <c r="P44" s="32">
        <f>SUM(P42:P43)</f>
        <v>0</v>
      </c>
      <c r="Q44" s="33"/>
      <c r="R44" s="34">
        <f>SUM(R41:R43)</f>
        <v>0</v>
      </c>
    </row>
    <row r="45" spans="1:19" x14ac:dyDescent="0.2">
      <c r="A45" s="5">
        <v>34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spans="1:19" x14ac:dyDescent="0.2">
      <c r="A46" s="5">
        <v>35</v>
      </c>
      <c r="B46" s="172" t="s">
        <v>86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7"/>
    </row>
    <row r="47" spans="1:19" x14ac:dyDescent="0.2">
      <c r="A47" s="5">
        <v>36</v>
      </c>
      <c r="B47" s="2" t="s">
        <v>84</v>
      </c>
      <c r="C47" s="71">
        <f>'TBS Adjustments'!E164</f>
        <v>0</v>
      </c>
      <c r="D47" s="71">
        <f>'TBS Adjustments'!F164</f>
        <v>0</v>
      </c>
      <c r="E47" s="71">
        <f>'TBS Adjustments'!G164</f>
        <v>0</v>
      </c>
      <c r="F47" s="71">
        <f>'TBS Adjustments'!H164</f>
        <v>0</v>
      </c>
      <c r="G47" s="71">
        <f>'TBS Adjustments'!I164</f>
        <v>0</v>
      </c>
      <c r="H47" s="71">
        <f>'TBS Adjustments'!J164</f>
        <v>0</v>
      </c>
      <c r="I47" s="71">
        <f>'TBS Adjustments'!K164</f>
        <v>0</v>
      </c>
      <c r="J47" s="71">
        <f>'TBS Adjustments'!L164</f>
        <v>0</v>
      </c>
      <c r="K47" s="71">
        <f>'TBS Adjustments'!M164</f>
        <v>0</v>
      </c>
      <c r="L47" s="71">
        <f>'TBS Adjustments'!N164</f>
        <v>0</v>
      </c>
      <c r="M47" s="71">
        <f>'TBS Adjustments'!O164</f>
        <v>0</v>
      </c>
      <c r="N47" s="71">
        <f>'TBS Adjustments'!P164</f>
        <v>0</v>
      </c>
      <c r="O47" s="7">
        <f>SUM(C47:N47)</f>
        <v>0</v>
      </c>
      <c r="P47" s="16"/>
      <c r="Q47" s="101">
        <f>Q41</f>
        <v>393.35</v>
      </c>
      <c r="R47" s="4">
        <f>O47*Q47</f>
        <v>0</v>
      </c>
    </row>
    <row r="48" spans="1:19" x14ac:dyDescent="0.2">
      <c r="A48" s="5">
        <v>37</v>
      </c>
      <c r="B48" s="2" t="s">
        <v>85</v>
      </c>
      <c r="C48" s="71">
        <f>'TBS Adjustments'!E165</f>
        <v>0</v>
      </c>
      <c r="D48" s="71">
        <f>'TBS Adjustments'!F165</f>
        <v>0</v>
      </c>
      <c r="E48" s="71">
        <f>'TBS Adjustments'!G165</f>
        <v>0</v>
      </c>
      <c r="F48" s="71">
        <f>'TBS Adjustments'!H165</f>
        <v>0</v>
      </c>
      <c r="G48" s="71">
        <f>'TBS Adjustments'!I165</f>
        <v>0</v>
      </c>
      <c r="H48" s="71">
        <f>'TBS Adjustments'!J165</f>
        <v>0</v>
      </c>
      <c r="I48" s="71">
        <f>'TBS Adjustments'!K165</f>
        <v>-15000</v>
      </c>
      <c r="J48" s="71">
        <f>'TBS Adjustments'!L165</f>
        <v>-15000</v>
      </c>
      <c r="K48" s="71">
        <f>'TBS Adjustments'!M165</f>
        <v>-15000</v>
      </c>
      <c r="L48" s="71">
        <f>'TBS Adjustments'!N165</f>
        <v>-15000</v>
      </c>
      <c r="M48" s="71">
        <f>'TBS Adjustments'!O165</f>
        <v>-15000</v>
      </c>
      <c r="N48" s="71">
        <f>'TBS Adjustments'!P165</f>
        <v>0</v>
      </c>
      <c r="O48" s="7"/>
      <c r="P48" s="7">
        <f>SUM(C48:N48)</f>
        <v>-75000</v>
      </c>
      <c r="Q48" s="15">
        <f>Q42</f>
        <v>0.90900000000000003</v>
      </c>
      <c r="R48" s="7">
        <f>P48*Q48</f>
        <v>-68175</v>
      </c>
    </row>
    <row r="49" spans="1:25" x14ac:dyDescent="0.2">
      <c r="A49" s="5">
        <v>38</v>
      </c>
      <c r="B49" s="2" t="s">
        <v>81</v>
      </c>
      <c r="C49" s="71">
        <f>'TBS Adjustments'!E166</f>
        <v>0</v>
      </c>
      <c r="D49" s="71">
        <f>'TBS Adjustments'!F166</f>
        <v>0</v>
      </c>
      <c r="E49" s="71">
        <f>'TBS Adjustments'!G166</f>
        <v>0</v>
      </c>
      <c r="F49" s="71">
        <f>'TBS Adjustments'!H166</f>
        <v>0</v>
      </c>
      <c r="G49" s="71">
        <f>'TBS Adjustments'!I166</f>
        <v>0</v>
      </c>
      <c r="H49" s="71">
        <f>'TBS Adjustments'!J166</f>
        <v>0</v>
      </c>
      <c r="I49" s="71">
        <f>'TBS Adjustments'!K166</f>
        <v>-34899</v>
      </c>
      <c r="J49" s="71">
        <f>'TBS Adjustments'!L166</f>
        <v>-90742</v>
      </c>
      <c r="K49" s="71">
        <f>'TBS Adjustments'!M166</f>
        <v>-30630</v>
      </c>
      <c r="L49" s="71">
        <f>'TBS Adjustments'!N166</f>
        <v>-38094</v>
      </c>
      <c r="M49" s="71">
        <f>'TBS Adjustments'!O166</f>
        <v>-72430</v>
      </c>
      <c r="N49" s="71">
        <f>'TBS Adjustments'!P166</f>
        <v>0</v>
      </c>
      <c r="O49" s="7"/>
      <c r="P49" s="7">
        <f>SUM(C49:N49)</f>
        <v>-266795</v>
      </c>
      <c r="Q49" s="15">
        <f>Q43</f>
        <v>0.68489999999999995</v>
      </c>
      <c r="R49" s="7">
        <f>P49*Q49</f>
        <v>-182727.89549999998</v>
      </c>
    </row>
    <row r="50" spans="1:25" x14ac:dyDescent="0.2">
      <c r="A50" s="5">
        <v>39</v>
      </c>
      <c r="B50" s="33" t="s">
        <v>79</v>
      </c>
      <c r="C50" s="32">
        <f t="shared" ref="C50:N50" si="8">C48+C49</f>
        <v>0</v>
      </c>
      <c r="D50" s="32">
        <f t="shared" si="8"/>
        <v>0</v>
      </c>
      <c r="E50" s="32">
        <f t="shared" si="8"/>
        <v>0</v>
      </c>
      <c r="F50" s="32">
        <f t="shared" si="8"/>
        <v>0</v>
      </c>
      <c r="G50" s="32">
        <f t="shared" si="8"/>
        <v>0</v>
      </c>
      <c r="H50" s="32">
        <f t="shared" si="8"/>
        <v>0</v>
      </c>
      <c r="I50" s="32">
        <f t="shared" si="8"/>
        <v>-49899</v>
      </c>
      <c r="J50" s="32">
        <f t="shared" si="8"/>
        <v>-105742</v>
      </c>
      <c r="K50" s="32">
        <f t="shared" si="8"/>
        <v>-45630</v>
      </c>
      <c r="L50" s="32">
        <f t="shared" si="8"/>
        <v>-53094</v>
      </c>
      <c r="M50" s="32">
        <f t="shared" si="8"/>
        <v>-87430</v>
      </c>
      <c r="N50" s="32">
        <f t="shared" si="8"/>
        <v>0</v>
      </c>
      <c r="O50" s="32">
        <f>O47</f>
        <v>0</v>
      </c>
      <c r="P50" s="32">
        <f>SUM(P48:P49)</f>
        <v>-341795</v>
      </c>
      <c r="Q50" s="33"/>
      <c r="R50" s="34">
        <f>SUM(R47:R49)</f>
        <v>-250902.89549999998</v>
      </c>
    </row>
    <row r="51" spans="1:25" x14ac:dyDescent="0.2">
      <c r="A51" s="5">
        <v>40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</row>
    <row r="52" spans="1:25" x14ac:dyDescent="0.2">
      <c r="A52" s="5">
        <v>41</v>
      </c>
      <c r="B52" s="172" t="s">
        <v>88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X52" s="24"/>
      <c r="Y52" s="23"/>
    </row>
    <row r="53" spans="1:25" x14ac:dyDescent="0.2">
      <c r="A53" s="5">
        <v>42</v>
      </c>
      <c r="B53" s="2" t="s">
        <v>87</v>
      </c>
      <c r="C53" s="71">
        <f>'TBS Adjustments'!E172</f>
        <v>1</v>
      </c>
      <c r="D53" s="71">
        <f>'TBS Adjustments'!F172</f>
        <v>1</v>
      </c>
      <c r="E53" s="71">
        <f>'TBS Adjustments'!G172</f>
        <v>1</v>
      </c>
      <c r="F53" s="71">
        <f>'TBS Adjustments'!H172</f>
        <v>1</v>
      </c>
      <c r="G53" s="71">
        <f>'TBS Adjustments'!I172</f>
        <v>1</v>
      </c>
      <c r="H53" s="71">
        <f>'TBS Adjustments'!J172</f>
        <v>1</v>
      </c>
      <c r="I53" s="71">
        <f>'TBS Adjustments'!K172</f>
        <v>1</v>
      </c>
      <c r="J53" s="71">
        <f>'TBS Adjustments'!L172</f>
        <v>1</v>
      </c>
      <c r="K53" s="71">
        <f>'TBS Adjustments'!M172</f>
        <v>1</v>
      </c>
      <c r="L53" s="71">
        <f>'TBS Adjustments'!N172</f>
        <v>1</v>
      </c>
      <c r="M53" s="71">
        <f>'TBS Adjustments'!O172</f>
        <v>1</v>
      </c>
      <c r="N53" s="71">
        <f>'TBS Adjustments'!P172</f>
        <v>0</v>
      </c>
      <c r="O53" s="7">
        <f>SUM(C53:N53)</f>
        <v>11</v>
      </c>
      <c r="P53" s="2"/>
      <c r="Q53" s="140">
        <f>'Bill Frequency'!Q53</f>
        <v>396.49</v>
      </c>
      <c r="R53" s="4">
        <f>O53*Q53</f>
        <v>4361.3900000000003</v>
      </c>
      <c r="X53" s="24"/>
      <c r="Y53" s="23"/>
    </row>
    <row r="54" spans="1:25" x14ac:dyDescent="0.2">
      <c r="A54" s="5">
        <v>43</v>
      </c>
      <c r="B54" s="2" t="s">
        <v>1</v>
      </c>
      <c r="C54" s="61">
        <f>C53*50</f>
        <v>50</v>
      </c>
      <c r="D54" s="61">
        <f t="shared" ref="D54:N54" si="9">D53*50</f>
        <v>50</v>
      </c>
      <c r="E54" s="61">
        <f t="shared" si="9"/>
        <v>50</v>
      </c>
      <c r="F54" s="61">
        <f t="shared" si="9"/>
        <v>50</v>
      </c>
      <c r="G54" s="61">
        <f t="shared" si="9"/>
        <v>50</v>
      </c>
      <c r="H54" s="61">
        <f t="shared" si="9"/>
        <v>50</v>
      </c>
      <c r="I54" s="61">
        <f t="shared" si="9"/>
        <v>50</v>
      </c>
      <c r="J54" s="61">
        <f t="shared" si="9"/>
        <v>50</v>
      </c>
      <c r="K54" s="61">
        <f t="shared" si="9"/>
        <v>50</v>
      </c>
      <c r="L54" s="61">
        <f t="shared" si="9"/>
        <v>50</v>
      </c>
      <c r="M54" s="61">
        <f t="shared" si="9"/>
        <v>50</v>
      </c>
      <c r="N54" s="61">
        <f t="shared" si="9"/>
        <v>0</v>
      </c>
      <c r="O54" s="2"/>
      <c r="P54" s="2"/>
      <c r="Q54" s="2"/>
      <c r="R54" s="7">
        <f>SUM(C54:N54)</f>
        <v>550</v>
      </c>
      <c r="X54" s="24"/>
      <c r="Y54" s="23"/>
    </row>
    <row r="55" spans="1:25" x14ac:dyDescent="0.2">
      <c r="A55" s="5">
        <v>44</v>
      </c>
      <c r="B55" s="2" t="s">
        <v>62</v>
      </c>
      <c r="C55" s="61">
        <f>C53*75</f>
        <v>75</v>
      </c>
      <c r="D55" s="61">
        <f t="shared" ref="D55:N55" si="10">D53*75</f>
        <v>75</v>
      </c>
      <c r="E55" s="61">
        <f t="shared" si="10"/>
        <v>75</v>
      </c>
      <c r="F55" s="61">
        <f t="shared" si="10"/>
        <v>75</v>
      </c>
      <c r="G55" s="61">
        <f t="shared" si="10"/>
        <v>75</v>
      </c>
      <c r="H55" s="61">
        <f t="shared" si="10"/>
        <v>75</v>
      </c>
      <c r="I55" s="61">
        <f t="shared" si="10"/>
        <v>75</v>
      </c>
      <c r="J55" s="61">
        <f t="shared" si="10"/>
        <v>75</v>
      </c>
      <c r="K55" s="61">
        <f t="shared" si="10"/>
        <v>75</v>
      </c>
      <c r="L55" s="61">
        <f t="shared" si="10"/>
        <v>75</v>
      </c>
      <c r="M55" s="61">
        <f t="shared" si="10"/>
        <v>75</v>
      </c>
      <c r="N55" s="61">
        <f t="shared" si="10"/>
        <v>0</v>
      </c>
      <c r="O55" s="2"/>
      <c r="P55" s="2"/>
      <c r="Q55" s="2"/>
      <c r="R55" s="7">
        <f>SUM(C55:N55)</f>
        <v>825</v>
      </c>
      <c r="X55" s="24"/>
      <c r="Y55" s="23"/>
    </row>
    <row r="56" spans="1:25" x14ac:dyDescent="0.2">
      <c r="A56" s="5">
        <v>45</v>
      </c>
      <c r="B56" s="2" t="s">
        <v>2</v>
      </c>
      <c r="C56" s="61">
        <v>0</v>
      </c>
      <c r="D56" s="61">
        <v>0</v>
      </c>
      <c r="E56" s="61">
        <v>0</v>
      </c>
      <c r="F56" s="61">
        <v>0</v>
      </c>
      <c r="G56" s="61">
        <v>0</v>
      </c>
      <c r="H56" s="61">
        <v>0</v>
      </c>
      <c r="I56" s="61">
        <v>0</v>
      </c>
      <c r="J56" s="61">
        <v>0</v>
      </c>
      <c r="K56" s="61">
        <v>0</v>
      </c>
      <c r="L56" s="61">
        <v>0</v>
      </c>
      <c r="M56" s="61">
        <v>0</v>
      </c>
      <c r="N56" s="61">
        <v>0</v>
      </c>
      <c r="O56" s="2"/>
      <c r="P56" s="2"/>
      <c r="Q56" s="2"/>
      <c r="R56" s="7">
        <f>SUM(C56:N56)</f>
        <v>0</v>
      </c>
    </row>
    <row r="57" spans="1:25" x14ac:dyDescent="0.2">
      <c r="A57" s="5">
        <v>46</v>
      </c>
      <c r="B57" s="2" t="s">
        <v>32</v>
      </c>
      <c r="C57" s="71">
        <f>'TBS Adjustments'!E173</f>
        <v>455</v>
      </c>
      <c r="D57" s="71">
        <f>'TBS Adjustments'!F173</f>
        <v>450</v>
      </c>
      <c r="E57" s="71">
        <f>'TBS Adjustments'!G173</f>
        <v>473</v>
      </c>
      <c r="F57" s="71">
        <f>'TBS Adjustments'!H173</f>
        <v>477</v>
      </c>
      <c r="G57" s="71">
        <f>'TBS Adjustments'!I173</f>
        <v>414</v>
      </c>
      <c r="H57" s="71">
        <f>'TBS Adjustments'!J173</f>
        <v>300</v>
      </c>
      <c r="I57" s="71">
        <f>'TBS Adjustments'!K173</f>
        <v>300</v>
      </c>
      <c r="J57" s="71">
        <f>'TBS Adjustments'!L173</f>
        <v>407</v>
      </c>
      <c r="K57" s="71">
        <f>'TBS Adjustments'!M173</f>
        <v>382</v>
      </c>
      <c r="L57" s="71">
        <f>'TBS Adjustments'!N173</f>
        <v>592</v>
      </c>
      <c r="M57" s="71">
        <f>'TBS Adjustments'!O173</f>
        <v>647</v>
      </c>
      <c r="N57" s="71">
        <f>'TBS Adjustments'!P173</f>
        <v>597</v>
      </c>
      <c r="O57" s="2"/>
      <c r="P57" s="7">
        <f>SUM(C57:N57)</f>
        <v>5494</v>
      </c>
      <c r="Q57" s="15">
        <f>'Bill Frequency'!Q57</f>
        <v>1.6233</v>
      </c>
      <c r="R57" s="7">
        <f>P57*Q57</f>
        <v>8918.4102000000003</v>
      </c>
    </row>
    <row r="58" spans="1:25" x14ac:dyDescent="0.2">
      <c r="A58" s="5">
        <v>47</v>
      </c>
      <c r="B58" s="2" t="s">
        <v>33</v>
      </c>
      <c r="C58" s="71">
        <f>'TBS Adjustments'!E174</f>
        <v>6982.456791952075</v>
      </c>
      <c r="D58" s="71">
        <f>'TBS Adjustments'!F174</f>
        <v>5663.7074756030961</v>
      </c>
      <c r="E58" s="71">
        <f>'TBS Adjustments'!G174</f>
        <v>8013.2431465724185</v>
      </c>
      <c r="F58" s="71">
        <f>'TBS Adjustments'!H174</f>
        <v>8711.8943844439473</v>
      </c>
      <c r="G58" s="71">
        <f>'TBS Adjustments'!I174</f>
        <v>12041.422855612253</v>
      </c>
      <c r="H58" s="71">
        <f>'TBS Adjustments'!J174</f>
        <v>10936.159650421516</v>
      </c>
      <c r="I58" s="71">
        <f>'TBS Adjustments'!K174</f>
        <v>15677.233807624471</v>
      </c>
      <c r="J58" s="71">
        <f>'TBS Adjustments'!L174</f>
        <v>19323.276219145038</v>
      </c>
      <c r="K58" s="71">
        <f>'TBS Adjustments'!M174</f>
        <v>14539.073977119475</v>
      </c>
      <c r="L58" s="71">
        <f>'TBS Adjustments'!N174</f>
        <v>18365.709661730063</v>
      </c>
      <c r="M58" s="71">
        <f>'TBS Adjustments'!O174</f>
        <v>18226.88461583872</v>
      </c>
      <c r="N58" s="71">
        <f>'TBS Adjustments'!P174</f>
        <v>12690.404763486295</v>
      </c>
      <c r="O58" s="2"/>
      <c r="P58" s="7">
        <f>SUM(C58:N58)</f>
        <v>151171.46734954938</v>
      </c>
      <c r="Q58" s="15">
        <f>'Bill Frequency'!Q58</f>
        <v>1.0052999999999999</v>
      </c>
      <c r="R58" s="7">
        <f>P58*Q58</f>
        <v>151972.67612650196</v>
      </c>
    </row>
    <row r="59" spans="1:25" x14ac:dyDescent="0.2">
      <c r="A59" s="5">
        <v>48</v>
      </c>
      <c r="B59" s="2" t="s">
        <v>645</v>
      </c>
      <c r="C59" s="71">
        <f>'TBS Adjustments'!E175</f>
        <v>2106.2610410659618</v>
      </c>
      <c r="D59" s="71">
        <f>'TBS Adjustments'!F175</f>
        <v>2564.669197537607</v>
      </c>
      <c r="E59" s="71">
        <f>'TBS Adjustments'!G175</f>
        <v>1800.3885237387403</v>
      </c>
      <c r="F59" s="71">
        <f>'TBS Adjustments'!H175</f>
        <v>253.34101491842375</v>
      </c>
      <c r="G59" s="71">
        <f>'TBS Adjustments'!I175</f>
        <v>-2302.0741364299383</v>
      </c>
      <c r="H59" s="71">
        <f>'TBS Adjustments'!J175</f>
        <v>-2878.8942692883902</v>
      </c>
      <c r="I59" s="71">
        <f>'TBS Adjustments'!K175</f>
        <v>-4694.3781869810755</v>
      </c>
      <c r="J59" s="71">
        <f>'TBS Adjustments'!L175</f>
        <v>-6315.4652216579489</v>
      </c>
      <c r="K59" s="71">
        <f>'TBS Adjustments'!M175</f>
        <v>-2529.0313981280779</v>
      </c>
      <c r="L59" s="71">
        <f>'TBS Adjustments'!N175</f>
        <v>-4750.2167390034219</v>
      </c>
      <c r="M59" s="71">
        <f>'TBS Adjustments'!O175</f>
        <v>-2953.7940464843314</v>
      </c>
      <c r="N59" s="71">
        <f>'TBS Adjustments'!P175</f>
        <v>-2643.2731288369159</v>
      </c>
      <c r="O59" s="2"/>
      <c r="P59" s="7">
        <f>SUM(C59:N59)</f>
        <v>-22342.46734954937</v>
      </c>
      <c r="Q59" s="15">
        <f>'Bill Frequency'!Q59</f>
        <v>0.78310000000000002</v>
      </c>
      <c r="R59" s="7">
        <f>P59*Q59</f>
        <v>-17496.386181432114</v>
      </c>
      <c r="X59" s="24"/>
      <c r="Y59" s="23"/>
    </row>
    <row r="60" spans="1:25" x14ac:dyDescent="0.2">
      <c r="A60" s="5">
        <v>49</v>
      </c>
      <c r="B60" s="33" t="s">
        <v>79</v>
      </c>
      <c r="C60" s="32">
        <f>C57+C58+C59</f>
        <v>9543.7178330180359</v>
      </c>
      <c r="D60" s="32">
        <f t="shared" ref="D60:N60" si="11">D57+D58+D59</f>
        <v>8678.3766731407031</v>
      </c>
      <c r="E60" s="32">
        <f t="shared" si="11"/>
        <v>10286.631670311159</v>
      </c>
      <c r="F60" s="32">
        <f t="shared" si="11"/>
        <v>9442.235399362371</v>
      </c>
      <c r="G60" s="32">
        <f t="shared" si="11"/>
        <v>10153.348719182315</v>
      </c>
      <c r="H60" s="32">
        <f t="shared" si="11"/>
        <v>8357.2653811331256</v>
      </c>
      <c r="I60" s="32">
        <f t="shared" si="11"/>
        <v>11282.855620643395</v>
      </c>
      <c r="J60" s="32">
        <f t="shared" si="11"/>
        <v>13414.810997487089</v>
      </c>
      <c r="K60" s="32">
        <f t="shared" si="11"/>
        <v>12392.042578991397</v>
      </c>
      <c r="L60" s="32">
        <f t="shared" si="11"/>
        <v>14207.49292272664</v>
      </c>
      <c r="M60" s="32">
        <f t="shared" si="11"/>
        <v>15920.09056935439</v>
      </c>
      <c r="N60" s="32">
        <f t="shared" si="11"/>
        <v>10644.131634649379</v>
      </c>
      <c r="O60" s="32">
        <f>SUM(O53:O59)</f>
        <v>11</v>
      </c>
      <c r="P60" s="32">
        <f>SUM(P57:P59)</f>
        <v>134323</v>
      </c>
      <c r="Q60" s="33"/>
      <c r="R60" s="34">
        <f>SUM(R53:R59)</f>
        <v>149131.09014506984</v>
      </c>
      <c r="X60" s="24"/>
      <c r="Y60" s="23"/>
    </row>
    <row r="61" spans="1:25" x14ac:dyDescent="0.2">
      <c r="A61" s="5">
        <v>50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X61" s="24"/>
      <c r="Y61" s="23"/>
    </row>
    <row r="62" spans="1:25" x14ac:dyDescent="0.2">
      <c r="A62" s="5">
        <v>51</v>
      </c>
      <c r="B62" s="172" t="s">
        <v>647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X62" s="24"/>
      <c r="Y62" s="23"/>
    </row>
    <row r="63" spans="1:25" x14ac:dyDescent="0.2">
      <c r="A63" s="5">
        <v>52</v>
      </c>
      <c r="B63" s="2" t="s">
        <v>32</v>
      </c>
      <c r="C63" s="2">
        <f>'TBS Adjustments'!E178</f>
        <v>0</v>
      </c>
      <c r="D63" s="2">
        <f>'TBS Adjustments'!F178</f>
        <v>0</v>
      </c>
      <c r="E63" s="2">
        <f>'TBS Adjustments'!G178</f>
        <v>0</v>
      </c>
      <c r="F63" s="2">
        <f>'TBS Adjustments'!H178</f>
        <v>0</v>
      </c>
      <c r="G63" s="2">
        <f>'TBS Adjustments'!I178</f>
        <v>0</v>
      </c>
      <c r="H63" s="2">
        <f>'TBS Adjustments'!J178</f>
        <v>0</v>
      </c>
      <c r="I63" s="2">
        <f>'TBS Adjustments'!K178</f>
        <v>0</v>
      </c>
      <c r="J63" s="2">
        <f>'TBS Adjustments'!L178</f>
        <v>0</v>
      </c>
      <c r="K63" s="2">
        <f>'TBS Adjustments'!M178</f>
        <v>0</v>
      </c>
      <c r="L63" s="2">
        <f>'TBS Adjustments'!N178</f>
        <v>0</v>
      </c>
      <c r="M63" s="2">
        <f>'TBS Adjustments'!O178</f>
        <v>0</v>
      </c>
      <c r="N63" s="2">
        <f>'TBS Adjustments'!P178</f>
        <v>0</v>
      </c>
      <c r="O63" s="2"/>
      <c r="P63" s="7">
        <f>SUM(C63:O63)</f>
        <v>0</v>
      </c>
      <c r="Q63" s="511">
        <f>'Rate Design'!S23</f>
        <v>1.1505000000000001</v>
      </c>
      <c r="R63" s="4">
        <f>O63*Q63</f>
        <v>0</v>
      </c>
      <c r="X63" s="24"/>
      <c r="Y63" s="23"/>
    </row>
    <row r="64" spans="1:25" x14ac:dyDescent="0.2">
      <c r="A64" s="5">
        <v>53</v>
      </c>
      <c r="B64" s="2" t="s">
        <v>33</v>
      </c>
      <c r="C64" s="2">
        <f>'TBS Adjustments'!E179</f>
        <v>0</v>
      </c>
      <c r="D64" s="2">
        <f>'TBS Adjustments'!F179</f>
        <v>0</v>
      </c>
      <c r="E64" s="71">
        <f>'TBS Adjustments'!G179</f>
        <v>0</v>
      </c>
      <c r="F64" s="71">
        <f>'TBS Adjustments'!H179</f>
        <v>0</v>
      </c>
      <c r="G64" s="71">
        <f>'TBS Adjustments'!I179</f>
        <v>0</v>
      </c>
      <c r="H64" s="71">
        <f>'TBS Adjustments'!J179</f>
        <v>0</v>
      </c>
      <c r="I64" s="71">
        <f>'TBS Adjustments'!K179</f>
        <v>0</v>
      </c>
      <c r="J64" s="71">
        <f>'TBS Adjustments'!L179</f>
        <v>0</v>
      </c>
      <c r="K64" s="2">
        <f>'TBS Adjustments'!M179</f>
        <v>0</v>
      </c>
      <c r="L64" s="2">
        <f>'TBS Adjustments'!N179</f>
        <v>0</v>
      </c>
      <c r="M64" s="2">
        <f>'TBS Adjustments'!O179</f>
        <v>0</v>
      </c>
      <c r="N64" s="2">
        <f>'TBS Adjustments'!P179</f>
        <v>0</v>
      </c>
      <c r="O64" s="2"/>
      <c r="P64" s="7">
        <f t="shared" ref="P64:P66" si="12">SUM(C64:O64)</f>
        <v>0</v>
      </c>
      <c r="Q64" s="511">
        <f>'Rate Design'!S24</f>
        <v>0.71249999999999991</v>
      </c>
      <c r="R64" s="7">
        <f t="shared" ref="R64:R65" si="13">P64*Q64</f>
        <v>0</v>
      </c>
      <c r="X64" s="24"/>
      <c r="Y64" s="23"/>
    </row>
    <row r="65" spans="1:25" x14ac:dyDescent="0.2">
      <c r="A65" s="5">
        <v>54</v>
      </c>
      <c r="B65" s="2" t="s">
        <v>645</v>
      </c>
      <c r="C65" s="71">
        <f>'TBS Adjustments'!E180</f>
        <v>0</v>
      </c>
      <c r="D65" s="71">
        <f>'TBS Adjustments'!F180</f>
        <v>0</v>
      </c>
      <c r="E65" s="71">
        <f>'TBS Adjustments'!G180</f>
        <v>0</v>
      </c>
      <c r="F65" s="71">
        <f>'TBS Adjustments'!H180</f>
        <v>0</v>
      </c>
      <c r="G65" s="71">
        <f>'TBS Adjustments'!I180</f>
        <v>0</v>
      </c>
      <c r="H65" s="71">
        <f>'TBS Adjustments'!J180</f>
        <v>0</v>
      </c>
      <c r="I65" s="71">
        <f>'TBS Adjustments'!K180</f>
        <v>0</v>
      </c>
      <c r="J65" s="71">
        <f>'TBS Adjustments'!L180</f>
        <v>0</v>
      </c>
      <c r="K65" s="71">
        <f>'TBS Adjustments'!M180</f>
        <v>0</v>
      </c>
      <c r="L65" s="71">
        <f>'TBS Adjustments'!N180</f>
        <v>0</v>
      </c>
      <c r="M65" s="71">
        <f>'TBS Adjustments'!O180</f>
        <v>0</v>
      </c>
      <c r="N65" s="71">
        <f>'TBS Adjustments'!P180</f>
        <v>0</v>
      </c>
      <c r="O65" s="2"/>
      <c r="P65" s="7">
        <f t="shared" si="12"/>
        <v>0</v>
      </c>
      <c r="Q65" s="511">
        <f>'Rate Design'!S25</f>
        <v>0.55499999999999994</v>
      </c>
      <c r="R65" s="7">
        <f t="shared" si="13"/>
        <v>0</v>
      </c>
      <c r="X65" s="24"/>
      <c r="Y65" s="23"/>
    </row>
    <row r="66" spans="1:25" x14ac:dyDescent="0.2">
      <c r="A66" s="5">
        <v>55</v>
      </c>
      <c r="B66" s="33" t="s">
        <v>79</v>
      </c>
      <c r="C66" s="32">
        <f>C63+C64+C65</f>
        <v>0</v>
      </c>
      <c r="D66" s="32">
        <f t="shared" ref="D66:N66" si="14">D63+D64+D65</f>
        <v>0</v>
      </c>
      <c r="E66" s="32">
        <f t="shared" si="14"/>
        <v>0</v>
      </c>
      <c r="F66" s="32">
        <f t="shared" si="14"/>
        <v>0</v>
      </c>
      <c r="G66" s="32">
        <f t="shared" si="14"/>
        <v>0</v>
      </c>
      <c r="H66" s="32">
        <f t="shared" si="14"/>
        <v>0</v>
      </c>
      <c r="I66" s="32">
        <f t="shared" si="14"/>
        <v>0</v>
      </c>
      <c r="J66" s="32">
        <f t="shared" si="14"/>
        <v>0</v>
      </c>
      <c r="K66" s="32">
        <f t="shared" si="14"/>
        <v>0</v>
      </c>
      <c r="L66" s="32">
        <f t="shared" si="14"/>
        <v>0</v>
      </c>
      <c r="M66" s="32">
        <f t="shared" si="14"/>
        <v>0</v>
      </c>
      <c r="N66" s="32">
        <f t="shared" si="14"/>
        <v>0</v>
      </c>
      <c r="O66" s="2"/>
      <c r="P66" s="32">
        <f t="shared" si="12"/>
        <v>0</v>
      </c>
      <c r="Q66" s="33"/>
      <c r="R66" s="34">
        <f>SUM(R63:R65)</f>
        <v>0</v>
      </c>
      <c r="X66" s="24"/>
      <c r="Y66" s="23"/>
    </row>
    <row r="67" spans="1:25" x14ac:dyDescent="0.2">
      <c r="A67" s="5">
        <v>56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X67" s="24"/>
      <c r="Y67" s="23"/>
    </row>
    <row r="68" spans="1:25" x14ac:dyDescent="0.2">
      <c r="A68" s="5">
        <v>57</v>
      </c>
      <c r="B68" s="172" t="s">
        <v>89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X68" s="24"/>
      <c r="Y68" s="23"/>
    </row>
    <row r="69" spans="1:25" x14ac:dyDescent="0.2">
      <c r="A69" s="5">
        <v>58</v>
      </c>
      <c r="B69" s="2" t="s">
        <v>87</v>
      </c>
      <c r="C69" s="71">
        <f>'TBS Adjustments'!E168</f>
        <v>-1</v>
      </c>
      <c r="D69" s="71">
        <f>'TBS Adjustments'!F168</f>
        <v>-1</v>
      </c>
      <c r="E69" s="71">
        <f>'TBS Adjustments'!G168</f>
        <v>-1</v>
      </c>
      <c r="F69" s="71">
        <f>'TBS Adjustments'!H168</f>
        <v>-1</v>
      </c>
      <c r="G69" s="71">
        <f>'TBS Adjustments'!I168</f>
        <v>-1</v>
      </c>
      <c r="H69" s="71">
        <f>'TBS Adjustments'!J168</f>
        <v>-1</v>
      </c>
      <c r="I69" s="71">
        <f>'TBS Adjustments'!K168</f>
        <v>-1</v>
      </c>
      <c r="J69" s="71">
        <f>'TBS Adjustments'!L168</f>
        <v>-2</v>
      </c>
      <c r="K69" s="71">
        <f>'TBS Adjustments'!M168</f>
        <v>-2</v>
      </c>
      <c r="L69" s="71">
        <f>'TBS Adjustments'!N168</f>
        <v>-2</v>
      </c>
      <c r="M69" s="71">
        <f>'TBS Adjustments'!O168</f>
        <v>-2</v>
      </c>
      <c r="N69" s="71">
        <f>'TBS Adjustments'!P168</f>
        <v>-2</v>
      </c>
      <c r="O69" s="7">
        <f>SUM(C69:N69)</f>
        <v>-17</v>
      </c>
      <c r="P69" s="16"/>
      <c r="Q69" s="140">
        <f>'Bill Frequency'!Q69</f>
        <v>398.04</v>
      </c>
      <c r="R69" s="4">
        <f>O69*Q69</f>
        <v>-6766.68</v>
      </c>
      <c r="X69" s="24"/>
      <c r="Y69" s="23"/>
    </row>
    <row r="70" spans="1:25" x14ac:dyDescent="0.2">
      <c r="A70" s="5">
        <v>59</v>
      </c>
      <c r="B70" s="2" t="s">
        <v>1</v>
      </c>
      <c r="C70" s="61">
        <f>C69*50</f>
        <v>-50</v>
      </c>
      <c r="D70" s="61">
        <f t="shared" ref="D70:N70" si="15">D69*50</f>
        <v>-50</v>
      </c>
      <c r="E70" s="61">
        <f t="shared" si="15"/>
        <v>-50</v>
      </c>
      <c r="F70" s="61">
        <f t="shared" si="15"/>
        <v>-50</v>
      </c>
      <c r="G70" s="61">
        <f t="shared" si="15"/>
        <v>-50</v>
      </c>
      <c r="H70" s="61">
        <f t="shared" si="15"/>
        <v>-50</v>
      </c>
      <c r="I70" s="61">
        <f t="shared" si="15"/>
        <v>-50</v>
      </c>
      <c r="J70" s="61">
        <f t="shared" si="15"/>
        <v>-100</v>
      </c>
      <c r="K70" s="61">
        <f t="shared" si="15"/>
        <v>-100</v>
      </c>
      <c r="L70" s="61">
        <f t="shared" si="15"/>
        <v>-100</v>
      </c>
      <c r="M70" s="61">
        <f t="shared" si="15"/>
        <v>-100</v>
      </c>
      <c r="N70" s="61">
        <f t="shared" si="15"/>
        <v>-100</v>
      </c>
      <c r="O70" s="2"/>
      <c r="P70" s="2"/>
      <c r="Q70" s="2"/>
      <c r="R70" s="7">
        <f>SUM(C70:N70)</f>
        <v>-850</v>
      </c>
      <c r="X70" s="24"/>
      <c r="Y70" s="23"/>
    </row>
    <row r="71" spans="1:25" x14ac:dyDescent="0.2">
      <c r="A71" s="5">
        <v>60</v>
      </c>
      <c r="B71" s="2" t="s">
        <v>62</v>
      </c>
      <c r="C71" s="61">
        <f>C69*75</f>
        <v>-75</v>
      </c>
      <c r="D71" s="61">
        <f t="shared" ref="D71:N71" si="16">D69*75</f>
        <v>-75</v>
      </c>
      <c r="E71" s="61">
        <f t="shared" si="16"/>
        <v>-75</v>
      </c>
      <c r="F71" s="61">
        <f t="shared" si="16"/>
        <v>-75</v>
      </c>
      <c r="G71" s="61">
        <f t="shared" si="16"/>
        <v>-75</v>
      </c>
      <c r="H71" s="61">
        <f t="shared" si="16"/>
        <v>-75</v>
      </c>
      <c r="I71" s="61">
        <f t="shared" si="16"/>
        <v>-75</v>
      </c>
      <c r="J71" s="61">
        <f t="shared" si="16"/>
        <v>-150</v>
      </c>
      <c r="K71" s="61">
        <f t="shared" si="16"/>
        <v>-150</v>
      </c>
      <c r="L71" s="61">
        <f t="shared" si="16"/>
        <v>-150</v>
      </c>
      <c r="M71" s="61">
        <f t="shared" si="16"/>
        <v>-150</v>
      </c>
      <c r="N71" s="61">
        <f t="shared" si="16"/>
        <v>-150</v>
      </c>
      <c r="O71" s="2"/>
      <c r="P71" s="2"/>
      <c r="Q71" s="2"/>
      <c r="R71" s="7">
        <f>SUM(C71:N71)</f>
        <v>-1275</v>
      </c>
      <c r="X71" s="24"/>
      <c r="Y71" s="23"/>
    </row>
    <row r="72" spans="1:25" x14ac:dyDescent="0.2">
      <c r="A72" s="5">
        <v>61</v>
      </c>
      <c r="B72" s="2" t="s">
        <v>2</v>
      </c>
      <c r="C72" s="61">
        <v>0</v>
      </c>
      <c r="D72" s="61">
        <v>0</v>
      </c>
      <c r="E72" s="61">
        <v>0</v>
      </c>
      <c r="F72" s="61">
        <v>0</v>
      </c>
      <c r="G72" s="61">
        <v>0</v>
      </c>
      <c r="H72" s="61">
        <v>0</v>
      </c>
      <c r="I72" s="61">
        <v>0</v>
      </c>
      <c r="J72" s="61">
        <v>0</v>
      </c>
      <c r="K72" s="61">
        <v>0</v>
      </c>
      <c r="L72" s="61">
        <v>0</v>
      </c>
      <c r="M72" s="61">
        <v>0</v>
      </c>
      <c r="N72" s="61">
        <v>0</v>
      </c>
      <c r="O72" s="2"/>
      <c r="P72" s="2"/>
      <c r="Q72" s="2"/>
      <c r="R72" s="7">
        <f>SUM(C72:N72)</f>
        <v>0</v>
      </c>
      <c r="X72" s="24"/>
      <c r="Y72" s="23"/>
    </row>
    <row r="73" spans="1:25" x14ac:dyDescent="0.2">
      <c r="A73" s="5">
        <v>62</v>
      </c>
      <c r="B73" s="2" t="s">
        <v>46</v>
      </c>
      <c r="C73" s="71">
        <f>'TBS Adjustments'!E169</f>
        <v>16737.18041691689</v>
      </c>
      <c r="D73" s="71">
        <f>'TBS Adjustments'!F169</f>
        <v>16209.968761262313</v>
      </c>
      <c r="E73" s="71">
        <f>'TBS Adjustments'!G169</f>
        <v>17346.133658629144</v>
      </c>
      <c r="F73" s="71">
        <f>'TBS Adjustments'!H169</f>
        <v>16357.238643509578</v>
      </c>
      <c r="G73" s="71">
        <f>'TBS Adjustments'!I169</f>
        <v>6332.9396652462128</v>
      </c>
      <c r="H73" s="71">
        <f>'TBS Adjustments'!J169</f>
        <v>5125.3628688759527</v>
      </c>
      <c r="I73" s="71">
        <f>'TBS Adjustments'!K169</f>
        <v>16047.88538146246</v>
      </c>
      <c r="J73" s="71">
        <f>'TBS Adjustments'!L169</f>
        <v>16128.783314647571</v>
      </c>
      <c r="K73" s="71">
        <f>'TBS Adjustments'!M169</f>
        <v>16113.964325262092</v>
      </c>
      <c r="L73" s="71">
        <f>'TBS Adjustments'!N169</f>
        <v>16357.130243426696</v>
      </c>
      <c r="M73" s="71">
        <f>'TBS Adjustments'!O169</f>
        <v>16213.426512335427</v>
      </c>
      <c r="N73" s="71">
        <f>'TBS Adjustments'!P169</f>
        <v>2641.1547644656716</v>
      </c>
      <c r="O73" s="2"/>
      <c r="P73" s="7">
        <f>SUM(C73:N73)</f>
        <v>161611.16855604001</v>
      </c>
      <c r="Q73" s="15">
        <f>'Bill Frequency'!Q73</f>
        <v>0.90310000000000012</v>
      </c>
      <c r="R73" s="7">
        <f>P73*Q73</f>
        <v>145951.04632295974</v>
      </c>
      <c r="X73" s="24"/>
      <c r="Y73" s="23"/>
    </row>
    <row r="74" spans="1:25" x14ac:dyDescent="0.2">
      <c r="A74" s="5">
        <v>63</v>
      </c>
      <c r="B74" s="2" t="s">
        <v>47</v>
      </c>
      <c r="C74" s="71">
        <f>'TBS Adjustments'!E170</f>
        <v>25000</v>
      </c>
      <c r="D74" s="71">
        <f>'TBS Adjustments'!F170</f>
        <v>25000</v>
      </c>
      <c r="E74" s="71">
        <f>'TBS Adjustments'!G170</f>
        <v>25000</v>
      </c>
      <c r="F74" s="71">
        <f>'TBS Adjustments'!H170</f>
        <v>26825.406263714343</v>
      </c>
      <c r="G74" s="71">
        <f>'TBS Adjustments'!I170</f>
        <v>27036.897894046906</v>
      </c>
      <c r="H74" s="71">
        <f>'TBS Adjustments'!J170</f>
        <v>27091.342395486023</v>
      </c>
      <c r="I74" s="71">
        <f>'TBS Adjustments'!K170</f>
        <v>27353.461799321762</v>
      </c>
      <c r="J74" s="71">
        <f>'TBS Adjustments'!L170</f>
        <v>27139.276008093242</v>
      </c>
      <c r="K74" s="71">
        <f>'TBS Adjustments'!M170</f>
        <v>27073.718092958308</v>
      </c>
      <c r="L74" s="71">
        <f>'TBS Adjustments'!N170</f>
        <v>26842.918309538058</v>
      </c>
      <c r="M74" s="71">
        <f>'TBS Adjustments'!O170</f>
        <v>26886.810680801344</v>
      </c>
      <c r="N74" s="71">
        <f>'TBS Adjustments'!P170</f>
        <v>0</v>
      </c>
      <c r="O74" s="2"/>
      <c r="P74" s="7">
        <f>SUM(C74:N74)</f>
        <v>291249.83144395996</v>
      </c>
      <c r="Q74" s="15">
        <f>'Bill Frequency'!Q74</f>
        <v>0.68049999999999999</v>
      </c>
      <c r="R74" s="7">
        <f>P74*Q74</f>
        <v>198195.51029761476</v>
      </c>
      <c r="X74" s="24"/>
      <c r="Y74" s="23"/>
    </row>
    <row r="75" spans="1:25" x14ac:dyDescent="0.2">
      <c r="A75" s="5">
        <v>64</v>
      </c>
      <c r="B75" s="33" t="s">
        <v>79</v>
      </c>
      <c r="C75" s="32">
        <f t="shared" ref="C75:N75" si="17">C73+C74</f>
        <v>41737.18041691689</v>
      </c>
      <c r="D75" s="32">
        <f t="shared" si="17"/>
        <v>41209.968761262309</v>
      </c>
      <c r="E75" s="32">
        <f t="shared" si="17"/>
        <v>42346.133658629144</v>
      </c>
      <c r="F75" s="32">
        <f t="shared" si="17"/>
        <v>43182.644907223919</v>
      </c>
      <c r="G75" s="32">
        <f t="shared" si="17"/>
        <v>33369.837559293119</v>
      </c>
      <c r="H75" s="32">
        <f t="shared" si="17"/>
        <v>32216.705264361975</v>
      </c>
      <c r="I75" s="32">
        <f t="shared" si="17"/>
        <v>43401.347180784222</v>
      </c>
      <c r="J75" s="32">
        <f t="shared" si="17"/>
        <v>43268.05932274081</v>
      </c>
      <c r="K75" s="32">
        <f t="shared" si="17"/>
        <v>43187.6824182204</v>
      </c>
      <c r="L75" s="32">
        <f t="shared" si="17"/>
        <v>43200.048552964756</v>
      </c>
      <c r="M75" s="32">
        <f t="shared" si="17"/>
        <v>43100.237193136767</v>
      </c>
      <c r="N75" s="32">
        <f t="shared" si="17"/>
        <v>2641.1547644656716</v>
      </c>
      <c r="O75" s="32">
        <f>O69</f>
        <v>-17</v>
      </c>
      <c r="P75" s="32">
        <f>SUM(P73:P74)</f>
        <v>452861</v>
      </c>
      <c r="Q75" s="33"/>
      <c r="R75" s="34">
        <f>SUM(R69:R74)</f>
        <v>335254.87662057451</v>
      </c>
      <c r="X75" s="24"/>
      <c r="Y75" s="23"/>
    </row>
    <row r="76" spans="1:25" x14ac:dyDescent="0.2">
      <c r="A76" s="5">
        <v>65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1:25" x14ac:dyDescent="0.2">
      <c r="A77" s="5">
        <v>66</v>
      </c>
      <c r="B77" s="172" t="s">
        <v>90</v>
      </c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2"/>
      <c r="P77" s="2"/>
      <c r="Q77" s="2"/>
      <c r="R77" s="148"/>
    </row>
    <row r="78" spans="1:25" x14ac:dyDescent="0.2">
      <c r="A78" s="5">
        <v>67</v>
      </c>
      <c r="B78" s="2" t="s">
        <v>87</v>
      </c>
      <c r="C78" s="71">
        <f>'TBS Adjustments'!E182</f>
        <v>-1</v>
      </c>
      <c r="D78" s="71">
        <f>'TBS Adjustments'!F182</f>
        <v>-1</v>
      </c>
      <c r="E78" s="71">
        <f>'TBS Adjustments'!G182</f>
        <v>-1</v>
      </c>
      <c r="F78" s="71">
        <f>'TBS Adjustments'!H182</f>
        <v>-1</v>
      </c>
      <c r="G78" s="71">
        <f>'TBS Adjustments'!I182</f>
        <v>-1</v>
      </c>
      <c r="H78" s="71">
        <f>'TBS Adjustments'!J182</f>
        <v>-1</v>
      </c>
      <c r="I78" s="71">
        <f>'TBS Adjustments'!K182</f>
        <v>-1</v>
      </c>
      <c r="J78" s="71">
        <f>'TBS Adjustments'!L182</f>
        <v>0</v>
      </c>
      <c r="K78" s="71">
        <f>'TBS Adjustments'!M182</f>
        <v>0</v>
      </c>
      <c r="L78" s="71">
        <f>'TBS Adjustments'!N182</f>
        <v>0</v>
      </c>
      <c r="M78" s="71">
        <f>'TBS Adjustments'!O182</f>
        <v>0</v>
      </c>
      <c r="N78" s="71">
        <f>'TBS Adjustments'!P182</f>
        <v>0</v>
      </c>
      <c r="O78" s="7">
        <f>SUM(C78:N78)</f>
        <v>-7</v>
      </c>
      <c r="P78" s="16"/>
      <c r="Q78" s="101">
        <f>'Bill Frequency'!Q78</f>
        <v>375</v>
      </c>
      <c r="R78" s="4">
        <f>O78*Q78</f>
        <v>-2625</v>
      </c>
    </row>
    <row r="79" spans="1:25" x14ac:dyDescent="0.2">
      <c r="A79" s="5">
        <v>68</v>
      </c>
      <c r="B79" s="2" t="s">
        <v>1</v>
      </c>
      <c r="C79" s="61">
        <f>C78*50</f>
        <v>-50</v>
      </c>
      <c r="D79" s="61">
        <f t="shared" ref="D79:N79" si="18">D78*50</f>
        <v>-50</v>
      </c>
      <c r="E79" s="61">
        <f t="shared" si="18"/>
        <v>-50</v>
      </c>
      <c r="F79" s="61">
        <f t="shared" si="18"/>
        <v>-50</v>
      </c>
      <c r="G79" s="61">
        <f t="shared" si="18"/>
        <v>-50</v>
      </c>
      <c r="H79" s="61">
        <f t="shared" si="18"/>
        <v>-50</v>
      </c>
      <c r="I79" s="61">
        <f t="shared" si="18"/>
        <v>-50</v>
      </c>
      <c r="J79" s="61">
        <f t="shared" si="18"/>
        <v>0</v>
      </c>
      <c r="K79" s="61">
        <f t="shared" si="18"/>
        <v>0</v>
      </c>
      <c r="L79" s="61">
        <f t="shared" si="18"/>
        <v>0</v>
      </c>
      <c r="M79" s="61">
        <f t="shared" si="18"/>
        <v>0</v>
      </c>
      <c r="N79" s="61">
        <f t="shared" si="18"/>
        <v>0</v>
      </c>
      <c r="O79" s="2"/>
      <c r="P79" s="2"/>
      <c r="Q79" s="2"/>
      <c r="R79" s="7">
        <f>SUM(C79:N79)</f>
        <v>-350</v>
      </c>
    </row>
    <row r="80" spans="1:25" x14ac:dyDescent="0.2">
      <c r="A80" s="5">
        <v>69</v>
      </c>
      <c r="B80" s="2" t="s">
        <v>62</v>
      </c>
      <c r="C80" s="61">
        <f>75*C78</f>
        <v>-75</v>
      </c>
      <c r="D80" s="61">
        <f t="shared" ref="D80:N80" si="19">75*D78</f>
        <v>-75</v>
      </c>
      <c r="E80" s="61">
        <f t="shared" si="19"/>
        <v>-75</v>
      </c>
      <c r="F80" s="61">
        <f t="shared" si="19"/>
        <v>-75</v>
      </c>
      <c r="G80" s="61">
        <f t="shared" si="19"/>
        <v>-75</v>
      </c>
      <c r="H80" s="61">
        <f t="shared" si="19"/>
        <v>-75</v>
      </c>
      <c r="I80" s="61">
        <f t="shared" si="19"/>
        <v>-75</v>
      </c>
      <c r="J80" s="61">
        <f t="shared" si="19"/>
        <v>0</v>
      </c>
      <c r="K80" s="61">
        <f t="shared" si="19"/>
        <v>0</v>
      </c>
      <c r="L80" s="61">
        <f t="shared" si="19"/>
        <v>0</v>
      </c>
      <c r="M80" s="61">
        <f t="shared" si="19"/>
        <v>0</v>
      </c>
      <c r="N80" s="61">
        <f t="shared" si="19"/>
        <v>0</v>
      </c>
      <c r="O80" s="2"/>
      <c r="P80" s="2"/>
      <c r="Q80" s="2"/>
      <c r="R80" s="7">
        <f>SUM(C80:N80)</f>
        <v>-525</v>
      </c>
    </row>
    <row r="81" spans="1:20" x14ac:dyDescent="0.2">
      <c r="A81" s="5">
        <v>70</v>
      </c>
      <c r="B81" s="2" t="s">
        <v>2</v>
      </c>
      <c r="C81" s="61">
        <v>0</v>
      </c>
      <c r="D81" s="61">
        <v>0</v>
      </c>
      <c r="E81" s="61">
        <v>0</v>
      </c>
      <c r="F81" s="61">
        <v>0</v>
      </c>
      <c r="G81" s="61">
        <v>0</v>
      </c>
      <c r="H81" s="61">
        <v>0</v>
      </c>
      <c r="I81" s="61">
        <v>0</v>
      </c>
      <c r="J81" s="61">
        <v>0</v>
      </c>
      <c r="K81" s="61">
        <v>0</v>
      </c>
      <c r="L81" s="61">
        <v>0</v>
      </c>
      <c r="M81" s="61">
        <v>0</v>
      </c>
      <c r="N81" s="61">
        <v>0</v>
      </c>
      <c r="O81" s="2"/>
      <c r="P81" s="2"/>
      <c r="Q81" s="2"/>
      <c r="R81" s="7">
        <f>SUM(C81:N81)</f>
        <v>0</v>
      </c>
    </row>
    <row r="82" spans="1:20" x14ac:dyDescent="0.2">
      <c r="A82" s="5">
        <v>71</v>
      </c>
      <c r="B82" s="2" t="s">
        <v>91</v>
      </c>
      <c r="C82" s="71">
        <f>'TBS Adjustments'!E183</f>
        <v>-21055.81603691019</v>
      </c>
      <c r="D82" s="71">
        <f>'TBS Adjustments'!F183</f>
        <v>-20445.648468075127</v>
      </c>
      <c r="E82" s="71">
        <f>'TBS Adjustments'!G183</f>
        <v>-21607.834307058711</v>
      </c>
      <c r="F82" s="71">
        <f>'TBS Adjustments'!H183</f>
        <v>-25560.514377999199</v>
      </c>
      <c r="G82" s="71">
        <f>'TBS Adjustments'!I183</f>
        <v>7752.3578069216519</v>
      </c>
      <c r="H82" s="71">
        <f>'TBS Adjustments'!J183</f>
        <v>7648.0463425025355</v>
      </c>
      <c r="I82" s="71">
        <f>'TBS Adjustments'!K183</f>
        <v>8572.9403710174411</v>
      </c>
      <c r="J82" s="71">
        <f>'TBS Adjustments'!L183</f>
        <v>8251.6620154629127</v>
      </c>
      <c r="K82" s="71">
        <f>'TBS Adjustments'!M183</f>
        <v>8392.8641529249744</v>
      </c>
      <c r="L82" s="71">
        <f>'TBS Adjustments'!N183</f>
        <v>8072.9028069051383</v>
      </c>
      <c r="M82" s="71">
        <f>'TBS Adjustments'!O183</f>
        <v>8338.3960249546708</v>
      </c>
      <c r="N82" s="71">
        <f>'TBS Adjustments'!P183</f>
        <v>7340.6436693539072</v>
      </c>
      <c r="O82" s="2"/>
      <c r="P82" s="7">
        <f>SUM(C82:N82)</f>
        <v>-24300.000000000015</v>
      </c>
      <c r="Q82" s="70" t="s">
        <v>61</v>
      </c>
      <c r="R82" s="7"/>
    </row>
    <row r="83" spans="1:20" x14ac:dyDescent="0.2">
      <c r="A83" s="5">
        <v>72</v>
      </c>
      <c r="B83" s="2" t="s">
        <v>92</v>
      </c>
      <c r="C83" s="46">
        <f>'TBS Adjustments'!E185</f>
        <v>62169.210235939878</v>
      </c>
      <c r="D83" s="46">
        <f>'TBS Adjustments'!F185</f>
        <v>59645.174291065712</v>
      </c>
      <c r="E83" s="46">
        <f>'TBS Adjustments'!G185</f>
        <v>63289.448981658839</v>
      </c>
      <c r="F83" s="46">
        <f>'TBS Adjustments'!H185</f>
        <v>69455.827268180146</v>
      </c>
      <c r="G83" s="46">
        <f>'TBS Adjustments'!I185</f>
        <v>35853.872983315116</v>
      </c>
      <c r="H83" s="46">
        <f>'TBS Adjustments'!J185</f>
        <v>50563.723805075482</v>
      </c>
      <c r="I83" s="46">
        <f>'TBS Adjustments'!K185</f>
        <v>45473.796170493319</v>
      </c>
      <c r="J83" s="46">
        <f>'TBS Adjustments'!L185</f>
        <v>33923.860782937947</v>
      </c>
      <c r="K83" s="46">
        <f>'TBS Adjustments'!M185</f>
        <v>32354.984189055744</v>
      </c>
      <c r="L83" s="46">
        <f>'TBS Adjustments'!N185</f>
        <v>16291.391533311977</v>
      </c>
      <c r="M83" s="46">
        <f>'TBS Adjustments'!O185</f>
        <v>9376.695244741386</v>
      </c>
      <c r="N83" s="46">
        <f>'TBS Adjustments'!P185</f>
        <v>5901.6147971772416</v>
      </c>
      <c r="O83" s="2"/>
      <c r="P83" s="7"/>
      <c r="Q83" s="70"/>
      <c r="R83" s="7">
        <f>SUM(C83:N83)</f>
        <v>484299.60028295277</v>
      </c>
    </row>
    <row r="84" spans="1:20" x14ac:dyDescent="0.2">
      <c r="A84" s="5">
        <v>73</v>
      </c>
      <c r="B84" s="33" t="s">
        <v>79</v>
      </c>
      <c r="C84" s="32">
        <f t="shared" ref="C84:N84" si="20">C82</f>
        <v>-21055.81603691019</v>
      </c>
      <c r="D84" s="32">
        <f t="shared" si="20"/>
        <v>-20445.648468075127</v>
      </c>
      <c r="E84" s="32">
        <f t="shared" si="20"/>
        <v>-21607.834307058711</v>
      </c>
      <c r="F84" s="32">
        <f t="shared" si="20"/>
        <v>-25560.514377999199</v>
      </c>
      <c r="G84" s="32">
        <f t="shared" si="20"/>
        <v>7752.3578069216519</v>
      </c>
      <c r="H84" s="32">
        <f t="shared" si="20"/>
        <v>7648.0463425025355</v>
      </c>
      <c r="I84" s="32">
        <f t="shared" si="20"/>
        <v>8572.9403710174411</v>
      </c>
      <c r="J84" s="32">
        <f t="shared" si="20"/>
        <v>8251.6620154629127</v>
      </c>
      <c r="K84" s="32">
        <f t="shared" si="20"/>
        <v>8392.8641529249744</v>
      </c>
      <c r="L84" s="32">
        <f t="shared" si="20"/>
        <v>8072.9028069051383</v>
      </c>
      <c r="M84" s="32">
        <f t="shared" si="20"/>
        <v>8338.3960249546708</v>
      </c>
      <c r="N84" s="32">
        <f t="shared" si="20"/>
        <v>7340.6436693539072</v>
      </c>
      <c r="O84" s="32">
        <f>O78</f>
        <v>-7</v>
      </c>
      <c r="P84" s="32">
        <f>P82</f>
        <v>-24300.000000000015</v>
      </c>
      <c r="Q84" s="33"/>
      <c r="R84" s="34">
        <f>SUM(R78:R83)</f>
        <v>480799.60028295277</v>
      </c>
    </row>
    <row r="85" spans="1:20" x14ac:dyDescent="0.2">
      <c r="A85" s="5"/>
      <c r="S85" s="60"/>
      <c r="T85" s="60"/>
    </row>
    <row r="86" spans="1:20" x14ac:dyDescent="0.2">
      <c r="A86" s="5"/>
    </row>
    <row r="87" spans="1:20" x14ac:dyDescent="0.2">
      <c r="A87" s="5"/>
    </row>
    <row r="88" spans="1:20" x14ac:dyDescent="0.2">
      <c r="A88" s="5"/>
    </row>
    <row r="89" spans="1:20" x14ac:dyDescent="0.2">
      <c r="A89" s="5"/>
    </row>
    <row r="90" spans="1:20" x14ac:dyDescent="0.2">
      <c r="A90" s="5"/>
    </row>
    <row r="91" spans="1:20" x14ac:dyDescent="0.2">
      <c r="A91" s="5"/>
    </row>
    <row r="92" spans="1:20" x14ac:dyDescent="0.2">
      <c r="A92" s="5"/>
    </row>
    <row r="93" spans="1:20" x14ac:dyDescent="0.2">
      <c r="A93" s="5"/>
    </row>
    <row r="94" spans="1:20" x14ac:dyDescent="0.2">
      <c r="A94" s="5"/>
    </row>
    <row r="95" spans="1:20" x14ac:dyDescent="0.2">
      <c r="A95" s="5"/>
    </row>
    <row r="96" spans="1:20" x14ac:dyDescent="0.2">
      <c r="A96" s="5"/>
    </row>
    <row r="97" spans="1:18" x14ac:dyDescent="0.2">
      <c r="A97" s="5"/>
    </row>
    <row r="98" spans="1:18" x14ac:dyDescent="0.2">
      <c r="A98" s="5"/>
    </row>
    <row r="99" spans="1:18" x14ac:dyDescent="0.2">
      <c r="A99" s="5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</row>
    <row r="100" spans="1:18" x14ac:dyDescent="0.2">
      <c r="A100" s="5"/>
    </row>
    <row r="101" spans="1:18" x14ac:dyDescent="0.2">
      <c r="A101" s="5"/>
    </row>
    <row r="102" spans="1:18" x14ac:dyDescent="0.2">
      <c r="A102" s="5"/>
    </row>
    <row r="103" spans="1:18" x14ac:dyDescent="0.2">
      <c r="A103" s="5"/>
    </row>
    <row r="104" spans="1:18" x14ac:dyDescent="0.2">
      <c r="A104" s="5"/>
    </row>
    <row r="105" spans="1:18" x14ac:dyDescent="0.2">
      <c r="A105" s="5"/>
    </row>
    <row r="106" spans="1:18" x14ac:dyDescent="0.2">
      <c r="A106" s="5"/>
    </row>
    <row r="107" spans="1:18" x14ac:dyDescent="0.2">
      <c r="A107" s="5"/>
    </row>
    <row r="108" spans="1:18" x14ac:dyDescent="0.2">
      <c r="A108" s="5"/>
    </row>
    <row r="109" spans="1:18" x14ac:dyDescent="0.2">
      <c r="A109" s="5"/>
    </row>
    <row r="110" spans="1:18" x14ac:dyDescent="0.2">
      <c r="A110" s="5"/>
    </row>
    <row r="111" spans="1:18" x14ac:dyDescent="0.2">
      <c r="A111" s="16"/>
    </row>
    <row r="112" spans="1:18" x14ac:dyDescent="0.2">
      <c r="A112" s="16"/>
    </row>
    <row r="113" spans="1:1" x14ac:dyDescent="0.2">
      <c r="A113" s="16"/>
    </row>
    <row r="114" spans="1:1" x14ac:dyDescent="0.2">
      <c r="A114" s="16"/>
    </row>
    <row r="115" spans="1:1" x14ac:dyDescent="0.2">
      <c r="A115" s="16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31" x14ac:dyDescent="0.2">
      <c r="A129" s="17"/>
    </row>
    <row r="130" spans="1:31" x14ac:dyDescent="0.2">
      <c r="A130" s="17"/>
    </row>
    <row r="131" spans="1:31" x14ac:dyDescent="0.2">
      <c r="A131" s="17"/>
    </row>
    <row r="132" spans="1:31" x14ac:dyDescent="0.2">
      <c r="A132" s="17"/>
    </row>
    <row r="133" spans="1:31" x14ac:dyDescent="0.2">
      <c r="A133" s="17"/>
    </row>
    <row r="134" spans="1:31" x14ac:dyDescent="0.2">
      <c r="A134" s="17"/>
    </row>
    <row r="135" spans="1:31" x14ac:dyDescent="0.2">
      <c r="A135" s="17"/>
    </row>
    <row r="136" spans="1:31" x14ac:dyDescent="0.2">
      <c r="A136" s="17"/>
    </row>
    <row r="137" spans="1:31" x14ac:dyDescent="0.2">
      <c r="A137" s="17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17"/>
      <c r="P137" s="17"/>
      <c r="Q137" s="17"/>
      <c r="R137" s="17"/>
      <c r="S137" s="17"/>
      <c r="T137" s="17"/>
      <c r="U137" s="17"/>
      <c r="V137" s="17"/>
      <c r="W137" s="17"/>
      <c r="X137" s="24"/>
      <c r="Y137" s="23"/>
      <c r="Z137" s="17"/>
      <c r="AA137" s="17"/>
      <c r="AB137" s="17"/>
      <c r="AC137" s="17"/>
      <c r="AD137" s="17"/>
      <c r="AE137" s="17"/>
    </row>
    <row r="138" spans="1:31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23"/>
      <c r="P138" s="17"/>
      <c r="Q138" s="56"/>
      <c r="R138" s="22"/>
      <c r="S138" s="38"/>
      <c r="T138" s="17"/>
      <c r="U138" s="17"/>
      <c r="V138" s="17"/>
      <c r="W138" s="17"/>
      <c r="X138" s="24"/>
      <c r="Y138" s="23"/>
      <c r="Z138" s="17"/>
      <c r="AA138" s="17"/>
      <c r="AB138" s="17"/>
      <c r="AC138" s="17"/>
      <c r="AD138" s="17"/>
      <c r="AE138" s="17"/>
    </row>
    <row r="139" spans="1:31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23"/>
      <c r="P139" s="17"/>
      <c r="Q139" s="56"/>
      <c r="R139" s="23"/>
      <c r="S139" s="38"/>
      <c r="T139" s="17"/>
      <c r="U139" s="17"/>
      <c r="V139" s="17"/>
      <c r="W139" s="17"/>
      <c r="X139" s="24"/>
      <c r="Y139" s="23"/>
      <c r="Z139" s="17"/>
      <c r="AA139" s="17"/>
      <c r="AB139" s="17"/>
      <c r="AC139" s="17"/>
      <c r="AD139" s="17"/>
      <c r="AE139" s="17"/>
    </row>
  </sheetData>
  <phoneticPr fontId="6" type="noConversion"/>
  <pageMargins left="0" right="0" top="0.7" bottom="0" header="0.25" footer="0"/>
  <pageSetup scale="70" orientation="landscape" horizontalDpi="300" r:id="rId1"/>
  <headerFooter alignWithMargins="0">
    <oddFooter>&amp;CPage &amp;P of &amp;N</oddFooter>
  </headerFooter>
  <rowBreaks count="1" manualBreakCount="1">
    <brk id="50" max="17" man="1"/>
  </rowBreaks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 codeName="Sheet22"/>
  <dimension ref="A1:AW4253"/>
  <sheetViews>
    <sheetView showGridLines="0" view="pageBreakPreview" topLeftCell="I13" zoomScale="115" zoomScaleNormal="100" zoomScaleSheetLayoutView="115" workbookViewId="0">
      <selection activeCell="E28" sqref="E28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4" width="8.5703125" style="3" customWidth="1"/>
    <col min="5" max="5" width="9.85546875" style="3" bestFit="1" customWidth="1"/>
    <col min="6" max="6" width="8.5703125" style="3" customWidth="1"/>
    <col min="7" max="7" width="9.42578125" style="3" bestFit="1" customWidth="1"/>
    <col min="8" max="8" width="10.5703125" style="3" customWidth="1"/>
    <col min="9" max="10" width="8.5703125" style="3" customWidth="1"/>
    <col min="11" max="11" width="10.140625" style="3" bestFit="1" customWidth="1"/>
    <col min="12" max="14" width="8.5703125" style="3" customWidth="1"/>
    <col min="15" max="15" width="9.85546875" style="3" bestFit="1" customWidth="1"/>
    <col min="16" max="16" width="10.5703125" style="3" customWidth="1"/>
    <col min="17" max="17" width="10.5703125" style="3" bestFit="1" customWidth="1"/>
    <col min="18" max="18" width="11.5703125" style="3" customWidth="1"/>
    <col min="19" max="19" width="3" style="3" customWidth="1"/>
    <col min="20" max="20" width="15.5703125" style="18" customWidth="1"/>
    <col min="21" max="21" width="15.140625" style="18" customWidth="1"/>
    <col min="22" max="22" width="16.42578125" style="18" customWidth="1"/>
    <col min="23" max="23" width="13.85546875" style="18" customWidth="1"/>
    <col min="24" max="24" width="16.5703125" style="18" customWidth="1"/>
    <col min="25" max="25" width="11.5703125" style="18" bestFit="1" customWidth="1"/>
    <col min="26" max="26" width="17.5703125" style="18" customWidth="1"/>
    <col min="27" max="49" width="12.5703125" style="18"/>
    <col min="50" max="16384" width="12.5703125" style="3"/>
  </cols>
  <sheetData>
    <row r="1" spans="1:26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71"/>
      <c r="P1" s="71"/>
      <c r="Q1" s="2"/>
      <c r="S1" s="6"/>
      <c r="T1" s="17"/>
      <c r="U1" s="17"/>
      <c r="V1" s="17"/>
      <c r="W1" s="17"/>
      <c r="X1" s="17"/>
      <c r="Y1" s="17"/>
      <c r="Z1" s="17"/>
    </row>
    <row r="2" spans="1:26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71"/>
      <c r="P2" s="71"/>
      <c r="Q2" s="2"/>
      <c r="R2" s="73"/>
      <c r="S2" s="6"/>
      <c r="T2" s="17"/>
      <c r="U2" s="17"/>
      <c r="V2" s="17"/>
      <c r="W2" s="17"/>
      <c r="X2" s="17"/>
      <c r="Y2" s="17"/>
      <c r="Z2" s="17"/>
    </row>
    <row r="3" spans="1:26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71"/>
      <c r="P3" s="71"/>
      <c r="Q3" s="2"/>
      <c r="R3" s="61" t="s">
        <v>712</v>
      </c>
      <c r="S3" s="2"/>
      <c r="T3" s="17"/>
      <c r="U3" s="39"/>
      <c r="V3" s="17"/>
      <c r="W3" s="17"/>
      <c r="X3" s="17"/>
      <c r="Y3" s="17"/>
      <c r="Z3" s="17"/>
    </row>
    <row r="4" spans="1:26" x14ac:dyDescent="0.2">
      <c r="A4" s="8"/>
      <c r="B4" s="19"/>
      <c r="C4" s="19"/>
      <c r="D4" s="19"/>
      <c r="E4" s="19"/>
      <c r="F4" s="19"/>
      <c r="G4" s="19"/>
      <c r="H4" s="19"/>
      <c r="I4" s="5" t="s">
        <v>93</v>
      </c>
      <c r="J4" s="19"/>
      <c r="K4" s="19"/>
      <c r="L4" s="19"/>
      <c r="M4" s="19"/>
      <c r="N4" s="19"/>
      <c r="O4" s="72"/>
      <c r="P4" s="72"/>
      <c r="Q4" s="20"/>
      <c r="R4" s="73"/>
      <c r="S4" s="2"/>
      <c r="T4" s="17"/>
      <c r="U4" s="17"/>
      <c r="V4" s="17"/>
      <c r="W4" s="17"/>
      <c r="X4" s="17"/>
      <c r="Y4" s="17"/>
    </row>
    <row r="5" spans="1:26" x14ac:dyDescent="0.2">
      <c r="A5" s="8"/>
      <c r="B5" s="19"/>
      <c r="C5" s="19"/>
      <c r="D5" s="19"/>
      <c r="E5" s="19"/>
      <c r="F5" s="19"/>
      <c r="G5" s="19"/>
      <c r="H5" s="19"/>
      <c r="I5" s="5" t="s">
        <v>711</v>
      </c>
      <c r="J5" s="19"/>
      <c r="K5" s="19"/>
      <c r="L5" s="19"/>
      <c r="M5" s="19"/>
      <c r="N5" s="19"/>
      <c r="O5" s="19"/>
      <c r="P5" s="19"/>
      <c r="Q5" s="20"/>
      <c r="R5" s="19"/>
      <c r="S5" s="2"/>
      <c r="T5" s="17"/>
      <c r="U5" s="17"/>
      <c r="V5" s="17"/>
      <c r="W5" s="17"/>
      <c r="X5" s="22"/>
      <c r="Y5" s="17"/>
      <c r="Z5" s="17"/>
    </row>
    <row r="6" spans="1:26" x14ac:dyDescent="0.2">
      <c r="A6" s="8"/>
      <c r="B6" s="19"/>
      <c r="C6" s="19"/>
      <c r="D6" s="19"/>
      <c r="E6" s="19"/>
      <c r="F6" s="19"/>
      <c r="G6" s="19"/>
      <c r="H6" s="19"/>
      <c r="I6" s="5" t="str">
        <f>'Test Year Revenue Present'!F9</f>
        <v>Reference Period - Twelve Months Ending 06/30/2017</v>
      </c>
      <c r="J6" s="19"/>
      <c r="K6" s="19"/>
      <c r="L6" s="19"/>
      <c r="M6" s="19"/>
      <c r="N6" s="19"/>
      <c r="O6" s="19"/>
      <c r="P6" s="19"/>
      <c r="Q6" s="74"/>
      <c r="R6" s="19"/>
      <c r="S6" s="2"/>
      <c r="T6" s="205"/>
      <c r="U6" s="17"/>
      <c r="V6" s="17"/>
      <c r="W6" s="17"/>
      <c r="X6" s="23"/>
      <c r="Y6" s="17"/>
      <c r="Z6" s="23"/>
    </row>
    <row r="7" spans="1:26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05"/>
      <c r="U7" s="17"/>
      <c r="V7" s="17"/>
      <c r="W7" s="17"/>
      <c r="X7" s="17"/>
      <c r="Y7" s="17"/>
      <c r="Z7" s="17"/>
    </row>
    <row r="8" spans="1:26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5" t="s">
        <v>18</v>
      </c>
      <c r="P8" s="2"/>
      <c r="Q8" s="2"/>
      <c r="R8" s="5" t="s">
        <v>19</v>
      </c>
      <c r="S8" s="16"/>
      <c r="T8" s="205"/>
      <c r="V8" s="16"/>
      <c r="W8" s="16"/>
      <c r="X8" s="16"/>
      <c r="Y8" s="16"/>
      <c r="Z8" s="16"/>
    </row>
    <row r="9" spans="1:26" x14ac:dyDescent="0.2">
      <c r="A9" s="9" t="s">
        <v>17</v>
      </c>
      <c r="B9" s="10" t="s">
        <v>27</v>
      </c>
      <c r="C9" s="66">
        <f>WNA!C10</f>
        <v>42582</v>
      </c>
      <c r="D9" s="66">
        <f>WNA!D10</f>
        <v>42613</v>
      </c>
      <c r="E9" s="66">
        <f>WNA!E10</f>
        <v>42643</v>
      </c>
      <c r="F9" s="66">
        <f>WNA!F10</f>
        <v>42674</v>
      </c>
      <c r="G9" s="66">
        <f>WNA!G10</f>
        <v>42704</v>
      </c>
      <c r="H9" s="66">
        <f>WNA!H10</f>
        <v>42735</v>
      </c>
      <c r="I9" s="66">
        <f>WNA!I10</f>
        <v>42766</v>
      </c>
      <c r="J9" s="66">
        <f>WNA!J10</f>
        <v>42794</v>
      </c>
      <c r="K9" s="66">
        <f>WNA!K10</f>
        <v>42825</v>
      </c>
      <c r="L9" s="66">
        <f>WNA!L10</f>
        <v>42855</v>
      </c>
      <c r="M9" s="66">
        <f>WNA!M10</f>
        <v>42886</v>
      </c>
      <c r="N9" s="66">
        <f>WNA!N10</f>
        <v>42916</v>
      </c>
      <c r="O9" s="11" t="s">
        <v>20</v>
      </c>
      <c r="P9" s="11" t="s">
        <v>21</v>
      </c>
      <c r="Q9" s="11" t="s">
        <v>6</v>
      </c>
      <c r="R9" s="11" t="s">
        <v>22</v>
      </c>
      <c r="S9" s="17"/>
      <c r="T9" s="205"/>
      <c r="V9" s="17"/>
      <c r="W9" s="59"/>
      <c r="Y9" s="17"/>
      <c r="Z9" s="17"/>
    </row>
    <row r="10" spans="1:26" x14ac:dyDescent="0.2">
      <c r="A10" s="2"/>
      <c r="B10" s="2"/>
      <c r="C10" s="82" t="s">
        <v>13</v>
      </c>
      <c r="D10" s="82" t="s">
        <v>14</v>
      </c>
      <c r="E10" s="5" t="s">
        <v>15</v>
      </c>
      <c r="F10" s="96" t="s">
        <v>16</v>
      </c>
      <c r="G10" s="97" t="s">
        <v>108</v>
      </c>
      <c r="H10" s="97" t="s">
        <v>109</v>
      </c>
      <c r="I10" s="97" t="s">
        <v>110</v>
      </c>
      <c r="J10" s="97" t="s">
        <v>111</v>
      </c>
      <c r="K10" s="97" t="s">
        <v>112</v>
      </c>
      <c r="L10" s="97" t="s">
        <v>113</v>
      </c>
      <c r="M10" s="97" t="s">
        <v>114</v>
      </c>
      <c r="N10" s="97" t="s">
        <v>115</v>
      </c>
      <c r="O10" s="97" t="s">
        <v>116</v>
      </c>
      <c r="P10" s="97" t="s">
        <v>234</v>
      </c>
      <c r="Q10" s="97" t="s">
        <v>235</v>
      </c>
      <c r="R10" s="82" t="s">
        <v>236</v>
      </c>
      <c r="S10" s="16"/>
      <c r="T10" s="205"/>
      <c r="V10" s="17"/>
      <c r="W10" s="16"/>
      <c r="X10" s="17"/>
      <c r="Y10" s="17"/>
      <c r="Z10" s="16"/>
    </row>
    <row r="11" spans="1:26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6"/>
      <c r="T11" s="205"/>
      <c r="V11" s="16"/>
      <c r="W11" s="16"/>
      <c r="X11" s="16"/>
      <c r="Y11" s="16"/>
      <c r="Z11" s="16"/>
    </row>
    <row r="12" spans="1:26" x14ac:dyDescent="0.2">
      <c r="A12" s="5">
        <v>1</v>
      </c>
      <c r="B12" s="36" t="s">
        <v>30</v>
      </c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8"/>
      <c r="P12" s="108"/>
      <c r="Q12" s="16"/>
      <c r="R12" s="16"/>
      <c r="X12" s="16"/>
      <c r="Y12" s="16"/>
      <c r="Z12" s="16"/>
    </row>
    <row r="13" spans="1:26" x14ac:dyDescent="0.2">
      <c r="A13" s="5">
        <v>2</v>
      </c>
      <c r="B13" s="2" t="s">
        <v>23</v>
      </c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">
        <f>SUM(C13:N13)</f>
        <v>0</v>
      </c>
      <c r="P13" s="7"/>
      <c r="Q13" s="12">
        <f>'Bill Frequency'!Q13</f>
        <v>19.059999999999999</v>
      </c>
      <c r="R13" s="4">
        <f>O13*Q13</f>
        <v>0</v>
      </c>
      <c r="V13" s="50"/>
      <c r="W13" s="4"/>
    </row>
    <row r="14" spans="1:26" x14ac:dyDescent="0.2">
      <c r="A14" s="5">
        <v>3</v>
      </c>
      <c r="B14" s="2" t="s">
        <v>24</v>
      </c>
      <c r="C14" s="71">
        <f>WNA!C38</f>
        <v>-16548</v>
      </c>
      <c r="D14" s="71">
        <f>WNA!D38</f>
        <v>13523</v>
      </c>
      <c r="E14" s="71">
        <f>WNA!E38</f>
        <v>-9563</v>
      </c>
      <c r="F14" s="71">
        <f>WNA!F38</f>
        <v>136686</v>
      </c>
      <c r="G14" s="71">
        <f>WNA!G38</f>
        <v>464986</v>
      </c>
      <c r="H14" s="71">
        <f>WNA!H38</f>
        <v>103885</v>
      </c>
      <c r="I14" s="71">
        <f>WNA!I38</f>
        <v>-27694</v>
      </c>
      <c r="J14" s="71">
        <f>WNA!J38</f>
        <v>574381</v>
      </c>
      <c r="K14" s="71">
        <f>WNA!K38</f>
        <v>378639</v>
      </c>
      <c r="L14" s="71">
        <f>WNA!L38</f>
        <v>110974</v>
      </c>
      <c r="M14" s="71">
        <f>WNA!M38</f>
        <v>100773</v>
      </c>
      <c r="N14" s="71">
        <f>WNA!N38</f>
        <v>1784</v>
      </c>
      <c r="O14" s="7"/>
      <c r="P14" s="7">
        <f>SUM(C14:N14)</f>
        <v>1831826</v>
      </c>
      <c r="Q14" s="15">
        <f>'Bill Frequency'!Q14</f>
        <v>1.534</v>
      </c>
      <c r="R14" s="7">
        <f>P14*Q14</f>
        <v>2810021.0840000003</v>
      </c>
      <c r="T14" s="50"/>
      <c r="U14" s="47"/>
      <c r="V14" s="50"/>
      <c r="W14" s="4"/>
    </row>
    <row r="15" spans="1:26" x14ac:dyDescent="0.2">
      <c r="A15" s="5">
        <v>4</v>
      </c>
      <c r="B15" s="2" t="s">
        <v>25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">
        <f>SUM(C15:N15)</f>
        <v>0</v>
      </c>
      <c r="Q15" s="15">
        <f>'Bill Frequency'!Q15</f>
        <v>0.95</v>
      </c>
      <c r="R15" s="7">
        <f>P15*Q15</f>
        <v>0</v>
      </c>
      <c r="T15" s="50"/>
      <c r="W15" s="4"/>
    </row>
    <row r="16" spans="1:26" x14ac:dyDescent="0.2">
      <c r="A16" s="5">
        <v>5</v>
      </c>
      <c r="B16" s="2" t="s">
        <v>81</v>
      </c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">
        <v>0</v>
      </c>
      <c r="Q16" s="15">
        <f>'Bill Frequency'!Q16</f>
        <v>0.74</v>
      </c>
      <c r="R16" s="7">
        <f>P16*Q16</f>
        <v>0</v>
      </c>
      <c r="T16" s="50"/>
    </row>
    <row r="17" spans="1:23" x14ac:dyDescent="0.2">
      <c r="A17" s="5">
        <v>6</v>
      </c>
      <c r="B17" s="33" t="s">
        <v>79</v>
      </c>
      <c r="C17" s="32">
        <f t="shared" ref="C17:N17" si="0">C14+C15+C16</f>
        <v>-16548</v>
      </c>
      <c r="D17" s="32">
        <f t="shared" si="0"/>
        <v>13523</v>
      </c>
      <c r="E17" s="32">
        <f t="shared" si="0"/>
        <v>-9563</v>
      </c>
      <c r="F17" s="32">
        <f t="shared" si="0"/>
        <v>136686</v>
      </c>
      <c r="G17" s="32">
        <f t="shared" si="0"/>
        <v>464986</v>
      </c>
      <c r="H17" s="32">
        <f t="shared" si="0"/>
        <v>103885</v>
      </c>
      <c r="I17" s="32">
        <f t="shared" si="0"/>
        <v>-27694</v>
      </c>
      <c r="J17" s="32">
        <f t="shared" si="0"/>
        <v>574381</v>
      </c>
      <c r="K17" s="32">
        <f t="shared" si="0"/>
        <v>378639</v>
      </c>
      <c r="L17" s="32">
        <f t="shared" si="0"/>
        <v>110974</v>
      </c>
      <c r="M17" s="32">
        <f t="shared" si="0"/>
        <v>100773</v>
      </c>
      <c r="N17" s="32">
        <f t="shared" si="0"/>
        <v>1784</v>
      </c>
      <c r="O17" s="32">
        <f>O13</f>
        <v>0</v>
      </c>
      <c r="P17" s="32">
        <f>SUM(P14:P16)</f>
        <v>1831826</v>
      </c>
      <c r="Q17" s="33"/>
      <c r="R17" s="34">
        <f>SUM(R13:R16)</f>
        <v>2810021.0840000003</v>
      </c>
      <c r="S17" s="2"/>
      <c r="T17" s="38"/>
      <c r="W17" s="60"/>
    </row>
    <row r="18" spans="1:23" x14ac:dyDescent="0.2">
      <c r="A18" s="5">
        <v>7</v>
      </c>
      <c r="B18" s="17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17"/>
      <c r="R18" s="39"/>
      <c r="S18" s="2"/>
      <c r="T18" s="17"/>
      <c r="U18" s="65"/>
    </row>
    <row r="19" spans="1:23" x14ac:dyDescent="0.2">
      <c r="A19" s="5">
        <v>8</v>
      </c>
      <c r="B19" s="36" t="s">
        <v>31</v>
      </c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71"/>
      <c r="P19" s="71"/>
      <c r="Q19" s="2"/>
      <c r="R19" s="2"/>
      <c r="S19" s="2"/>
      <c r="T19" s="17"/>
    </row>
    <row r="20" spans="1:23" x14ac:dyDescent="0.2">
      <c r="A20" s="48">
        <v>9</v>
      </c>
      <c r="B20" s="2" t="s">
        <v>23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">
        <f>SUM(C20:N20)</f>
        <v>0</v>
      </c>
      <c r="P20" s="108"/>
      <c r="Q20" s="101">
        <f>'Bill Frequency'!Q20</f>
        <v>49.74</v>
      </c>
      <c r="R20" s="4">
        <f>O20*Q20</f>
        <v>0</v>
      </c>
      <c r="S20" s="2"/>
      <c r="T20" s="17"/>
    </row>
    <row r="21" spans="1:23" x14ac:dyDescent="0.2">
      <c r="A21" s="48">
        <v>10</v>
      </c>
      <c r="B21" s="2" t="s">
        <v>24</v>
      </c>
      <c r="C21" s="71">
        <f>WNA!C65</f>
        <v>-5266.402899787402</v>
      </c>
      <c r="D21" s="71">
        <f>WNA!D65</f>
        <v>17094.445134674974</v>
      </c>
      <c r="E21" s="71">
        <f>WNA!E65</f>
        <v>-16237.832069732065</v>
      </c>
      <c r="F21" s="71">
        <f>WNA!F65</f>
        <v>5191.5500694927787</v>
      </c>
      <c r="G21" s="71">
        <f>WNA!G65</f>
        <v>211931.65962864098</v>
      </c>
      <c r="H21" s="71">
        <f>WNA!H65</f>
        <v>45849.713192298826</v>
      </c>
      <c r="I21" s="71">
        <f>WNA!I65</f>
        <v>-70124.72790736967</v>
      </c>
      <c r="J21" s="71">
        <f>WNA!J65</f>
        <v>165460.88931709388</v>
      </c>
      <c r="K21" s="71">
        <f>WNA!K65</f>
        <v>123353.91040188959</v>
      </c>
      <c r="L21" s="71">
        <f>WNA!L65</f>
        <v>65693.602765330405</v>
      </c>
      <c r="M21" s="71">
        <f>WNA!M65</f>
        <v>48897.628180783933</v>
      </c>
      <c r="N21" s="71">
        <f>WNA!N65</f>
        <v>22791.380848541834</v>
      </c>
      <c r="O21" s="7"/>
      <c r="P21" s="7">
        <f>SUM(C21:N21)</f>
        <v>614635.816661858</v>
      </c>
      <c r="Q21" s="15">
        <f>'Bill Frequency'!Q21</f>
        <v>1.534</v>
      </c>
      <c r="R21" s="7">
        <f>P21*Q21</f>
        <v>942851.34275929024</v>
      </c>
      <c r="S21" s="2"/>
      <c r="T21" s="45"/>
    </row>
    <row r="22" spans="1:23" x14ac:dyDescent="0.2">
      <c r="A22" s="5">
        <v>11</v>
      </c>
      <c r="B22" s="2" t="s">
        <v>25</v>
      </c>
      <c r="C22" s="71">
        <f>WNA!C66</f>
        <v>-937.59710021259752</v>
      </c>
      <c r="D22" s="71">
        <f>WNA!D66</f>
        <v>3271.5548653250248</v>
      </c>
      <c r="E22" s="71">
        <f>WNA!E66</f>
        <v>-2712.1679302679372</v>
      </c>
      <c r="F22" s="71">
        <f>WNA!F66</f>
        <v>1919.4499305072211</v>
      </c>
      <c r="G22" s="71">
        <f>WNA!G66</f>
        <v>4062.340371359006</v>
      </c>
      <c r="H22" s="71">
        <f>WNA!H66</f>
        <v>4708.2868077011799</v>
      </c>
      <c r="I22" s="71">
        <f>WNA!I66</f>
        <v>-11996.272092630335</v>
      </c>
      <c r="J22" s="71">
        <f>WNA!J66</f>
        <v>20111.110682906114</v>
      </c>
      <c r="K22" s="71">
        <f>WNA!K66</f>
        <v>14036.089598110409</v>
      </c>
      <c r="L22" s="71">
        <f>WNA!L66</f>
        <v>6443.3972346695837</v>
      </c>
      <c r="M22" s="71">
        <f>WNA!M66</f>
        <v>6746.3718192160686</v>
      </c>
      <c r="N22" s="71">
        <f>WNA!N66</f>
        <v>1461.6191514581653</v>
      </c>
      <c r="O22" s="7"/>
      <c r="P22" s="7">
        <f>SUM(C22:N22)</f>
        <v>47114.183338141898</v>
      </c>
      <c r="Q22" s="15">
        <f>'Bill Frequency'!Q22</f>
        <v>0.95</v>
      </c>
      <c r="R22" s="7">
        <f>P22*Q22</f>
        <v>44758.474171234804</v>
      </c>
      <c r="S22" s="2"/>
      <c r="T22" s="45"/>
      <c r="V22" s="47"/>
    </row>
    <row r="23" spans="1:23" x14ac:dyDescent="0.2">
      <c r="A23" s="5">
        <v>12</v>
      </c>
      <c r="B23" s="2" t="s">
        <v>81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"/>
      <c r="P23" s="7">
        <f>SUM(C23:N23)</f>
        <v>0</v>
      </c>
      <c r="Q23" s="15">
        <f>'Bill Frequency'!Q23</f>
        <v>0.74</v>
      </c>
      <c r="R23" s="7">
        <f>P23*Q23</f>
        <v>0</v>
      </c>
      <c r="S23" s="2"/>
      <c r="T23" s="45"/>
      <c r="V23" s="47"/>
    </row>
    <row r="24" spans="1:23" x14ac:dyDescent="0.2">
      <c r="A24" s="5">
        <v>13</v>
      </c>
      <c r="B24" s="33" t="s">
        <v>79</v>
      </c>
      <c r="C24" s="32">
        <f>SUM(C21:C23)</f>
        <v>-6204</v>
      </c>
      <c r="D24" s="32">
        <f t="shared" ref="D24:N24" si="1">SUM(D21:D23)</f>
        <v>20366</v>
      </c>
      <c r="E24" s="32">
        <f t="shared" si="1"/>
        <v>-18950.000000000004</v>
      </c>
      <c r="F24" s="32">
        <f t="shared" si="1"/>
        <v>7111</v>
      </c>
      <c r="G24" s="32">
        <f t="shared" si="1"/>
        <v>215993.99999999997</v>
      </c>
      <c r="H24" s="32">
        <f t="shared" si="1"/>
        <v>50558.000000000007</v>
      </c>
      <c r="I24" s="32">
        <f t="shared" si="1"/>
        <v>-82121</v>
      </c>
      <c r="J24" s="32">
        <f t="shared" si="1"/>
        <v>185572</v>
      </c>
      <c r="K24" s="32">
        <f t="shared" si="1"/>
        <v>137390</v>
      </c>
      <c r="L24" s="32">
        <f t="shared" si="1"/>
        <v>72136.999999999985</v>
      </c>
      <c r="M24" s="32">
        <f t="shared" si="1"/>
        <v>55644</v>
      </c>
      <c r="N24" s="32">
        <f t="shared" si="1"/>
        <v>24253</v>
      </c>
      <c r="O24" s="32">
        <f>O20</f>
        <v>0</v>
      </c>
      <c r="P24" s="32">
        <f>SUM(P21:P23)</f>
        <v>661749.99999999988</v>
      </c>
      <c r="Q24" s="33"/>
      <c r="R24" s="34">
        <f>SUM(R20:R23)</f>
        <v>987609.816930525</v>
      </c>
      <c r="S24" s="2"/>
      <c r="T24" s="38"/>
    </row>
    <row r="25" spans="1:23" x14ac:dyDescent="0.2">
      <c r="A25" s="5">
        <v>14</v>
      </c>
    </row>
    <row r="26" spans="1:23" x14ac:dyDescent="0.2">
      <c r="A26" s="5">
        <v>15</v>
      </c>
      <c r="B26" s="36" t="s">
        <v>82</v>
      </c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71"/>
      <c r="P26" s="71"/>
      <c r="Q26" s="15"/>
      <c r="R26" s="61"/>
      <c r="S26" s="2"/>
      <c r="T26" s="17"/>
      <c r="U26" s="65"/>
    </row>
    <row r="27" spans="1:23" x14ac:dyDescent="0.2">
      <c r="A27" s="5">
        <v>16</v>
      </c>
      <c r="B27" s="2" t="s">
        <v>23</v>
      </c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">
        <f>SUM(C27:N27)</f>
        <v>0</v>
      </c>
      <c r="P27" s="108"/>
      <c r="Q27" s="101">
        <f>Q50</f>
        <v>0</v>
      </c>
      <c r="R27" s="4">
        <f>O27*Q27</f>
        <v>0</v>
      </c>
      <c r="S27" s="2"/>
      <c r="T27" s="17"/>
    </row>
    <row r="28" spans="1:23" x14ac:dyDescent="0.2">
      <c r="A28" s="5">
        <v>17</v>
      </c>
      <c r="B28" s="2" t="s">
        <v>24</v>
      </c>
      <c r="C28" s="71">
        <f>WNA!C92</f>
        <v>3020.7197211409962</v>
      </c>
      <c r="D28" s="71">
        <f>WNA!D92</f>
        <v>4593.0862179653868</v>
      </c>
      <c r="E28" s="71">
        <f>WNA!E92</f>
        <v>-4139.071393434092</v>
      </c>
      <c r="F28" s="71">
        <f>WNA!F92</f>
        <v>9690.5423682328783</v>
      </c>
      <c r="G28" s="71">
        <f>WNA!G92</f>
        <v>34013.069164076129</v>
      </c>
      <c r="H28" s="71">
        <f>WNA!H92</f>
        <v>7895.3189170631467</v>
      </c>
      <c r="I28" s="71">
        <f>WNA!I92</f>
        <v>-3027.0032802698324</v>
      </c>
      <c r="J28" s="71">
        <f>WNA!J92</f>
        <v>37225.901903050719</v>
      </c>
      <c r="K28" s="71">
        <f>WNA!K92</f>
        <v>23444.389553063018</v>
      </c>
      <c r="L28" s="71">
        <f>WNA!L92</f>
        <v>5657.6101251560922</v>
      </c>
      <c r="M28" s="71">
        <f>WNA!M92</f>
        <v>6973.3190394285484</v>
      </c>
      <c r="N28" s="71">
        <f>WNA!N92</f>
        <v>2065.5742053721096</v>
      </c>
      <c r="O28" s="7"/>
      <c r="P28" s="7">
        <f>SUM(C28:N28)</f>
        <v>127413.4565408451</v>
      </c>
      <c r="Q28" s="15">
        <f>Q51</f>
        <v>0</v>
      </c>
      <c r="R28" s="7">
        <f>P28*Q28</f>
        <v>0</v>
      </c>
      <c r="S28" s="2"/>
      <c r="T28" s="17"/>
    </row>
    <row r="29" spans="1:23" x14ac:dyDescent="0.2">
      <c r="A29" s="5">
        <v>18</v>
      </c>
      <c r="B29" s="2" t="s">
        <v>25</v>
      </c>
      <c r="C29" s="71">
        <f>WNA!C93</f>
        <v>174.28027885900394</v>
      </c>
      <c r="D29" s="71">
        <f>WNA!D93</f>
        <v>312.9137820346138</v>
      </c>
      <c r="E29" s="71">
        <f>WNA!E93</f>
        <v>-446.92860656590767</v>
      </c>
      <c r="F29" s="71">
        <f>WNA!F93</f>
        <v>1146.4576317671206</v>
      </c>
      <c r="G29" s="71">
        <f>WNA!G93</f>
        <v>3916.9308359238712</v>
      </c>
      <c r="H29" s="71">
        <f>WNA!H93</f>
        <v>1653.6810829368535</v>
      </c>
      <c r="I29" s="71">
        <f>WNA!I93</f>
        <v>-897.99671973016734</v>
      </c>
      <c r="J29" s="71">
        <f>WNA!J93</f>
        <v>7538.0980969492766</v>
      </c>
      <c r="K29" s="71">
        <f>WNA!K93</f>
        <v>4080.6104469369825</v>
      </c>
      <c r="L29" s="71">
        <f>WNA!L93</f>
        <v>1031.3898748439085</v>
      </c>
      <c r="M29" s="71">
        <f>WNA!M93</f>
        <v>492.6809605714526</v>
      </c>
      <c r="N29" s="71">
        <f>WNA!N93</f>
        <v>299.42579462789035</v>
      </c>
      <c r="O29" s="7"/>
      <c r="P29" s="7">
        <f>SUM(C29:N29)</f>
        <v>19301.543459154898</v>
      </c>
      <c r="Q29" s="15">
        <f>Q52</f>
        <v>0</v>
      </c>
      <c r="R29" s="7">
        <f>P29*Q29</f>
        <v>0</v>
      </c>
      <c r="T29" s="17"/>
    </row>
    <row r="30" spans="1:23" x14ac:dyDescent="0.2">
      <c r="A30" s="5">
        <v>19</v>
      </c>
      <c r="B30" s="2" t="s">
        <v>81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"/>
      <c r="P30" s="7">
        <f>SUM(C30:N30)</f>
        <v>0</v>
      </c>
      <c r="Q30" s="15">
        <f>Q53</f>
        <v>0</v>
      </c>
      <c r="R30" s="7">
        <f>P30*Q30</f>
        <v>0</v>
      </c>
      <c r="T30" s="27"/>
    </row>
    <row r="31" spans="1:23" x14ac:dyDescent="0.2">
      <c r="A31" s="5">
        <v>20</v>
      </c>
      <c r="B31" s="33" t="s">
        <v>79</v>
      </c>
      <c r="C31" s="32">
        <f>SUM(C28:C30)</f>
        <v>3195</v>
      </c>
      <c r="D31" s="32">
        <f t="shared" ref="D31:N31" si="2">SUM(D28:D30)</f>
        <v>4906.0000000000009</v>
      </c>
      <c r="E31" s="32">
        <f t="shared" si="2"/>
        <v>-4586</v>
      </c>
      <c r="F31" s="32">
        <f t="shared" si="2"/>
        <v>10836.999999999998</v>
      </c>
      <c r="G31" s="32">
        <f t="shared" si="2"/>
        <v>37930</v>
      </c>
      <c r="H31" s="32">
        <f t="shared" si="2"/>
        <v>9549</v>
      </c>
      <c r="I31" s="32">
        <f t="shared" si="2"/>
        <v>-3925</v>
      </c>
      <c r="J31" s="32">
        <f t="shared" si="2"/>
        <v>44763.999999999993</v>
      </c>
      <c r="K31" s="32">
        <f t="shared" si="2"/>
        <v>27525</v>
      </c>
      <c r="L31" s="32">
        <f t="shared" si="2"/>
        <v>6689.0000000000009</v>
      </c>
      <c r="M31" s="32">
        <f t="shared" si="2"/>
        <v>7466.0000000000009</v>
      </c>
      <c r="N31" s="32">
        <f t="shared" si="2"/>
        <v>2365</v>
      </c>
      <c r="O31" s="32">
        <f>O27</f>
        <v>0</v>
      </c>
      <c r="P31" s="32">
        <f>SUM(P28:P30)</f>
        <v>146715</v>
      </c>
      <c r="Q31" s="33"/>
      <c r="R31" s="34">
        <f>SUM(R27:R30)</f>
        <v>0</v>
      </c>
      <c r="S31" s="2"/>
      <c r="T31" s="27"/>
      <c r="V31" s="47"/>
    </row>
    <row r="32" spans="1:23" x14ac:dyDescent="0.2">
      <c r="A32" s="5"/>
      <c r="S32" s="2"/>
      <c r="T32" s="27"/>
      <c r="V32" s="47"/>
    </row>
    <row r="33" spans="1:22" x14ac:dyDescent="0.2">
      <c r="A33" s="5"/>
      <c r="I33" s="17"/>
      <c r="S33" s="2"/>
      <c r="T33" s="27"/>
      <c r="V33" s="47"/>
    </row>
    <row r="34" spans="1:22" x14ac:dyDescent="0.2">
      <c r="A34" s="205"/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"/>
      <c r="T34" s="27"/>
      <c r="U34" s="17"/>
      <c r="V34" s="47"/>
    </row>
    <row r="35" spans="1:22" x14ac:dyDescent="0.2">
      <c r="A35" s="205"/>
      <c r="B35" s="205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"/>
      <c r="T35" s="27"/>
      <c r="U35" s="17"/>
      <c r="V35" s="47"/>
    </row>
    <row r="36" spans="1:22" x14ac:dyDescent="0.2">
      <c r="A36" s="205"/>
      <c r="B36" s="205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17"/>
      <c r="T36" s="38"/>
      <c r="U36" s="17"/>
      <c r="V36" s="47"/>
    </row>
    <row r="37" spans="1:22" x14ac:dyDescent="0.2">
      <c r="A37" s="205"/>
      <c r="B37" s="205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T37" s="27"/>
    </row>
    <row r="38" spans="1:22" x14ac:dyDescent="0.2">
      <c r="A38" s="205"/>
      <c r="B38" s="205"/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T38" s="27"/>
    </row>
    <row r="39" spans="1:22" x14ac:dyDescent="0.2">
      <c r="A39" s="205"/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</row>
    <row r="40" spans="1:22" x14ac:dyDescent="0.2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</row>
    <row r="41" spans="1:22" x14ac:dyDescent="0.2">
      <c r="A41" s="205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</row>
    <row r="42" spans="1:22" x14ac:dyDescent="0.2">
      <c r="A42" s="205"/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</row>
    <row r="43" spans="1:22" x14ac:dyDescent="0.2">
      <c r="A43" s="205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</row>
    <row r="44" spans="1:22" x14ac:dyDescent="0.2">
      <c r="A44" s="205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</row>
    <row r="45" spans="1:22" x14ac:dyDescent="0.2">
      <c r="A45" s="205"/>
      <c r="B45" s="205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</row>
    <row r="46" spans="1:22" x14ac:dyDescent="0.2">
      <c r="A46" s="205"/>
      <c r="B46" s="205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</row>
    <row r="47" spans="1:22" x14ac:dyDescent="0.2">
      <c r="A47" s="205"/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</row>
    <row r="48" spans="1:22" x14ac:dyDescent="0.2">
      <c r="A48" s="205"/>
      <c r="B48" s="205"/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</row>
    <row r="49" spans="1:26" x14ac:dyDescent="0.2">
      <c r="A49" s="205"/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</row>
    <row r="50" spans="1:26" x14ac:dyDescent="0.2">
      <c r="A50" s="205"/>
      <c r="B50" s="205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</row>
    <row r="51" spans="1:26" x14ac:dyDescent="0.2">
      <c r="A51" s="205"/>
      <c r="B51" s="205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</row>
    <row r="52" spans="1:26" x14ac:dyDescent="0.2">
      <c r="A52" s="205"/>
      <c r="B52" s="205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"/>
      <c r="T52" s="17"/>
    </row>
    <row r="53" spans="1:26" x14ac:dyDescent="0.2">
      <c r="A53" s="205"/>
      <c r="B53" s="205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</row>
    <row r="54" spans="1:26" x14ac:dyDescent="0.2">
      <c r="A54" s="205"/>
      <c r="B54" s="205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</row>
    <row r="55" spans="1:26" x14ac:dyDescent="0.2">
      <c r="A55" s="205"/>
      <c r="B55" s="205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</row>
    <row r="56" spans="1:26" x14ac:dyDescent="0.2">
      <c r="A56" s="205"/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</row>
    <row r="57" spans="1:26" x14ac:dyDescent="0.2">
      <c r="A57" s="205"/>
      <c r="B57" s="205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</row>
    <row r="58" spans="1:26" x14ac:dyDescent="0.2">
      <c r="A58" s="205"/>
      <c r="B58" s="205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Y58" s="24"/>
      <c r="Z58" s="23"/>
    </row>
    <row r="59" spans="1:26" x14ac:dyDescent="0.2">
      <c r="A59" s="205"/>
      <c r="B59" s="205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Y59" s="24"/>
      <c r="Z59" s="23"/>
    </row>
    <row r="60" spans="1:26" x14ac:dyDescent="0.2">
      <c r="A60" s="205"/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Y60" s="24"/>
      <c r="Z60" s="23"/>
    </row>
    <row r="61" spans="1:26" x14ac:dyDescent="0.2">
      <c r="A61" s="205"/>
      <c r="B61" s="205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Y61" s="24"/>
      <c r="Z61" s="23"/>
    </row>
    <row r="62" spans="1:26" x14ac:dyDescent="0.2">
      <c r="A62" s="205"/>
      <c r="B62" s="205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Y62" s="24"/>
      <c r="Z62" s="23"/>
    </row>
    <row r="63" spans="1:26" x14ac:dyDescent="0.2">
      <c r="A63" s="205"/>
      <c r="B63" s="205"/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Y63" s="24"/>
      <c r="Z63" s="23"/>
    </row>
    <row r="64" spans="1:26" x14ac:dyDescent="0.2">
      <c r="A64" s="205"/>
      <c r="B64" s="205"/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Y64" s="24"/>
      <c r="Z64" s="23"/>
    </row>
    <row r="65" spans="1:26" x14ac:dyDescent="0.2">
      <c r="A65" s="205"/>
      <c r="B65" s="205"/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Y65" s="24"/>
      <c r="Z65" s="23"/>
    </row>
    <row r="66" spans="1:26" x14ac:dyDescent="0.2">
      <c r="A66" s="205"/>
      <c r="B66" s="205"/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Y66" s="24"/>
      <c r="Z66" s="23"/>
    </row>
    <row r="67" spans="1:26" x14ac:dyDescent="0.2">
      <c r="A67" s="205"/>
      <c r="B67" s="205"/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Y67" s="24"/>
      <c r="Z67" s="23"/>
    </row>
    <row r="68" spans="1:26" x14ac:dyDescent="0.2">
      <c r="A68" s="205"/>
      <c r="B68" s="205"/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Y68" s="24"/>
      <c r="Z68" s="23"/>
    </row>
    <row r="69" spans="1:26" x14ac:dyDescent="0.2">
      <c r="A69" s="205"/>
      <c r="B69" s="205"/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Y69" s="24"/>
      <c r="Z69" s="23"/>
    </row>
    <row r="70" spans="1:26" x14ac:dyDescent="0.2">
      <c r="A70" s="205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</row>
    <row r="71" spans="1:26" x14ac:dyDescent="0.2">
      <c r="A71" s="205"/>
      <c r="B71" s="205"/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</row>
    <row r="72" spans="1:26" x14ac:dyDescent="0.2">
      <c r="A72" s="205"/>
      <c r="B72" s="205"/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</row>
    <row r="73" spans="1:26" x14ac:dyDescent="0.2">
      <c r="A73" s="205"/>
      <c r="B73" s="205"/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</row>
    <row r="74" spans="1:26" x14ac:dyDescent="0.2">
      <c r="A74" s="205"/>
      <c r="B74" s="205"/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</row>
    <row r="75" spans="1:26" x14ac:dyDescent="0.2">
      <c r="A75" s="205"/>
      <c r="B75" s="205"/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</row>
    <row r="76" spans="1:26" x14ac:dyDescent="0.2">
      <c r="A76" s="205"/>
      <c r="B76" s="205"/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</row>
    <row r="77" spans="1:26" x14ac:dyDescent="0.2">
      <c r="A77" s="205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</row>
    <row r="78" spans="1:26" x14ac:dyDescent="0.2">
      <c r="A78" s="205"/>
      <c r="B78" s="205"/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</row>
    <row r="79" spans="1:26" x14ac:dyDescent="0.2">
      <c r="A79" s="205"/>
      <c r="B79" s="205"/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T79" s="60"/>
      <c r="U79" s="60"/>
    </row>
    <row r="80" spans="1:26" x14ac:dyDescent="0.2">
      <c r="A80" s="205"/>
      <c r="B80" s="205"/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</row>
    <row r="81" spans="1:18" x14ac:dyDescent="0.2">
      <c r="A81" s="205"/>
      <c r="B81" s="205"/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</row>
    <row r="82" spans="1:18" x14ac:dyDescent="0.2">
      <c r="A82" s="205"/>
      <c r="B82" s="205"/>
      <c r="C82" s="205"/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</row>
    <row r="83" spans="1:18" x14ac:dyDescent="0.2">
      <c r="A83" s="205"/>
      <c r="B83" s="205"/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</row>
    <row r="84" spans="1:18" x14ac:dyDescent="0.2">
      <c r="A84" s="205"/>
      <c r="B84" s="205"/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</row>
    <row r="85" spans="1:18" x14ac:dyDescent="0.2">
      <c r="A85" s="205"/>
      <c r="B85" s="205"/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</row>
    <row r="86" spans="1:18" x14ac:dyDescent="0.2">
      <c r="A86" s="205"/>
      <c r="B86" s="205"/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</row>
    <row r="87" spans="1:18" x14ac:dyDescent="0.2">
      <c r="A87" s="205"/>
      <c r="B87" s="205"/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</row>
    <row r="88" spans="1:18" x14ac:dyDescent="0.2">
      <c r="A88" s="205"/>
      <c r="B88" s="205"/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</row>
    <row r="89" spans="1:18" x14ac:dyDescent="0.2">
      <c r="A89" s="205"/>
      <c r="B89" s="205"/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</row>
    <row r="90" spans="1:18" x14ac:dyDescent="0.2">
      <c r="A90" s="205"/>
      <c r="B90" s="205"/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</row>
    <row r="91" spans="1:18" x14ac:dyDescent="0.2">
      <c r="A91" s="205"/>
      <c r="B91" s="205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</row>
    <row r="92" spans="1:18" x14ac:dyDescent="0.2">
      <c r="A92" s="205"/>
      <c r="B92" s="205"/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</row>
    <row r="93" spans="1:18" x14ac:dyDescent="0.2">
      <c r="A93" s="205"/>
      <c r="B93" s="205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</row>
    <row r="94" spans="1:18" x14ac:dyDescent="0.2">
      <c r="A94" s="205"/>
      <c r="B94" s="205"/>
      <c r="C94" s="205"/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</row>
    <row r="95" spans="1:18" x14ac:dyDescent="0.2">
      <c r="A95" s="205"/>
      <c r="B95" s="205"/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</row>
    <row r="96" spans="1:18" x14ac:dyDescent="0.2">
      <c r="A96" s="205"/>
      <c r="B96" s="205"/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</row>
    <row r="97" spans="1:18" x14ac:dyDescent="0.2">
      <c r="A97" s="205"/>
      <c r="B97" s="205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</row>
    <row r="98" spans="1:18" x14ac:dyDescent="0.2">
      <c r="A98" s="205"/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</row>
    <row r="99" spans="1:18" x14ac:dyDescent="0.2">
      <c r="A99" s="205"/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</row>
    <row r="100" spans="1:18" x14ac:dyDescent="0.2">
      <c r="A100" s="205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</row>
    <row r="101" spans="1:18" x14ac:dyDescent="0.2">
      <c r="A101" s="205"/>
      <c r="B101" s="205"/>
      <c r="C101" s="205"/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</row>
    <row r="102" spans="1:18" x14ac:dyDescent="0.2">
      <c r="A102" s="205"/>
      <c r="B102" s="205"/>
      <c r="C102" s="205"/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</row>
    <row r="103" spans="1:18" x14ac:dyDescent="0.2">
      <c r="A103" s="205"/>
      <c r="B103" s="205"/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</row>
    <row r="104" spans="1:18" x14ac:dyDescent="0.2">
      <c r="A104" s="205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</row>
    <row r="105" spans="1:18" x14ac:dyDescent="0.2">
      <c r="A105" s="5"/>
    </row>
    <row r="106" spans="1:18" x14ac:dyDescent="0.2">
      <c r="A106" s="5"/>
    </row>
    <row r="107" spans="1:18" x14ac:dyDescent="0.2">
      <c r="A107" s="5"/>
    </row>
    <row r="108" spans="1:18" x14ac:dyDescent="0.2">
      <c r="A108" s="5"/>
    </row>
    <row r="109" spans="1:18" x14ac:dyDescent="0.2">
      <c r="A109" s="5"/>
    </row>
    <row r="110" spans="1:18" x14ac:dyDescent="0.2">
      <c r="A110" s="5"/>
    </row>
    <row r="111" spans="1:18" x14ac:dyDescent="0.2">
      <c r="A111" s="5"/>
    </row>
    <row r="112" spans="1:18" x14ac:dyDescent="0.2">
      <c r="A112" s="16"/>
    </row>
    <row r="113" spans="1:26" x14ac:dyDescent="0.2">
      <c r="A113" s="16"/>
    </row>
    <row r="114" spans="1:26" x14ac:dyDescent="0.2">
      <c r="A114" s="16"/>
    </row>
    <row r="115" spans="1:26" x14ac:dyDescent="0.2">
      <c r="A115" s="16"/>
    </row>
    <row r="116" spans="1:26" x14ac:dyDescent="0.2">
      <c r="A116" s="16"/>
    </row>
    <row r="117" spans="1:26" x14ac:dyDescent="0.2">
      <c r="A117" s="16"/>
    </row>
    <row r="118" spans="1:26" x14ac:dyDescent="0.2">
      <c r="A118" s="16"/>
    </row>
    <row r="119" spans="1:26" x14ac:dyDescent="0.2">
      <c r="A119" s="16"/>
    </row>
    <row r="120" spans="1:26" x14ac:dyDescent="0.2">
      <c r="A120" s="16"/>
    </row>
    <row r="121" spans="1:26" x14ac:dyDescent="0.2">
      <c r="A121" s="16"/>
    </row>
    <row r="122" spans="1:26" x14ac:dyDescent="0.2">
      <c r="A122" s="17"/>
    </row>
    <row r="123" spans="1:26" x14ac:dyDescent="0.2">
      <c r="A123" s="17"/>
    </row>
    <row r="124" spans="1:26" x14ac:dyDescent="0.2">
      <c r="A124" s="17"/>
    </row>
    <row r="125" spans="1:26" x14ac:dyDescent="0.2">
      <c r="A125" s="17"/>
    </row>
    <row r="126" spans="1:26" x14ac:dyDescent="0.2">
      <c r="A126" s="17"/>
    </row>
    <row r="127" spans="1:26" x14ac:dyDescent="0.2">
      <c r="A127" s="17"/>
      <c r="B127" s="36" t="s">
        <v>3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2"/>
      <c r="P127" s="2"/>
      <c r="Q127" s="2"/>
      <c r="R127" s="2"/>
      <c r="S127" s="2"/>
      <c r="T127" s="17"/>
      <c r="Y127" s="24"/>
      <c r="Z127" s="23"/>
    </row>
    <row r="128" spans="1:26" x14ac:dyDescent="0.2">
      <c r="A128" s="17"/>
      <c r="B128" s="2" t="s">
        <v>20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171">
        <v>1919</v>
      </c>
      <c r="P128" s="2"/>
      <c r="Q128" s="166">
        <v>220</v>
      </c>
      <c r="R128" s="184">
        <v>422180</v>
      </c>
      <c r="S128" s="2"/>
      <c r="T128" s="38"/>
      <c r="Y128" s="24"/>
      <c r="Z128" s="23"/>
    </row>
    <row r="129" spans="1:26" x14ac:dyDescent="0.2">
      <c r="A129" s="17"/>
      <c r="B129" s="3" t="s">
        <v>1</v>
      </c>
      <c r="O129" s="171">
        <v>1859</v>
      </c>
      <c r="P129" s="2"/>
      <c r="Q129" s="166">
        <v>50</v>
      </c>
      <c r="R129" s="171">
        <v>92950</v>
      </c>
      <c r="S129" s="2"/>
      <c r="T129" s="38"/>
      <c r="Y129" s="24"/>
      <c r="Z129" s="23"/>
    </row>
    <row r="130" spans="1:26" x14ac:dyDescent="0.2">
      <c r="A130" s="17"/>
      <c r="B130" s="3" t="s">
        <v>62</v>
      </c>
      <c r="O130" s="168">
        <v>1318</v>
      </c>
      <c r="Q130" s="165" t="s">
        <v>61</v>
      </c>
      <c r="R130" s="167">
        <v>144805</v>
      </c>
      <c r="S130" s="2"/>
      <c r="T130" s="38"/>
      <c r="Y130" s="24"/>
      <c r="Z130" s="23"/>
    </row>
    <row r="131" spans="1:26" x14ac:dyDescent="0.2">
      <c r="A131" s="18"/>
      <c r="B131" s="3" t="s">
        <v>2</v>
      </c>
      <c r="O131" s="7"/>
      <c r="P131" s="175">
        <v>269197.94</v>
      </c>
      <c r="Q131" s="180">
        <v>0.1</v>
      </c>
      <c r="R131" s="171">
        <v>26919.794000000002</v>
      </c>
      <c r="S131" s="2"/>
      <c r="T131" s="53"/>
      <c r="U131" s="47"/>
      <c r="Y131" s="24"/>
      <c r="Z131" s="23"/>
    </row>
    <row r="132" spans="1:26" x14ac:dyDescent="0.2">
      <c r="A132" s="18"/>
      <c r="B132" s="2" t="s">
        <v>35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P132" s="171">
        <v>5468</v>
      </c>
      <c r="Q132" s="174">
        <v>1.19</v>
      </c>
      <c r="R132" s="171">
        <v>6507</v>
      </c>
      <c r="S132" s="2"/>
      <c r="T132" s="177">
        <v>2973</v>
      </c>
      <c r="U132" s="24"/>
      <c r="V132" s="17"/>
      <c r="W132" s="17"/>
      <c r="X132" s="23"/>
      <c r="Y132" s="24"/>
      <c r="Z132" s="23"/>
    </row>
    <row r="133" spans="1:26" x14ac:dyDescent="0.2">
      <c r="A133" s="18"/>
      <c r="B133" s="2" t="s">
        <v>36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P133" s="171">
        <v>4118</v>
      </c>
      <c r="Q133" s="174">
        <v>0.65900000000000003</v>
      </c>
      <c r="R133" s="171">
        <v>2714</v>
      </c>
      <c r="S133" s="2"/>
      <c r="T133" s="177">
        <v>3963</v>
      </c>
      <c r="U133" s="24"/>
      <c r="V133" s="17"/>
      <c r="W133" s="17"/>
      <c r="X133" s="23"/>
      <c r="Y133" s="24"/>
      <c r="Z133" s="23"/>
    </row>
    <row r="134" spans="1:26" x14ac:dyDescent="0.2">
      <c r="A134" s="18"/>
      <c r="B134" s="2" t="s">
        <v>37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P134" s="171">
        <v>0</v>
      </c>
      <c r="Q134" s="174">
        <v>0.43</v>
      </c>
      <c r="R134" s="171">
        <v>0</v>
      </c>
      <c r="S134" s="2"/>
      <c r="T134" s="177">
        <v>0</v>
      </c>
      <c r="U134" s="24"/>
      <c r="V134" s="17"/>
      <c r="W134" s="17"/>
      <c r="X134" s="23"/>
      <c r="Y134" s="24"/>
      <c r="Z134" s="23"/>
    </row>
    <row r="135" spans="1:26" x14ac:dyDescent="0.2">
      <c r="A135" s="18"/>
      <c r="B135" s="2" t="s">
        <v>32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7"/>
      <c r="P135" s="171">
        <v>9204</v>
      </c>
      <c r="Q135" s="174">
        <v>1.19</v>
      </c>
      <c r="R135" s="171">
        <v>10953</v>
      </c>
      <c r="S135" s="2"/>
      <c r="T135" s="178">
        <v>7961</v>
      </c>
      <c r="U135" s="23"/>
      <c r="V135" s="38"/>
      <c r="W135" s="17"/>
      <c r="X135" s="23"/>
      <c r="Y135" s="24"/>
      <c r="Z135" s="23"/>
    </row>
    <row r="136" spans="1:26" x14ac:dyDescent="0.2">
      <c r="A136" s="18"/>
      <c r="B136" s="2" t="s">
        <v>33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7"/>
      <c r="P136" s="171">
        <v>75254</v>
      </c>
      <c r="Q136" s="174">
        <v>0.65900000000000003</v>
      </c>
      <c r="R136" s="171">
        <v>49592</v>
      </c>
      <c r="S136" s="2"/>
      <c r="T136" s="178">
        <v>43904</v>
      </c>
      <c r="U136" s="23"/>
      <c r="V136" s="38"/>
      <c r="W136" s="17"/>
      <c r="X136" s="23"/>
      <c r="Y136" s="24"/>
      <c r="Z136" s="23"/>
    </row>
    <row r="137" spans="1:26" x14ac:dyDescent="0.2">
      <c r="A137" s="18"/>
      <c r="B137" s="2" t="s">
        <v>34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7"/>
      <c r="P137" s="171">
        <v>0</v>
      </c>
      <c r="Q137" s="174">
        <v>0.43</v>
      </c>
      <c r="R137" s="171">
        <v>0</v>
      </c>
      <c r="S137" s="2"/>
      <c r="T137" s="178">
        <v>31193</v>
      </c>
      <c r="U137" s="24"/>
      <c r="V137" s="52"/>
      <c r="W137" s="17"/>
      <c r="X137" s="23"/>
      <c r="Y137" s="24"/>
      <c r="Z137" s="23"/>
    </row>
    <row r="138" spans="1:26" x14ac:dyDescent="0.2">
      <c r="A138" s="18"/>
      <c r="B138" s="2" t="s">
        <v>38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7"/>
      <c r="P138" s="171">
        <v>0</v>
      </c>
      <c r="Q138" s="174">
        <v>1.19</v>
      </c>
      <c r="R138" s="171">
        <v>0</v>
      </c>
      <c r="S138" s="2"/>
      <c r="T138" s="178">
        <v>0</v>
      </c>
      <c r="U138" s="24"/>
      <c r="V138" s="17"/>
      <c r="W138" s="17"/>
      <c r="X138" s="23"/>
      <c r="Y138" s="24"/>
      <c r="Z138" s="23"/>
    </row>
    <row r="139" spans="1:26" x14ac:dyDescent="0.2">
      <c r="A139" s="18"/>
      <c r="B139" s="2" t="s">
        <v>39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7"/>
      <c r="P139" s="171">
        <v>0</v>
      </c>
      <c r="Q139" s="174">
        <v>0.65900000000000003</v>
      </c>
      <c r="R139" s="171">
        <v>0</v>
      </c>
      <c r="S139" s="2"/>
      <c r="T139" s="178">
        <v>0</v>
      </c>
      <c r="U139" s="24"/>
      <c r="V139" s="17"/>
      <c r="W139" s="17"/>
      <c r="X139" s="23"/>
      <c r="Y139" s="24"/>
      <c r="Z139" s="23"/>
    </row>
    <row r="140" spans="1:26" x14ac:dyDescent="0.2">
      <c r="A140" s="18"/>
      <c r="B140" s="2" t="s">
        <v>40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7"/>
      <c r="P140" s="171">
        <v>0</v>
      </c>
      <c r="Q140" s="174">
        <v>0.43</v>
      </c>
      <c r="R140" s="171">
        <v>0</v>
      </c>
      <c r="S140" s="2"/>
      <c r="T140" s="178">
        <v>0</v>
      </c>
      <c r="U140" s="24"/>
      <c r="V140" s="17"/>
      <c r="W140" s="17"/>
      <c r="X140" s="23"/>
      <c r="Y140" s="24"/>
      <c r="Z140" s="23"/>
    </row>
    <row r="141" spans="1:26" x14ac:dyDescent="0.2">
      <c r="A141" s="18"/>
      <c r="B141" s="2" t="s">
        <v>58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P141" s="171">
        <v>329514</v>
      </c>
      <c r="Q141" s="174">
        <v>1.19</v>
      </c>
      <c r="R141" s="171">
        <v>392122</v>
      </c>
      <c r="S141" s="2"/>
      <c r="T141" s="177">
        <v>136328</v>
      </c>
      <c r="U141" s="24"/>
      <c r="V141" s="17"/>
      <c r="W141" s="17"/>
      <c r="X141" s="23"/>
      <c r="Y141" s="24"/>
      <c r="Z141" s="23"/>
    </row>
    <row r="142" spans="1:26" x14ac:dyDescent="0.2">
      <c r="A142" s="18"/>
      <c r="B142" s="2" t="s">
        <v>59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P142" s="171">
        <v>3275044</v>
      </c>
      <c r="Q142" s="174">
        <v>0.65900000000000003</v>
      </c>
      <c r="R142" s="171">
        <v>2158254</v>
      </c>
      <c r="S142" s="2"/>
      <c r="T142" s="177">
        <v>1673184</v>
      </c>
      <c r="U142" s="24"/>
      <c r="V142" s="17"/>
      <c r="W142" s="17"/>
      <c r="X142" s="23"/>
      <c r="Y142" s="24"/>
      <c r="Z142" s="23"/>
    </row>
    <row r="143" spans="1:26" x14ac:dyDescent="0.2">
      <c r="A143" s="18"/>
      <c r="B143" s="2" t="s">
        <v>60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P143" s="171">
        <v>39406</v>
      </c>
      <c r="Q143" s="174">
        <v>0.43</v>
      </c>
      <c r="R143" s="171">
        <v>16945</v>
      </c>
      <c r="S143" s="2"/>
      <c r="T143" s="177">
        <v>39406</v>
      </c>
      <c r="Y143" s="24"/>
      <c r="Z143" s="23"/>
    </row>
    <row r="144" spans="1:26" x14ac:dyDescent="0.2">
      <c r="A144" s="18"/>
      <c r="B144" s="2" t="s">
        <v>45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P144" s="171">
        <v>217118</v>
      </c>
      <c r="Q144" s="174">
        <v>0.53</v>
      </c>
      <c r="R144" s="171">
        <v>115073</v>
      </c>
      <c r="S144" s="2"/>
      <c r="T144" s="177">
        <v>102664</v>
      </c>
      <c r="Y144" s="24"/>
      <c r="Z144" s="23"/>
    </row>
    <row r="145" spans="1:26" x14ac:dyDescent="0.2">
      <c r="A145" s="18"/>
      <c r="B145" s="3" t="s">
        <v>44</v>
      </c>
      <c r="P145" s="176">
        <v>60362</v>
      </c>
      <c r="Q145" s="181">
        <v>0.35909999999999997</v>
      </c>
      <c r="R145" s="171">
        <v>21676</v>
      </c>
      <c r="S145" s="2"/>
      <c r="T145" s="177">
        <v>40054</v>
      </c>
      <c r="Y145" s="24"/>
      <c r="Z145" s="23"/>
    </row>
    <row r="146" spans="1:26" x14ac:dyDescent="0.2">
      <c r="A146" s="18"/>
      <c r="B146" s="2" t="s">
        <v>46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P146" s="170">
        <v>163165</v>
      </c>
      <c r="Q146" s="174">
        <v>0.53</v>
      </c>
      <c r="R146" s="171">
        <v>86477</v>
      </c>
      <c r="S146" s="2"/>
      <c r="T146" s="178">
        <v>214048</v>
      </c>
      <c r="U146" s="23"/>
      <c r="V146" s="17"/>
      <c r="W146" s="52"/>
      <c r="X146" s="23"/>
      <c r="Y146" s="24"/>
      <c r="Z146" s="23"/>
    </row>
    <row r="147" spans="1:26" x14ac:dyDescent="0.2">
      <c r="A147" s="18"/>
      <c r="B147" s="3" t="s">
        <v>47</v>
      </c>
      <c r="P147" s="170">
        <v>0</v>
      </c>
      <c r="Q147" s="181">
        <v>0.35909999999999997</v>
      </c>
      <c r="R147" s="171">
        <v>0</v>
      </c>
      <c r="S147" s="2"/>
      <c r="T147" s="178">
        <v>79</v>
      </c>
      <c r="U147" s="49"/>
      <c r="V147" s="17"/>
      <c r="W147" s="52"/>
      <c r="X147" s="23"/>
      <c r="Y147" s="24"/>
      <c r="Z147" s="23"/>
    </row>
    <row r="148" spans="1:26" x14ac:dyDescent="0.2">
      <c r="A148" s="18"/>
      <c r="B148" s="2" t="s">
        <v>48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7"/>
      <c r="P148" s="171">
        <v>68647</v>
      </c>
      <c r="Q148" s="174">
        <v>0.53</v>
      </c>
      <c r="R148" s="171">
        <v>36383</v>
      </c>
      <c r="S148" s="2"/>
      <c r="T148" s="178">
        <v>39857</v>
      </c>
      <c r="U148" s="24"/>
      <c r="V148" s="17"/>
      <c r="W148" s="17"/>
      <c r="X148" s="23"/>
      <c r="Y148" s="24"/>
      <c r="Z148" s="23"/>
    </row>
    <row r="149" spans="1:26" x14ac:dyDescent="0.2">
      <c r="A149" s="18"/>
      <c r="B149" s="2" t="s">
        <v>49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7"/>
      <c r="P149" s="171">
        <v>0</v>
      </c>
      <c r="Q149" s="181">
        <v>0.35909999999999997</v>
      </c>
      <c r="R149" s="171">
        <v>0</v>
      </c>
      <c r="S149" s="2"/>
      <c r="T149" s="178">
        <v>0</v>
      </c>
      <c r="U149" s="24"/>
      <c r="V149" s="17"/>
      <c r="W149" s="17"/>
      <c r="X149" s="23"/>
      <c r="Y149" s="24"/>
      <c r="Z149" s="23"/>
    </row>
    <row r="150" spans="1:26" x14ac:dyDescent="0.2">
      <c r="A150" s="18"/>
      <c r="B150" s="2" t="s">
        <v>55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P150" s="171">
        <v>2895489</v>
      </c>
      <c r="Q150" s="174">
        <v>0.53</v>
      </c>
      <c r="R150" s="171">
        <v>1534609</v>
      </c>
      <c r="S150" s="2"/>
      <c r="T150" s="178">
        <v>1139246</v>
      </c>
      <c r="U150" s="24"/>
      <c r="V150" s="17"/>
      <c r="W150" s="17"/>
      <c r="X150" s="23"/>
      <c r="Y150" s="24"/>
      <c r="Z150" s="23"/>
    </row>
    <row r="151" spans="1:26" x14ac:dyDescent="0.2">
      <c r="A151" s="18"/>
      <c r="B151" s="2" t="s">
        <v>56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P151" s="171">
        <v>50541</v>
      </c>
      <c r="Q151" s="181">
        <v>0.35909999999999997</v>
      </c>
      <c r="R151" s="171">
        <v>18149</v>
      </c>
      <c r="S151" s="2"/>
      <c r="T151" s="178">
        <v>29348</v>
      </c>
      <c r="U151" s="23"/>
      <c r="V151" s="17"/>
      <c r="W151" s="17"/>
      <c r="X151" s="23"/>
      <c r="Y151" s="24"/>
      <c r="Z151" s="23"/>
    </row>
    <row r="152" spans="1:26" x14ac:dyDescent="0.2">
      <c r="A152" s="18"/>
      <c r="B152" s="2" t="s">
        <v>57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Q152" s="174">
        <v>1.19</v>
      </c>
      <c r="R152" s="171">
        <v>0</v>
      </c>
      <c r="S152" s="2"/>
      <c r="T152" s="38"/>
      <c r="U152" s="179" t="s">
        <v>77</v>
      </c>
      <c r="V152" s="17"/>
      <c r="W152" s="17"/>
      <c r="X152" s="23"/>
      <c r="Y152" s="24"/>
      <c r="Z152" s="23"/>
    </row>
    <row r="153" spans="1:26" x14ac:dyDescent="0.2">
      <c r="A153" s="18"/>
      <c r="B153" s="2" t="s">
        <v>51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43"/>
      <c r="Q153" s="174">
        <v>0.65900000000000003</v>
      </c>
      <c r="R153" s="171">
        <v>0</v>
      </c>
      <c r="S153" s="41"/>
      <c r="T153" s="38"/>
      <c r="U153" s="24"/>
      <c r="V153" s="17"/>
      <c r="W153" s="17"/>
      <c r="X153" s="23"/>
      <c r="Y153" s="24"/>
      <c r="Z153" s="23"/>
    </row>
    <row r="154" spans="1:26" x14ac:dyDescent="0.2">
      <c r="A154" s="18"/>
      <c r="B154" s="2" t="s">
        <v>52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P154" s="43"/>
      <c r="Q154" s="174">
        <v>0.43</v>
      </c>
      <c r="R154" s="171">
        <v>0</v>
      </c>
      <c r="S154" s="2"/>
      <c r="T154" s="53"/>
      <c r="U154" s="24"/>
      <c r="V154" s="17"/>
      <c r="W154" s="17"/>
      <c r="X154" s="23"/>
      <c r="Y154" s="24"/>
      <c r="Z154" s="23"/>
    </row>
    <row r="155" spans="1:26" x14ac:dyDescent="0.2">
      <c r="A155" s="18"/>
      <c r="B155" s="2" t="s">
        <v>53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171">
        <v>74</v>
      </c>
      <c r="P155" s="170">
        <v>645623</v>
      </c>
      <c r="Q155" s="182" t="s">
        <v>61</v>
      </c>
      <c r="R155" s="171">
        <v>227733.52549999999</v>
      </c>
      <c r="S155" s="2"/>
      <c r="T155" s="178">
        <v>312351</v>
      </c>
      <c r="U155" s="24"/>
      <c r="V155" s="17"/>
      <c r="W155" s="17"/>
      <c r="X155" s="23"/>
      <c r="Y155" s="24"/>
      <c r="Z155" s="23"/>
    </row>
    <row r="156" spans="1:26" x14ac:dyDescent="0.2">
      <c r="A156" s="18"/>
      <c r="B156" s="33" t="s">
        <v>26</v>
      </c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183">
        <v>1993</v>
      </c>
      <c r="P156" s="183">
        <v>7838953</v>
      </c>
      <c r="Q156" s="33"/>
      <c r="R156" s="185">
        <v>5364042.3194999993</v>
      </c>
      <c r="S156" s="2"/>
      <c r="T156" s="183">
        <v>3816559</v>
      </c>
      <c r="U156" s="49"/>
      <c r="V156" s="17"/>
      <c r="W156" s="17"/>
      <c r="X156" s="23"/>
      <c r="Y156" s="24"/>
      <c r="Z156" s="23"/>
    </row>
    <row r="157" spans="1:26" x14ac:dyDescent="0.2">
      <c r="A157" s="18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7"/>
      <c r="P157" s="7"/>
      <c r="Q157" s="15"/>
      <c r="R157" s="7"/>
      <c r="S157" s="2"/>
      <c r="T157" s="45"/>
      <c r="U157" s="24"/>
      <c r="V157" s="17"/>
      <c r="W157" s="17"/>
      <c r="X157" s="23"/>
      <c r="Y157" s="24"/>
      <c r="Z157" s="23"/>
    </row>
    <row r="158" spans="1:26" x14ac:dyDescent="0.2">
      <c r="A158" s="18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7"/>
      <c r="P158" s="7"/>
      <c r="Q158" s="15"/>
      <c r="R158" s="7"/>
      <c r="S158" s="2"/>
      <c r="T158" s="7"/>
      <c r="U158" s="24"/>
      <c r="V158" s="17"/>
      <c r="W158" s="17"/>
      <c r="X158" s="23"/>
      <c r="Y158" s="24"/>
      <c r="Z158" s="23"/>
    </row>
    <row r="159" spans="1:26" x14ac:dyDescent="0.2">
      <c r="A159" s="18"/>
      <c r="B159" s="36" t="s">
        <v>54</v>
      </c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7"/>
      <c r="P159" s="7"/>
      <c r="Q159" s="15"/>
      <c r="R159" s="7"/>
      <c r="S159" s="2"/>
      <c r="T159" s="17"/>
      <c r="U159" s="24"/>
      <c r="V159" s="17"/>
      <c r="W159" s="17"/>
      <c r="X159" s="23"/>
      <c r="Y159" s="24"/>
      <c r="Z159" s="23"/>
    </row>
    <row r="160" spans="1:26" x14ac:dyDescent="0.2">
      <c r="A160" s="18"/>
      <c r="B160" s="2" t="s">
        <v>20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171">
        <v>179</v>
      </c>
      <c r="P160" s="7"/>
      <c r="Q160" s="166">
        <v>220</v>
      </c>
      <c r="R160" s="171">
        <v>39380</v>
      </c>
      <c r="S160" s="41"/>
      <c r="T160" s="17"/>
      <c r="U160" s="49"/>
      <c r="V160" s="17"/>
      <c r="W160" s="17"/>
      <c r="X160" s="23"/>
      <c r="Y160" s="24"/>
      <c r="Z160" s="23"/>
    </row>
    <row r="161" spans="1:26" x14ac:dyDescent="0.2">
      <c r="A161" s="18"/>
      <c r="B161" s="3" t="s">
        <v>1</v>
      </c>
      <c r="O161" s="171">
        <v>179</v>
      </c>
      <c r="P161" s="7"/>
      <c r="Q161" s="187">
        <v>50</v>
      </c>
      <c r="R161" s="168">
        <v>8950</v>
      </c>
      <c r="S161" s="41"/>
      <c r="T161" s="38"/>
      <c r="U161" s="49"/>
      <c r="V161" s="17"/>
      <c r="W161" s="17"/>
      <c r="X161" s="23"/>
      <c r="Y161" s="24"/>
      <c r="Z161" s="23"/>
    </row>
    <row r="162" spans="1:26" x14ac:dyDescent="0.2">
      <c r="A162" s="18"/>
      <c r="B162" s="3" t="s">
        <v>62</v>
      </c>
      <c r="O162" s="171">
        <v>132</v>
      </c>
      <c r="P162" s="7"/>
      <c r="Q162" s="182" t="s">
        <v>61</v>
      </c>
      <c r="R162" s="167">
        <v>17220</v>
      </c>
      <c r="S162" s="41"/>
      <c r="T162" s="38"/>
      <c r="U162" s="186" t="s">
        <v>78</v>
      </c>
      <c r="V162" s="17"/>
      <c r="W162" s="17"/>
      <c r="X162" s="23"/>
      <c r="Y162" s="24"/>
      <c r="Z162" s="23"/>
    </row>
    <row r="163" spans="1:26" x14ac:dyDescent="0.2">
      <c r="A163" s="18"/>
      <c r="B163" s="3" t="s">
        <v>2</v>
      </c>
      <c r="O163" s="7"/>
      <c r="P163" s="171">
        <v>189910</v>
      </c>
      <c r="Q163" s="174">
        <v>0.1</v>
      </c>
      <c r="R163" s="171">
        <v>18991</v>
      </c>
      <c r="S163" s="41"/>
      <c r="T163" s="38"/>
      <c r="U163" s="24"/>
      <c r="V163" s="17"/>
      <c r="W163" s="17"/>
      <c r="X163" s="23"/>
      <c r="Y163" s="24"/>
      <c r="Z163" s="23"/>
    </row>
    <row r="164" spans="1:26" x14ac:dyDescent="0.2">
      <c r="A164" s="18"/>
      <c r="B164" s="2" t="s">
        <v>35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7"/>
      <c r="P164" s="171">
        <v>0</v>
      </c>
      <c r="Q164" s="174">
        <v>1.19</v>
      </c>
      <c r="R164" s="171">
        <v>0</v>
      </c>
      <c r="S164" s="2"/>
      <c r="T164" s="38"/>
      <c r="U164" s="24"/>
      <c r="V164" s="17"/>
      <c r="W164" s="17"/>
      <c r="X164" s="23"/>
      <c r="Y164" s="24"/>
      <c r="Z164" s="23"/>
    </row>
    <row r="165" spans="1:26" x14ac:dyDescent="0.2">
      <c r="A165" s="18"/>
      <c r="B165" s="2" t="s">
        <v>36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7"/>
      <c r="P165" s="171">
        <v>0</v>
      </c>
      <c r="Q165" s="174">
        <v>0.65900000000000003</v>
      </c>
      <c r="R165" s="171">
        <v>0</v>
      </c>
      <c r="S165" s="2"/>
      <c r="T165" s="38"/>
      <c r="U165" s="24"/>
      <c r="V165" s="17"/>
      <c r="W165" s="17"/>
      <c r="X165" s="23"/>
      <c r="Y165" s="24"/>
      <c r="Z165" s="23"/>
    </row>
    <row r="166" spans="1:26" x14ac:dyDescent="0.2">
      <c r="A166" s="18"/>
      <c r="B166" s="2" t="s">
        <v>37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7"/>
      <c r="P166" s="171">
        <v>0</v>
      </c>
      <c r="Q166" s="174">
        <v>0.43</v>
      </c>
      <c r="R166" s="171">
        <v>0</v>
      </c>
      <c r="S166" s="2"/>
      <c r="T166" s="38"/>
      <c r="U166" s="24"/>
      <c r="V166" s="17"/>
      <c r="W166" s="17"/>
      <c r="X166" s="23"/>
      <c r="Y166" s="24"/>
      <c r="Z166" s="23"/>
    </row>
    <row r="167" spans="1:26" x14ac:dyDescent="0.2">
      <c r="A167" s="18"/>
      <c r="B167" s="2" t="s">
        <v>32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7"/>
      <c r="P167" s="171">
        <v>0</v>
      </c>
      <c r="Q167" s="174">
        <v>1.19</v>
      </c>
      <c r="R167" s="171">
        <v>0</v>
      </c>
      <c r="S167" s="2"/>
      <c r="T167" s="38"/>
      <c r="U167" s="24"/>
      <c r="V167" s="17"/>
      <c r="W167" s="17"/>
      <c r="X167" s="23"/>
      <c r="Y167" s="24"/>
      <c r="Z167" s="23"/>
    </row>
    <row r="168" spans="1:26" x14ac:dyDescent="0.2">
      <c r="A168" s="18"/>
      <c r="B168" s="2" t="s">
        <v>33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7"/>
      <c r="P168" s="171">
        <v>0</v>
      </c>
      <c r="Q168" s="174">
        <v>0.65900000000000003</v>
      </c>
      <c r="R168" s="171">
        <v>0</v>
      </c>
      <c r="S168" s="2"/>
      <c r="T168" s="38"/>
      <c r="U168" s="24"/>
      <c r="V168" s="17"/>
      <c r="W168" s="17"/>
      <c r="X168" s="23"/>
      <c r="Y168" s="24"/>
      <c r="Z168" s="23"/>
    </row>
    <row r="169" spans="1:26" x14ac:dyDescent="0.2">
      <c r="A169" s="18"/>
      <c r="B169" s="2" t="s">
        <v>34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7"/>
      <c r="P169" s="171">
        <v>0</v>
      </c>
      <c r="Q169" s="174">
        <v>0.43</v>
      </c>
      <c r="R169" s="171">
        <v>0</v>
      </c>
      <c r="S169" s="2"/>
      <c r="T169" s="38"/>
      <c r="U169" s="24"/>
      <c r="V169" s="17"/>
      <c r="W169" s="17"/>
      <c r="X169" s="23"/>
      <c r="Y169" s="24"/>
      <c r="Z169" s="23"/>
    </row>
    <row r="170" spans="1:26" x14ac:dyDescent="0.2">
      <c r="A170" s="18"/>
      <c r="B170" s="2" t="s">
        <v>38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7"/>
      <c r="P170" s="171">
        <v>0</v>
      </c>
      <c r="Q170" s="174">
        <v>1.19</v>
      </c>
      <c r="R170" s="171">
        <v>0</v>
      </c>
      <c r="S170" s="2"/>
      <c r="T170" s="38"/>
      <c r="U170" s="24"/>
      <c r="V170" s="17"/>
      <c r="W170" s="17"/>
      <c r="X170" s="23"/>
      <c r="Y170" s="24"/>
      <c r="Z170" s="23"/>
    </row>
    <row r="171" spans="1:26" x14ac:dyDescent="0.2">
      <c r="A171" s="18"/>
      <c r="B171" s="2" t="s">
        <v>39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7"/>
      <c r="P171" s="171">
        <v>0</v>
      </c>
      <c r="Q171" s="174">
        <v>0.65900000000000003</v>
      </c>
      <c r="R171" s="171">
        <v>0</v>
      </c>
      <c r="S171" s="2"/>
      <c r="T171" s="38"/>
      <c r="U171" s="24"/>
      <c r="V171" s="17"/>
      <c r="W171" s="17"/>
      <c r="X171" s="23"/>
      <c r="Y171" s="24"/>
      <c r="Z171" s="23"/>
    </row>
    <row r="172" spans="1:26" x14ac:dyDescent="0.2">
      <c r="A172" s="18"/>
      <c r="B172" s="2" t="s">
        <v>40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7"/>
      <c r="P172" s="171">
        <v>0</v>
      </c>
      <c r="Q172" s="174">
        <v>0.43</v>
      </c>
      <c r="R172" s="171">
        <v>0</v>
      </c>
      <c r="S172" s="2"/>
      <c r="T172" s="38"/>
      <c r="U172" s="24"/>
      <c r="V172" s="17"/>
      <c r="W172" s="17"/>
      <c r="X172" s="23"/>
      <c r="Y172" s="24"/>
      <c r="Z172" s="23"/>
    </row>
    <row r="173" spans="1:26" x14ac:dyDescent="0.2">
      <c r="A173" s="18"/>
      <c r="B173" s="2" t="s">
        <v>41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7"/>
      <c r="P173" s="171">
        <v>28500</v>
      </c>
      <c r="Q173" s="174">
        <v>1.19</v>
      </c>
      <c r="R173" s="171">
        <v>33915</v>
      </c>
      <c r="S173" s="2"/>
      <c r="T173" s="178">
        <v>11700</v>
      </c>
      <c r="U173" s="24"/>
      <c r="V173" s="17"/>
      <c r="W173" s="17"/>
      <c r="X173" s="23"/>
      <c r="Y173" s="24"/>
      <c r="Z173" s="23"/>
    </row>
    <row r="174" spans="1:26" x14ac:dyDescent="0.2">
      <c r="A174" s="18"/>
      <c r="B174" s="2" t="s">
        <v>42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7"/>
      <c r="P174" s="171">
        <v>1097209</v>
      </c>
      <c r="Q174" s="174">
        <v>0.65900000000000003</v>
      </c>
      <c r="R174" s="171">
        <v>723061</v>
      </c>
      <c r="S174" s="2"/>
      <c r="T174" s="178">
        <v>450480</v>
      </c>
      <c r="U174" s="24"/>
      <c r="V174" s="17"/>
      <c r="W174" s="17"/>
      <c r="X174" s="23"/>
      <c r="Y174" s="24"/>
      <c r="Z174" s="23"/>
    </row>
    <row r="175" spans="1:26" x14ac:dyDescent="0.2">
      <c r="A175" s="18"/>
      <c r="B175" s="2" t="s">
        <v>43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7"/>
      <c r="P175" s="171">
        <v>531460</v>
      </c>
      <c r="Q175" s="174">
        <v>0.43</v>
      </c>
      <c r="R175" s="171">
        <v>228528</v>
      </c>
      <c r="S175" s="2"/>
      <c r="T175" s="178">
        <v>311263</v>
      </c>
      <c r="U175" s="24"/>
      <c r="V175" s="17"/>
      <c r="W175" s="17"/>
      <c r="X175" s="23"/>
      <c r="Y175" s="24"/>
      <c r="Z175" s="23"/>
    </row>
    <row r="176" spans="1:26" x14ac:dyDescent="0.2">
      <c r="A176" s="18"/>
      <c r="B176" s="2" t="s">
        <v>45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7"/>
      <c r="P176" s="171">
        <v>60000</v>
      </c>
      <c r="Q176" s="174">
        <v>0.53</v>
      </c>
      <c r="R176" s="171">
        <v>31800</v>
      </c>
      <c r="S176" s="2"/>
      <c r="T176" s="178">
        <v>30000</v>
      </c>
      <c r="U176" s="24"/>
      <c r="V176" s="17"/>
      <c r="W176" s="17"/>
      <c r="X176" s="23"/>
      <c r="Y176" s="24"/>
      <c r="Z176" s="23"/>
    </row>
    <row r="177" spans="1:26" x14ac:dyDescent="0.2">
      <c r="A177" s="18"/>
      <c r="B177" s="3" t="s">
        <v>44</v>
      </c>
      <c r="O177" s="7"/>
      <c r="P177" s="171">
        <v>36669</v>
      </c>
      <c r="Q177" s="181">
        <v>0.35909999999999997</v>
      </c>
      <c r="R177" s="171">
        <v>13168</v>
      </c>
      <c r="S177" s="2"/>
      <c r="T177" s="178">
        <v>18619</v>
      </c>
      <c r="U177" s="24"/>
      <c r="V177" s="17"/>
      <c r="W177" s="17"/>
      <c r="X177" s="23"/>
      <c r="Y177" s="24"/>
      <c r="Z177" s="23"/>
    </row>
    <row r="178" spans="1:26" x14ac:dyDescent="0.2">
      <c r="A178" s="18"/>
      <c r="B178" s="2" t="s">
        <v>46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7"/>
      <c r="P178" s="171">
        <v>120000</v>
      </c>
      <c r="Q178" s="174">
        <v>0.53</v>
      </c>
      <c r="R178" s="171">
        <v>63600</v>
      </c>
      <c r="S178" s="2"/>
      <c r="T178" s="178">
        <v>45000</v>
      </c>
      <c r="U178" s="23"/>
      <c r="V178" s="38"/>
      <c r="W178" s="17"/>
      <c r="X178" s="23"/>
      <c r="Y178" s="24"/>
      <c r="Z178" s="23"/>
    </row>
    <row r="179" spans="1:26" x14ac:dyDescent="0.2">
      <c r="A179" s="18"/>
      <c r="B179" s="3" t="s">
        <v>47</v>
      </c>
      <c r="O179" s="7"/>
      <c r="P179" s="171">
        <v>62361</v>
      </c>
      <c r="Q179" s="181">
        <v>0.35909999999999997</v>
      </c>
      <c r="R179" s="171">
        <v>22394</v>
      </c>
      <c r="S179" s="2"/>
      <c r="T179" s="178">
        <v>26270</v>
      </c>
      <c r="U179" s="23"/>
      <c r="V179" s="38"/>
      <c r="W179" s="17"/>
      <c r="X179" s="23"/>
      <c r="Y179" s="24"/>
      <c r="Z179" s="23"/>
    </row>
    <row r="180" spans="1:26" x14ac:dyDescent="0.2">
      <c r="A180" s="18"/>
      <c r="B180" s="2" t="s">
        <v>48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7"/>
      <c r="P180" s="171">
        <v>0</v>
      </c>
      <c r="Q180" s="174">
        <v>0.53</v>
      </c>
      <c r="R180" s="171">
        <v>0</v>
      </c>
      <c r="S180" s="2"/>
      <c r="T180" s="38"/>
      <c r="U180" s="24"/>
      <c r="V180" s="17"/>
      <c r="W180" s="17"/>
      <c r="X180" s="23"/>
      <c r="Y180" s="24"/>
      <c r="Z180" s="23"/>
    </row>
    <row r="181" spans="1:26" x14ac:dyDescent="0.2">
      <c r="A181" s="18"/>
      <c r="B181" s="2" t="s">
        <v>49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7"/>
      <c r="P181" s="171">
        <v>0</v>
      </c>
      <c r="Q181" s="181">
        <v>0.35909999999999997</v>
      </c>
      <c r="R181" s="171">
        <v>0</v>
      </c>
      <c r="S181" s="2"/>
      <c r="T181" s="38"/>
      <c r="U181" s="24"/>
      <c r="V181" s="17"/>
      <c r="W181" s="17"/>
      <c r="X181" s="23"/>
      <c r="Y181" s="24"/>
      <c r="Z181" s="23"/>
    </row>
    <row r="182" spans="1:26" x14ac:dyDescent="0.2">
      <c r="A182" s="18"/>
      <c r="B182" s="2" t="s">
        <v>55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7"/>
      <c r="P182" s="171">
        <v>1374300</v>
      </c>
      <c r="Q182" s="174">
        <v>0.53</v>
      </c>
      <c r="R182" s="171">
        <v>728379</v>
      </c>
      <c r="S182" s="2"/>
      <c r="T182" s="178">
        <v>572820</v>
      </c>
      <c r="U182" s="24"/>
      <c r="V182" s="17"/>
      <c r="W182" s="17"/>
      <c r="X182" s="23"/>
      <c r="Y182" s="24"/>
      <c r="Z182" s="23"/>
    </row>
    <row r="183" spans="1:26" x14ac:dyDescent="0.2">
      <c r="A183" s="18"/>
      <c r="B183" s="2" t="s">
        <v>56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7"/>
      <c r="P183" s="171">
        <v>1695149</v>
      </c>
      <c r="Q183" s="181">
        <v>0.35909999999999997</v>
      </c>
      <c r="R183" s="171">
        <v>608728</v>
      </c>
      <c r="S183" s="2"/>
      <c r="T183" s="178">
        <v>744285</v>
      </c>
      <c r="U183" s="24"/>
      <c r="V183" s="17"/>
      <c r="W183" s="17"/>
      <c r="X183" s="23"/>
      <c r="Y183" s="24"/>
      <c r="Z183" s="23"/>
    </row>
    <row r="184" spans="1:26" x14ac:dyDescent="0.2">
      <c r="A184" s="18"/>
      <c r="B184" s="2" t="s">
        <v>50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7"/>
      <c r="P184" s="7"/>
      <c r="Q184" s="174">
        <v>1.19</v>
      </c>
      <c r="R184" s="171">
        <v>0</v>
      </c>
      <c r="S184" s="2"/>
      <c r="T184" s="38"/>
      <c r="U184" s="179" t="s">
        <v>77</v>
      </c>
      <c r="V184" s="17"/>
      <c r="W184" s="17"/>
      <c r="X184" s="23"/>
      <c r="Y184" s="24"/>
      <c r="Z184" s="23"/>
    </row>
    <row r="185" spans="1:26" x14ac:dyDescent="0.2">
      <c r="A185" s="18"/>
      <c r="B185" s="2" t="s">
        <v>51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7"/>
      <c r="P185" s="7"/>
      <c r="Q185" s="174">
        <v>0.65900000000000003</v>
      </c>
      <c r="R185" s="171">
        <v>0</v>
      </c>
      <c r="S185" s="2"/>
      <c r="T185" s="38"/>
      <c r="U185" s="24"/>
      <c r="V185" s="17"/>
      <c r="W185" s="17"/>
      <c r="X185" s="23"/>
      <c r="Y185" s="24"/>
      <c r="Z185" s="23"/>
    </row>
    <row r="186" spans="1:26" x14ac:dyDescent="0.2">
      <c r="A186" s="18"/>
      <c r="B186" s="2" t="s">
        <v>52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7"/>
      <c r="P186" s="7"/>
      <c r="Q186" s="174">
        <v>0.43</v>
      </c>
      <c r="R186" s="171">
        <v>0</v>
      </c>
      <c r="S186" s="2"/>
      <c r="T186" s="38"/>
      <c r="U186" s="24"/>
      <c r="V186" s="17"/>
      <c r="W186" s="17"/>
      <c r="X186" s="23"/>
      <c r="Y186" s="24"/>
      <c r="Z186" s="23"/>
    </row>
    <row r="187" spans="1:26" x14ac:dyDescent="0.2">
      <c r="A187" s="18"/>
      <c r="B187" s="2" t="s">
        <v>53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171">
        <v>168</v>
      </c>
      <c r="P187" s="171">
        <v>13716108.309999999</v>
      </c>
      <c r="Q187" s="182" t="s">
        <v>61</v>
      </c>
      <c r="R187" s="171">
        <v>1501282.3</v>
      </c>
      <c r="S187" s="2"/>
      <c r="T187" s="178">
        <v>5930403.4299999997</v>
      </c>
      <c r="U187" s="24"/>
      <c r="V187" s="17"/>
      <c r="W187" s="17"/>
      <c r="X187" s="23"/>
      <c r="Y187" s="24"/>
      <c r="Z187" s="23"/>
    </row>
    <row r="188" spans="1:26" x14ac:dyDescent="0.2">
      <c r="A188" s="18"/>
      <c r="B188" s="33" t="s">
        <v>26</v>
      </c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183">
        <v>347</v>
      </c>
      <c r="P188" s="183">
        <v>18721756.309999999</v>
      </c>
      <c r="Q188" s="33"/>
      <c r="R188" s="185">
        <v>4039396.3</v>
      </c>
      <c r="S188" s="2"/>
      <c r="T188" s="183">
        <v>8140840.4299999997</v>
      </c>
      <c r="U188" s="24"/>
      <c r="V188" s="17"/>
      <c r="W188" s="17"/>
      <c r="X188" s="23"/>
      <c r="Y188" s="24"/>
      <c r="Z188" s="23"/>
    </row>
    <row r="189" spans="1:26" x14ac:dyDescent="0.2">
      <c r="A189" s="18"/>
      <c r="O189" s="7"/>
      <c r="P189" s="7"/>
      <c r="Q189" s="12"/>
      <c r="R189" s="7"/>
      <c r="S189" s="2"/>
      <c r="T189" s="17"/>
      <c r="U189" s="24"/>
      <c r="V189" s="17"/>
      <c r="W189" s="17"/>
      <c r="X189" s="23"/>
      <c r="Y189" s="25"/>
      <c r="Z189" s="22"/>
    </row>
    <row r="190" spans="1:26" x14ac:dyDescent="0.2">
      <c r="A190" s="18"/>
      <c r="P190" s="44"/>
      <c r="U190" s="24"/>
      <c r="V190" s="17"/>
      <c r="W190" s="17"/>
      <c r="X190" s="23"/>
      <c r="Y190" s="24"/>
      <c r="Z190" s="23"/>
    </row>
    <row r="191" spans="1:26" x14ac:dyDescent="0.2">
      <c r="A191" s="18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7"/>
      <c r="P191" s="7"/>
      <c r="Q191" s="15"/>
      <c r="R191" s="7"/>
      <c r="S191" s="2"/>
      <c r="T191" s="17"/>
      <c r="U191" s="24"/>
      <c r="V191" s="17"/>
      <c r="W191" s="17"/>
      <c r="X191" s="23"/>
      <c r="Y191" s="17"/>
      <c r="Z191" s="17"/>
    </row>
    <row r="192" spans="1:26" x14ac:dyDescent="0.2">
      <c r="A192" s="18"/>
      <c r="B192" s="42" t="s">
        <v>63</v>
      </c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171">
        <v>2066283.88</v>
      </c>
      <c r="P192" s="171">
        <v>42545333.399399996</v>
      </c>
      <c r="Q192" s="15"/>
      <c r="R192" s="184">
        <v>45915027.5067432</v>
      </c>
      <c r="S192" s="2"/>
      <c r="T192" s="171">
        <v>23755897.3671</v>
      </c>
      <c r="U192" s="24"/>
      <c r="V192" s="17"/>
      <c r="W192" s="17"/>
      <c r="X192" s="23"/>
      <c r="Y192" s="17"/>
      <c r="Z192" s="16"/>
    </row>
    <row r="193" spans="1:27" x14ac:dyDescent="0.2">
      <c r="A193" s="18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7"/>
      <c r="P193" s="7"/>
      <c r="Q193" s="174" t="s">
        <v>73</v>
      </c>
      <c r="R193" s="7"/>
      <c r="S193" s="2"/>
      <c r="T193" s="17"/>
      <c r="U193" s="24"/>
      <c r="V193" s="17"/>
      <c r="W193" s="17"/>
      <c r="X193" s="23"/>
      <c r="Y193" s="16"/>
      <c r="Z193" s="16"/>
    </row>
    <row r="194" spans="1:27" x14ac:dyDescent="0.2">
      <c r="A194" s="18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7"/>
      <c r="P194" s="15"/>
      <c r="R194" s="7"/>
      <c r="S194" s="2"/>
      <c r="T194" s="186" t="s">
        <v>75</v>
      </c>
      <c r="U194" s="24"/>
      <c r="V194" s="17"/>
      <c r="W194" s="17"/>
      <c r="X194" s="23"/>
    </row>
    <row r="195" spans="1:27" x14ac:dyDescent="0.2">
      <c r="A195" s="18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7"/>
      <c r="P195" s="7"/>
      <c r="Q195" s="15"/>
      <c r="R195" s="7"/>
      <c r="S195" s="2"/>
      <c r="T195" s="17"/>
      <c r="U195" s="24"/>
      <c r="V195" s="17"/>
      <c r="W195" s="17"/>
      <c r="X195" s="23"/>
    </row>
    <row r="196" spans="1:27" x14ac:dyDescent="0.2">
      <c r="A196" s="18"/>
      <c r="O196" s="188" t="s">
        <v>76</v>
      </c>
      <c r="P196" s="171">
        <v>42542842</v>
      </c>
      <c r="Q196" s="40"/>
      <c r="R196" s="7"/>
      <c r="S196" s="2"/>
      <c r="T196" s="17"/>
      <c r="U196" s="24"/>
      <c r="V196" s="17"/>
      <c r="W196" s="17"/>
      <c r="X196" s="23"/>
    </row>
    <row r="197" spans="1:27" x14ac:dyDescent="0.2">
      <c r="A197" s="18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7"/>
      <c r="R197" s="7"/>
      <c r="S197" s="2"/>
      <c r="T197" s="17"/>
      <c r="U197" s="24"/>
      <c r="V197" s="17"/>
      <c r="W197" s="17"/>
      <c r="X197" s="23"/>
    </row>
    <row r="198" spans="1:27" x14ac:dyDescent="0.2">
      <c r="A198" s="18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7"/>
      <c r="P198" s="23"/>
      <c r="Q198" s="17"/>
      <c r="R198" s="23"/>
      <c r="S198" s="2"/>
      <c r="T198" s="17"/>
      <c r="U198" s="24"/>
      <c r="V198" s="17"/>
      <c r="W198" s="17"/>
      <c r="X198" s="23"/>
    </row>
    <row r="199" spans="1:27" x14ac:dyDescent="0.2">
      <c r="A199" s="18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23"/>
      <c r="P199" s="7"/>
      <c r="Q199" s="15"/>
      <c r="R199" s="7"/>
      <c r="S199" s="17"/>
      <c r="T199" s="23"/>
      <c r="U199" s="24"/>
      <c r="V199" s="17"/>
      <c r="W199" s="17"/>
      <c r="X199" s="23"/>
    </row>
    <row r="200" spans="1:27" x14ac:dyDescent="0.2">
      <c r="A200" s="18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23"/>
      <c r="S200" s="17"/>
      <c r="T200" s="23"/>
      <c r="U200" s="24"/>
      <c r="V200" s="17"/>
      <c r="W200" s="17"/>
      <c r="X200" s="23"/>
    </row>
    <row r="201" spans="1:27" x14ac:dyDescent="0.2">
      <c r="A201" s="18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23"/>
      <c r="P201" s="168" t="s">
        <v>67</v>
      </c>
      <c r="R201" s="44">
        <f>R203-R202</f>
        <v>39339388</v>
      </c>
      <c r="S201" s="17"/>
      <c r="T201" s="23">
        <f>R201</f>
        <v>39339388</v>
      </c>
      <c r="U201" s="189" t="s">
        <v>74</v>
      </c>
      <c r="V201" s="17"/>
      <c r="W201" s="17"/>
      <c r="X201" s="23"/>
    </row>
    <row r="202" spans="1:27" x14ac:dyDescent="0.2">
      <c r="A202" s="18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23"/>
      <c r="P202" s="190" t="s">
        <v>68</v>
      </c>
      <c r="Q202" s="28"/>
      <c r="R202" s="190">
        <v>-371548</v>
      </c>
      <c r="S202" s="17"/>
      <c r="T202" s="17"/>
      <c r="U202" s="24"/>
      <c r="V202" s="17"/>
      <c r="W202" s="17"/>
      <c r="X202" s="23"/>
    </row>
    <row r="203" spans="1:27" x14ac:dyDescent="0.2">
      <c r="A203" s="18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38"/>
      <c r="P203" s="191" t="s">
        <v>69</v>
      </c>
      <c r="Q203" s="54"/>
      <c r="R203" s="191">
        <v>38967840</v>
      </c>
      <c r="S203" s="17"/>
      <c r="T203" s="17"/>
      <c r="U203" s="24"/>
      <c r="V203" s="17"/>
      <c r="W203" s="17"/>
      <c r="X203" s="23"/>
      <c r="AA203" s="27"/>
    </row>
    <row r="204" spans="1:27" x14ac:dyDescent="0.2">
      <c r="A204" s="18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38"/>
      <c r="P204" s="178" t="s">
        <v>70</v>
      </c>
      <c r="Q204" s="17"/>
      <c r="R204" s="191">
        <v>8532717</v>
      </c>
      <c r="S204" s="17"/>
      <c r="T204" s="62">
        <f>R204</f>
        <v>8532717</v>
      </c>
      <c r="U204" s="24"/>
      <c r="V204" s="17"/>
      <c r="W204" s="17"/>
      <c r="X204" s="23"/>
      <c r="AA204" s="27"/>
    </row>
    <row r="205" spans="1:27" x14ac:dyDescent="0.2">
      <c r="A205" s="18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90" t="s">
        <v>71</v>
      </c>
      <c r="Q205" s="17"/>
      <c r="R205" s="31">
        <f>R203+R204</f>
        <v>47500557</v>
      </c>
      <c r="S205" s="17"/>
      <c r="U205" s="24"/>
      <c r="V205" s="17"/>
      <c r="W205" s="17"/>
      <c r="X205" s="23"/>
      <c r="AA205" s="27"/>
    </row>
    <row r="206" spans="1:27" x14ac:dyDescent="0.2">
      <c r="A206" s="18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23"/>
      <c r="P206" s="190" t="s">
        <v>64</v>
      </c>
      <c r="Q206" s="17"/>
      <c r="R206" s="191">
        <v>2857829</v>
      </c>
      <c r="S206" s="17"/>
      <c r="U206" s="24"/>
      <c r="V206" s="17"/>
      <c r="W206" s="17"/>
      <c r="X206" s="23"/>
    </row>
    <row r="207" spans="1:27" x14ac:dyDescent="0.2">
      <c r="A207" s="18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23"/>
      <c r="P207" s="190" t="s">
        <v>72</v>
      </c>
      <c r="Q207" s="17"/>
      <c r="R207" s="31">
        <f>R205+R206</f>
        <v>50358386</v>
      </c>
      <c r="S207" s="17"/>
      <c r="T207" s="27">
        <f>T201+T204</f>
        <v>47872105</v>
      </c>
      <c r="U207" s="24"/>
      <c r="V207" s="17"/>
      <c r="W207" s="17"/>
      <c r="X207" s="23"/>
    </row>
    <row r="208" spans="1:27" x14ac:dyDescent="0.2">
      <c r="A208" s="18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23"/>
      <c r="P208" s="23"/>
      <c r="Q208" s="56"/>
      <c r="R208" s="22"/>
      <c r="S208" s="17"/>
      <c r="U208" s="24"/>
      <c r="V208" s="17"/>
      <c r="W208" s="17"/>
      <c r="X208" s="23"/>
    </row>
    <row r="209" spans="1:24" x14ac:dyDescent="0.2">
      <c r="A209" s="18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23"/>
      <c r="P209" s="190" t="s">
        <v>65</v>
      </c>
      <c r="Q209" s="56"/>
      <c r="R209" s="22"/>
      <c r="S209" s="17"/>
      <c r="T209" s="27"/>
      <c r="U209" s="24"/>
      <c r="V209" s="17"/>
      <c r="W209" s="17"/>
      <c r="X209" s="23"/>
    </row>
    <row r="210" spans="1:24" x14ac:dyDescent="0.2">
      <c r="A210" s="18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23"/>
      <c r="P210" s="23"/>
      <c r="Q210" s="57"/>
      <c r="R210" s="23"/>
      <c r="S210" s="17"/>
      <c r="U210" s="24"/>
      <c r="V210" s="17"/>
      <c r="W210" s="17"/>
      <c r="X210" s="23"/>
    </row>
    <row r="211" spans="1:24" x14ac:dyDescent="0.2">
      <c r="A211" s="18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23"/>
      <c r="Q211" s="17"/>
      <c r="R211" s="23"/>
      <c r="S211" s="17"/>
      <c r="U211" s="24"/>
      <c r="V211" s="17"/>
      <c r="W211" s="17"/>
      <c r="X211" s="23"/>
    </row>
    <row r="212" spans="1:24" x14ac:dyDescent="0.2">
      <c r="A212" s="18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23"/>
      <c r="Q212" s="17"/>
      <c r="R212" s="23"/>
      <c r="S212" s="17"/>
      <c r="U212" s="24"/>
      <c r="V212" s="17"/>
      <c r="W212" s="17"/>
      <c r="X212" s="23"/>
    </row>
    <row r="213" spans="1:24" x14ac:dyDescent="0.2">
      <c r="A213" s="18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23"/>
      <c r="Q213" s="17"/>
      <c r="R213" s="23"/>
      <c r="S213" s="30"/>
      <c r="U213" s="24"/>
      <c r="V213" s="17"/>
      <c r="W213" s="17"/>
      <c r="X213" s="23"/>
    </row>
    <row r="214" spans="1:24" x14ac:dyDescent="0.2">
      <c r="A214" s="18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23"/>
      <c r="Q214" s="17"/>
      <c r="R214" s="23"/>
      <c r="S214" s="30"/>
      <c r="U214" s="24"/>
      <c r="V214" s="17"/>
      <c r="W214" s="17"/>
      <c r="X214" s="23"/>
    </row>
    <row r="215" spans="1:24" x14ac:dyDescent="0.2">
      <c r="A215" s="18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23"/>
      <c r="Q215" s="17"/>
      <c r="R215" s="23"/>
      <c r="S215" s="30"/>
      <c r="U215" s="24"/>
      <c r="V215" s="17"/>
      <c r="W215" s="17"/>
      <c r="X215" s="23"/>
    </row>
    <row r="216" spans="1:24" x14ac:dyDescent="0.2">
      <c r="A216" s="18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23"/>
      <c r="Q216" s="17"/>
      <c r="R216" s="23"/>
      <c r="S216" s="23"/>
      <c r="U216" s="24"/>
      <c r="V216" s="17"/>
      <c r="W216" s="17"/>
      <c r="X216" s="23"/>
    </row>
    <row r="217" spans="1:24" x14ac:dyDescent="0.2">
      <c r="A217" s="18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23"/>
      <c r="Q217" s="17"/>
      <c r="R217" s="23"/>
      <c r="S217" s="17"/>
      <c r="U217" s="24"/>
      <c r="V217" s="17"/>
      <c r="W217" s="17"/>
      <c r="X217" s="23"/>
    </row>
    <row r="218" spans="1:24" x14ac:dyDescent="0.2">
      <c r="A218" s="18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23"/>
      <c r="Q218" s="17"/>
      <c r="R218" s="23"/>
      <c r="S218" s="17"/>
      <c r="U218" s="24"/>
      <c r="V218" s="17"/>
      <c r="W218" s="17"/>
      <c r="X218" s="23"/>
    </row>
    <row r="219" spans="1:24" x14ac:dyDescent="0.2">
      <c r="A219" s="18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23"/>
      <c r="Q219" s="17"/>
      <c r="R219" s="23"/>
      <c r="S219" s="17"/>
      <c r="U219" s="24"/>
      <c r="V219" s="17"/>
      <c r="W219" s="17"/>
      <c r="X219" s="23"/>
    </row>
    <row r="220" spans="1:24" x14ac:dyDescent="0.2">
      <c r="A220" s="18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23"/>
      <c r="Q220" s="17"/>
      <c r="R220" s="23"/>
      <c r="S220" s="17"/>
      <c r="U220" s="24"/>
      <c r="V220" s="17"/>
      <c r="W220" s="17"/>
      <c r="X220" s="23"/>
    </row>
    <row r="221" spans="1:24" x14ac:dyDescent="0.2">
      <c r="A221" s="18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38"/>
      <c r="P221" s="38"/>
      <c r="Q221" s="17"/>
      <c r="R221" s="39"/>
      <c r="S221" s="17"/>
      <c r="U221" s="24"/>
      <c r="V221" s="17"/>
      <c r="W221" s="17"/>
      <c r="X221" s="23"/>
    </row>
    <row r="222" spans="1:24" x14ac:dyDescent="0.2">
      <c r="A222" s="18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</row>
    <row r="223" spans="1:24" x14ac:dyDescent="0.2">
      <c r="A223" s="18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</row>
    <row r="224" spans="1:24" x14ac:dyDescent="0.2">
      <c r="A224" s="18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</row>
    <row r="225" spans="1:19" x14ac:dyDescent="0.2">
      <c r="A225" s="18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</row>
    <row r="226" spans="1:19" x14ac:dyDescent="0.2">
      <c r="A226" s="18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</row>
    <row r="227" spans="1:19" x14ac:dyDescent="0.2">
      <c r="A227" s="18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</row>
    <row r="228" spans="1:19" x14ac:dyDescent="0.2">
      <c r="A228" s="18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</row>
    <row r="229" spans="1:19" x14ac:dyDescent="0.2">
      <c r="A229" s="18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</row>
    <row r="230" spans="1:19" x14ac:dyDescent="0.2">
      <c r="A230" s="18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</row>
    <row r="231" spans="1:19" x14ac:dyDescent="0.2">
      <c r="A231" s="18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</row>
    <row r="232" spans="1:19" x14ac:dyDescent="0.2">
      <c r="A232" s="18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</row>
    <row r="233" spans="1:19" x14ac:dyDescent="0.2">
      <c r="A233" s="18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</row>
    <row r="234" spans="1:19" x14ac:dyDescent="0.2">
      <c r="A234" s="18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</row>
    <row r="235" spans="1:19" x14ac:dyDescent="0.2">
      <c r="A235" s="18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</row>
    <row r="236" spans="1:19" x14ac:dyDescent="0.2">
      <c r="A236" s="18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</row>
    <row r="237" spans="1:19" x14ac:dyDescent="0.2">
      <c r="A237" s="18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</row>
    <row r="238" spans="1:19" x14ac:dyDescent="0.2">
      <c r="A238" s="18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</row>
    <row r="239" spans="1:19" x14ac:dyDescent="0.2">
      <c r="A239" s="18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</row>
    <row r="240" spans="1:19" x14ac:dyDescent="0.2">
      <c r="A240" s="18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</row>
    <row r="241" spans="1:19" x14ac:dyDescent="0.2">
      <c r="A241" s="18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</row>
    <row r="242" spans="1:19" x14ac:dyDescent="0.2">
      <c r="A242" s="18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</row>
    <row r="243" spans="1:19" x14ac:dyDescent="0.2">
      <c r="A243" s="18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</row>
    <row r="244" spans="1:19" x14ac:dyDescent="0.2">
      <c r="A244" s="18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</row>
    <row r="245" spans="1:19" x14ac:dyDescent="0.2">
      <c r="A245" s="18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</row>
    <row r="246" spans="1:19" x14ac:dyDescent="0.2">
      <c r="A246" s="18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</row>
    <row r="247" spans="1:19" x14ac:dyDescent="0.2">
      <c r="A247" s="18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</row>
    <row r="248" spans="1:19" x14ac:dyDescent="0.2">
      <c r="A248" s="18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</row>
    <row r="249" spans="1:19" x14ac:dyDescent="0.2">
      <c r="A249" s="18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</row>
    <row r="250" spans="1:19" x14ac:dyDescent="0.2">
      <c r="A250" s="18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</row>
    <row r="251" spans="1:19" x14ac:dyDescent="0.2">
      <c r="A251" s="18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</row>
    <row r="252" spans="1:19" x14ac:dyDescent="0.2">
      <c r="A252" s="18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</row>
    <row r="253" spans="1:19" x14ac:dyDescent="0.2">
      <c r="A253" s="18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</row>
    <row r="254" spans="1:19" x14ac:dyDescent="0.2">
      <c r="A254" s="18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</row>
    <row r="255" spans="1:19" x14ac:dyDescent="0.2">
      <c r="A255" s="18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</row>
    <row r="256" spans="1:19" x14ac:dyDescent="0.2">
      <c r="A256" s="18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</row>
    <row r="257" spans="1:19" x14ac:dyDescent="0.2">
      <c r="A257" s="18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</row>
    <row r="258" spans="1:19" x14ac:dyDescent="0.2">
      <c r="A258" s="18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</row>
    <row r="259" spans="1:19" x14ac:dyDescent="0.2">
      <c r="A259" s="18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</row>
    <row r="260" spans="1:19" x14ac:dyDescent="0.2">
      <c r="A260" s="18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</row>
    <row r="261" spans="1:19" x14ac:dyDescent="0.2">
      <c r="A261" s="18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</row>
    <row r="262" spans="1:19" x14ac:dyDescent="0.2">
      <c r="A262" s="18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</row>
    <row r="263" spans="1:19" x14ac:dyDescent="0.2">
      <c r="A263" s="18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</row>
    <row r="264" spans="1:19" x14ac:dyDescent="0.2">
      <c r="A264" s="18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</row>
    <row r="265" spans="1:19" x14ac:dyDescent="0.2">
      <c r="A265" s="18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</row>
    <row r="266" spans="1:19" x14ac:dyDescent="0.2">
      <c r="A266" s="18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</row>
    <row r="267" spans="1:19" x14ac:dyDescent="0.2">
      <c r="A267" s="18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</row>
    <row r="268" spans="1:19" x14ac:dyDescent="0.2">
      <c r="A268" s="18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</row>
    <row r="269" spans="1:19" x14ac:dyDescent="0.2">
      <c r="A269" s="18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</row>
    <row r="270" spans="1:19" x14ac:dyDescent="0.2">
      <c r="A270" s="18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</row>
    <row r="271" spans="1:19" x14ac:dyDescent="0.2">
      <c r="A271" s="18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</row>
    <row r="272" spans="1:19" x14ac:dyDescent="0.2">
      <c r="A272" s="18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</row>
    <row r="273" spans="1:19" x14ac:dyDescent="0.2">
      <c r="A273" s="18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</row>
    <row r="274" spans="1:19" x14ac:dyDescent="0.2">
      <c r="A274" s="18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</row>
    <row r="275" spans="1:19" x14ac:dyDescent="0.2">
      <c r="A275" s="18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</row>
    <row r="276" spans="1:19" x14ac:dyDescent="0.2">
      <c r="A276" s="18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</row>
    <row r="277" spans="1:19" x14ac:dyDescent="0.2">
      <c r="A277" s="18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</row>
    <row r="278" spans="1:19" x14ac:dyDescent="0.2">
      <c r="A278" s="18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</row>
    <row r="279" spans="1:19" x14ac:dyDescent="0.2">
      <c r="A279" s="18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</row>
    <row r="280" spans="1:19" x14ac:dyDescent="0.2">
      <c r="A280" s="18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</row>
    <row r="281" spans="1:19" x14ac:dyDescent="0.2">
      <c r="A281" s="18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</row>
    <row r="282" spans="1:19" x14ac:dyDescent="0.2">
      <c r="A282" s="18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</row>
    <row r="283" spans="1:19" x14ac:dyDescent="0.2">
      <c r="A283" s="18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</row>
    <row r="284" spans="1:19" x14ac:dyDescent="0.2">
      <c r="A284" s="18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</row>
    <row r="285" spans="1:19" x14ac:dyDescent="0.2">
      <c r="A285" s="18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</row>
    <row r="286" spans="1:19" x14ac:dyDescent="0.2">
      <c r="A286" s="18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</row>
    <row r="287" spans="1:19" x14ac:dyDescent="0.2">
      <c r="A287" s="18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</row>
    <row r="288" spans="1:19" x14ac:dyDescent="0.2">
      <c r="A288" s="18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</row>
    <row r="289" spans="1:19" x14ac:dyDescent="0.2">
      <c r="A289" s="18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</row>
    <row r="290" spans="1:19" x14ac:dyDescent="0.2">
      <c r="A290" s="18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</row>
    <row r="291" spans="1:19" x14ac:dyDescent="0.2">
      <c r="A291" s="18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</row>
    <row r="292" spans="1:19" x14ac:dyDescent="0.2">
      <c r="A292" s="18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</row>
    <row r="293" spans="1:19" x14ac:dyDescent="0.2">
      <c r="A293" s="18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</row>
    <row r="294" spans="1:19" x14ac:dyDescent="0.2">
      <c r="A294" s="18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</row>
    <row r="295" spans="1:19" x14ac:dyDescent="0.2">
      <c r="A295" s="18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</row>
    <row r="296" spans="1:19" x14ac:dyDescent="0.2">
      <c r="A296" s="18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</row>
    <row r="297" spans="1:19" x14ac:dyDescent="0.2">
      <c r="A297" s="18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</row>
    <row r="298" spans="1:19" x14ac:dyDescent="0.2">
      <c r="A298" s="18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</row>
    <row r="299" spans="1:19" x14ac:dyDescent="0.2">
      <c r="A299" s="18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</row>
    <row r="300" spans="1:19" x14ac:dyDescent="0.2">
      <c r="A300" s="18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</row>
    <row r="301" spans="1:19" x14ac:dyDescent="0.2">
      <c r="A301" s="18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</row>
    <row r="302" spans="1:19" x14ac:dyDescent="0.2">
      <c r="A302" s="18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</row>
    <row r="303" spans="1:19" x14ac:dyDescent="0.2">
      <c r="A303" s="18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</row>
    <row r="304" spans="1:19" x14ac:dyDescent="0.2">
      <c r="A304" s="18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</row>
    <row r="305" spans="1:19" x14ac:dyDescent="0.2">
      <c r="A305" s="18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</row>
    <row r="306" spans="1:19" x14ac:dyDescent="0.2">
      <c r="A306" s="18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</row>
    <row r="307" spans="1:19" x14ac:dyDescent="0.2">
      <c r="A307" s="18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</row>
    <row r="308" spans="1:19" x14ac:dyDescent="0.2">
      <c r="A308" s="18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</row>
    <row r="309" spans="1:19" x14ac:dyDescent="0.2">
      <c r="A309" s="18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</row>
    <row r="310" spans="1:19" x14ac:dyDescent="0.2">
      <c r="A310" s="18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</row>
    <row r="311" spans="1:19" x14ac:dyDescent="0.2">
      <c r="A311" s="18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</row>
    <row r="312" spans="1:19" x14ac:dyDescent="0.2">
      <c r="A312" s="18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</row>
    <row r="313" spans="1:19" x14ac:dyDescent="0.2">
      <c r="A313" s="18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</row>
    <row r="314" spans="1:19" x14ac:dyDescent="0.2">
      <c r="A314" s="18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</row>
    <row r="315" spans="1:19" x14ac:dyDescent="0.2">
      <c r="A315" s="18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</row>
    <row r="316" spans="1:19" x14ac:dyDescent="0.2">
      <c r="A316" s="18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</row>
    <row r="317" spans="1:19" x14ac:dyDescent="0.2">
      <c r="A317" s="18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</row>
    <row r="318" spans="1:19" x14ac:dyDescent="0.2">
      <c r="A318" s="18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</row>
    <row r="319" spans="1:19" x14ac:dyDescent="0.2">
      <c r="A319" s="18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</row>
    <row r="320" spans="1:19" x14ac:dyDescent="0.2">
      <c r="A320" s="18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</row>
    <row r="321" spans="1:19" x14ac:dyDescent="0.2">
      <c r="A321" s="18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</row>
    <row r="322" spans="1:19" x14ac:dyDescent="0.2">
      <c r="A322" s="18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</row>
    <row r="323" spans="1:19" x14ac:dyDescent="0.2">
      <c r="A323" s="18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</row>
    <row r="324" spans="1:19" x14ac:dyDescent="0.2">
      <c r="A324" s="18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</row>
    <row r="325" spans="1:19" x14ac:dyDescent="0.2">
      <c r="A325" s="18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</row>
    <row r="326" spans="1:19" x14ac:dyDescent="0.2">
      <c r="A326" s="18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</row>
    <row r="327" spans="1:19" x14ac:dyDescent="0.2">
      <c r="A327" s="18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</row>
    <row r="328" spans="1:19" x14ac:dyDescent="0.2">
      <c r="A328" s="18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</row>
    <row r="329" spans="1:19" x14ac:dyDescent="0.2">
      <c r="A329" s="18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</row>
    <row r="330" spans="1:19" x14ac:dyDescent="0.2">
      <c r="A330" s="18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</row>
    <row r="331" spans="1:19" x14ac:dyDescent="0.2">
      <c r="A331" s="18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</row>
    <row r="332" spans="1:19" x14ac:dyDescent="0.2">
      <c r="A332" s="18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</row>
    <row r="333" spans="1:19" x14ac:dyDescent="0.2">
      <c r="A333" s="18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</row>
    <row r="334" spans="1:19" x14ac:dyDescent="0.2">
      <c r="A334" s="18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</row>
    <row r="335" spans="1:19" x14ac:dyDescent="0.2">
      <c r="A335" s="18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</row>
    <row r="336" spans="1:19" x14ac:dyDescent="0.2">
      <c r="A336" s="18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</row>
    <row r="337" spans="1:19" x14ac:dyDescent="0.2">
      <c r="A337" s="18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</row>
    <row r="338" spans="1:19" x14ac:dyDescent="0.2">
      <c r="A338" s="18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</row>
    <row r="339" spans="1:19" x14ac:dyDescent="0.2">
      <c r="A339" s="18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</row>
    <row r="340" spans="1:19" x14ac:dyDescent="0.2">
      <c r="A340" s="18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</row>
    <row r="341" spans="1:19" x14ac:dyDescent="0.2">
      <c r="A341" s="18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</row>
    <row r="342" spans="1:19" x14ac:dyDescent="0.2">
      <c r="A342" s="18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</row>
    <row r="343" spans="1:19" x14ac:dyDescent="0.2">
      <c r="A343" s="18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</row>
    <row r="344" spans="1:19" x14ac:dyDescent="0.2">
      <c r="A344" s="18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</row>
    <row r="345" spans="1:19" x14ac:dyDescent="0.2">
      <c r="A345" s="18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</row>
    <row r="346" spans="1:19" x14ac:dyDescent="0.2">
      <c r="A346" s="18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</row>
    <row r="347" spans="1:19" x14ac:dyDescent="0.2">
      <c r="A347" s="18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</row>
    <row r="348" spans="1:19" x14ac:dyDescent="0.2">
      <c r="A348" s="18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</row>
    <row r="349" spans="1:19" x14ac:dyDescent="0.2">
      <c r="A349" s="18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</row>
    <row r="350" spans="1:19" x14ac:dyDescent="0.2">
      <c r="A350" s="18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</row>
    <row r="351" spans="1:19" x14ac:dyDescent="0.2">
      <c r="A351" s="18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</row>
    <row r="352" spans="1:19" x14ac:dyDescent="0.2">
      <c r="A352" s="18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</row>
    <row r="353" spans="1:19" x14ac:dyDescent="0.2">
      <c r="A353" s="18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</row>
    <row r="354" spans="1:19" x14ac:dyDescent="0.2">
      <c r="A354" s="18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</row>
    <row r="355" spans="1:19" x14ac:dyDescent="0.2">
      <c r="A355" s="18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</row>
    <row r="356" spans="1:19" x14ac:dyDescent="0.2">
      <c r="A356" s="18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</row>
    <row r="357" spans="1:19" x14ac:dyDescent="0.2">
      <c r="A357" s="18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</row>
    <row r="358" spans="1:19" x14ac:dyDescent="0.2">
      <c r="A358" s="18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</row>
    <row r="359" spans="1:19" x14ac:dyDescent="0.2">
      <c r="A359" s="18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</row>
    <row r="360" spans="1:19" x14ac:dyDescent="0.2">
      <c r="A360" s="18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</row>
    <row r="361" spans="1:19" x14ac:dyDescent="0.2">
      <c r="A361" s="18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</row>
    <row r="362" spans="1:19" x14ac:dyDescent="0.2">
      <c r="A362" s="18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</row>
    <row r="363" spans="1:19" x14ac:dyDescent="0.2">
      <c r="A363" s="18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</row>
    <row r="364" spans="1:19" x14ac:dyDescent="0.2">
      <c r="A364" s="18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</row>
    <row r="365" spans="1:19" x14ac:dyDescent="0.2">
      <c r="A365" s="18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</row>
    <row r="366" spans="1:19" x14ac:dyDescent="0.2">
      <c r="A366" s="18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</row>
    <row r="367" spans="1:19" x14ac:dyDescent="0.2">
      <c r="A367" s="18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</row>
    <row r="368" spans="1:19" x14ac:dyDescent="0.2">
      <c r="A368" s="18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</row>
    <row r="369" spans="1:19" x14ac:dyDescent="0.2">
      <c r="A369" s="18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</row>
    <row r="370" spans="1:19" x14ac:dyDescent="0.2">
      <c r="A370" s="18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</row>
    <row r="371" spans="1:19" x14ac:dyDescent="0.2">
      <c r="A371" s="18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</row>
    <row r="372" spans="1:19" x14ac:dyDescent="0.2">
      <c r="A372" s="18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</row>
    <row r="373" spans="1:19" x14ac:dyDescent="0.2">
      <c r="A373" s="18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</row>
    <row r="374" spans="1:19" x14ac:dyDescent="0.2">
      <c r="A374" s="18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</row>
    <row r="375" spans="1:19" x14ac:dyDescent="0.2">
      <c r="A375" s="18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</row>
    <row r="376" spans="1:19" x14ac:dyDescent="0.2">
      <c r="A376" s="18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</row>
    <row r="377" spans="1:19" x14ac:dyDescent="0.2">
      <c r="A377" s="18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</row>
    <row r="378" spans="1:19" x14ac:dyDescent="0.2">
      <c r="A378" s="18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</row>
    <row r="379" spans="1:19" x14ac:dyDescent="0.2">
      <c r="A379" s="18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</row>
    <row r="380" spans="1:19" x14ac:dyDescent="0.2">
      <c r="A380" s="18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</row>
    <row r="381" spans="1:19" x14ac:dyDescent="0.2">
      <c r="A381" s="18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</row>
    <row r="382" spans="1:19" x14ac:dyDescent="0.2">
      <c r="A382" s="18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</row>
    <row r="383" spans="1:19" x14ac:dyDescent="0.2">
      <c r="A383" s="18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</row>
    <row r="384" spans="1:19" x14ac:dyDescent="0.2">
      <c r="A384" s="18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</row>
    <row r="385" spans="1:19" x14ac:dyDescent="0.2">
      <c r="A385" s="18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</row>
    <row r="386" spans="1:19" x14ac:dyDescent="0.2">
      <c r="A386" s="18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</row>
    <row r="387" spans="1:19" x14ac:dyDescent="0.2">
      <c r="A387" s="18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</row>
    <row r="388" spans="1:19" x14ac:dyDescent="0.2">
      <c r="A388" s="18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</row>
    <row r="389" spans="1:19" x14ac:dyDescent="0.2">
      <c r="A389" s="18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</row>
    <row r="390" spans="1:19" x14ac:dyDescent="0.2">
      <c r="A390" s="18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</row>
    <row r="391" spans="1:19" x14ac:dyDescent="0.2">
      <c r="A391" s="18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</row>
    <row r="392" spans="1:19" x14ac:dyDescent="0.2">
      <c r="A392" s="18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</row>
    <row r="393" spans="1:19" x14ac:dyDescent="0.2">
      <c r="A393" s="18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</row>
    <row r="394" spans="1:19" x14ac:dyDescent="0.2">
      <c r="A394" s="18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</row>
    <row r="395" spans="1:19" x14ac:dyDescent="0.2">
      <c r="A395" s="18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</row>
    <row r="396" spans="1:19" x14ac:dyDescent="0.2">
      <c r="A396" s="18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</row>
    <row r="397" spans="1:19" x14ac:dyDescent="0.2">
      <c r="A397" s="18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</row>
    <row r="398" spans="1:19" x14ac:dyDescent="0.2">
      <c r="A398" s="18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</row>
    <row r="399" spans="1:19" x14ac:dyDescent="0.2">
      <c r="A399" s="18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</row>
    <row r="400" spans="1:19" x14ac:dyDescent="0.2">
      <c r="A400" s="18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</row>
    <row r="401" spans="1:19" x14ac:dyDescent="0.2">
      <c r="A401" s="18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</row>
    <row r="402" spans="1:19" x14ac:dyDescent="0.2">
      <c r="A402" s="18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</row>
    <row r="403" spans="1:19" x14ac:dyDescent="0.2">
      <c r="A403" s="18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</row>
    <row r="404" spans="1:19" x14ac:dyDescent="0.2">
      <c r="A404" s="18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</row>
    <row r="405" spans="1:19" x14ac:dyDescent="0.2">
      <c r="A405" s="18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</row>
    <row r="406" spans="1:19" x14ac:dyDescent="0.2">
      <c r="A406" s="18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</row>
    <row r="407" spans="1:19" x14ac:dyDescent="0.2">
      <c r="A407" s="18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</row>
    <row r="408" spans="1:19" x14ac:dyDescent="0.2">
      <c r="A408" s="18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</row>
    <row r="409" spans="1:19" x14ac:dyDescent="0.2">
      <c r="A409" s="18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</row>
    <row r="410" spans="1:19" x14ac:dyDescent="0.2">
      <c r="A410" s="18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</row>
    <row r="411" spans="1:19" x14ac:dyDescent="0.2">
      <c r="A411" s="18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</row>
    <row r="412" spans="1:19" x14ac:dyDescent="0.2">
      <c r="A412" s="18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</row>
    <row r="413" spans="1:19" x14ac:dyDescent="0.2">
      <c r="A413" s="18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</row>
    <row r="414" spans="1:19" x14ac:dyDescent="0.2">
      <c r="A414" s="18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</row>
    <row r="415" spans="1:19" x14ac:dyDescent="0.2">
      <c r="A415" s="18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</row>
    <row r="416" spans="1:19" x14ac:dyDescent="0.2">
      <c r="A416" s="18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</row>
    <row r="417" spans="1:19" x14ac:dyDescent="0.2">
      <c r="A417" s="18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</row>
    <row r="418" spans="1:19" x14ac:dyDescent="0.2">
      <c r="A418" s="18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</row>
    <row r="419" spans="1:19" x14ac:dyDescent="0.2">
      <c r="A419" s="18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</row>
    <row r="420" spans="1:19" x14ac:dyDescent="0.2">
      <c r="A420" s="18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</row>
    <row r="421" spans="1:19" x14ac:dyDescent="0.2">
      <c r="A421" s="18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</row>
    <row r="422" spans="1:19" x14ac:dyDescent="0.2">
      <c r="A422" s="18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</row>
    <row r="423" spans="1:19" x14ac:dyDescent="0.2">
      <c r="A423" s="18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</row>
    <row r="424" spans="1:19" x14ac:dyDescent="0.2">
      <c r="A424" s="18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</row>
    <row r="425" spans="1:19" x14ac:dyDescent="0.2">
      <c r="A425" s="18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</row>
    <row r="426" spans="1:19" x14ac:dyDescent="0.2">
      <c r="A426" s="18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</row>
    <row r="427" spans="1:19" x14ac:dyDescent="0.2">
      <c r="A427" s="18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</row>
    <row r="428" spans="1:19" x14ac:dyDescent="0.2">
      <c r="A428" s="18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</row>
    <row r="429" spans="1:19" x14ac:dyDescent="0.2">
      <c r="A429" s="18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</row>
    <row r="430" spans="1:19" x14ac:dyDescent="0.2">
      <c r="A430" s="18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</row>
    <row r="431" spans="1:19" x14ac:dyDescent="0.2">
      <c r="A431" s="18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</row>
    <row r="432" spans="1:19" x14ac:dyDescent="0.2">
      <c r="A432" s="18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</row>
    <row r="433" spans="1:19" x14ac:dyDescent="0.2">
      <c r="A433" s="18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</row>
    <row r="434" spans="1:19" x14ac:dyDescent="0.2">
      <c r="A434" s="18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</row>
    <row r="435" spans="1:19" x14ac:dyDescent="0.2">
      <c r="A435" s="18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</row>
    <row r="436" spans="1:19" x14ac:dyDescent="0.2">
      <c r="A436" s="18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</row>
    <row r="437" spans="1:19" x14ac:dyDescent="0.2">
      <c r="A437" s="18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</row>
    <row r="438" spans="1:19" x14ac:dyDescent="0.2">
      <c r="A438" s="18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</row>
    <row r="439" spans="1:19" x14ac:dyDescent="0.2">
      <c r="A439" s="18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</row>
    <row r="440" spans="1:19" x14ac:dyDescent="0.2">
      <c r="A440" s="18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</row>
    <row r="441" spans="1:19" x14ac:dyDescent="0.2">
      <c r="A441" s="18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</row>
    <row r="442" spans="1:19" x14ac:dyDescent="0.2">
      <c r="A442" s="18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</row>
    <row r="443" spans="1:19" x14ac:dyDescent="0.2">
      <c r="A443" s="18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</row>
    <row r="444" spans="1:19" x14ac:dyDescent="0.2">
      <c r="A444" s="18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</row>
    <row r="445" spans="1:19" x14ac:dyDescent="0.2">
      <c r="A445" s="18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</row>
    <row r="446" spans="1:19" x14ac:dyDescent="0.2">
      <c r="A446" s="18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</row>
    <row r="447" spans="1:19" x14ac:dyDescent="0.2">
      <c r="A447" s="18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</row>
    <row r="448" spans="1:19" x14ac:dyDescent="0.2">
      <c r="A448" s="18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</row>
    <row r="449" spans="1:19" x14ac:dyDescent="0.2">
      <c r="A449" s="18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</row>
    <row r="450" spans="1:19" x14ac:dyDescent="0.2">
      <c r="A450" s="18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</row>
    <row r="451" spans="1:19" x14ac:dyDescent="0.2">
      <c r="A451" s="18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</row>
    <row r="452" spans="1:19" x14ac:dyDescent="0.2">
      <c r="A452" s="18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</row>
    <row r="453" spans="1:19" x14ac:dyDescent="0.2">
      <c r="A453" s="18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</row>
    <row r="454" spans="1:19" x14ac:dyDescent="0.2">
      <c r="A454" s="18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</row>
    <row r="455" spans="1:19" x14ac:dyDescent="0.2">
      <c r="A455" s="18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</row>
    <row r="456" spans="1:19" x14ac:dyDescent="0.2">
      <c r="A456" s="18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</row>
    <row r="457" spans="1:19" x14ac:dyDescent="0.2">
      <c r="A457" s="18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</row>
    <row r="458" spans="1:19" x14ac:dyDescent="0.2">
      <c r="A458" s="18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</row>
    <row r="459" spans="1:19" x14ac:dyDescent="0.2">
      <c r="A459" s="18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</row>
    <row r="460" spans="1:19" x14ac:dyDescent="0.2">
      <c r="A460" s="18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</row>
    <row r="461" spans="1:19" x14ac:dyDescent="0.2">
      <c r="A461" s="18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</row>
    <row r="462" spans="1:19" x14ac:dyDescent="0.2">
      <c r="A462" s="18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</row>
    <row r="463" spans="1:19" x14ac:dyDescent="0.2">
      <c r="A463" s="18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</row>
    <row r="464" spans="1:19" x14ac:dyDescent="0.2">
      <c r="A464" s="18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</row>
    <row r="465" spans="1:19" x14ac:dyDescent="0.2">
      <c r="A465" s="18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</row>
    <row r="466" spans="1:19" x14ac:dyDescent="0.2">
      <c r="A466" s="18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</row>
    <row r="467" spans="1:19" x14ac:dyDescent="0.2">
      <c r="A467" s="18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</row>
    <row r="468" spans="1:19" x14ac:dyDescent="0.2">
      <c r="A468" s="18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</row>
    <row r="469" spans="1:19" x14ac:dyDescent="0.2">
      <c r="A469" s="18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</row>
    <row r="470" spans="1:19" x14ac:dyDescent="0.2">
      <c r="A470" s="18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</row>
    <row r="471" spans="1:19" x14ac:dyDescent="0.2">
      <c r="A471" s="18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</row>
    <row r="472" spans="1:19" x14ac:dyDescent="0.2">
      <c r="A472" s="18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</row>
    <row r="473" spans="1:19" x14ac:dyDescent="0.2">
      <c r="A473" s="18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</row>
    <row r="474" spans="1:19" x14ac:dyDescent="0.2">
      <c r="A474" s="18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</row>
    <row r="475" spans="1:19" x14ac:dyDescent="0.2">
      <c r="A475" s="18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</row>
    <row r="476" spans="1:19" x14ac:dyDescent="0.2">
      <c r="A476" s="18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</row>
    <row r="477" spans="1:19" x14ac:dyDescent="0.2">
      <c r="A477" s="18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</row>
    <row r="478" spans="1:19" x14ac:dyDescent="0.2">
      <c r="A478" s="18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</row>
    <row r="479" spans="1:19" x14ac:dyDescent="0.2">
      <c r="A479" s="18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</row>
    <row r="480" spans="1:19" x14ac:dyDescent="0.2">
      <c r="A480" s="18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</row>
    <row r="481" spans="1:19" x14ac:dyDescent="0.2">
      <c r="A481" s="18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</row>
    <row r="482" spans="1:19" x14ac:dyDescent="0.2">
      <c r="A482" s="18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</row>
    <row r="483" spans="1:19" x14ac:dyDescent="0.2">
      <c r="A483" s="18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</row>
    <row r="484" spans="1:19" x14ac:dyDescent="0.2">
      <c r="A484" s="18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</row>
    <row r="485" spans="1:19" x14ac:dyDescent="0.2">
      <c r="A485" s="18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</row>
    <row r="486" spans="1:19" x14ac:dyDescent="0.2">
      <c r="A486" s="18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</row>
    <row r="487" spans="1:19" x14ac:dyDescent="0.2">
      <c r="A487" s="1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</row>
    <row r="488" spans="1:19" x14ac:dyDescent="0.2">
      <c r="A488" s="1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</row>
    <row r="489" spans="1:19" x14ac:dyDescent="0.2">
      <c r="A489" s="1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</row>
    <row r="490" spans="1:19" x14ac:dyDescent="0.2">
      <c r="A490" s="1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</row>
    <row r="491" spans="1:19" x14ac:dyDescent="0.2">
      <c r="A491" s="1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</row>
    <row r="492" spans="1:19" x14ac:dyDescent="0.2">
      <c r="A492" s="1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</row>
    <row r="493" spans="1:19" x14ac:dyDescent="0.2">
      <c r="A493" s="1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</row>
    <row r="494" spans="1:19" x14ac:dyDescent="0.2">
      <c r="A494" s="1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</row>
    <row r="495" spans="1:19" x14ac:dyDescent="0.2">
      <c r="A495" s="1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</row>
    <row r="496" spans="1:19" x14ac:dyDescent="0.2">
      <c r="A496" s="1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</row>
    <row r="497" spans="1:19" x14ac:dyDescent="0.2">
      <c r="A497" s="1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</row>
    <row r="498" spans="1:19" x14ac:dyDescent="0.2">
      <c r="A498" s="1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</row>
    <row r="499" spans="1:19" x14ac:dyDescent="0.2">
      <c r="A499" s="1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</row>
    <row r="500" spans="1:19" x14ac:dyDescent="0.2">
      <c r="A500" s="1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</row>
    <row r="501" spans="1:19" x14ac:dyDescent="0.2">
      <c r="A501" s="1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</row>
    <row r="502" spans="1:19" x14ac:dyDescent="0.2">
      <c r="A502" s="1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</row>
    <row r="503" spans="1:19" x14ac:dyDescent="0.2">
      <c r="A503" s="1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</row>
    <row r="504" spans="1:19" x14ac:dyDescent="0.2">
      <c r="A504" s="1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</row>
    <row r="505" spans="1:19" x14ac:dyDescent="0.2">
      <c r="A505" s="1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</row>
    <row r="506" spans="1:19" x14ac:dyDescent="0.2">
      <c r="A506" s="1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</row>
    <row r="507" spans="1:19" x14ac:dyDescent="0.2">
      <c r="A507" s="1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</row>
    <row r="508" spans="1:19" x14ac:dyDescent="0.2">
      <c r="A508" s="1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</row>
    <row r="509" spans="1:19" x14ac:dyDescent="0.2">
      <c r="A509" s="1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</row>
    <row r="510" spans="1:19" x14ac:dyDescent="0.2">
      <c r="A510" s="1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</row>
    <row r="511" spans="1:19" x14ac:dyDescent="0.2">
      <c r="A511" s="1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</row>
    <row r="512" spans="1:19" x14ac:dyDescent="0.2">
      <c r="A512" s="1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</row>
    <row r="513" spans="1:19" x14ac:dyDescent="0.2">
      <c r="A513" s="1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</row>
    <row r="514" spans="1:19" x14ac:dyDescent="0.2">
      <c r="A514" s="1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</row>
    <row r="515" spans="1:19" x14ac:dyDescent="0.2">
      <c r="A515" s="1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</row>
    <row r="516" spans="1:19" x14ac:dyDescent="0.2">
      <c r="A516" s="1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</row>
    <row r="517" spans="1:19" x14ac:dyDescent="0.2">
      <c r="A517" s="1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</row>
    <row r="518" spans="1:19" x14ac:dyDescent="0.2">
      <c r="A518" s="1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</row>
    <row r="519" spans="1:19" x14ac:dyDescent="0.2">
      <c r="A519" s="1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</row>
    <row r="520" spans="1:19" x14ac:dyDescent="0.2">
      <c r="A520" s="1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</row>
    <row r="521" spans="1:19" x14ac:dyDescent="0.2">
      <c r="A521" s="1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</row>
    <row r="522" spans="1:19" x14ac:dyDescent="0.2">
      <c r="A522" s="1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</row>
    <row r="523" spans="1:19" x14ac:dyDescent="0.2">
      <c r="A523" s="1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</row>
    <row r="524" spans="1:19" x14ac:dyDescent="0.2">
      <c r="A524" s="1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</row>
    <row r="525" spans="1:19" x14ac:dyDescent="0.2">
      <c r="A525" s="1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</row>
    <row r="526" spans="1:19" x14ac:dyDescent="0.2">
      <c r="A526" s="1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</row>
    <row r="527" spans="1:19" x14ac:dyDescent="0.2">
      <c r="A527" s="1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</row>
    <row r="528" spans="1:19" x14ac:dyDescent="0.2">
      <c r="A528" s="1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</row>
    <row r="529" spans="1:19" x14ac:dyDescent="0.2">
      <c r="A529" s="1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</row>
    <row r="530" spans="1:19" x14ac:dyDescent="0.2">
      <c r="A530" s="1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</row>
    <row r="531" spans="1:19" x14ac:dyDescent="0.2">
      <c r="A531" s="1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</row>
    <row r="532" spans="1:19" x14ac:dyDescent="0.2">
      <c r="A532" s="1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</row>
    <row r="533" spans="1:19" x14ac:dyDescent="0.2">
      <c r="A533" s="1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</row>
    <row r="534" spans="1:19" x14ac:dyDescent="0.2">
      <c r="A534" s="1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</row>
    <row r="535" spans="1:19" x14ac:dyDescent="0.2">
      <c r="A535" s="1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</row>
    <row r="536" spans="1:19" x14ac:dyDescent="0.2">
      <c r="A536" s="1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</row>
    <row r="537" spans="1:19" x14ac:dyDescent="0.2">
      <c r="A537" s="1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</row>
    <row r="538" spans="1:19" x14ac:dyDescent="0.2">
      <c r="A538" s="1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</row>
    <row r="539" spans="1:19" x14ac:dyDescent="0.2">
      <c r="A539" s="1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</row>
    <row r="540" spans="1:19" x14ac:dyDescent="0.2">
      <c r="A540" s="1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</row>
    <row r="541" spans="1:19" x14ac:dyDescent="0.2">
      <c r="A541" s="1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</row>
    <row r="542" spans="1:19" x14ac:dyDescent="0.2">
      <c r="A542" s="1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</row>
    <row r="543" spans="1:19" x14ac:dyDescent="0.2">
      <c r="A543" s="1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</row>
    <row r="544" spans="1:19" x14ac:dyDescent="0.2">
      <c r="A544" s="1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</row>
    <row r="545" spans="1:19" x14ac:dyDescent="0.2">
      <c r="A545" s="1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</row>
    <row r="546" spans="1:19" x14ac:dyDescent="0.2">
      <c r="A546" s="1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</row>
    <row r="547" spans="1:19" x14ac:dyDescent="0.2">
      <c r="A547" s="1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</row>
    <row r="548" spans="1:19" x14ac:dyDescent="0.2">
      <c r="A548" s="1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</row>
    <row r="549" spans="1:19" x14ac:dyDescent="0.2">
      <c r="A549" s="1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</row>
    <row r="550" spans="1:19" x14ac:dyDescent="0.2">
      <c r="A550" s="1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</row>
    <row r="551" spans="1:19" x14ac:dyDescent="0.2">
      <c r="A551" s="1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</row>
    <row r="552" spans="1:19" x14ac:dyDescent="0.2">
      <c r="A552" s="1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</row>
    <row r="553" spans="1:19" x14ac:dyDescent="0.2">
      <c r="A553" s="1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</row>
    <row r="554" spans="1:19" x14ac:dyDescent="0.2">
      <c r="A554" s="1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</row>
    <row r="555" spans="1:19" x14ac:dyDescent="0.2">
      <c r="A555" s="1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</row>
    <row r="556" spans="1:19" x14ac:dyDescent="0.2">
      <c r="A556" s="1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</row>
    <row r="557" spans="1:19" x14ac:dyDescent="0.2">
      <c r="A557" s="1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</row>
    <row r="558" spans="1:19" x14ac:dyDescent="0.2">
      <c r="A558" s="1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</row>
    <row r="559" spans="1:19" x14ac:dyDescent="0.2">
      <c r="A559" s="1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</row>
    <row r="560" spans="1:19" x14ac:dyDescent="0.2">
      <c r="A560" s="1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</row>
    <row r="561" spans="1:19" x14ac:dyDescent="0.2">
      <c r="A561" s="1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</row>
    <row r="562" spans="1:19" x14ac:dyDescent="0.2">
      <c r="A562" s="1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</row>
    <row r="563" spans="1:19" x14ac:dyDescent="0.2">
      <c r="A563" s="1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</row>
    <row r="564" spans="1:19" x14ac:dyDescent="0.2">
      <c r="A564" s="1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</row>
    <row r="565" spans="1:19" x14ac:dyDescent="0.2">
      <c r="A565" s="1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</row>
    <row r="566" spans="1:19" x14ac:dyDescent="0.2">
      <c r="A566" s="1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</row>
    <row r="567" spans="1:19" x14ac:dyDescent="0.2">
      <c r="A567" s="1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</row>
    <row r="568" spans="1:19" x14ac:dyDescent="0.2">
      <c r="A568" s="1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</row>
    <row r="569" spans="1:19" x14ac:dyDescent="0.2">
      <c r="A569" s="1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</row>
    <row r="570" spans="1:19" x14ac:dyDescent="0.2">
      <c r="A570" s="1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</row>
    <row r="571" spans="1:19" x14ac:dyDescent="0.2">
      <c r="A571" s="1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</row>
    <row r="572" spans="1:19" x14ac:dyDescent="0.2">
      <c r="A572" s="1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</row>
    <row r="573" spans="1:19" x14ac:dyDescent="0.2">
      <c r="A573" s="1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</row>
    <row r="574" spans="1:19" x14ac:dyDescent="0.2">
      <c r="A574" s="1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</row>
    <row r="575" spans="1:19" x14ac:dyDescent="0.2">
      <c r="A575" s="1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</row>
    <row r="576" spans="1:19" x14ac:dyDescent="0.2">
      <c r="A576" s="1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</row>
    <row r="577" spans="1:19" x14ac:dyDescent="0.2">
      <c r="A577" s="1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</row>
    <row r="578" spans="1:19" x14ac:dyDescent="0.2">
      <c r="A578" s="1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</row>
    <row r="579" spans="1:19" x14ac:dyDescent="0.2">
      <c r="A579" s="1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</row>
    <row r="580" spans="1:19" x14ac:dyDescent="0.2">
      <c r="A580" s="1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</row>
    <row r="581" spans="1:19" x14ac:dyDescent="0.2">
      <c r="A581" s="1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</row>
    <row r="582" spans="1:19" x14ac:dyDescent="0.2">
      <c r="A582" s="1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</row>
    <row r="583" spans="1:19" x14ac:dyDescent="0.2">
      <c r="A583" s="1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</row>
    <row r="584" spans="1:19" x14ac:dyDescent="0.2">
      <c r="A584" s="1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</row>
    <row r="585" spans="1:19" x14ac:dyDescent="0.2">
      <c r="A585" s="1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</row>
    <row r="586" spans="1:19" x14ac:dyDescent="0.2">
      <c r="A586" s="1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</row>
    <row r="587" spans="1:19" x14ac:dyDescent="0.2">
      <c r="A587" s="1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</row>
    <row r="588" spans="1:19" x14ac:dyDescent="0.2">
      <c r="A588" s="1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</row>
    <row r="589" spans="1:19" x14ac:dyDescent="0.2">
      <c r="A589" s="1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</row>
    <row r="590" spans="1:19" x14ac:dyDescent="0.2">
      <c r="A590" s="1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</row>
    <row r="591" spans="1:19" x14ac:dyDescent="0.2">
      <c r="A591" s="1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</row>
    <row r="592" spans="1:19" x14ac:dyDescent="0.2">
      <c r="A592" s="1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</row>
    <row r="593" spans="1:19" x14ac:dyDescent="0.2">
      <c r="A593" s="1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</row>
    <row r="594" spans="1:19" x14ac:dyDescent="0.2">
      <c r="A594" s="1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</row>
    <row r="595" spans="1:19" x14ac:dyDescent="0.2">
      <c r="A595" s="1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</row>
    <row r="596" spans="1:19" x14ac:dyDescent="0.2">
      <c r="A596" s="1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</row>
    <row r="597" spans="1:19" x14ac:dyDescent="0.2">
      <c r="A597" s="1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</row>
    <row r="598" spans="1:19" x14ac:dyDescent="0.2">
      <c r="A598" s="1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</row>
    <row r="599" spans="1:19" x14ac:dyDescent="0.2">
      <c r="A599" s="1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</row>
    <row r="600" spans="1:19" x14ac:dyDescent="0.2">
      <c r="A600" s="1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</row>
    <row r="601" spans="1:19" x14ac:dyDescent="0.2">
      <c r="A601" s="1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</row>
    <row r="602" spans="1:19" x14ac:dyDescent="0.2">
      <c r="A602" s="1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</row>
    <row r="603" spans="1:19" x14ac:dyDescent="0.2">
      <c r="A603" s="1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</row>
    <row r="604" spans="1:19" x14ac:dyDescent="0.2">
      <c r="A604" s="1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</row>
    <row r="605" spans="1:19" x14ac:dyDescent="0.2">
      <c r="A605" s="1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</row>
    <row r="606" spans="1:19" x14ac:dyDescent="0.2">
      <c r="A606" s="1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</row>
    <row r="607" spans="1:19" x14ac:dyDescent="0.2">
      <c r="A607" s="1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</row>
    <row r="608" spans="1:19" x14ac:dyDescent="0.2">
      <c r="A608" s="1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</row>
    <row r="609" spans="1:19" x14ac:dyDescent="0.2">
      <c r="A609" s="1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</row>
    <row r="610" spans="1:19" x14ac:dyDescent="0.2">
      <c r="A610" s="1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</row>
    <row r="611" spans="1:19" x14ac:dyDescent="0.2">
      <c r="A611" s="1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</row>
    <row r="612" spans="1:19" x14ac:dyDescent="0.2">
      <c r="A612" s="1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</row>
    <row r="613" spans="1:19" x14ac:dyDescent="0.2">
      <c r="A613" s="1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</row>
    <row r="614" spans="1:19" x14ac:dyDescent="0.2">
      <c r="A614" s="1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</row>
    <row r="615" spans="1:19" x14ac:dyDescent="0.2">
      <c r="A615" s="1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</row>
    <row r="616" spans="1:19" x14ac:dyDescent="0.2">
      <c r="A616" s="1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</row>
    <row r="617" spans="1:19" x14ac:dyDescent="0.2">
      <c r="A617" s="1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</row>
    <row r="618" spans="1:19" x14ac:dyDescent="0.2">
      <c r="A618" s="1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</row>
    <row r="619" spans="1:19" x14ac:dyDescent="0.2">
      <c r="A619" s="1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</row>
    <row r="620" spans="1:19" x14ac:dyDescent="0.2">
      <c r="A620" s="1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</row>
    <row r="621" spans="1:19" x14ac:dyDescent="0.2">
      <c r="A621" s="1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</row>
    <row r="622" spans="1:19" x14ac:dyDescent="0.2">
      <c r="A622" s="1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</row>
    <row r="623" spans="1:19" x14ac:dyDescent="0.2">
      <c r="A623" s="1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</row>
    <row r="624" spans="1:19" x14ac:dyDescent="0.2">
      <c r="A624" s="1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</row>
    <row r="625" spans="1:19" x14ac:dyDescent="0.2">
      <c r="A625" s="1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</row>
    <row r="626" spans="1:19" x14ac:dyDescent="0.2">
      <c r="A626" s="1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</row>
    <row r="627" spans="1:19" x14ac:dyDescent="0.2">
      <c r="A627" s="1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</row>
    <row r="628" spans="1:19" x14ac:dyDescent="0.2">
      <c r="A628" s="1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</row>
    <row r="629" spans="1:19" x14ac:dyDescent="0.2">
      <c r="A629" s="1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</row>
    <row r="630" spans="1:19" x14ac:dyDescent="0.2">
      <c r="A630" s="1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</row>
    <row r="631" spans="1:19" x14ac:dyDescent="0.2">
      <c r="A631" s="1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</row>
    <row r="632" spans="1:19" x14ac:dyDescent="0.2">
      <c r="A632" s="1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</row>
    <row r="633" spans="1:19" x14ac:dyDescent="0.2">
      <c r="A633" s="1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</row>
    <row r="634" spans="1:19" x14ac:dyDescent="0.2">
      <c r="A634" s="1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</row>
    <row r="635" spans="1:19" x14ac:dyDescent="0.2">
      <c r="A635" s="1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</row>
    <row r="636" spans="1:19" x14ac:dyDescent="0.2">
      <c r="A636" s="1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</row>
    <row r="637" spans="1:19" x14ac:dyDescent="0.2">
      <c r="A637" s="1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</row>
    <row r="638" spans="1:19" x14ac:dyDescent="0.2">
      <c r="A638" s="1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</row>
    <row r="639" spans="1:19" x14ac:dyDescent="0.2">
      <c r="A639" s="1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</row>
    <row r="640" spans="1:19" x14ac:dyDescent="0.2">
      <c r="A640" s="1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</row>
    <row r="641" spans="1:19" x14ac:dyDescent="0.2">
      <c r="A641" s="1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</row>
    <row r="642" spans="1:19" x14ac:dyDescent="0.2">
      <c r="A642" s="1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</row>
    <row r="643" spans="1:19" x14ac:dyDescent="0.2">
      <c r="A643" s="1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</row>
    <row r="644" spans="1:19" x14ac:dyDescent="0.2">
      <c r="A644" s="1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</row>
    <row r="645" spans="1:19" x14ac:dyDescent="0.2">
      <c r="A645" s="1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</row>
    <row r="646" spans="1:19" x14ac:dyDescent="0.2">
      <c r="A646" s="1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</row>
    <row r="647" spans="1:19" x14ac:dyDescent="0.2">
      <c r="A647" s="1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</row>
    <row r="648" spans="1:19" x14ac:dyDescent="0.2">
      <c r="A648" s="1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</row>
    <row r="649" spans="1:19" x14ac:dyDescent="0.2">
      <c r="A649" s="1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</row>
    <row r="650" spans="1:19" x14ac:dyDescent="0.2">
      <c r="A650" s="1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</row>
    <row r="651" spans="1:19" x14ac:dyDescent="0.2">
      <c r="A651" s="1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</row>
    <row r="652" spans="1:19" x14ac:dyDescent="0.2">
      <c r="A652" s="1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</row>
    <row r="653" spans="1:19" x14ac:dyDescent="0.2">
      <c r="A653" s="1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</row>
    <row r="654" spans="1:19" x14ac:dyDescent="0.2">
      <c r="A654" s="1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</row>
    <row r="655" spans="1:19" x14ac:dyDescent="0.2">
      <c r="A655" s="1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</row>
    <row r="656" spans="1:19" x14ac:dyDescent="0.2">
      <c r="A656" s="1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</row>
    <row r="657" spans="1:19" x14ac:dyDescent="0.2">
      <c r="A657" s="1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</row>
    <row r="658" spans="1:19" x14ac:dyDescent="0.2">
      <c r="A658" s="1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</row>
    <row r="659" spans="1:19" x14ac:dyDescent="0.2">
      <c r="A659" s="1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</row>
    <row r="660" spans="1:19" x14ac:dyDescent="0.2">
      <c r="A660" s="1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</row>
    <row r="661" spans="1:19" x14ac:dyDescent="0.2">
      <c r="A661" s="1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</row>
    <row r="662" spans="1:19" x14ac:dyDescent="0.2">
      <c r="A662" s="1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</row>
    <row r="663" spans="1:19" x14ac:dyDescent="0.2">
      <c r="A663" s="1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</row>
    <row r="664" spans="1:19" x14ac:dyDescent="0.2">
      <c r="A664" s="1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</row>
    <row r="665" spans="1:19" x14ac:dyDescent="0.2">
      <c r="A665" s="1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</row>
    <row r="666" spans="1:19" x14ac:dyDescent="0.2">
      <c r="A666" s="1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</row>
    <row r="667" spans="1:19" x14ac:dyDescent="0.2">
      <c r="A667" s="1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</row>
    <row r="668" spans="1:19" x14ac:dyDescent="0.2">
      <c r="A668" s="1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</row>
    <row r="669" spans="1:19" x14ac:dyDescent="0.2">
      <c r="A669" s="1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</row>
    <row r="670" spans="1:19" x14ac:dyDescent="0.2">
      <c r="A670" s="1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</row>
    <row r="671" spans="1:19" x14ac:dyDescent="0.2">
      <c r="A671" s="1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</row>
    <row r="672" spans="1:19" x14ac:dyDescent="0.2">
      <c r="A672" s="1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</row>
    <row r="673" spans="1:19" x14ac:dyDescent="0.2">
      <c r="A673" s="1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</row>
    <row r="674" spans="1:19" x14ac:dyDescent="0.2">
      <c r="A674" s="1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</row>
    <row r="675" spans="1:19" x14ac:dyDescent="0.2">
      <c r="A675" s="1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</row>
    <row r="676" spans="1:19" x14ac:dyDescent="0.2">
      <c r="A676" s="1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</row>
    <row r="677" spans="1:19" x14ac:dyDescent="0.2">
      <c r="A677" s="1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</row>
    <row r="678" spans="1:19" x14ac:dyDescent="0.2">
      <c r="A678" s="1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</row>
    <row r="679" spans="1:19" x14ac:dyDescent="0.2">
      <c r="A679" s="1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</row>
    <row r="680" spans="1:19" x14ac:dyDescent="0.2">
      <c r="A680" s="1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</row>
    <row r="681" spans="1:19" x14ac:dyDescent="0.2">
      <c r="A681" s="1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</row>
    <row r="682" spans="1:19" x14ac:dyDescent="0.2">
      <c r="A682" s="1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</row>
    <row r="683" spans="1:19" x14ac:dyDescent="0.2">
      <c r="A683" s="1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</row>
    <row r="684" spans="1:19" x14ac:dyDescent="0.2">
      <c r="A684" s="1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</row>
    <row r="685" spans="1:19" x14ac:dyDescent="0.2">
      <c r="A685" s="1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</row>
    <row r="686" spans="1:19" x14ac:dyDescent="0.2">
      <c r="A686" s="1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</row>
    <row r="687" spans="1:19" x14ac:dyDescent="0.2">
      <c r="A687" s="1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</row>
    <row r="688" spans="1:19" x14ac:dyDescent="0.2">
      <c r="A688" s="1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</row>
    <row r="689" spans="1:19" x14ac:dyDescent="0.2">
      <c r="A689" s="1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</row>
    <row r="690" spans="1:19" x14ac:dyDescent="0.2">
      <c r="A690" s="1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</row>
    <row r="691" spans="1:19" x14ac:dyDescent="0.2">
      <c r="A691" s="1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</row>
    <row r="692" spans="1:19" x14ac:dyDescent="0.2">
      <c r="A692" s="1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</row>
    <row r="693" spans="1:19" x14ac:dyDescent="0.2">
      <c r="A693" s="1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</row>
    <row r="694" spans="1:19" x14ac:dyDescent="0.2">
      <c r="A694" s="1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</row>
    <row r="695" spans="1:19" x14ac:dyDescent="0.2">
      <c r="A695" s="1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</row>
    <row r="696" spans="1:19" x14ac:dyDescent="0.2">
      <c r="A696" s="1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</row>
    <row r="697" spans="1:19" x14ac:dyDescent="0.2">
      <c r="A697" s="1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</row>
    <row r="698" spans="1:19" x14ac:dyDescent="0.2">
      <c r="A698" s="1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</row>
    <row r="699" spans="1:19" x14ac:dyDescent="0.2">
      <c r="A699" s="1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</row>
    <row r="700" spans="1:19" x14ac:dyDescent="0.2">
      <c r="A700" s="1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</row>
    <row r="701" spans="1:19" x14ac:dyDescent="0.2">
      <c r="A701" s="1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</row>
    <row r="702" spans="1:19" x14ac:dyDescent="0.2">
      <c r="A702" s="1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</row>
    <row r="703" spans="1:19" x14ac:dyDescent="0.2">
      <c r="A703" s="1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</row>
    <row r="704" spans="1:19" x14ac:dyDescent="0.2">
      <c r="A704" s="1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</row>
    <row r="705" spans="1:19" x14ac:dyDescent="0.2">
      <c r="A705" s="1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</row>
    <row r="706" spans="1:19" x14ac:dyDescent="0.2">
      <c r="A706" s="1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</row>
    <row r="707" spans="1:19" x14ac:dyDescent="0.2">
      <c r="A707" s="1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</row>
    <row r="708" spans="1:19" x14ac:dyDescent="0.2">
      <c r="A708" s="1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</row>
    <row r="709" spans="1:19" x14ac:dyDescent="0.2">
      <c r="A709" s="1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</row>
    <row r="710" spans="1:19" x14ac:dyDescent="0.2">
      <c r="A710" s="1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</row>
    <row r="711" spans="1:19" x14ac:dyDescent="0.2">
      <c r="A711" s="1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</row>
    <row r="712" spans="1:19" x14ac:dyDescent="0.2">
      <c r="A712" s="1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</row>
    <row r="713" spans="1:19" x14ac:dyDescent="0.2">
      <c r="A713" s="1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</row>
    <row r="714" spans="1:19" x14ac:dyDescent="0.2">
      <c r="A714" s="1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</row>
    <row r="715" spans="1:19" x14ac:dyDescent="0.2">
      <c r="A715" s="1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</row>
    <row r="716" spans="1:19" x14ac:dyDescent="0.2">
      <c r="A716" s="1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</row>
    <row r="717" spans="1:19" x14ac:dyDescent="0.2">
      <c r="A717" s="1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</row>
    <row r="718" spans="1:19" x14ac:dyDescent="0.2">
      <c r="A718" s="1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</row>
    <row r="719" spans="1:19" x14ac:dyDescent="0.2">
      <c r="A719" s="1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</row>
    <row r="720" spans="1:19" x14ac:dyDescent="0.2">
      <c r="A720" s="1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</row>
    <row r="721" spans="1:19" x14ac:dyDescent="0.2">
      <c r="A721" s="1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</row>
    <row r="722" spans="1:19" x14ac:dyDescent="0.2">
      <c r="A722" s="1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</row>
    <row r="723" spans="1:19" x14ac:dyDescent="0.2">
      <c r="A723" s="1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</row>
    <row r="724" spans="1:19" x14ac:dyDescent="0.2">
      <c r="A724" s="1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</row>
    <row r="725" spans="1:19" x14ac:dyDescent="0.2">
      <c r="A725" s="1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</row>
    <row r="726" spans="1:19" x14ac:dyDescent="0.2">
      <c r="A726" s="1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</row>
    <row r="727" spans="1:19" x14ac:dyDescent="0.2">
      <c r="A727" s="1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</row>
    <row r="728" spans="1:19" x14ac:dyDescent="0.2">
      <c r="A728" s="1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</row>
    <row r="729" spans="1:19" x14ac:dyDescent="0.2">
      <c r="A729" s="1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</row>
    <row r="730" spans="1:19" x14ac:dyDescent="0.2">
      <c r="A730" s="1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</row>
    <row r="731" spans="1:19" x14ac:dyDescent="0.2">
      <c r="A731" s="1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</row>
    <row r="732" spans="1:19" x14ac:dyDescent="0.2">
      <c r="A732" s="1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</row>
    <row r="733" spans="1:19" x14ac:dyDescent="0.2">
      <c r="A733" s="1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</row>
    <row r="734" spans="1:19" x14ac:dyDescent="0.2">
      <c r="A734" s="1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</row>
    <row r="735" spans="1:19" x14ac:dyDescent="0.2">
      <c r="A735" s="1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</row>
    <row r="736" spans="1:19" x14ac:dyDescent="0.2">
      <c r="A736" s="1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</row>
    <row r="737" spans="1:19" x14ac:dyDescent="0.2">
      <c r="A737" s="1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</row>
    <row r="738" spans="1:19" x14ac:dyDescent="0.2">
      <c r="A738" s="1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</row>
    <row r="739" spans="1:19" x14ac:dyDescent="0.2">
      <c r="A739" s="1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</row>
    <row r="740" spans="1:19" x14ac:dyDescent="0.2">
      <c r="A740" s="1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</row>
    <row r="741" spans="1:19" x14ac:dyDescent="0.2">
      <c r="A741" s="1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</row>
    <row r="742" spans="1:19" x14ac:dyDescent="0.2">
      <c r="A742" s="1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</row>
    <row r="743" spans="1:19" x14ac:dyDescent="0.2">
      <c r="A743" s="1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</row>
    <row r="744" spans="1:19" x14ac:dyDescent="0.2">
      <c r="A744" s="1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</row>
    <row r="745" spans="1:19" x14ac:dyDescent="0.2">
      <c r="A745" s="1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</row>
    <row r="746" spans="1:19" x14ac:dyDescent="0.2">
      <c r="A746" s="1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</row>
    <row r="747" spans="1:19" x14ac:dyDescent="0.2">
      <c r="A747" s="1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</row>
    <row r="748" spans="1:19" x14ac:dyDescent="0.2">
      <c r="A748" s="1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</row>
    <row r="749" spans="1:19" x14ac:dyDescent="0.2">
      <c r="A749" s="1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</row>
    <row r="750" spans="1:19" x14ac:dyDescent="0.2">
      <c r="A750" s="1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</row>
    <row r="751" spans="1:19" x14ac:dyDescent="0.2">
      <c r="A751" s="1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</row>
    <row r="752" spans="1:19" x14ac:dyDescent="0.2">
      <c r="A752" s="18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</row>
    <row r="753" spans="1:19" x14ac:dyDescent="0.2">
      <c r="A753" s="18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</row>
    <row r="754" spans="1:19" x14ac:dyDescent="0.2">
      <c r="A754" s="18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</row>
    <row r="755" spans="1:19" x14ac:dyDescent="0.2">
      <c r="A755" s="18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</row>
    <row r="756" spans="1:19" x14ac:dyDescent="0.2">
      <c r="A756" s="18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</row>
    <row r="757" spans="1:19" x14ac:dyDescent="0.2">
      <c r="A757" s="18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</row>
    <row r="758" spans="1:19" x14ac:dyDescent="0.2">
      <c r="A758" s="18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</row>
    <row r="759" spans="1:19" x14ac:dyDescent="0.2">
      <c r="A759" s="18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</row>
    <row r="760" spans="1:19" x14ac:dyDescent="0.2">
      <c r="A760" s="18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</row>
    <row r="761" spans="1:19" x14ac:dyDescent="0.2">
      <c r="A761" s="18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</row>
    <row r="762" spans="1:19" x14ac:dyDescent="0.2">
      <c r="A762" s="18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</row>
    <row r="763" spans="1:19" x14ac:dyDescent="0.2">
      <c r="A763" s="18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</row>
    <row r="764" spans="1:19" x14ac:dyDescent="0.2">
      <c r="A764" s="18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</row>
    <row r="765" spans="1:19" x14ac:dyDescent="0.2">
      <c r="A765" s="18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</row>
    <row r="766" spans="1:19" x14ac:dyDescent="0.2">
      <c r="A766" s="18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</row>
    <row r="767" spans="1:19" x14ac:dyDescent="0.2">
      <c r="A767" s="18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</row>
    <row r="768" spans="1:19" x14ac:dyDescent="0.2">
      <c r="A768" s="18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</row>
    <row r="769" spans="1:19" x14ac:dyDescent="0.2">
      <c r="A769" s="18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</row>
    <row r="770" spans="1:19" x14ac:dyDescent="0.2">
      <c r="A770" s="18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</row>
    <row r="771" spans="1:19" x14ac:dyDescent="0.2">
      <c r="A771" s="18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</row>
    <row r="772" spans="1:19" x14ac:dyDescent="0.2">
      <c r="A772" s="18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</row>
    <row r="773" spans="1:19" x14ac:dyDescent="0.2">
      <c r="A773" s="18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</row>
    <row r="774" spans="1:19" x14ac:dyDescent="0.2">
      <c r="A774" s="18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</row>
    <row r="775" spans="1:19" x14ac:dyDescent="0.2">
      <c r="A775" s="18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</row>
    <row r="776" spans="1:19" x14ac:dyDescent="0.2">
      <c r="A776" s="18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</row>
    <row r="777" spans="1:19" x14ac:dyDescent="0.2">
      <c r="A777" s="18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</row>
    <row r="778" spans="1:19" x14ac:dyDescent="0.2">
      <c r="A778" s="18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</row>
    <row r="779" spans="1:19" x14ac:dyDescent="0.2">
      <c r="A779" s="18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</row>
    <row r="780" spans="1:19" x14ac:dyDescent="0.2">
      <c r="A780" s="18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</row>
    <row r="781" spans="1:19" x14ac:dyDescent="0.2">
      <c r="A781" s="18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</row>
    <row r="782" spans="1:19" x14ac:dyDescent="0.2">
      <c r="A782" s="18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</row>
    <row r="783" spans="1:19" x14ac:dyDescent="0.2">
      <c r="A783" s="18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</row>
    <row r="784" spans="1:19" x14ac:dyDescent="0.2">
      <c r="A784" s="18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</row>
    <row r="785" spans="1:19" x14ac:dyDescent="0.2">
      <c r="A785" s="18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</row>
    <row r="786" spans="1:19" x14ac:dyDescent="0.2">
      <c r="A786" s="18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</row>
    <row r="787" spans="1:19" x14ac:dyDescent="0.2">
      <c r="A787" s="18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</row>
    <row r="788" spans="1:19" x14ac:dyDescent="0.2">
      <c r="A788" s="18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</row>
    <row r="789" spans="1:19" x14ac:dyDescent="0.2">
      <c r="A789" s="18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</row>
    <row r="790" spans="1:19" x14ac:dyDescent="0.2">
      <c r="A790" s="18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</row>
    <row r="791" spans="1:19" x14ac:dyDescent="0.2">
      <c r="A791" s="18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</row>
    <row r="792" spans="1:19" x14ac:dyDescent="0.2">
      <c r="A792" s="18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</row>
    <row r="793" spans="1:19" x14ac:dyDescent="0.2">
      <c r="A793" s="18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</row>
    <row r="794" spans="1:19" x14ac:dyDescent="0.2">
      <c r="A794" s="18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</row>
    <row r="795" spans="1:19" x14ac:dyDescent="0.2">
      <c r="A795" s="18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</row>
    <row r="796" spans="1:19" x14ac:dyDescent="0.2">
      <c r="A796" s="18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</row>
    <row r="797" spans="1:19" x14ac:dyDescent="0.2">
      <c r="A797" s="18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</row>
    <row r="798" spans="1:19" x14ac:dyDescent="0.2">
      <c r="A798" s="18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</row>
    <row r="799" spans="1:19" x14ac:dyDescent="0.2">
      <c r="A799" s="18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</row>
    <row r="800" spans="1:19" x14ac:dyDescent="0.2">
      <c r="A800" s="18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</row>
    <row r="801" spans="1:19" x14ac:dyDescent="0.2">
      <c r="A801" s="18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</row>
    <row r="802" spans="1:19" x14ac:dyDescent="0.2">
      <c r="A802" s="18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</row>
    <row r="803" spans="1:19" x14ac:dyDescent="0.2">
      <c r="A803" s="18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</row>
    <row r="804" spans="1:19" x14ac:dyDescent="0.2">
      <c r="A804" s="18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</row>
    <row r="805" spans="1:19" x14ac:dyDescent="0.2">
      <c r="A805" s="18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</row>
    <row r="806" spans="1:19" x14ac:dyDescent="0.2">
      <c r="A806" s="18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</row>
    <row r="807" spans="1:19" x14ac:dyDescent="0.2">
      <c r="A807" s="18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</row>
    <row r="808" spans="1:19" x14ac:dyDescent="0.2">
      <c r="A808" s="18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</row>
    <row r="809" spans="1:19" x14ac:dyDescent="0.2">
      <c r="A809" s="18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</row>
    <row r="810" spans="1:19" x14ac:dyDescent="0.2">
      <c r="A810" s="18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</row>
    <row r="811" spans="1:19" x14ac:dyDescent="0.2">
      <c r="A811" s="18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</row>
    <row r="812" spans="1:19" x14ac:dyDescent="0.2">
      <c r="A812" s="18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</row>
    <row r="813" spans="1:19" x14ac:dyDescent="0.2">
      <c r="A813" s="18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</row>
    <row r="814" spans="1:19" x14ac:dyDescent="0.2">
      <c r="A814" s="18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</row>
    <row r="815" spans="1:19" x14ac:dyDescent="0.2">
      <c r="A815" s="18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</row>
    <row r="816" spans="1:19" x14ac:dyDescent="0.2">
      <c r="A816" s="18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</row>
    <row r="817" spans="1:19" x14ac:dyDescent="0.2">
      <c r="A817" s="18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</row>
    <row r="818" spans="1:19" x14ac:dyDescent="0.2">
      <c r="A818" s="18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</row>
    <row r="819" spans="1:19" x14ac:dyDescent="0.2">
      <c r="A819" s="18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</row>
    <row r="820" spans="1:19" x14ac:dyDescent="0.2">
      <c r="A820" s="18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</row>
    <row r="821" spans="1:19" x14ac:dyDescent="0.2">
      <c r="A821" s="18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</row>
    <row r="822" spans="1:19" x14ac:dyDescent="0.2">
      <c r="A822" s="18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</row>
    <row r="823" spans="1:19" x14ac:dyDescent="0.2">
      <c r="A823" s="18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</row>
    <row r="824" spans="1:19" x14ac:dyDescent="0.2">
      <c r="A824" s="18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</row>
    <row r="825" spans="1:19" x14ac:dyDescent="0.2">
      <c r="A825" s="18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</row>
    <row r="826" spans="1:19" x14ac:dyDescent="0.2">
      <c r="A826" s="18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</row>
    <row r="827" spans="1:19" x14ac:dyDescent="0.2">
      <c r="A827" s="18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</row>
    <row r="828" spans="1:19" x14ac:dyDescent="0.2">
      <c r="A828" s="18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</row>
    <row r="829" spans="1:19" x14ac:dyDescent="0.2">
      <c r="A829" s="18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</row>
    <row r="830" spans="1:19" x14ac:dyDescent="0.2">
      <c r="A830" s="18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</row>
    <row r="831" spans="1:19" x14ac:dyDescent="0.2">
      <c r="A831" s="18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</row>
    <row r="832" spans="1:19" x14ac:dyDescent="0.2">
      <c r="A832" s="18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</row>
    <row r="833" spans="1:19" x14ac:dyDescent="0.2">
      <c r="A833" s="18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</row>
    <row r="834" spans="1:19" x14ac:dyDescent="0.2">
      <c r="A834" s="18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</row>
    <row r="835" spans="1:19" x14ac:dyDescent="0.2">
      <c r="A835" s="18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</row>
    <row r="836" spans="1:19" x14ac:dyDescent="0.2">
      <c r="A836" s="18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</row>
    <row r="837" spans="1:19" x14ac:dyDescent="0.2">
      <c r="A837" s="18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</row>
    <row r="838" spans="1:19" x14ac:dyDescent="0.2">
      <c r="A838" s="18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</row>
    <row r="839" spans="1:19" x14ac:dyDescent="0.2">
      <c r="A839" s="18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</row>
    <row r="840" spans="1:19" x14ac:dyDescent="0.2">
      <c r="A840" s="18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</row>
    <row r="841" spans="1:19" x14ac:dyDescent="0.2">
      <c r="A841" s="18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</row>
    <row r="842" spans="1:19" x14ac:dyDescent="0.2">
      <c r="A842" s="18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</row>
    <row r="843" spans="1:19" x14ac:dyDescent="0.2">
      <c r="A843" s="18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</row>
    <row r="844" spans="1:19" x14ac:dyDescent="0.2">
      <c r="A844" s="18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</row>
    <row r="845" spans="1:19" x14ac:dyDescent="0.2">
      <c r="A845" s="18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</row>
    <row r="846" spans="1:19" x14ac:dyDescent="0.2">
      <c r="A846" s="18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</row>
    <row r="847" spans="1:19" x14ac:dyDescent="0.2">
      <c r="A847" s="18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</row>
    <row r="848" spans="1:19" x14ac:dyDescent="0.2">
      <c r="A848" s="18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</row>
    <row r="849" spans="1:19" x14ac:dyDescent="0.2">
      <c r="A849" s="18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</row>
    <row r="850" spans="1:19" x14ac:dyDescent="0.2">
      <c r="A850" s="18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</row>
    <row r="851" spans="1:19" x14ac:dyDescent="0.2">
      <c r="A851" s="18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</row>
    <row r="852" spans="1:19" x14ac:dyDescent="0.2">
      <c r="A852" s="18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</row>
    <row r="853" spans="1:19" x14ac:dyDescent="0.2">
      <c r="A853" s="18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</row>
    <row r="854" spans="1:19" x14ac:dyDescent="0.2">
      <c r="A854" s="18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</row>
    <row r="855" spans="1:19" x14ac:dyDescent="0.2">
      <c r="A855" s="18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</row>
    <row r="856" spans="1:19" x14ac:dyDescent="0.2">
      <c r="A856" s="18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</row>
    <row r="857" spans="1:19" x14ac:dyDescent="0.2">
      <c r="A857" s="18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</row>
    <row r="858" spans="1:19" x14ac:dyDescent="0.2">
      <c r="A858" s="18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</row>
    <row r="859" spans="1:19" x14ac:dyDescent="0.2">
      <c r="A859" s="18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</row>
    <row r="860" spans="1:19" x14ac:dyDescent="0.2">
      <c r="A860" s="18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</row>
    <row r="861" spans="1:19" x14ac:dyDescent="0.2">
      <c r="A861" s="18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</row>
    <row r="862" spans="1:19" x14ac:dyDescent="0.2">
      <c r="A862" s="18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</row>
    <row r="863" spans="1:19" x14ac:dyDescent="0.2">
      <c r="A863" s="18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</row>
    <row r="864" spans="1:19" x14ac:dyDescent="0.2">
      <c r="A864" s="18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</row>
    <row r="865" spans="1:19" x14ac:dyDescent="0.2">
      <c r="A865" s="18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</row>
    <row r="866" spans="1:19" x14ac:dyDescent="0.2">
      <c r="A866" s="18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</row>
    <row r="867" spans="1:19" x14ac:dyDescent="0.2">
      <c r="A867" s="18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</row>
    <row r="868" spans="1:19" x14ac:dyDescent="0.2">
      <c r="A868" s="18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</row>
    <row r="869" spans="1:19" x14ac:dyDescent="0.2">
      <c r="A869" s="18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</row>
    <row r="870" spans="1:19" x14ac:dyDescent="0.2">
      <c r="A870" s="18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</row>
    <row r="871" spans="1:19" x14ac:dyDescent="0.2">
      <c r="A871" s="18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</row>
    <row r="872" spans="1:19" x14ac:dyDescent="0.2">
      <c r="A872" s="18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</row>
    <row r="873" spans="1:19" x14ac:dyDescent="0.2">
      <c r="A873" s="18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</row>
    <row r="874" spans="1:19" x14ac:dyDescent="0.2">
      <c r="A874" s="18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</row>
    <row r="875" spans="1:19" x14ac:dyDescent="0.2">
      <c r="A875" s="18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</row>
    <row r="876" spans="1:19" x14ac:dyDescent="0.2">
      <c r="A876" s="18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</row>
    <row r="877" spans="1:19" x14ac:dyDescent="0.2">
      <c r="A877" s="18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</row>
    <row r="878" spans="1:19" x14ac:dyDescent="0.2">
      <c r="A878" s="18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</row>
    <row r="879" spans="1:19" x14ac:dyDescent="0.2">
      <c r="A879" s="18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</row>
    <row r="880" spans="1:19" x14ac:dyDescent="0.2">
      <c r="A880" s="18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</row>
    <row r="881" spans="1:19" x14ac:dyDescent="0.2">
      <c r="A881" s="18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</row>
    <row r="882" spans="1:19" x14ac:dyDescent="0.2">
      <c r="A882" s="18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</row>
    <row r="883" spans="1:19" x14ac:dyDescent="0.2">
      <c r="A883" s="18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</row>
    <row r="884" spans="1:19" x14ac:dyDescent="0.2">
      <c r="A884" s="18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</row>
    <row r="885" spans="1:19" x14ac:dyDescent="0.2">
      <c r="A885" s="18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</row>
    <row r="886" spans="1:19" x14ac:dyDescent="0.2">
      <c r="A886" s="18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</row>
    <row r="887" spans="1:19" x14ac:dyDescent="0.2">
      <c r="A887" s="18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</row>
    <row r="888" spans="1:19" x14ac:dyDescent="0.2">
      <c r="A888" s="18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</row>
    <row r="889" spans="1:19" x14ac:dyDescent="0.2">
      <c r="A889" s="18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</row>
    <row r="890" spans="1:19" x14ac:dyDescent="0.2">
      <c r="A890" s="18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</row>
    <row r="891" spans="1:19" x14ac:dyDescent="0.2">
      <c r="A891" s="18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</row>
    <row r="892" spans="1:19" x14ac:dyDescent="0.2">
      <c r="A892" s="18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</row>
    <row r="893" spans="1:19" x14ac:dyDescent="0.2">
      <c r="A893" s="18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</row>
    <row r="894" spans="1:19" x14ac:dyDescent="0.2">
      <c r="A894" s="18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</row>
    <row r="895" spans="1:19" x14ac:dyDescent="0.2">
      <c r="A895" s="18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</row>
    <row r="896" spans="1:19" x14ac:dyDescent="0.2">
      <c r="A896" s="18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</row>
    <row r="897" spans="1:19" x14ac:dyDescent="0.2">
      <c r="A897" s="18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</row>
    <row r="898" spans="1:19" x14ac:dyDescent="0.2">
      <c r="A898" s="18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</row>
    <row r="899" spans="1:19" x14ac:dyDescent="0.2">
      <c r="A899" s="18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</row>
    <row r="900" spans="1:19" x14ac:dyDescent="0.2">
      <c r="A900" s="18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</row>
    <row r="901" spans="1:19" x14ac:dyDescent="0.2">
      <c r="A901" s="18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</row>
    <row r="902" spans="1:19" x14ac:dyDescent="0.2">
      <c r="A902" s="18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</row>
    <row r="903" spans="1:19" x14ac:dyDescent="0.2">
      <c r="A903" s="18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</row>
    <row r="904" spans="1:19" x14ac:dyDescent="0.2">
      <c r="A904" s="18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</row>
    <row r="905" spans="1:19" x14ac:dyDescent="0.2">
      <c r="A905" s="18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</row>
    <row r="906" spans="1:19" x14ac:dyDescent="0.2">
      <c r="A906" s="18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</row>
    <row r="907" spans="1:19" x14ac:dyDescent="0.2">
      <c r="A907" s="18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</row>
    <row r="908" spans="1:19" x14ac:dyDescent="0.2">
      <c r="A908" s="18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</row>
    <row r="909" spans="1:19" x14ac:dyDescent="0.2">
      <c r="A909" s="18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</row>
    <row r="910" spans="1:19" x14ac:dyDescent="0.2">
      <c r="A910" s="18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</row>
    <row r="911" spans="1:19" x14ac:dyDescent="0.2">
      <c r="A911" s="18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</row>
    <row r="912" spans="1:19" x14ac:dyDescent="0.2">
      <c r="A912" s="18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</row>
    <row r="913" spans="1:19" x14ac:dyDescent="0.2">
      <c r="A913" s="18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</row>
    <row r="914" spans="1:19" x14ac:dyDescent="0.2">
      <c r="A914" s="18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</row>
    <row r="915" spans="1:19" x14ac:dyDescent="0.2">
      <c r="A915" s="18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</row>
    <row r="916" spans="1:19" x14ac:dyDescent="0.2">
      <c r="A916" s="18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</row>
    <row r="917" spans="1:19" x14ac:dyDescent="0.2">
      <c r="A917" s="18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</row>
    <row r="918" spans="1:19" x14ac:dyDescent="0.2">
      <c r="A918" s="18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</row>
    <row r="919" spans="1:19" x14ac:dyDescent="0.2">
      <c r="A919" s="18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8"/>
    </row>
    <row r="920" spans="1:19" x14ac:dyDescent="0.2">
      <c r="A920" s="18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8"/>
    </row>
    <row r="921" spans="1:19" x14ac:dyDescent="0.2">
      <c r="A921" s="18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8"/>
    </row>
    <row r="922" spans="1:19" x14ac:dyDescent="0.2">
      <c r="A922" s="18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8"/>
    </row>
    <row r="923" spans="1:19" x14ac:dyDescent="0.2">
      <c r="A923" s="18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8"/>
    </row>
    <row r="924" spans="1:19" x14ac:dyDescent="0.2">
      <c r="A924" s="18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8"/>
    </row>
    <row r="925" spans="1:19" x14ac:dyDescent="0.2">
      <c r="A925" s="18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8"/>
    </row>
    <row r="926" spans="1:19" x14ac:dyDescent="0.2">
      <c r="A926" s="18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8"/>
    </row>
    <row r="927" spans="1:19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</row>
    <row r="928" spans="1:19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</row>
    <row r="929" spans="1:19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</row>
    <row r="930" spans="1:19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</row>
    <row r="931" spans="1:19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</row>
    <row r="932" spans="1:19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</row>
    <row r="933" spans="1:19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</row>
    <row r="934" spans="1:19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</row>
    <row r="935" spans="1:19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</row>
    <row r="936" spans="1:19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</row>
    <row r="937" spans="1:19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</row>
    <row r="938" spans="1:19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</row>
    <row r="939" spans="1:19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</row>
    <row r="940" spans="1:19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</row>
    <row r="941" spans="1:19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</row>
    <row r="942" spans="1:19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</row>
    <row r="943" spans="1:19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</row>
    <row r="944" spans="1:19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</row>
    <row r="945" spans="1:19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</row>
    <row r="946" spans="1:19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</row>
    <row r="947" spans="1:19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</row>
    <row r="948" spans="1:19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</row>
    <row r="949" spans="1:19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</row>
    <row r="950" spans="1:19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</row>
    <row r="951" spans="1:19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</row>
    <row r="952" spans="1:19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</row>
    <row r="953" spans="1:19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</row>
    <row r="954" spans="1:19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</row>
    <row r="955" spans="1:19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</row>
    <row r="956" spans="1:19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</row>
    <row r="957" spans="1:19" x14ac:dyDescent="0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</row>
    <row r="958" spans="1:19" x14ac:dyDescent="0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</row>
    <row r="959" spans="1:19" x14ac:dyDescent="0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</row>
    <row r="960" spans="1:19" x14ac:dyDescent="0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</row>
    <row r="961" spans="1:19" x14ac:dyDescent="0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</row>
    <row r="962" spans="1:19" x14ac:dyDescent="0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</row>
    <row r="963" spans="1:19" x14ac:dyDescent="0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</row>
    <row r="964" spans="1:19" x14ac:dyDescent="0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</row>
    <row r="965" spans="1:19" x14ac:dyDescent="0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</row>
    <row r="966" spans="1:19" x14ac:dyDescent="0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</row>
    <row r="967" spans="1:19" x14ac:dyDescent="0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</row>
    <row r="968" spans="1:19" x14ac:dyDescent="0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</row>
    <row r="969" spans="1:19" x14ac:dyDescent="0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</row>
    <row r="970" spans="1:19" x14ac:dyDescent="0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</row>
    <row r="971" spans="1:19" x14ac:dyDescent="0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</row>
    <row r="972" spans="1:19" x14ac:dyDescent="0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</row>
    <row r="973" spans="1:19" x14ac:dyDescent="0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</row>
    <row r="974" spans="1:19" x14ac:dyDescent="0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</row>
    <row r="975" spans="1:19" x14ac:dyDescent="0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</row>
    <row r="976" spans="1:19" x14ac:dyDescent="0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</row>
    <row r="977" spans="1:19" x14ac:dyDescent="0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</row>
    <row r="978" spans="1:19" x14ac:dyDescent="0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</row>
    <row r="979" spans="1:19" x14ac:dyDescent="0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</row>
    <row r="980" spans="1:19" x14ac:dyDescent="0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</row>
    <row r="981" spans="1:19" x14ac:dyDescent="0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</row>
    <row r="982" spans="1:19" x14ac:dyDescent="0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</row>
    <row r="983" spans="1:19" x14ac:dyDescent="0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</row>
    <row r="984" spans="1:19" x14ac:dyDescent="0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</row>
    <row r="985" spans="1:19" x14ac:dyDescent="0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</row>
    <row r="986" spans="1:19" x14ac:dyDescent="0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</row>
    <row r="987" spans="1:19" x14ac:dyDescent="0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</row>
    <row r="988" spans="1:19" x14ac:dyDescent="0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</row>
    <row r="989" spans="1:19" x14ac:dyDescent="0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</row>
    <row r="990" spans="1:19" x14ac:dyDescent="0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</row>
    <row r="991" spans="1:19" x14ac:dyDescent="0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</row>
    <row r="992" spans="1:19" x14ac:dyDescent="0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</row>
    <row r="993" spans="1:19" x14ac:dyDescent="0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</row>
    <row r="994" spans="1:19" x14ac:dyDescent="0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</row>
    <row r="995" spans="1:19" x14ac:dyDescent="0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</row>
    <row r="996" spans="1:19" x14ac:dyDescent="0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</row>
    <row r="997" spans="1:19" x14ac:dyDescent="0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</row>
    <row r="998" spans="1:19" x14ac:dyDescent="0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</row>
    <row r="999" spans="1:19" x14ac:dyDescent="0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</row>
    <row r="1000" spans="1:19" x14ac:dyDescent="0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</row>
    <row r="1001" spans="1:19" x14ac:dyDescent="0.2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</row>
    <row r="1002" spans="1:19" x14ac:dyDescent="0.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</row>
    <row r="1003" spans="1:19" x14ac:dyDescent="0.2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</row>
    <row r="1004" spans="1:19" x14ac:dyDescent="0.2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</row>
    <row r="1005" spans="1:19" x14ac:dyDescent="0.2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</row>
    <row r="1006" spans="1:19" x14ac:dyDescent="0.2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</row>
    <row r="1007" spans="1:19" x14ac:dyDescent="0.2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</row>
    <row r="1008" spans="1:19" x14ac:dyDescent="0.2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</row>
    <row r="1009" spans="1:19" x14ac:dyDescent="0.2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</row>
    <row r="1010" spans="1:19" x14ac:dyDescent="0.2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</row>
    <row r="1011" spans="1:19" x14ac:dyDescent="0.2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</row>
    <row r="1012" spans="1:19" x14ac:dyDescent="0.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</row>
    <row r="1013" spans="1:19" x14ac:dyDescent="0.2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</row>
    <row r="1014" spans="1:19" x14ac:dyDescent="0.2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</row>
    <row r="1015" spans="1:19" x14ac:dyDescent="0.2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</row>
    <row r="1016" spans="1:19" x14ac:dyDescent="0.2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</row>
    <row r="1017" spans="1:19" x14ac:dyDescent="0.2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</row>
    <row r="1018" spans="1:19" x14ac:dyDescent="0.2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</row>
    <row r="1019" spans="1:19" x14ac:dyDescent="0.2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</row>
    <row r="1020" spans="1:19" x14ac:dyDescent="0.2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</row>
    <row r="1021" spans="1:19" x14ac:dyDescent="0.2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</row>
    <row r="1022" spans="1:19" x14ac:dyDescent="0.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</row>
    <row r="1023" spans="1:19" x14ac:dyDescent="0.2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</row>
    <row r="1024" spans="1:19" x14ac:dyDescent="0.2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</row>
    <row r="1025" spans="1:19" x14ac:dyDescent="0.2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</row>
    <row r="1026" spans="1:19" x14ac:dyDescent="0.2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</row>
    <row r="1027" spans="1:19" x14ac:dyDescent="0.2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</row>
    <row r="1028" spans="1:19" x14ac:dyDescent="0.2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</row>
    <row r="1029" spans="1:19" x14ac:dyDescent="0.2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</row>
    <row r="1030" spans="1:19" x14ac:dyDescent="0.2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</row>
    <row r="1031" spans="1:19" x14ac:dyDescent="0.2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</row>
    <row r="1032" spans="1:19" x14ac:dyDescent="0.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</row>
    <row r="1033" spans="1:19" x14ac:dyDescent="0.2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</row>
    <row r="1034" spans="1:19" x14ac:dyDescent="0.2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</row>
    <row r="1035" spans="1:19" x14ac:dyDescent="0.2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</row>
    <row r="1036" spans="1:19" x14ac:dyDescent="0.2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</row>
    <row r="1037" spans="1:19" x14ac:dyDescent="0.2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</row>
    <row r="1038" spans="1:19" x14ac:dyDescent="0.2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</row>
    <row r="1039" spans="1:19" x14ac:dyDescent="0.2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</row>
    <row r="1040" spans="1:19" x14ac:dyDescent="0.2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</row>
    <row r="1041" spans="1:19" x14ac:dyDescent="0.2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</row>
    <row r="1042" spans="1:19" x14ac:dyDescent="0.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</row>
    <row r="1043" spans="1:19" x14ac:dyDescent="0.2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</row>
    <row r="1044" spans="1:19" x14ac:dyDescent="0.2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</row>
    <row r="1045" spans="1:19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</row>
    <row r="1046" spans="1:19" x14ac:dyDescent="0.2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</row>
    <row r="1047" spans="1:19" x14ac:dyDescent="0.2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</row>
    <row r="1048" spans="1:19" x14ac:dyDescent="0.2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</row>
    <row r="1049" spans="1:19" x14ac:dyDescent="0.2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</row>
    <row r="1050" spans="1:19" x14ac:dyDescent="0.2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</row>
    <row r="1051" spans="1:19" x14ac:dyDescent="0.2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</row>
    <row r="1052" spans="1:19" x14ac:dyDescent="0.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</row>
    <row r="1053" spans="1:19" x14ac:dyDescent="0.2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</row>
    <row r="1054" spans="1:19" x14ac:dyDescent="0.2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</row>
    <row r="1055" spans="1:19" x14ac:dyDescent="0.2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</row>
    <row r="1056" spans="1:19" x14ac:dyDescent="0.2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</row>
    <row r="1057" spans="1:19" x14ac:dyDescent="0.2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</row>
    <row r="1058" spans="1:19" x14ac:dyDescent="0.2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</row>
    <row r="1059" spans="1:19" x14ac:dyDescent="0.2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</row>
    <row r="1060" spans="1:19" x14ac:dyDescent="0.2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</row>
    <row r="1061" spans="1:19" x14ac:dyDescent="0.2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</row>
    <row r="1062" spans="1:19" x14ac:dyDescent="0.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</row>
    <row r="1063" spans="1:19" x14ac:dyDescent="0.2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</row>
    <row r="1064" spans="1:19" x14ac:dyDescent="0.2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</row>
    <row r="1065" spans="1:19" x14ac:dyDescent="0.2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</row>
    <row r="1066" spans="1:19" x14ac:dyDescent="0.2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</row>
    <row r="1067" spans="1:19" x14ac:dyDescent="0.2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</row>
    <row r="1068" spans="1:19" x14ac:dyDescent="0.2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</row>
    <row r="1069" spans="1:19" x14ac:dyDescent="0.2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</row>
    <row r="1070" spans="1:19" x14ac:dyDescent="0.2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</row>
    <row r="1071" spans="1:19" x14ac:dyDescent="0.2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</row>
    <row r="1072" spans="1:19" x14ac:dyDescent="0.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</row>
    <row r="1073" spans="1:19" x14ac:dyDescent="0.2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</row>
    <row r="1074" spans="1:19" x14ac:dyDescent="0.2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</row>
    <row r="1075" spans="1:19" x14ac:dyDescent="0.2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</row>
    <row r="1076" spans="1:19" x14ac:dyDescent="0.2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</row>
    <row r="1077" spans="1:19" x14ac:dyDescent="0.2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</row>
    <row r="1078" spans="1:19" x14ac:dyDescent="0.2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</row>
    <row r="1079" spans="1:19" x14ac:dyDescent="0.2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</row>
    <row r="1080" spans="1:19" x14ac:dyDescent="0.2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</row>
    <row r="1081" spans="1:19" x14ac:dyDescent="0.2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</row>
    <row r="1082" spans="1:19" x14ac:dyDescent="0.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</row>
    <row r="1083" spans="1:19" x14ac:dyDescent="0.2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</row>
    <row r="1084" spans="1:19" x14ac:dyDescent="0.2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</row>
    <row r="1085" spans="1:19" x14ac:dyDescent="0.2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</row>
    <row r="1086" spans="1:19" x14ac:dyDescent="0.2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</row>
    <row r="1087" spans="1:19" x14ac:dyDescent="0.2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</row>
    <row r="1088" spans="1:19" x14ac:dyDescent="0.2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</row>
    <row r="1089" spans="1:19" x14ac:dyDescent="0.2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</row>
    <row r="1090" spans="1:19" x14ac:dyDescent="0.2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</row>
    <row r="1091" spans="1:19" x14ac:dyDescent="0.2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</row>
    <row r="1092" spans="1:19" x14ac:dyDescent="0.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</row>
    <row r="1093" spans="1:19" x14ac:dyDescent="0.2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</row>
    <row r="1094" spans="1:19" x14ac:dyDescent="0.2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</row>
    <row r="1095" spans="1:19" x14ac:dyDescent="0.2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</row>
    <row r="1096" spans="1:19" x14ac:dyDescent="0.2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</row>
    <row r="1097" spans="1:19" x14ac:dyDescent="0.2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</row>
    <row r="1098" spans="1:19" x14ac:dyDescent="0.2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</row>
    <row r="1099" spans="1:19" x14ac:dyDescent="0.2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</row>
    <row r="1100" spans="1:19" x14ac:dyDescent="0.2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</row>
    <row r="1101" spans="1:19" x14ac:dyDescent="0.2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</row>
    <row r="1102" spans="1:19" x14ac:dyDescent="0.2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</row>
    <row r="1103" spans="1:19" x14ac:dyDescent="0.2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</row>
    <row r="1104" spans="1:19" x14ac:dyDescent="0.2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</row>
    <row r="1105" spans="1:19" x14ac:dyDescent="0.2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</row>
    <row r="1106" spans="1:19" x14ac:dyDescent="0.2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</row>
    <row r="1107" spans="1:19" x14ac:dyDescent="0.2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</row>
    <row r="1108" spans="1:19" x14ac:dyDescent="0.2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</row>
    <row r="1109" spans="1:19" x14ac:dyDescent="0.2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</row>
    <row r="1110" spans="1:19" x14ac:dyDescent="0.2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</row>
    <row r="1111" spans="1:19" x14ac:dyDescent="0.2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</row>
    <row r="1112" spans="1:19" x14ac:dyDescent="0.2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</row>
    <row r="1113" spans="1:19" x14ac:dyDescent="0.2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</row>
    <row r="1114" spans="1:19" x14ac:dyDescent="0.2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</row>
    <row r="1115" spans="1:19" x14ac:dyDescent="0.2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</row>
    <row r="1116" spans="1:19" x14ac:dyDescent="0.2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</row>
    <row r="1117" spans="1:19" x14ac:dyDescent="0.2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</row>
    <row r="1118" spans="1:19" x14ac:dyDescent="0.2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</row>
    <row r="1119" spans="1:19" x14ac:dyDescent="0.2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</row>
    <row r="1120" spans="1:19" x14ac:dyDescent="0.2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</row>
    <row r="1121" spans="1:19" x14ac:dyDescent="0.2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</row>
    <row r="1122" spans="1:19" x14ac:dyDescent="0.2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</row>
    <row r="1123" spans="1:19" x14ac:dyDescent="0.2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</row>
    <row r="1124" spans="1:19" x14ac:dyDescent="0.2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</row>
    <row r="1125" spans="1:19" x14ac:dyDescent="0.2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</row>
    <row r="1126" spans="1:19" x14ac:dyDescent="0.2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</row>
    <row r="1127" spans="1:19" x14ac:dyDescent="0.2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</row>
    <row r="1128" spans="1:19" x14ac:dyDescent="0.2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</row>
    <row r="1129" spans="1:19" x14ac:dyDescent="0.2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</row>
    <row r="1130" spans="1:19" x14ac:dyDescent="0.2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</row>
    <row r="1131" spans="1:19" x14ac:dyDescent="0.2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</row>
    <row r="1132" spans="1:19" x14ac:dyDescent="0.2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</row>
    <row r="1133" spans="1:19" x14ac:dyDescent="0.2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</row>
    <row r="1134" spans="1:19" x14ac:dyDescent="0.2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</row>
    <row r="1135" spans="1:19" x14ac:dyDescent="0.2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</row>
    <row r="1136" spans="1:19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</row>
    <row r="1137" spans="1:19" x14ac:dyDescent="0.2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</row>
    <row r="1138" spans="1:19" x14ac:dyDescent="0.2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</row>
    <row r="1139" spans="1:19" x14ac:dyDescent="0.2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</row>
    <row r="1140" spans="1:19" x14ac:dyDescent="0.2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</row>
    <row r="1141" spans="1:19" x14ac:dyDescent="0.2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</row>
    <row r="1142" spans="1:19" x14ac:dyDescent="0.2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</row>
    <row r="1143" spans="1:19" x14ac:dyDescent="0.2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</row>
    <row r="1144" spans="1:19" x14ac:dyDescent="0.2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</row>
    <row r="1145" spans="1:19" x14ac:dyDescent="0.2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</row>
    <row r="1146" spans="1:19" x14ac:dyDescent="0.2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</row>
    <row r="1147" spans="1:19" x14ac:dyDescent="0.2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</row>
    <row r="1148" spans="1:19" x14ac:dyDescent="0.2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</row>
    <row r="1149" spans="1:19" x14ac:dyDescent="0.2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</row>
    <row r="1150" spans="1:19" x14ac:dyDescent="0.2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</row>
    <row r="1151" spans="1:19" x14ac:dyDescent="0.2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</row>
    <row r="1152" spans="1:19" x14ac:dyDescent="0.2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</row>
    <row r="1153" spans="1:19" x14ac:dyDescent="0.2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</row>
    <row r="1154" spans="1:19" x14ac:dyDescent="0.2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</row>
    <row r="1155" spans="1:19" x14ac:dyDescent="0.2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</row>
    <row r="1156" spans="1:19" x14ac:dyDescent="0.2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</row>
    <row r="1157" spans="1:19" x14ac:dyDescent="0.2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</row>
    <row r="1158" spans="1:19" x14ac:dyDescent="0.2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</row>
    <row r="1159" spans="1:19" x14ac:dyDescent="0.2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</row>
    <row r="1160" spans="1:19" x14ac:dyDescent="0.2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</row>
    <row r="1161" spans="1:19" x14ac:dyDescent="0.2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</row>
    <row r="1162" spans="1:19" x14ac:dyDescent="0.2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</row>
    <row r="1163" spans="1:19" x14ac:dyDescent="0.2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</row>
    <row r="1164" spans="1:19" x14ac:dyDescent="0.2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</row>
    <row r="1165" spans="1:19" x14ac:dyDescent="0.2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</row>
    <row r="1166" spans="1:19" x14ac:dyDescent="0.2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</row>
    <row r="1167" spans="1:19" x14ac:dyDescent="0.2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</row>
    <row r="1168" spans="1:19" x14ac:dyDescent="0.2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</row>
    <row r="1169" spans="1:19" x14ac:dyDescent="0.2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</row>
    <row r="1170" spans="1:19" x14ac:dyDescent="0.2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</row>
    <row r="1171" spans="1:19" x14ac:dyDescent="0.2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</row>
    <row r="1172" spans="1:19" x14ac:dyDescent="0.2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</row>
    <row r="1173" spans="1:19" x14ac:dyDescent="0.2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</row>
    <row r="1174" spans="1:19" x14ac:dyDescent="0.2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</row>
    <row r="1175" spans="1:19" x14ac:dyDescent="0.2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</row>
    <row r="1176" spans="1:19" x14ac:dyDescent="0.2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</row>
    <row r="1177" spans="1:19" x14ac:dyDescent="0.2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</row>
    <row r="1178" spans="1:19" x14ac:dyDescent="0.2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</row>
    <row r="1179" spans="1:19" x14ac:dyDescent="0.2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</row>
    <row r="1180" spans="1:19" x14ac:dyDescent="0.2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</row>
    <row r="1181" spans="1:19" x14ac:dyDescent="0.2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</row>
    <row r="1182" spans="1:19" x14ac:dyDescent="0.2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</row>
    <row r="1183" spans="1:19" x14ac:dyDescent="0.2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</row>
    <row r="1184" spans="1:19" x14ac:dyDescent="0.2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</row>
    <row r="1185" spans="1:19" x14ac:dyDescent="0.2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</row>
    <row r="1186" spans="1:19" x14ac:dyDescent="0.2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</row>
    <row r="1187" spans="1:19" x14ac:dyDescent="0.2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</row>
    <row r="1188" spans="1:19" x14ac:dyDescent="0.2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</row>
    <row r="1189" spans="1:19" x14ac:dyDescent="0.2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</row>
    <row r="1190" spans="1:19" x14ac:dyDescent="0.2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</row>
    <row r="1191" spans="1:19" x14ac:dyDescent="0.2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</row>
    <row r="1192" spans="1:19" x14ac:dyDescent="0.2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</row>
    <row r="1193" spans="1:19" x14ac:dyDescent="0.2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</row>
    <row r="1194" spans="1:19" x14ac:dyDescent="0.2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</row>
    <row r="1195" spans="1:19" x14ac:dyDescent="0.2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</row>
    <row r="1196" spans="1:19" x14ac:dyDescent="0.2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</row>
    <row r="1197" spans="1:19" x14ac:dyDescent="0.2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</row>
    <row r="1198" spans="1:19" x14ac:dyDescent="0.2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</row>
    <row r="1199" spans="1:19" x14ac:dyDescent="0.2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</row>
    <row r="1200" spans="1:19" x14ac:dyDescent="0.2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</row>
    <row r="1201" spans="1:19" x14ac:dyDescent="0.2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</row>
    <row r="1202" spans="1:19" x14ac:dyDescent="0.2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</row>
    <row r="1203" spans="1:19" x14ac:dyDescent="0.2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</row>
    <row r="1204" spans="1:19" x14ac:dyDescent="0.2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</row>
    <row r="1205" spans="1:19" x14ac:dyDescent="0.2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</row>
    <row r="1206" spans="1:19" x14ac:dyDescent="0.2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</row>
    <row r="1207" spans="1:19" x14ac:dyDescent="0.2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</row>
    <row r="1208" spans="1:19" x14ac:dyDescent="0.2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</row>
    <row r="1209" spans="1:19" x14ac:dyDescent="0.2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</row>
    <row r="1210" spans="1:19" x14ac:dyDescent="0.2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</row>
    <row r="1211" spans="1:19" x14ac:dyDescent="0.2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</row>
    <row r="1212" spans="1:19" x14ac:dyDescent="0.2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</row>
    <row r="1213" spans="1:19" x14ac:dyDescent="0.2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</row>
    <row r="1214" spans="1:19" x14ac:dyDescent="0.2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</row>
    <row r="1215" spans="1:19" x14ac:dyDescent="0.2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</row>
    <row r="1216" spans="1:19" x14ac:dyDescent="0.2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</row>
    <row r="1217" spans="1:19" x14ac:dyDescent="0.2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</row>
    <row r="1218" spans="1:19" x14ac:dyDescent="0.2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</row>
    <row r="1219" spans="1:19" x14ac:dyDescent="0.2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</row>
    <row r="1220" spans="1:19" x14ac:dyDescent="0.2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</row>
    <row r="1221" spans="1:19" x14ac:dyDescent="0.2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</row>
    <row r="1222" spans="1:19" x14ac:dyDescent="0.2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</row>
    <row r="1223" spans="1:19" x14ac:dyDescent="0.2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</row>
    <row r="1224" spans="1:19" x14ac:dyDescent="0.2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</row>
    <row r="1225" spans="1:19" x14ac:dyDescent="0.2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</row>
    <row r="1226" spans="1:19" x14ac:dyDescent="0.2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</row>
    <row r="1227" spans="1:19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</row>
    <row r="1228" spans="1:19" x14ac:dyDescent="0.2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</row>
    <row r="1229" spans="1:19" x14ac:dyDescent="0.2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</row>
    <row r="1230" spans="1:19" x14ac:dyDescent="0.2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</row>
    <row r="1231" spans="1:19" x14ac:dyDescent="0.2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</row>
    <row r="1232" spans="1:19" x14ac:dyDescent="0.2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</row>
    <row r="1233" spans="1:19" x14ac:dyDescent="0.2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</row>
    <row r="1234" spans="1:19" x14ac:dyDescent="0.2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</row>
    <row r="1235" spans="1:19" x14ac:dyDescent="0.2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</row>
    <row r="1236" spans="1:19" x14ac:dyDescent="0.2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</row>
    <row r="1237" spans="1:19" x14ac:dyDescent="0.2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</row>
    <row r="1238" spans="1:19" x14ac:dyDescent="0.2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</row>
    <row r="1239" spans="1:19" x14ac:dyDescent="0.2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</row>
    <row r="1240" spans="1:19" x14ac:dyDescent="0.2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</row>
    <row r="1241" spans="1:19" x14ac:dyDescent="0.2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</row>
    <row r="1242" spans="1:19" x14ac:dyDescent="0.2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</row>
    <row r="1243" spans="1:19" x14ac:dyDescent="0.2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</row>
    <row r="1244" spans="1:19" x14ac:dyDescent="0.2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</row>
    <row r="1245" spans="1:19" x14ac:dyDescent="0.2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</row>
    <row r="1246" spans="1:19" x14ac:dyDescent="0.2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</row>
    <row r="1247" spans="1:19" x14ac:dyDescent="0.2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</row>
    <row r="1248" spans="1:19" x14ac:dyDescent="0.2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</row>
    <row r="1249" spans="1:19" x14ac:dyDescent="0.2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</row>
    <row r="1250" spans="1:19" x14ac:dyDescent="0.2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</row>
    <row r="1251" spans="1:19" x14ac:dyDescent="0.2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</row>
    <row r="1252" spans="1:19" x14ac:dyDescent="0.2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</row>
    <row r="1253" spans="1:19" x14ac:dyDescent="0.2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</row>
    <row r="1254" spans="1:19" x14ac:dyDescent="0.2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</row>
    <row r="1255" spans="1:19" x14ac:dyDescent="0.2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</row>
    <row r="1256" spans="1:19" x14ac:dyDescent="0.2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</row>
    <row r="1257" spans="1:19" x14ac:dyDescent="0.2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</row>
    <row r="1258" spans="1:19" x14ac:dyDescent="0.2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</row>
    <row r="1259" spans="1:19" x14ac:dyDescent="0.2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</row>
    <row r="1260" spans="1:19" x14ac:dyDescent="0.2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</row>
    <row r="1261" spans="1:19" x14ac:dyDescent="0.2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</row>
    <row r="1262" spans="1:19" x14ac:dyDescent="0.2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</row>
    <row r="1263" spans="1:19" x14ac:dyDescent="0.2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</row>
    <row r="1264" spans="1:19" x14ac:dyDescent="0.2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</row>
    <row r="1265" spans="1:19" x14ac:dyDescent="0.2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</row>
    <row r="1266" spans="1:19" x14ac:dyDescent="0.2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</row>
    <row r="1267" spans="1:19" x14ac:dyDescent="0.2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</row>
    <row r="1268" spans="1:19" x14ac:dyDescent="0.2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</row>
    <row r="1269" spans="1:19" x14ac:dyDescent="0.2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</row>
    <row r="1270" spans="1:19" x14ac:dyDescent="0.2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</row>
    <row r="1271" spans="1:19" x14ac:dyDescent="0.2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</row>
    <row r="1272" spans="1:19" x14ac:dyDescent="0.2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</row>
    <row r="1273" spans="1:19" x14ac:dyDescent="0.2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</row>
    <row r="1274" spans="1:19" x14ac:dyDescent="0.2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</row>
    <row r="1275" spans="1:19" x14ac:dyDescent="0.2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</row>
    <row r="1276" spans="1:19" x14ac:dyDescent="0.2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</row>
    <row r="1277" spans="1:19" x14ac:dyDescent="0.2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</row>
    <row r="1278" spans="1:19" x14ac:dyDescent="0.2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</row>
    <row r="1279" spans="1:19" x14ac:dyDescent="0.2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</row>
    <row r="1280" spans="1:19" x14ac:dyDescent="0.2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</row>
    <row r="1281" spans="1:19" x14ac:dyDescent="0.2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</row>
    <row r="1282" spans="1:19" x14ac:dyDescent="0.2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</row>
    <row r="1283" spans="1:19" x14ac:dyDescent="0.2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</row>
    <row r="1284" spans="1:19" x14ac:dyDescent="0.2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</row>
    <row r="1285" spans="1:19" x14ac:dyDescent="0.2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</row>
    <row r="1286" spans="1:19" x14ac:dyDescent="0.2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</row>
    <row r="1287" spans="1:19" x14ac:dyDescent="0.2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</row>
    <row r="1288" spans="1:19" x14ac:dyDescent="0.2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</row>
    <row r="1289" spans="1:19" x14ac:dyDescent="0.2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</row>
    <row r="1290" spans="1:19" x14ac:dyDescent="0.2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</row>
    <row r="1291" spans="1:19" x14ac:dyDescent="0.2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</row>
    <row r="1292" spans="1:19" x14ac:dyDescent="0.2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</row>
    <row r="1293" spans="1:19" x14ac:dyDescent="0.2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</row>
    <row r="1294" spans="1:19" x14ac:dyDescent="0.2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</row>
    <row r="1295" spans="1:19" x14ac:dyDescent="0.2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</row>
    <row r="1296" spans="1:19" x14ac:dyDescent="0.2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</row>
    <row r="1297" spans="1:19" x14ac:dyDescent="0.2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</row>
    <row r="1298" spans="1:19" x14ac:dyDescent="0.2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</row>
    <row r="1299" spans="1:19" x14ac:dyDescent="0.2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</row>
    <row r="1300" spans="1:19" x14ac:dyDescent="0.2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</row>
    <row r="1301" spans="1:19" x14ac:dyDescent="0.2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</row>
    <row r="1302" spans="1:19" x14ac:dyDescent="0.2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</row>
    <row r="1303" spans="1:19" x14ac:dyDescent="0.2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</row>
    <row r="1304" spans="1:19" x14ac:dyDescent="0.2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</row>
    <row r="1305" spans="1:19" x14ac:dyDescent="0.2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</row>
    <row r="1306" spans="1:19" x14ac:dyDescent="0.2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</row>
    <row r="1307" spans="1:19" x14ac:dyDescent="0.2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</row>
    <row r="1308" spans="1:19" x14ac:dyDescent="0.2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</row>
    <row r="1309" spans="1:19" x14ac:dyDescent="0.2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</row>
    <row r="1310" spans="1:19" x14ac:dyDescent="0.2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</row>
    <row r="1311" spans="1:19" x14ac:dyDescent="0.2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</row>
    <row r="1312" spans="1:19" x14ac:dyDescent="0.2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</row>
    <row r="1313" spans="1:19" x14ac:dyDescent="0.2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</row>
    <row r="1314" spans="1:19" x14ac:dyDescent="0.2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</row>
    <row r="1315" spans="1:19" x14ac:dyDescent="0.2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</row>
    <row r="1316" spans="1:19" x14ac:dyDescent="0.2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</row>
    <row r="1317" spans="1:19" x14ac:dyDescent="0.2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</row>
    <row r="1318" spans="1:19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</row>
    <row r="1319" spans="1:19" x14ac:dyDescent="0.2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</row>
    <row r="1320" spans="1:19" x14ac:dyDescent="0.2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</row>
    <row r="1321" spans="1:19" x14ac:dyDescent="0.2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</row>
    <row r="1322" spans="1:19" x14ac:dyDescent="0.2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</row>
    <row r="1323" spans="1:19" x14ac:dyDescent="0.2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</row>
    <row r="1324" spans="1:19" x14ac:dyDescent="0.2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</row>
    <row r="1325" spans="1:19" x14ac:dyDescent="0.2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</row>
    <row r="1326" spans="1:19" x14ac:dyDescent="0.2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</row>
    <row r="1327" spans="1:19" x14ac:dyDescent="0.2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</row>
    <row r="1328" spans="1:19" x14ac:dyDescent="0.2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</row>
    <row r="1329" spans="1:19" x14ac:dyDescent="0.2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</row>
    <row r="1330" spans="1:19" x14ac:dyDescent="0.2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</row>
    <row r="1331" spans="1:19" x14ac:dyDescent="0.2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</row>
    <row r="1332" spans="1:19" x14ac:dyDescent="0.2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</row>
    <row r="1333" spans="1:19" x14ac:dyDescent="0.2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</row>
    <row r="1334" spans="1:19" x14ac:dyDescent="0.2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</row>
    <row r="1335" spans="1:19" x14ac:dyDescent="0.2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</row>
    <row r="1336" spans="1:19" x14ac:dyDescent="0.2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</row>
    <row r="1337" spans="1:19" x14ac:dyDescent="0.2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</row>
    <row r="1338" spans="1:19" x14ac:dyDescent="0.2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</row>
    <row r="1339" spans="1:19" x14ac:dyDescent="0.2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</row>
    <row r="1340" spans="1:19" x14ac:dyDescent="0.2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</row>
    <row r="1341" spans="1:19" x14ac:dyDescent="0.2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</row>
    <row r="1342" spans="1:19" x14ac:dyDescent="0.2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</row>
    <row r="1343" spans="1:19" x14ac:dyDescent="0.2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</row>
    <row r="1344" spans="1:19" x14ac:dyDescent="0.2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</row>
    <row r="1345" spans="1:19" x14ac:dyDescent="0.2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</row>
    <row r="1346" spans="1:19" x14ac:dyDescent="0.2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</row>
    <row r="1347" spans="1:19" x14ac:dyDescent="0.2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</row>
    <row r="1348" spans="1:19" x14ac:dyDescent="0.2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</row>
    <row r="1349" spans="1:19" x14ac:dyDescent="0.2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</row>
    <row r="1350" spans="1:19" x14ac:dyDescent="0.2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</row>
    <row r="1351" spans="1:19" x14ac:dyDescent="0.2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</row>
    <row r="1352" spans="1:19" x14ac:dyDescent="0.2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</row>
    <row r="1353" spans="1:19" x14ac:dyDescent="0.2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</row>
    <row r="1354" spans="1:19" x14ac:dyDescent="0.2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</row>
    <row r="1355" spans="1:19" x14ac:dyDescent="0.2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</row>
    <row r="1356" spans="1:19" x14ac:dyDescent="0.2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</row>
    <row r="1357" spans="1:19" x14ac:dyDescent="0.2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</row>
    <row r="1358" spans="1:19" x14ac:dyDescent="0.2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</row>
    <row r="1359" spans="1:19" x14ac:dyDescent="0.2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</row>
    <row r="1360" spans="1:19" x14ac:dyDescent="0.2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</row>
    <row r="1361" spans="1:19" x14ac:dyDescent="0.2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</row>
    <row r="1362" spans="1:19" x14ac:dyDescent="0.2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</row>
    <row r="1363" spans="1:19" x14ac:dyDescent="0.2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</row>
    <row r="1364" spans="1:19" x14ac:dyDescent="0.2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</row>
    <row r="1365" spans="1:19" x14ac:dyDescent="0.2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</row>
    <row r="1366" spans="1:19" x14ac:dyDescent="0.2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</row>
    <row r="1367" spans="1:19" x14ac:dyDescent="0.2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</row>
    <row r="1368" spans="1:19" x14ac:dyDescent="0.2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</row>
    <row r="1369" spans="1:19" x14ac:dyDescent="0.2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</row>
    <row r="1370" spans="1:19" x14ac:dyDescent="0.2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</row>
    <row r="1371" spans="1:19" x14ac:dyDescent="0.2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</row>
    <row r="1372" spans="1:19" x14ac:dyDescent="0.2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</row>
    <row r="1373" spans="1:19" x14ac:dyDescent="0.2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</row>
    <row r="1374" spans="1:19" x14ac:dyDescent="0.2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</row>
    <row r="1375" spans="1:19" x14ac:dyDescent="0.2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</row>
    <row r="1376" spans="1:19" x14ac:dyDescent="0.2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</row>
    <row r="1377" spans="1:19" x14ac:dyDescent="0.2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</row>
    <row r="1378" spans="1:19" x14ac:dyDescent="0.2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</row>
    <row r="1379" spans="1:19" x14ac:dyDescent="0.2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</row>
    <row r="1380" spans="1:19" x14ac:dyDescent="0.2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</row>
    <row r="1381" spans="1:19" x14ac:dyDescent="0.2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</row>
    <row r="1382" spans="1:19" x14ac:dyDescent="0.2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</row>
    <row r="1383" spans="1:19" x14ac:dyDescent="0.2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</row>
    <row r="1384" spans="1:19" x14ac:dyDescent="0.2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</row>
    <row r="1385" spans="1:19" x14ac:dyDescent="0.2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</row>
    <row r="1386" spans="1:19" x14ac:dyDescent="0.2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</row>
    <row r="1387" spans="1:19" x14ac:dyDescent="0.2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</row>
    <row r="1388" spans="1:19" x14ac:dyDescent="0.2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</row>
    <row r="1389" spans="1:19" x14ac:dyDescent="0.2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</row>
    <row r="1390" spans="1:19" x14ac:dyDescent="0.2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</row>
    <row r="1391" spans="1:19" x14ac:dyDescent="0.2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</row>
    <row r="1392" spans="1:19" x14ac:dyDescent="0.2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</row>
    <row r="1393" spans="1:19" x14ac:dyDescent="0.2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</row>
    <row r="1394" spans="1:19" x14ac:dyDescent="0.2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</row>
    <row r="1395" spans="1:19" x14ac:dyDescent="0.2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</row>
    <row r="1396" spans="1:19" x14ac:dyDescent="0.2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</row>
    <row r="1397" spans="1:19" x14ac:dyDescent="0.2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</row>
    <row r="1398" spans="1:19" x14ac:dyDescent="0.2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</row>
    <row r="1399" spans="1:19" x14ac:dyDescent="0.2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</row>
    <row r="1400" spans="1:19" x14ac:dyDescent="0.2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</row>
    <row r="1401" spans="1:19" x14ac:dyDescent="0.2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</row>
    <row r="1402" spans="1:19" x14ac:dyDescent="0.2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</row>
    <row r="1403" spans="1:19" x14ac:dyDescent="0.2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</row>
    <row r="1404" spans="1:19" x14ac:dyDescent="0.2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</row>
    <row r="1405" spans="1:19" x14ac:dyDescent="0.2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</row>
    <row r="1406" spans="1:19" x14ac:dyDescent="0.2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</row>
    <row r="1407" spans="1:19" x14ac:dyDescent="0.2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</row>
    <row r="1408" spans="1:19" x14ac:dyDescent="0.2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</row>
    <row r="1409" spans="1:19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</row>
    <row r="1410" spans="1:19" x14ac:dyDescent="0.2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</row>
    <row r="1411" spans="1:19" x14ac:dyDescent="0.2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</row>
    <row r="1412" spans="1:19" x14ac:dyDescent="0.2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</row>
    <row r="1413" spans="1:19" x14ac:dyDescent="0.2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</row>
    <row r="1414" spans="1:19" x14ac:dyDescent="0.2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</row>
    <row r="1415" spans="1:19" x14ac:dyDescent="0.2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</row>
    <row r="1416" spans="1:19" x14ac:dyDescent="0.2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</row>
    <row r="1417" spans="1:19" x14ac:dyDescent="0.2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</row>
    <row r="1418" spans="1:19" x14ac:dyDescent="0.2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</row>
    <row r="1419" spans="1:19" x14ac:dyDescent="0.2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</row>
    <row r="1420" spans="1:19" x14ac:dyDescent="0.2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</row>
    <row r="1421" spans="1:19" x14ac:dyDescent="0.2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</row>
    <row r="1422" spans="1:19" x14ac:dyDescent="0.2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</row>
    <row r="1423" spans="1:19" x14ac:dyDescent="0.2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</row>
    <row r="1424" spans="1:19" x14ac:dyDescent="0.2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</row>
    <row r="1425" spans="1:19" x14ac:dyDescent="0.2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</row>
    <row r="1426" spans="1:19" x14ac:dyDescent="0.2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</row>
    <row r="1427" spans="1:19" x14ac:dyDescent="0.2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</row>
    <row r="1428" spans="1:19" x14ac:dyDescent="0.2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</row>
    <row r="1429" spans="1:19" x14ac:dyDescent="0.2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</row>
    <row r="1430" spans="1:19" x14ac:dyDescent="0.2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</row>
    <row r="1431" spans="1:19" x14ac:dyDescent="0.2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</row>
    <row r="1432" spans="1:19" x14ac:dyDescent="0.2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</row>
    <row r="1433" spans="1:19" x14ac:dyDescent="0.2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</row>
    <row r="1434" spans="1:19" x14ac:dyDescent="0.2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</row>
    <row r="1435" spans="1:19" x14ac:dyDescent="0.2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</row>
    <row r="1436" spans="1:19" x14ac:dyDescent="0.2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</row>
    <row r="1437" spans="1:19" x14ac:dyDescent="0.2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</row>
    <row r="1438" spans="1:19" x14ac:dyDescent="0.2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</row>
    <row r="1439" spans="1:19" x14ac:dyDescent="0.2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</row>
    <row r="1440" spans="1:19" x14ac:dyDescent="0.2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</row>
    <row r="1441" spans="1:19" x14ac:dyDescent="0.2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</row>
    <row r="1442" spans="1:19" x14ac:dyDescent="0.2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</row>
    <row r="1443" spans="1:19" x14ac:dyDescent="0.2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</row>
    <row r="1444" spans="1:19" x14ac:dyDescent="0.2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</row>
    <row r="1445" spans="1:19" x14ac:dyDescent="0.2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</row>
    <row r="1446" spans="1:19" x14ac:dyDescent="0.2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</row>
    <row r="1447" spans="1:19" x14ac:dyDescent="0.2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</row>
    <row r="1448" spans="1:19" x14ac:dyDescent="0.2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</row>
    <row r="1449" spans="1:19" x14ac:dyDescent="0.2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</row>
    <row r="1450" spans="1:19" x14ac:dyDescent="0.2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</row>
    <row r="1451" spans="1:19" x14ac:dyDescent="0.2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</row>
    <row r="1452" spans="1:19" x14ac:dyDescent="0.2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</row>
    <row r="1453" spans="1:19" x14ac:dyDescent="0.2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</row>
    <row r="1454" spans="1:19" x14ac:dyDescent="0.2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</row>
    <row r="1455" spans="1:19" x14ac:dyDescent="0.2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</row>
    <row r="1456" spans="1:19" x14ac:dyDescent="0.2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</row>
    <row r="1457" spans="1:19" x14ac:dyDescent="0.2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</row>
    <row r="1458" spans="1:19" x14ac:dyDescent="0.2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</row>
    <row r="1459" spans="1:19" x14ac:dyDescent="0.2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</row>
    <row r="1460" spans="1:19" x14ac:dyDescent="0.2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</row>
    <row r="1461" spans="1:19" x14ac:dyDescent="0.2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</row>
    <row r="1462" spans="1:19" x14ac:dyDescent="0.2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</row>
    <row r="1463" spans="1:19" x14ac:dyDescent="0.2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</row>
    <row r="1464" spans="1:19" x14ac:dyDescent="0.2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</row>
    <row r="1465" spans="1:19" x14ac:dyDescent="0.2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</row>
    <row r="1466" spans="1:19" x14ac:dyDescent="0.2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</row>
    <row r="1467" spans="1:19" x14ac:dyDescent="0.2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</row>
    <row r="1468" spans="1:19" x14ac:dyDescent="0.2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</row>
    <row r="1469" spans="1:19" x14ac:dyDescent="0.2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</row>
    <row r="1470" spans="1:19" x14ac:dyDescent="0.2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</row>
    <row r="1471" spans="1:19" x14ac:dyDescent="0.2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</row>
    <row r="1472" spans="1:19" x14ac:dyDescent="0.2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</row>
    <row r="1473" spans="1:19" x14ac:dyDescent="0.2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</row>
    <row r="1474" spans="1:19" x14ac:dyDescent="0.2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</row>
    <row r="1475" spans="1:19" x14ac:dyDescent="0.2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</row>
    <row r="1476" spans="1:19" x14ac:dyDescent="0.2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</row>
    <row r="1477" spans="1:19" x14ac:dyDescent="0.2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</row>
    <row r="1478" spans="1:19" x14ac:dyDescent="0.2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</row>
    <row r="1479" spans="1:19" x14ac:dyDescent="0.2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</row>
    <row r="1480" spans="1:19" x14ac:dyDescent="0.2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</row>
    <row r="1481" spans="1:19" x14ac:dyDescent="0.2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</row>
    <row r="1482" spans="1:19" x14ac:dyDescent="0.2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</row>
    <row r="1483" spans="1:19" x14ac:dyDescent="0.2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</row>
    <row r="1484" spans="1:19" x14ac:dyDescent="0.2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</row>
    <row r="1485" spans="1:19" x14ac:dyDescent="0.2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</row>
    <row r="1486" spans="1:19" x14ac:dyDescent="0.2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</row>
    <row r="1487" spans="1:19" x14ac:dyDescent="0.2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</row>
    <row r="1488" spans="1:19" x14ac:dyDescent="0.2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</row>
    <row r="1489" spans="1:19" x14ac:dyDescent="0.2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</row>
    <row r="1490" spans="1:19" x14ac:dyDescent="0.2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</row>
    <row r="1491" spans="1:19" x14ac:dyDescent="0.2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</row>
    <row r="1492" spans="1:19" x14ac:dyDescent="0.2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</row>
    <row r="1493" spans="1:19" x14ac:dyDescent="0.2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</row>
    <row r="1494" spans="1:19" x14ac:dyDescent="0.2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</row>
    <row r="1495" spans="1:19" x14ac:dyDescent="0.2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</row>
    <row r="1496" spans="1:19" x14ac:dyDescent="0.2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</row>
    <row r="1497" spans="1:19" x14ac:dyDescent="0.2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</row>
    <row r="1498" spans="1:19" x14ac:dyDescent="0.2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</row>
    <row r="1499" spans="1:19" x14ac:dyDescent="0.2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</row>
    <row r="1500" spans="1:19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</row>
    <row r="1501" spans="1:19" x14ac:dyDescent="0.2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</row>
    <row r="1502" spans="1:19" x14ac:dyDescent="0.2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</row>
    <row r="1503" spans="1:19" x14ac:dyDescent="0.2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</row>
    <row r="1504" spans="1:19" x14ac:dyDescent="0.2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</row>
    <row r="1505" spans="1:19" x14ac:dyDescent="0.2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</row>
    <row r="1506" spans="1:19" x14ac:dyDescent="0.2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</row>
    <row r="1507" spans="1:19" x14ac:dyDescent="0.2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</row>
    <row r="1508" spans="1:19" x14ac:dyDescent="0.2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</row>
    <row r="1509" spans="1:19" x14ac:dyDescent="0.2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</row>
    <row r="1510" spans="1:19" x14ac:dyDescent="0.2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</row>
    <row r="1511" spans="1:19" x14ac:dyDescent="0.2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</row>
    <row r="1512" spans="1:19" x14ac:dyDescent="0.2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</row>
    <row r="1513" spans="1:19" x14ac:dyDescent="0.2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</row>
    <row r="1514" spans="1:19" x14ac:dyDescent="0.2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</row>
    <row r="1515" spans="1:19" x14ac:dyDescent="0.2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</row>
    <row r="1516" spans="1:19" x14ac:dyDescent="0.2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</row>
    <row r="1517" spans="1:19" x14ac:dyDescent="0.2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</row>
    <row r="1518" spans="1:19" x14ac:dyDescent="0.2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</row>
    <row r="1519" spans="1:19" x14ac:dyDescent="0.2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</row>
    <row r="1520" spans="1:19" x14ac:dyDescent="0.2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</row>
    <row r="1521" spans="1:19" x14ac:dyDescent="0.2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</row>
    <row r="1522" spans="1:19" x14ac:dyDescent="0.2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</row>
    <row r="1523" spans="1:19" x14ac:dyDescent="0.2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</row>
    <row r="1524" spans="1:19" x14ac:dyDescent="0.2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</row>
    <row r="1525" spans="1:19" x14ac:dyDescent="0.2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</row>
    <row r="1526" spans="1:19" x14ac:dyDescent="0.2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</row>
    <row r="1527" spans="1:19" x14ac:dyDescent="0.2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</row>
    <row r="1528" spans="1:19" x14ac:dyDescent="0.2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</row>
    <row r="1529" spans="1:19" x14ac:dyDescent="0.2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</row>
    <row r="1530" spans="1:19" x14ac:dyDescent="0.2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</row>
    <row r="1531" spans="1:19" x14ac:dyDescent="0.2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</row>
    <row r="1532" spans="1:19" x14ac:dyDescent="0.2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</row>
    <row r="1533" spans="1:19" x14ac:dyDescent="0.2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</row>
    <row r="1534" spans="1:19" x14ac:dyDescent="0.2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</row>
    <row r="1535" spans="1:19" x14ac:dyDescent="0.2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</row>
    <row r="1536" spans="1:19" x14ac:dyDescent="0.2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</row>
    <row r="1537" spans="1:19" x14ac:dyDescent="0.2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</row>
    <row r="1538" spans="1:19" x14ac:dyDescent="0.2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</row>
    <row r="1539" spans="1:19" x14ac:dyDescent="0.2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</row>
    <row r="1540" spans="1:19" x14ac:dyDescent="0.2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</row>
    <row r="1541" spans="1:19" x14ac:dyDescent="0.2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</row>
    <row r="1542" spans="1:19" x14ac:dyDescent="0.2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</row>
    <row r="1543" spans="1:19" x14ac:dyDescent="0.2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</row>
    <row r="1544" spans="1:19" x14ac:dyDescent="0.2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</row>
    <row r="1545" spans="1:19" x14ac:dyDescent="0.2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</row>
    <row r="1546" spans="1:19" x14ac:dyDescent="0.2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</row>
    <row r="1547" spans="1:19" x14ac:dyDescent="0.2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</row>
    <row r="1548" spans="1:19" x14ac:dyDescent="0.2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</row>
    <row r="1549" spans="1:19" x14ac:dyDescent="0.2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</row>
    <row r="1550" spans="1:19" x14ac:dyDescent="0.2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</row>
    <row r="1551" spans="1:19" x14ac:dyDescent="0.2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</row>
    <row r="1552" spans="1:19" x14ac:dyDescent="0.2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</row>
    <row r="1553" spans="1:19" x14ac:dyDescent="0.2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</row>
    <row r="1554" spans="1:19" x14ac:dyDescent="0.2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</row>
    <row r="1555" spans="1:19" x14ac:dyDescent="0.2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</row>
    <row r="1556" spans="1:19" x14ac:dyDescent="0.2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</row>
    <row r="1557" spans="1:19" x14ac:dyDescent="0.2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</row>
    <row r="1558" spans="1:19" x14ac:dyDescent="0.2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</row>
    <row r="1559" spans="1:19" x14ac:dyDescent="0.2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</row>
    <row r="1560" spans="1:19" x14ac:dyDescent="0.2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</row>
    <row r="1561" spans="1:19" x14ac:dyDescent="0.2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</row>
    <row r="1562" spans="1:19" x14ac:dyDescent="0.2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</row>
    <row r="1563" spans="1:19" x14ac:dyDescent="0.2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</row>
    <row r="1564" spans="1:19" x14ac:dyDescent="0.2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</row>
    <row r="1565" spans="1:19" x14ac:dyDescent="0.2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</row>
    <row r="1566" spans="1:19" x14ac:dyDescent="0.2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</row>
    <row r="1567" spans="1:19" x14ac:dyDescent="0.2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</row>
    <row r="1568" spans="1:19" x14ac:dyDescent="0.2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</row>
    <row r="1569" spans="1:19" x14ac:dyDescent="0.2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</row>
    <row r="1570" spans="1:19" x14ac:dyDescent="0.2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</row>
    <row r="1571" spans="1:19" x14ac:dyDescent="0.2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</row>
    <row r="1572" spans="1:19" x14ac:dyDescent="0.2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</row>
    <row r="1573" spans="1:19" x14ac:dyDescent="0.2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</row>
    <row r="1574" spans="1:19" x14ac:dyDescent="0.2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</row>
    <row r="1575" spans="1:19" x14ac:dyDescent="0.2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</row>
    <row r="1576" spans="1:19" x14ac:dyDescent="0.2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</row>
    <row r="1577" spans="1:19" x14ac:dyDescent="0.2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</row>
    <row r="1578" spans="1:19" x14ac:dyDescent="0.2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</row>
    <row r="1579" spans="1:19" x14ac:dyDescent="0.2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</row>
    <row r="1580" spans="1:19" x14ac:dyDescent="0.2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</row>
    <row r="1581" spans="1:19" x14ac:dyDescent="0.2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</row>
    <row r="1582" spans="1:19" x14ac:dyDescent="0.2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</row>
    <row r="1583" spans="1:19" x14ac:dyDescent="0.2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</row>
    <row r="1584" spans="1:19" x14ac:dyDescent="0.2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</row>
    <row r="1585" spans="1:19" x14ac:dyDescent="0.2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</row>
    <row r="1586" spans="1:19" x14ac:dyDescent="0.2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</row>
    <row r="1587" spans="1:19" x14ac:dyDescent="0.2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</row>
    <row r="1588" spans="1:19" x14ac:dyDescent="0.2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</row>
    <row r="1589" spans="1:19" x14ac:dyDescent="0.2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</row>
    <row r="1590" spans="1:19" x14ac:dyDescent="0.2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</row>
    <row r="1591" spans="1:19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</row>
    <row r="1592" spans="1:19" x14ac:dyDescent="0.2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</row>
    <row r="1593" spans="1:19" x14ac:dyDescent="0.2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</row>
    <row r="1594" spans="1:19" x14ac:dyDescent="0.2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</row>
    <row r="1595" spans="1:19" x14ac:dyDescent="0.2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</row>
    <row r="1596" spans="1:19" x14ac:dyDescent="0.2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</row>
    <row r="1597" spans="1:19" x14ac:dyDescent="0.2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</row>
    <row r="1598" spans="1:19" x14ac:dyDescent="0.2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</row>
    <row r="1599" spans="1:19" x14ac:dyDescent="0.2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</row>
    <row r="1600" spans="1:19" x14ac:dyDescent="0.2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</row>
    <row r="1601" spans="1:19" x14ac:dyDescent="0.2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</row>
    <row r="1602" spans="1:19" x14ac:dyDescent="0.2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</row>
    <row r="1603" spans="1:19" x14ac:dyDescent="0.2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</row>
    <row r="1604" spans="1:19" x14ac:dyDescent="0.2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</row>
    <row r="1605" spans="1:19" x14ac:dyDescent="0.2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</row>
    <row r="1606" spans="1:19" x14ac:dyDescent="0.2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</row>
    <row r="1607" spans="1:19" x14ac:dyDescent="0.2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</row>
    <row r="1608" spans="1:19" x14ac:dyDescent="0.2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</row>
    <row r="1609" spans="1:19" x14ac:dyDescent="0.2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</row>
    <row r="1610" spans="1:19" x14ac:dyDescent="0.2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</row>
    <row r="1611" spans="1:19" x14ac:dyDescent="0.2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</row>
    <row r="1612" spans="1:19" x14ac:dyDescent="0.2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</row>
    <row r="1613" spans="1:19" x14ac:dyDescent="0.2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</row>
    <row r="1614" spans="1:19" x14ac:dyDescent="0.2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</row>
    <row r="1615" spans="1:19" x14ac:dyDescent="0.2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</row>
    <row r="1616" spans="1:19" x14ac:dyDescent="0.2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</row>
    <row r="1617" spans="1:19" x14ac:dyDescent="0.2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</row>
    <row r="1618" spans="1:19" x14ac:dyDescent="0.2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</row>
    <row r="1619" spans="1:19" x14ac:dyDescent="0.2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</row>
    <row r="1620" spans="1:19" x14ac:dyDescent="0.2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</row>
    <row r="1621" spans="1:19" x14ac:dyDescent="0.2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</row>
    <row r="1622" spans="1:19" x14ac:dyDescent="0.2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</row>
    <row r="1623" spans="1:19" x14ac:dyDescent="0.2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</row>
    <row r="1624" spans="1:19" x14ac:dyDescent="0.2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</row>
    <row r="1625" spans="1:19" x14ac:dyDescent="0.2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</row>
    <row r="1626" spans="1:19" x14ac:dyDescent="0.2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</row>
    <row r="1627" spans="1:19" x14ac:dyDescent="0.2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</row>
    <row r="1628" spans="1:19" x14ac:dyDescent="0.2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</row>
    <row r="1629" spans="1:19" x14ac:dyDescent="0.2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</row>
    <row r="1630" spans="1:19" x14ac:dyDescent="0.2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</row>
    <row r="1631" spans="1:19" x14ac:dyDescent="0.2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</row>
    <row r="1632" spans="1:19" x14ac:dyDescent="0.2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</row>
    <row r="1633" spans="1:19" x14ac:dyDescent="0.2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</row>
    <row r="1634" spans="1:19" x14ac:dyDescent="0.2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</row>
    <row r="1635" spans="1:19" x14ac:dyDescent="0.2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</row>
    <row r="1636" spans="1:19" x14ac:dyDescent="0.2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</row>
    <row r="1637" spans="1:19" x14ac:dyDescent="0.2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</row>
    <row r="1638" spans="1:19" x14ac:dyDescent="0.2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</row>
    <row r="1639" spans="1:19" x14ac:dyDescent="0.2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</row>
    <row r="1640" spans="1:19" x14ac:dyDescent="0.2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</row>
    <row r="1641" spans="1:19" x14ac:dyDescent="0.2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</row>
    <row r="1642" spans="1:19" x14ac:dyDescent="0.2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</row>
    <row r="1643" spans="1:19" x14ac:dyDescent="0.2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</row>
    <row r="1644" spans="1:19" x14ac:dyDescent="0.2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</row>
    <row r="1645" spans="1:19" x14ac:dyDescent="0.2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</row>
    <row r="1646" spans="1:19" x14ac:dyDescent="0.2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</row>
    <row r="1647" spans="1:19" x14ac:dyDescent="0.2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</row>
    <row r="1648" spans="1:19" x14ac:dyDescent="0.2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</row>
    <row r="1649" spans="1:19" x14ac:dyDescent="0.2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</row>
    <row r="1650" spans="1:19" x14ac:dyDescent="0.2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</row>
    <row r="1651" spans="1:19" x14ac:dyDescent="0.2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</row>
    <row r="1652" spans="1:19" x14ac:dyDescent="0.2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</row>
    <row r="1653" spans="1:19" x14ac:dyDescent="0.2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</row>
    <row r="1654" spans="1:19" x14ac:dyDescent="0.2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</row>
    <row r="1655" spans="1:19" x14ac:dyDescent="0.2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</row>
    <row r="1656" spans="1:19" x14ac:dyDescent="0.2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</row>
    <row r="1657" spans="1:19" x14ac:dyDescent="0.2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</row>
    <row r="1658" spans="1:19" x14ac:dyDescent="0.2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</row>
    <row r="1659" spans="1:19" x14ac:dyDescent="0.2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</row>
    <row r="1660" spans="1:19" x14ac:dyDescent="0.2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</row>
    <row r="1661" spans="1:19" x14ac:dyDescent="0.2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</row>
    <row r="1662" spans="1:19" x14ac:dyDescent="0.2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</row>
    <row r="1663" spans="1:19" x14ac:dyDescent="0.2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</row>
    <row r="1664" spans="1:19" x14ac:dyDescent="0.2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</row>
    <row r="1665" spans="1:19" x14ac:dyDescent="0.2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</row>
    <row r="1666" spans="1:19" x14ac:dyDescent="0.2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</row>
    <row r="1667" spans="1:19" x14ac:dyDescent="0.2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</row>
    <row r="1668" spans="1:19" x14ac:dyDescent="0.2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</row>
    <row r="1669" spans="1:19" x14ac:dyDescent="0.2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</row>
    <row r="1670" spans="1:19" x14ac:dyDescent="0.2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</row>
    <row r="1671" spans="1:19" x14ac:dyDescent="0.2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</row>
    <row r="1672" spans="1:19" x14ac:dyDescent="0.2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</row>
    <row r="1673" spans="1:19" x14ac:dyDescent="0.2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</row>
    <row r="1674" spans="1:19" x14ac:dyDescent="0.2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</row>
    <row r="1675" spans="1:19" x14ac:dyDescent="0.2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</row>
    <row r="1676" spans="1:19" x14ac:dyDescent="0.2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</row>
    <row r="1677" spans="1:19" x14ac:dyDescent="0.2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</row>
    <row r="1678" spans="1:19" x14ac:dyDescent="0.2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</row>
    <row r="1679" spans="1:19" x14ac:dyDescent="0.2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</row>
    <row r="1680" spans="1:19" x14ac:dyDescent="0.2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</row>
    <row r="1681" spans="1:19" x14ac:dyDescent="0.2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</row>
    <row r="1682" spans="1:19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</row>
    <row r="1683" spans="1:19" x14ac:dyDescent="0.2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</row>
    <row r="1684" spans="1:19" x14ac:dyDescent="0.2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</row>
    <row r="1685" spans="1:19" x14ac:dyDescent="0.2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</row>
    <row r="1686" spans="1:19" x14ac:dyDescent="0.2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</row>
    <row r="1687" spans="1:19" x14ac:dyDescent="0.2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</row>
    <row r="1688" spans="1:19" x14ac:dyDescent="0.2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</row>
    <row r="1689" spans="1:19" x14ac:dyDescent="0.2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</row>
    <row r="1690" spans="1:19" x14ac:dyDescent="0.2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</row>
    <row r="1691" spans="1:19" x14ac:dyDescent="0.2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</row>
    <row r="1692" spans="1:19" x14ac:dyDescent="0.2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</row>
    <row r="1693" spans="1:19" x14ac:dyDescent="0.2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</row>
    <row r="1694" spans="1:19" x14ac:dyDescent="0.2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</row>
    <row r="1695" spans="1:19" x14ac:dyDescent="0.2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</row>
    <row r="1696" spans="1:19" x14ac:dyDescent="0.2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</row>
    <row r="1697" spans="1:19" x14ac:dyDescent="0.2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</row>
    <row r="1698" spans="1:19" x14ac:dyDescent="0.2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</row>
    <row r="1699" spans="1:19" x14ac:dyDescent="0.2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</row>
    <row r="1700" spans="1:19" x14ac:dyDescent="0.2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</row>
    <row r="1701" spans="1:19" x14ac:dyDescent="0.2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</row>
    <row r="1702" spans="1:19" x14ac:dyDescent="0.2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</row>
    <row r="1703" spans="1:19" x14ac:dyDescent="0.2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</row>
    <row r="1704" spans="1:19" x14ac:dyDescent="0.2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</row>
    <row r="1705" spans="1:19" x14ac:dyDescent="0.2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</row>
    <row r="1706" spans="1:19" x14ac:dyDescent="0.2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</row>
    <row r="1707" spans="1:19" x14ac:dyDescent="0.2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</row>
    <row r="1708" spans="1:19" x14ac:dyDescent="0.2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</row>
    <row r="1709" spans="1:19" x14ac:dyDescent="0.2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</row>
    <row r="1710" spans="1:19" x14ac:dyDescent="0.2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</row>
    <row r="1711" spans="1:19" x14ac:dyDescent="0.2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</row>
    <row r="1712" spans="1:19" x14ac:dyDescent="0.2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</row>
    <row r="1713" spans="1:19" x14ac:dyDescent="0.2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</row>
    <row r="1714" spans="1:19" x14ac:dyDescent="0.2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</row>
    <row r="1715" spans="1:19" x14ac:dyDescent="0.2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</row>
    <row r="1716" spans="1:19" x14ac:dyDescent="0.2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</row>
    <row r="1717" spans="1:19" x14ac:dyDescent="0.2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</row>
    <row r="1718" spans="1:19" x14ac:dyDescent="0.2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</row>
    <row r="1719" spans="1:19" x14ac:dyDescent="0.2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</row>
    <row r="1720" spans="1:19" x14ac:dyDescent="0.2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</row>
    <row r="1721" spans="1:19" x14ac:dyDescent="0.2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</row>
    <row r="1722" spans="1:19" x14ac:dyDescent="0.2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</row>
    <row r="1723" spans="1:19" x14ac:dyDescent="0.2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</row>
    <row r="1724" spans="1:19" x14ac:dyDescent="0.2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</row>
    <row r="1725" spans="1:19" x14ac:dyDescent="0.2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</row>
    <row r="1726" spans="1:19" x14ac:dyDescent="0.2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</row>
    <row r="1727" spans="1:19" x14ac:dyDescent="0.2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</row>
    <row r="1728" spans="1:19" x14ac:dyDescent="0.2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</row>
    <row r="1729" spans="1:19" x14ac:dyDescent="0.2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</row>
    <row r="1730" spans="1:19" x14ac:dyDescent="0.2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</row>
    <row r="1731" spans="1:19" x14ac:dyDescent="0.2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</row>
    <row r="1732" spans="1:19" x14ac:dyDescent="0.2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</row>
    <row r="1733" spans="1:19" x14ac:dyDescent="0.2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</row>
    <row r="1734" spans="1:19" x14ac:dyDescent="0.2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</row>
    <row r="1735" spans="1:19" x14ac:dyDescent="0.2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</row>
    <row r="1736" spans="1:19" x14ac:dyDescent="0.2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</row>
    <row r="1737" spans="1:19" x14ac:dyDescent="0.2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</row>
    <row r="1738" spans="1:19" x14ac:dyDescent="0.2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</row>
    <row r="1739" spans="1:19" x14ac:dyDescent="0.2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</row>
    <row r="1740" spans="1:19" x14ac:dyDescent="0.2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</row>
    <row r="1741" spans="1:19" x14ac:dyDescent="0.2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</row>
    <row r="1742" spans="1:19" x14ac:dyDescent="0.2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</row>
    <row r="1743" spans="1:19" x14ac:dyDescent="0.2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</row>
    <row r="1744" spans="1:19" x14ac:dyDescent="0.2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</row>
    <row r="1745" spans="1:19" x14ac:dyDescent="0.2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</row>
    <row r="1746" spans="1:19" x14ac:dyDescent="0.2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</row>
    <row r="1747" spans="1:19" x14ac:dyDescent="0.2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</row>
    <row r="1748" spans="1:19" x14ac:dyDescent="0.2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</row>
    <row r="1749" spans="1:19" x14ac:dyDescent="0.2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</row>
    <row r="1750" spans="1:19" x14ac:dyDescent="0.2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</row>
    <row r="1751" spans="1:19" x14ac:dyDescent="0.2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</row>
    <row r="1752" spans="1:19" x14ac:dyDescent="0.2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</row>
    <row r="1753" spans="1:19" x14ac:dyDescent="0.2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</row>
    <row r="1754" spans="1:19" x14ac:dyDescent="0.2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</row>
    <row r="1755" spans="1:19" x14ac:dyDescent="0.2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</row>
    <row r="1756" spans="1:19" x14ac:dyDescent="0.2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</row>
    <row r="1757" spans="1:19" x14ac:dyDescent="0.2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</row>
    <row r="1758" spans="1:19" x14ac:dyDescent="0.2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</row>
    <row r="1759" spans="1:19" x14ac:dyDescent="0.2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</row>
    <row r="1760" spans="1:19" x14ac:dyDescent="0.2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</row>
    <row r="1761" spans="1:19" x14ac:dyDescent="0.2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</row>
    <row r="1762" spans="1:19" x14ac:dyDescent="0.2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</row>
    <row r="1763" spans="1:19" x14ac:dyDescent="0.2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</row>
    <row r="1764" spans="1:19" x14ac:dyDescent="0.2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</row>
    <row r="1765" spans="1:19" x14ac:dyDescent="0.2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</row>
    <row r="1766" spans="1:19" x14ac:dyDescent="0.2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</row>
    <row r="1767" spans="1:19" x14ac:dyDescent="0.2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</row>
    <row r="1768" spans="1:19" x14ac:dyDescent="0.2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</row>
    <row r="1769" spans="1:19" x14ac:dyDescent="0.2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</row>
    <row r="1770" spans="1:19" x14ac:dyDescent="0.2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</row>
    <row r="1771" spans="1:19" x14ac:dyDescent="0.2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</row>
    <row r="1772" spans="1:19" x14ac:dyDescent="0.2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</row>
    <row r="1773" spans="1:19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</row>
    <row r="1774" spans="1:19" x14ac:dyDescent="0.2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</row>
    <row r="1775" spans="1:19" x14ac:dyDescent="0.2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</row>
    <row r="1776" spans="1:19" x14ac:dyDescent="0.2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</row>
    <row r="1777" spans="1:19" x14ac:dyDescent="0.2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</row>
    <row r="1778" spans="1:19" x14ac:dyDescent="0.2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</row>
    <row r="1779" spans="1:19" x14ac:dyDescent="0.2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</row>
    <row r="1780" spans="1:19" x14ac:dyDescent="0.2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</row>
    <row r="1781" spans="1:19" x14ac:dyDescent="0.2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</row>
    <row r="1782" spans="1:19" x14ac:dyDescent="0.2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</row>
    <row r="1783" spans="1:19" x14ac:dyDescent="0.2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</row>
    <row r="1784" spans="1:19" x14ac:dyDescent="0.2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</row>
    <row r="1785" spans="1:19" x14ac:dyDescent="0.2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</row>
    <row r="1786" spans="1:19" x14ac:dyDescent="0.2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</row>
    <row r="1787" spans="1:19" x14ac:dyDescent="0.2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</row>
    <row r="1788" spans="1:19" x14ac:dyDescent="0.2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</row>
    <row r="1789" spans="1:19" x14ac:dyDescent="0.2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</row>
    <row r="1790" spans="1:19" x14ac:dyDescent="0.2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</row>
    <row r="1791" spans="1:19" x14ac:dyDescent="0.2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</row>
    <row r="1792" spans="1:19" x14ac:dyDescent="0.2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</row>
    <row r="1793" spans="1:19" x14ac:dyDescent="0.2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</row>
    <row r="1794" spans="1:19" x14ac:dyDescent="0.2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</row>
    <row r="1795" spans="1:19" x14ac:dyDescent="0.2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</row>
    <row r="1796" spans="1:19" x14ac:dyDescent="0.2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</row>
    <row r="1797" spans="1:19" x14ac:dyDescent="0.2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</row>
    <row r="1798" spans="1:19" x14ac:dyDescent="0.2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</row>
    <row r="1799" spans="1:19" x14ac:dyDescent="0.2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</row>
    <row r="1800" spans="1:19" x14ac:dyDescent="0.2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</row>
    <row r="1801" spans="1:19" x14ac:dyDescent="0.2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</row>
    <row r="1802" spans="1:19" x14ac:dyDescent="0.2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</row>
    <row r="1803" spans="1:19" x14ac:dyDescent="0.2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</row>
    <row r="1804" spans="1:19" x14ac:dyDescent="0.2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</row>
    <row r="1805" spans="1:19" x14ac:dyDescent="0.2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</row>
    <row r="1806" spans="1:19" x14ac:dyDescent="0.2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</row>
    <row r="1807" spans="1:19" x14ac:dyDescent="0.2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</row>
    <row r="1808" spans="1:19" x14ac:dyDescent="0.2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</row>
    <row r="1809" spans="1:19" x14ac:dyDescent="0.2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</row>
    <row r="1810" spans="1:19" x14ac:dyDescent="0.2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</row>
    <row r="1811" spans="1:19" x14ac:dyDescent="0.2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</row>
    <row r="1812" spans="1:19" x14ac:dyDescent="0.2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</row>
    <row r="1813" spans="1:19" x14ac:dyDescent="0.2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</row>
    <row r="1814" spans="1:19" x14ac:dyDescent="0.2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</row>
    <row r="1815" spans="1:19" x14ac:dyDescent="0.2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</row>
    <row r="1816" spans="1:19" x14ac:dyDescent="0.2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</row>
    <row r="1817" spans="1:19" x14ac:dyDescent="0.2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</row>
    <row r="1818" spans="1:19" x14ac:dyDescent="0.2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</row>
    <row r="1819" spans="1:19" x14ac:dyDescent="0.2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</row>
    <row r="1820" spans="1:19" x14ac:dyDescent="0.2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</row>
    <row r="1821" spans="1:19" x14ac:dyDescent="0.2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</row>
    <row r="1822" spans="1:19" x14ac:dyDescent="0.2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</row>
    <row r="1823" spans="1:19" x14ac:dyDescent="0.2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</row>
    <row r="1824" spans="1:19" x14ac:dyDescent="0.2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</row>
    <row r="1825" spans="1:19" x14ac:dyDescent="0.2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</row>
    <row r="1826" spans="1:19" x14ac:dyDescent="0.2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</row>
    <row r="1827" spans="1:19" x14ac:dyDescent="0.2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</row>
    <row r="1828" spans="1:19" x14ac:dyDescent="0.2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</row>
    <row r="1829" spans="1:19" x14ac:dyDescent="0.2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</row>
    <row r="1830" spans="1:19" x14ac:dyDescent="0.2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</row>
    <row r="1831" spans="1:19" x14ac:dyDescent="0.2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</row>
    <row r="1832" spans="1:19" x14ac:dyDescent="0.2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</row>
    <row r="1833" spans="1:19" x14ac:dyDescent="0.2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</row>
    <row r="1834" spans="1:19" x14ac:dyDescent="0.2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</row>
    <row r="1835" spans="1:19" x14ac:dyDescent="0.2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</row>
    <row r="1836" spans="1:19" x14ac:dyDescent="0.2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</row>
    <row r="1837" spans="1:19" x14ac:dyDescent="0.2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</row>
    <row r="1838" spans="1:19" x14ac:dyDescent="0.2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</row>
    <row r="1839" spans="1:19" x14ac:dyDescent="0.2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</row>
    <row r="1840" spans="1:19" x14ac:dyDescent="0.2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</row>
    <row r="1841" spans="1:19" x14ac:dyDescent="0.2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</row>
    <row r="1842" spans="1:19" x14ac:dyDescent="0.2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</row>
    <row r="1843" spans="1:19" x14ac:dyDescent="0.2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</row>
    <row r="1844" spans="1:19" x14ac:dyDescent="0.2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</row>
    <row r="1845" spans="1:19" x14ac:dyDescent="0.2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</row>
    <row r="1846" spans="1:19" x14ac:dyDescent="0.2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</row>
    <row r="1847" spans="1:19" x14ac:dyDescent="0.2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</row>
    <row r="1848" spans="1:19" x14ac:dyDescent="0.2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</row>
    <row r="1849" spans="1:19" x14ac:dyDescent="0.2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</row>
    <row r="1850" spans="1:19" x14ac:dyDescent="0.2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</row>
    <row r="1851" spans="1:19" x14ac:dyDescent="0.2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</row>
    <row r="1852" spans="1:19" x14ac:dyDescent="0.2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</row>
    <row r="1853" spans="1:19" x14ac:dyDescent="0.2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</row>
    <row r="1854" spans="1:19" x14ac:dyDescent="0.2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</row>
    <row r="1855" spans="1:19" x14ac:dyDescent="0.2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</row>
    <row r="1856" spans="1:19" x14ac:dyDescent="0.2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</row>
    <row r="1857" spans="1:19" x14ac:dyDescent="0.2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</row>
    <row r="1858" spans="1:19" x14ac:dyDescent="0.2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</row>
    <row r="1859" spans="1:19" x14ac:dyDescent="0.2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</row>
    <row r="1860" spans="1:19" x14ac:dyDescent="0.2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</row>
    <row r="1861" spans="1:19" x14ac:dyDescent="0.2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</row>
    <row r="1862" spans="1:19" x14ac:dyDescent="0.2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</row>
    <row r="1863" spans="1:19" x14ac:dyDescent="0.2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</row>
    <row r="1864" spans="1:19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</row>
    <row r="1865" spans="1:19" x14ac:dyDescent="0.2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</row>
    <row r="1866" spans="1:19" x14ac:dyDescent="0.2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</row>
    <row r="1867" spans="1:19" x14ac:dyDescent="0.2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</row>
    <row r="1868" spans="1:19" x14ac:dyDescent="0.2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</row>
    <row r="1869" spans="1:19" x14ac:dyDescent="0.2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</row>
    <row r="1870" spans="1:19" x14ac:dyDescent="0.2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</row>
    <row r="1871" spans="1:19" x14ac:dyDescent="0.2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</row>
    <row r="1872" spans="1:19" x14ac:dyDescent="0.2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</row>
    <row r="1873" spans="1:19" x14ac:dyDescent="0.2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</row>
    <row r="1874" spans="1:19" x14ac:dyDescent="0.2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</row>
    <row r="1875" spans="1:19" x14ac:dyDescent="0.2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</row>
    <row r="1876" spans="1:19" x14ac:dyDescent="0.2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</row>
    <row r="1877" spans="1:19" x14ac:dyDescent="0.2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</row>
    <row r="1878" spans="1:19" x14ac:dyDescent="0.2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</row>
    <row r="1879" spans="1:19" x14ac:dyDescent="0.2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</row>
    <row r="1880" spans="1:19" x14ac:dyDescent="0.2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</row>
    <row r="1881" spans="1:19" x14ac:dyDescent="0.2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</row>
    <row r="1882" spans="1:19" x14ac:dyDescent="0.2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</row>
    <row r="1883" spans="1:19" x14ac:dyDescent="0.2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</row>
    <row r="1884" spans="1:19" x14ac:dyDescent="0.2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</row>
    <row r="1885" spans="1:19" x14ac:dyDescent="0.2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</row>
    <row r="1886" spans="1:19" x14ac:dyDescent="0.2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</row>
    <row r="1887" spans="1:19" x14ac:dyDescent="0.2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</row>
    <row r="1888" spans="1:19" x14ac:dyDescent="0.2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</row>
    <row r="1889" spans="1:19" x14ac:dyDescent="0.2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</row>
    <row r="1890" spans="1:19" x14ac:dyDescent="0.2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</row>
    <row r="1891" spans="1:19" x14ac:dyDescent="0.2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</row>
    <row r="1892" spans="1:19" x14ac:dyDescent="0.2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</row>
    <row r="1893" spans="1:19" x14ac:dyDescent="0.2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</row>
    <row r="1894" spans="1:19" x14ac:dyDescent="0.2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</row>
    <row r="1895" spans="1:19" x14ac:dyDescent="0.2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</row>
    <row r="1896" spans="1:19" x14ac:dyDescent="0.2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</row>
    <row r="1897" spans="1:19" x14ac:dyDescent="0.2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</row>
    <row r="1898" spans="1:19" x14ac:dyDescent="0.2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</row>
    <row r="1899" spans="1:19" x14ac:dyDescent="0.2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</row>
    <row r="1900" spans="1:19" x14ac:dyDescent="0.2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</row>
    <row r="1901" spans="1:19" x14ac:dyDescent="0.2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</row>
    <row r="1902" spans="1:19" x14ac:dyDescent="0.2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</row>
    <row r="1903" spans="1:19" x14ac:dyDescent="0.2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</row>
    <row r="1904" spans="1:19" x14ac:dyDescent="0.2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</row>
    <row r="1905" spans="1:19" x14ac:dyDescent="0.2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</row>
    <row r="1906" spans="1:19" x14ac:dyDescent="0.2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</row>
    <row r="1907" spans="1:19" x14ac:dyDescent="0.2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</row>
    <row r="1908" spans="1:19" x14ac:dyDescent="0.2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</row>
    <row r="1909" spans="1:19" x14ac:dyDescent="0.2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</row>
    <row r="1910" spans="1:19" x14ac:dyDescent="0.2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</row>
    <row r="1911" spans="1:19" x14ac:dyDescent="0.2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</row>
    <row r="1912" spans="1:19" x14ac:dyDescent="0.2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</row>
    <row r="1913" spans="1:19" x14ac:dyDescent="0.2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</row>
    <row r="1914" spans="1:19" x14ac:dyDescent="0.2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</row>
    <row r="1915" spans="1:19" x14ac:dyDescent="0.2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</row>
    <row r="1916" spans="1:19" x14ac:dyDescent="0.2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</row>
    <row r="1917" spans="1:19" x14ac:dyDescent="0.2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</row>
    <row r="1918" spans="1:19" x14ac:dyDescent="0.2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</row>
    <row r="1919" spans="1:19" x14ac:dyDescent="0.2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</row>
    <row r="1920" spans="1:19" x14ac:dyDescent="0.2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</row>
    <row r="1921" spans="1:19" x14ac:dyDescent="0.2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</row>
    <row r="1922" spans="1:19" x14ac:dyDescent="0.2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</row>
    <row r="1923" spans="1:19" x14ac:dyDescent="0.2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</row>
    <row r="1924" spans="1:19" x14ac:dyDescent="0.2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</row>
    <row r="1925" spans="1:19" x14ac:dyDescent="0.2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</row>
    <row r="1926" spans="1:19" x14ac:dyDescent="0.2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</row>
    <row r="1927" spans="1:19" x14ac:dyDescent="0.2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</row>
    <row r="1928" spans="1:19" x14ac:dyDescent="0.2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</row>
    <row r="1929" spans="1:19" x14ac:dyDescent="0.2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</row>
    <row r="1930" spans="1:19" x14ac:dyDescent="0.2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</row>
    <row r="1931" spans="1:19" x14ac:dyDescent="0.2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</row>
    <row r="1932" spans="1:19" x14ac:dyDescent="0.2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</row>
    <row r="1933" spans="1:19" x14ac:dyDescent="0.2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</row>
    <row r="1934" spans="1:19" x14ac:dyDescent="0.2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</row>
    <row r="1935" spans="1:19" x14ac:dyDescent="0.2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</row>
    <row r="1936" spans="1:19" x14ac:dyDescent="0.2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</row>
    <row r="1937" spans="1:19" x14ac:dyDescent="0.2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</row>
    <row r="1938" spans="1:19" x14ac:dyDescent="0.2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</row>
    <row r="1939" spans="1:19" x14ac:dyDescent="0.2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</row>
    <row r="1940" spans="1:19" x14ac:dyDescent="0.2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</row>
    <row r="1941" spans="1:19" x14ac:dyDescent="0.2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</row>
    <row r="1942" spans="1:19" x14ac:dyDescent="0.2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</row>
    <row r="1943" spans="1:19" x14ac:dyDescent="0.2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</row>
    <row r="1944" spans="1:19" x14ac:dyDescent="0.2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</row>
    <row r="1945" spans="1:19" x14ac:dyDescent="0.2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</row>
    <row r="1946" spans="1:19" x14ac:dyDescent="0.2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</row>
    <row r="1947" spans="1:19" x14ac:dyDescent="0.2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</row>
    <row r="1948" spans="1:19" x14ac:dyDescent="0.2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</row>
    <row r="1949" spans="1:19" x14ac:dyDescent="0.2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</row>
    <row r="1950" spans="1:19" x14ac:dyDescent="0.2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</row>
    <row r="1951" spans="1:19" x14ac:dyDescent="0.2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</row>
    <row r="1952" spans="1:19" x14ac:dyDescent="0.2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</row>
    <row r="1953" spans="1:19" x14ac:dyDescent="0.2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</row>
    <row r="1954" spans="1:19" x14ac:dyDescent="0.2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</row>
    <row r="1955" spans="1:19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</row>
    <row r="1956" spans="1:19" x14ac:dyDescent="0.2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</row>
    <row r="1957" spans="1:19" x14ac:dyDescent="0.2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</row>
    <row r="1958" spans="1:19" x14ac:dyDescent="0.2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</row>
    <row r="1959" spans="1:19" x14ac:dyDescent="0.2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</row>
    <row r="1960" spans="1:19" x14ac:dyDescent="0.2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</row>
    <row r="1961" spans="1:19" x14ac:dyDescent="0.2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</row>
    <row r="1962" spans="1:19" x14ac:dyDescent="0.2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</row>
    <row r="1963" spans="1:19" x14ac:dyDescent="0.2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</row>
    <row r="1964" spans="1:19" x14ac:dyDescent="0.2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</row>
    <row r="1965" spans="1:19" x14ac:dyDescent="0.2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</row>
    <row r="1966" spans="1:19" x14ac:dyDescent="0.2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</row>
    <row r="1967" spans="1:19" x14ac:dyDescent="0.2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</row>
    <row r="1968" spans="1:19" x14ac:dyDescent="0.2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</row>
    <row r="1969" spans="1:19" x14ac:dyDescent="0.2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</row>
    <row r="1970" spans="1:19" x14ac:dyDescent="0.2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</row>
    <row r="1971" spans="1:19" x14ac:dyDescent="0.2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</row>
    <row r="1972" spans="1:19" x14ac:dyDescent="0.2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</row>
    <row r="1973" spans="1:19" x14ac:dyDescent="0.2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</row>
    <row r="1974" spans="1:19" x14ac:dyDescent="0.2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</row>
    <row r="1975" spans="1:19" x14ac:dyDescent="0.2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</row>
    <row r="1976" spans="1:19" x14ac:dyDescent="0.2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</row>
    <row r="1977" spans="1:19" x14ac:dyDescent="0.2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</row>
    <row r="1978" spans="1:19" x14ac:dyDescent="0.2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</row>
    <row r="1979" spans="1:19" x14ac:dyDescent="0.2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</row>
    <row r="1980" spans="1:19" x14ac:dyDescent="0.2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</row>
    <row r="1981" spans="1:19" x14ac:dyDescent="0.2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</row>
    <row r="1982" spans="1:19" x14ac:dyDescent="0.2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</row>
    <row r="1983" spans="1:19" x14ac:dyDescent="0.2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</row>
    <row r="1984" spans="1:19" x14ac:dyDescent="0.2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</row>
    <row r="1985" spans="1:19" x14ac:dyDescent="0.2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</row>
    <row r="1986" spans="1:19" x14ac:dyDescent="0.2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</row>
    <row r="1987" spans="1:19" x14ac:dyDescent="0.2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</row>
    <row r="1988" spans="1:19" x14ac:dyDescent="0.2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</row>
    <row r="1989" spans="1:19" x14ac:dyDescent="0.2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</row>
    <row r="1990" spans="1:19" x14ac:dyDescent="0.2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</row>
    <row r="1991" spans="1:19" x14ac:dyDescent="0.2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</row>
    <row r="1992" spans="1:19" x14ac:dyDescent="0.2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</row>
    <row r="1993" spans="1:19" x14ac:dyDescent="0.2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</row>
    <row r="1994" spans="1:19" x14ac:dyDescent="0.2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</row>
    <row r="1995" spans="1:19" x14ac:dyDescent="0.2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</row>
    <row r="1996" spans="1:19" x14ac:dyDescent="0.2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</row>
    <row r="1997" spans="1:19" x14ac:dyDescent="0.2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</row>
    <row r="1998" spans="1:19" x14ac:dyDescent="0.2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</row>
    <row r="1999" spans="1:19" x14ac:dyDescent="0.2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</row>
    <row r="2000" spans="1:19" x14ac:dyDescent="0.2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</row>
    <row r="2001" spans="1:19" x14ac:dyDescent="0.2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</row>
    <row r="2002" spans="1:19" x14ac:dyDescent="0.2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</row>
    <row r="2003" spans="1:19" x14ac:dyDescent="0.2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</row>
    <row r="2004" spans="1:19" x14ac:dyDescent="0.2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</row>
    <row r="2005" spans="1:19" x14ac:dyDescent="0.2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</row>
    <row r="2006" spans="1:19" x14ac:dyDescent="0.2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</row>
    <row r="2007" spans="1:19" x14ac:dyDescent="0.2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</row>
    <row r="2008" spans="1:19" x14ac:dyDescent="0.2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</row>
    <row r="2009" spans="1:19" x14ac:dyDescent="0.2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</row>
    <row r="2010" spans="1:19" x14ac:dyDescent="0.2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</row>
    <row r="2011" spans="1:19" x14ac:dyDescent="0.2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</row>
    <row r="2012" spans="1:19" x14ac:dyDescent="0.2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</row>
    <row r="2013" spans="1:19" x14ac:dyDescent="0.2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</row>
    <row r="2014" spans="1:19" x14ac:dyDescent="0.2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</row>
    <row r="2015" spans="1:19" x14ac:dyDescent="0.2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</row>
    <row r="2016" spans="1:19" x14ac:dyDescent="0.2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</row>
    <row r="2017" spans="1:19" x14ac:dyDescent="0.2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</row>
    <row r="2018" spans="1:19" x14ac:dyDescent="0.2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</row>
    <row r="2019" spans="1:19" x14ac:dyDescent="0.2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</row>
    <row r="2020" spans="1:19" x14ac:dyDescent="0.2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</row>
    <row r="2021" spans="1:19" x14ac:dyDescent="0.2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</row>
    <row r="2022" spans="1:19" x14ac:dyDescent="0.2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</row>
    <row r="2023" spans="1:19" x14ac:dyDescent="0.2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</row>
    <row r="2024" spans="1:19" x14ac:dyDescent="0.2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</row>
    <row r="2025" spans="1:19" x14ac:dyDescent="0.2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</row>
    <row r="2026" spans="1:19" x14ac:dyDescent="0.2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</row>
    <row r="2027" spans="1:19" x14ac:dyDescent="0.2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</row>
    <row r="2028" spans="1:19" x14ac:dyDescent="0.2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</row>
    <row r="2029" spans="1:19" x14ac:dyDescent="0.2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</row>
    <row r="2030" spans="1:19" x14ac:dyDescent="0.2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</row>
    <row r="2031" spans="1:19" x14ac:dyDescent="0.2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</row>
    <row r="2032" spans="1:19" x14ac:dyDescent="0.2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</row>
    <row r="2033" spans="1:19" x14ac:dyDescent="0.2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</row>
    <row r="2034" spans="1:19" x14ac:dyDescent="0.2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</row>
    <row r="2035" spans="1:19" x14ac:dyDescent="0.2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</row>
    <row r="2036" spans="1:19" x14ac:dyDescent="0.2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</row>
    <row r="2037" spans="1:19" x14ac:dyDescent="0.2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</row>
    <row r="2038" spans="1:19" x14ac:dyDescent="0.2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</row>
    <row r="2039" spans="1:19" x14ac:dyDescent="0.2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</row>
    <row r="2040" spans="1:19" x14ac:dyDescent="0.2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</row>
    <row r="2041" spans="1:19" x14ac:dyDescent="0.2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</row>
    <row r="2042" spans="1:19" x14ac:dyDescent="0.2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</row>
    <row r="2043" spans="1:19" x14ac:dyDescent="0.2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</row>
    <row r="2044" spans="1:19" x14ac:dyDescent="0.2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</row>
    <row r="2045" spans="1:19" x14ac:dyDescent="0.2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</row>
    <row r="2046" spans="1:19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</row>
    <row r="2047" spans="1:19" x14ac:dyDescent="0.2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</row>
    <row r="2048" spans="1:19" x14ac:dyDescent="0.2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</row>
    <row r="2049" spans="1:19" x14ac:dyDescent="0.2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</row>
    <row r="2050" spans="1:19" x14ac:dyDescent="0.2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</row>
    <row r="2051" spans="1:19" x14ac:dyDescent="0.2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</row>
    <row r="2052" spans="1:19" x14ac:dyDescent="0.2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</row>
    <row r="2053" spans="1:19" x14ac:dyDescent="0.2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</row>
    <row r="2054" spans="1:19" x14ac:dyDescent="0.2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</row>
    <row r="2055" spans="1:19" x14ac:dyDescent="0.2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</row>
    <row r="2056" spans="1:19" x14ac:dyDescent="0.2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</row>
    <row r="2057" spans="1:19" x14ac:dyDescent="0.2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</row>
    <row r="2058" spans="1:19" x14ac:dyDescent="0.2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</row>
    <row r="2059" spans="1:19" x14ac:dyDescent="0.2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</row>
    <row r="2060" spans="1:19" x14ac:dyDescent="0.2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</row>
    <row r="2061" spans="1:19" x14ac:dyDescent="0.2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</row>
    <row r="2062" spans="1:19" x14ac:dyDescent="0.2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</row>
    <row r="2063" spans="1:19" x14ac:dyDescent="0.2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</row>
    <row r="2064" spans="1:19" x14ac:dyDescent="0.2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</row>
    <row r="2065" spans="1:19" x14ac:dyDescent="0.2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</row>
    <row r="2066" spans="1:19" x14ac:dyDescent="0.2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</row>
    <row r="2067" spans="1:19" x14ac:dyDescent="0.2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</row>
    <row r="2068" spans="1:19" x14ac:dyDescent="0.2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</row>
    <row r="2069" spans="1:19" x14ac:dyDescent="0.2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</row>
    <row r="2070" spans="1:19" x14ac:dyDescent="0.2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</row>
    <row r="2071" spans="1:19" x14ac:dyDescent="0.2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</row>
    <row r="2072" spans="1:19" x14ac:dyDescent="0.2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</row>
    <row r="2073" spans="1:19" x14ac:dyDescent="0.2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</row>
    <row r="2074" spans="1:19" x14ac:dyDescent="0.2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</row>
    <row r="2075" spans="1:19" x14ac:dyDescent="0.2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</row>
    <row r="2076" spans="1:19" x14ac:dyDescent="0.2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</row>
    <row r="2077" spans="1:19" x14ac:dyDescent="0.2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</row>
    <row r="2078" spans="1:19" x14ac:dyDescent="0.2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</row>
    <row r="2079" spans="1:19" x14ac:dyDescent="0.2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</row>
    <row r="2080" spans="1:19" x14ac:dyDescent="0.2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</row>
    <row r="2081" spans="1:19" x14ac:dyDescent="0.2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</row>
    <row r="2082" spans="1:19" x14ac:dyDescent="0.2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</row>
    <row r="2083" spans="1:19" x14ac:dyDescent="0.2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</row>
    <row r="2084" spans="1:19" x14ac:dyDescent="0.2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</row>
    <row r="2085" spans="1:19" x14ac:dyDescent="0.2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</row>
    <row r="2086" spans="1:19" x14ac:dyDescent="0.2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</row>
    <row r="2087" spans="1:19" x14ac:dyDescent="0.2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</row>
    <row r="2088" spans="1:19" x14ac:dyDescent="0.2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</row>
    <row r="2089" spans="1:19" x14ac:dyDescent="0.2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</row>
    <row r="2090" spans="1:19" x14ac:dyDescent="0.2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</row>
    <row r="2091" spans="1:19" x14ac:dyDescent="0.2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</row>
    <row r="2092" spans="1:19" x14ac:dyDescent="0.2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</row>
    <row r="2093" spans="1:19" x14ac:dyDescent="0.2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</row>
    <row r="2094" spans="1:19" x14ac:dyDescent="0.2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</row>
    <row r="2095" spans="1:19" x14ac:dyDescent="0.2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</row>
    <row r="2096" spans="1:19" x14ac:dyDescent="0.2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</row>
    <row r="2097" spans="1:19" x14ac:dyDescent="0.2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</row>
    <row r="2098" spans="1:19" x14ac:dyDescent="0.2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</row>
    <row r="2099" spans="1:19" x14ac:dyDescent="0.2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</row>
    <row r="2100" spans="1:19" x14ac:dyDescent="0.2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</row>
    <row r="2101" spans="1:19" x14ac:dyDescent="0.2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</row>
    <row r="2102" spans="1:19" x14ac:dyDescent="0.2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</row>
    <row r="2103" spans="1:19" x14ac:dyDescent="0.2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</row>
    <row r="2104" spans="1:19" x14ac:dyDescent="0.2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</row>
    <row r="2105" spans="1:19" x14ac:dyDescent="0.2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</row>
    <row r="2106" spans="1:19" x14ac:dyDescent="0.2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</row>
    <row r="2107" spans="1:19" x14ac:dyDescent="0.2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</row>
    <row r="2108" spans="1:19" x14ac:dyDescent="0.2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</row>
    <row r="2109" spans="1:19" x14ac:dyDescent="0.2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</row>
    <row r="2110" spans="1:19" x14ac:dyDescent="0.2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</row>
    <row r="2111" spans="1:19" x14ac:dyDescent="0.2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</row>
    <row r="2112" spans="1:19" x14ac:dyDescent="0.2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</row>
    <row r="2113" spans="1:19" x14ac:dyDescent="0.2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</row>
    <row r="2114" spans="1:19" x14ac:dyDescent="0.2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</row>
    <row r="2115" spans="1:19" x14ac:dyDescent="0.2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</row>
    <row r="2116" spans="1:19" x14ac:dyDescent="0.2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</row>
    <row r="2117" spans="1:19" x14ac:dyDescent="0.2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</row>
    <row r="2118" spans="1:19" x14ac:dyDescent="0.2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</row>
    <row r="2119" spans="1:19" x14ac:dyDescent="0.2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</row>
    <row r="2120" spans="1:19" x14ac:dyDescent="0.2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</row>
    <row r="2121" spans="1:19" x14ac:dyDescent="0.2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</row>
    <row r="2122" spans="1:19" x14ac:dyDescent="0.2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</row>
    <row r="2123" spans="1:19" x14ac:dyDescent="0.2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</row>
    <row r="2124" spans="1:19" x14ac:dyDescent="0.2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</row>
    <row r="2125" spans="1:19" x14ac:dyDescent="0.2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</row>
    <row r="2126" spans="1:19" x14ac:dyDescent="0.2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</row>
    <row r="2127" spans="1:19" x14ac:dyDescent="0.2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</row>
    <row r="2128" spans="1:19" x14ac:dyDescent="0.2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</row>
    <row r="2129" spans="1:19" x14ac:dyDescent="0.2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</row>
    <row r="2130" spans="1:19" x14ac:dyDescent="0.2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</row>
    <row r="2131" spans="1:19" x14ac:dyDescent="0.2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</row>
    <row r="2132" spans="1:19" x14ac:dyDescent="0.2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</row>
    <row r="2133" spans="1:19" x14ac:dyDescent="0.2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</row>
    <row r="2134" spans="1:19" x14ac:dyDescent="0.2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</row>
    <row r="2135" spans="1:19" x14ac:dyDescent="0.2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</row>
    <row r="2136" spans="1:19" x14ac:dyDescent="0.2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</row>
    <row r="2137" spans="1:19" x14ac:dyDescent="0.2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</row>
    <row r="2138" spans="1:19" x14ac:dyDescent="0.2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</row>
    <row r="2139" spans="1:19" x14ac:dyDescent="0.2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</row>
    <row r="2140" spans="1:19" x14ac:dyDescent="0.2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</row>
    <row r="2141" spans="1:19" x14ac:dyDescent="0.2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</row>
    <row r="2142" spans="1:19" x14ac:dyDescent="0.2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</row>
    <row r="2143" spans="1:19" x14ac:dyDescent="0.2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</row>
    <row r="2144" spans="1:19" x14ac:dyDescent="0.2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</row>
    <row r="2145" spans="1:19" x14ac:dyDescent="0.2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</row>
    <row r="2146" spans="1:19" x14ac:dyDescent="0.2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</row>
    <row r="2147" spans="1:19" x14ac:dyDescent="0.2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</row>
    <row r="2148" spans="1:19" x14ac:dyDescent="0.2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</row>
    <row r="2149" spans="1:19" x14ac:dyDescent="0.2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</row>
    <row r="2150" spans="1:19" x14ac:dyDescent="0.2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</row>
    <row r="2151" spans="1:19" x14ac:dyDescent="0.2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</row>
    <row r="2152" spans="1:19" x14ac:dyDescent="0.2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</row>
    <row r="2153" spans="1:19" x14ac:dyDescent="0.2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</row>
    <row r="2154" spans="1:19" x14ac:dyDescent="0.2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</row>
    <row r="2155" spans="1:19" x14ac:dyDescent="0.2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</row>
    <row r="2156" spans="1:19" x14ac:dyDescent="0.2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</row>
    <row r="2157" spans="1:19" x14ac:dyDescent="0.2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</row>
    <row r="2158" spans="1:19" x14ac:dyDescent="0.2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</row>
    <row r="2159" spans="1:19" x14ac:dyDescent="0.2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</row>
    <row r="2160" spans="1:19" x14ac:dyDescent="0.2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</row>
    <row r="2161" spans="1:19" x14ac:dyDescent="0.2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</row>
    <row r="2162" spans="1:19" x14ac:dyDescent="0.2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</row>
    <row r="2163" spans="1:19" x14ac:dyDescent="0.2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</row>
    <row r="2164" spans="1:19" x14ac:dyDescent="0.2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</row>
    <row r="2165" spans="1:19" x14ac:dyDescent="0.2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</row>
    <row r="2166" spans="1:19" x14ac:dyDescent="0.2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</row>
    <row r="2167" spans="1:19" x14ac:dyDescent="0.2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</row>
    <row r="2168" spans="1:19" x14ac:dyDescent="0.2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</row>
    <row r="2169" spans="1:19" x14ac:dyDescent="0.2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</row>
    <row r="2170" spans="1:19" x14ac:dyDescent="0.2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</row>
    <row r="2171" spans="1:19" x14ac:dyDescent="0.2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</row>
    <row r="2172" spans="1:19" x14ac:dyDescent="0.2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</row>
    <row r="2173" spans="1:19" x14ac:dyDescent="0.2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</row>
    <row r="2174" spans="1:19" x14ac:dyDescent="0.2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</row>
    <row r="2175" spans="1:19" x14ac:dyDescent="0.2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</row>
    <row r="2176" spans="1:19" x14ac:dyDescent="0.2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</row>
    <row r="2177" spans="1:19" x14ac:dyDescent="0.2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</row>
    <row r="2178" spans="1:19" x14ac:dyDescent="0.2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</row>
    <row r="2179" spans="1:19" x14ac:dyDescent="0.2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</row>
    <row r="2180" spans="1:19" x14ac:dyDescent="0.2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</row>
    <row r="2181" spans="1:19" x14ac:dyDescent="0.2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</row>
    <row r="2182" spans="1:19" x14ac:dyDescent="0.2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</row>
    <row r="2183" spans="1:19" x14ac:dyDescent="0.2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</row>
    <row r="2184" spans="1:19" x14ac:dyDescent="0.2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</row>
    <row r="2185" spans="1:19" x14ac:dyDescent="0.2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</row>
    <row r="2186" spans="1:19" x14ac:dyDescent="0.2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</row>
    <row r="2187" spans="1:19" x14ac:dyDescent="0.2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</row>
    <row r="2188" spans="1:19" x14ac:dyDescent="0.2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</row>
    <row r="2189" spans="1:19" x14ac:dyDescent="0.2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</row>
    <row r="2190" spans="1:19" x14ac:dyDescent="0.2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</row>
    <row r="2191" spans="1:19" x14ac:dyDescent="0.2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</row>
    <row r="2192" spans="1:19" x14ac:dyDescent="0.2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</row>
    <row r="2193" spans="1:19" x14ac:dyDescent="0.2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</row>
    <row r="2194" spans="1:19" x14ac:dyDescent="0.2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</row>
    <row r="2195" spans="1:19" x14ac:dyDescent="0.2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</row>
    <row r="2196" spans="1:19" x14ac:dyDescent="0.2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</row>
    <row r="2197" spans="1:19" x14ac:dyDescent="0.2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</row>
    <row r="2198" spans="1:19" x14ac:dyDescent="0.2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</row>
    <row r="2199" spans="1:19" x14ac:dyDescent="0.2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</row>
    <row r="2200" spans="1:19" x14ac:dyDescent="0.2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</row>
    <row r="2201" spans="1:19" x14ac:dyDescent="0.2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</row>
    <row r="2202" spans="1:19" x14ac:dyDescent="0.2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</row>
    <row r="2203" spans="1:19" x14ac:dyDescent="0.2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</row>
    <row r="2204" spans="1:19" x14ac:dyDescent="0.2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</row>
    <row r="2205" spans="1:19" x14ac:dyDescent="0.2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</row>
    <row r="2206" spans="1:19" x14ac:dyDescent="0.2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</row>
    <row r="2207" spans="1:19" x14ac:dyDescent="0.2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</row>
    <row r="2208" spans="1:19" x14ac:dyDescent="0.2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</row>
    <row r="2209" spans="1:19" x14ac:dyDescent="0.2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</row>
    <row r="2210" spans="1:19" x14ac:dyDescent="0.2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</row>
    <row r="2211" spans="1:19" x14ac:dyDescent="0.2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</row>
    <row r="2212" spans="1:19" x14ac:dyDescent="0.2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</row>
    <row r="2213" spans="1:19" x14ac:dyDescent="0.2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</row>
    <row r="2214" spans="1:19" x14ac:dyDescent="0.2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</row>
    <row r="2215" spans="1:19" x14ac:dyDescent="0.2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</row>
    <row r="2216" spans="1:19" x14ac:dyDescent="0.2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</row>
    <row r="2217" spans="1:19" x14ac:dyDescent="0.2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</row>
    <row r="2218" spans="1:19" x14ac:dyDescent="0.2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</row>
    <row r="2219" spans="1:19" x14ac:dyDescent="0.2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</row>
    <row r="2220" spans="1:19" x14ac:dyDescent="0.2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</row>
    <row r="2221" spans="1:19" x14ac:dyDescent="0.2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</row>
    <row r="2222" spans="1:19" x14ac:dyDescent="0.2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</row>
    <row r="2223" spans="1:19" x14ac:dyDescent="0.2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</row>
    <row r="2224" spans="1:19" x14ac:dyDescent="0.2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</row>
    <row r="2225" spans="1:19" x14ac:dyDescent="0.2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</row>
    <row r="2226" spans="1:19" x14ac:dyDescent="0.2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</row>
    <row r="2227" spans="1:19" x14ac:dyDescent="0.2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</row>
    <row r="2228" spans="1:19" x14ac:dyDescent="0.2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</row>
    <row r="2229" spans="1:19" x14ac:dyDescent="0.2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</row>
    <row r="2230" spans="1:19" x14ac:dyDescent="0.2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</row>
    <row r="2231" spans="1:19" x14ac:dyDescent="0.2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</row>
    <row r="2232" spans="1:19" x14ac:dyDescent="0.2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</row>
    <row r="2233" spans="1:19" x14ac:dyDescent="0.2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</row>
    <row r="2234" spans="1:19" x14ac:dyDescent="0.2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</row>
    <row r="2235" spans="1:19" x14ac:dyDescent="0.2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</row>
    <row r="2236" spans="1:19" x14ac:dyDescent="0.2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</row>
    <row r="2237" spans="1:19" x14ac:dyDescent="0.2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</row>
    <row r="2238" spans="1:19" x14ac:dyDescent="0.2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</row>
    <row r="2239" spans="1:19" x14ac:dyDescent="0.2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</row>
    <row r="2240" spans="1:19" x14ac:dyDescent="0.2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</row>
    <row r="2241" spans="1:19" x14ac:dyDescent="0.2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</row>
    <row r="2242" spans="1:19" x14ac:dyDescent="0.2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</row>
    <row r="2243" spans="1:19" x14ac:dyDescent="0.2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</row>
    <row r="2244" spans="1:19" x14ac:dyDescent="0.2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</row>
    <row r="2245" spans="1:19" x14ac:dyDescent="0.2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</row>
    <row r="2246" spans="1:19" x14ac:dyDescent="0.2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</row>
    <row r="2247" spans="1:19" x14ac:dyDescent="0.2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</row>
    <row r="2248" spans="1:19" x14ac:dyDescent="0.2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</row>
    <row r="2249" spans="1:19" x14ac:dyDescent="0.2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</row>
    <row r="2250" spans="1:19" x14ac:dyDescent="0.2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</row>
    <row r="2251" spans="1:19" x14ac:dyDescent="0.2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</row>
    <row r="2252" spans="1:19" x14ac:dyDescent="0.2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</row>
    <row r="2253" spans="1:19" x14ac:dyDescent="0.2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</row>
    <row r="2254" spans="1:19" x14ac:dyDescent="0.2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</row>
    <row r="2255" spans="1:19" x14ac:dyDescent="0.2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</row>
    <row r="2256" spans="1:19" x14ac:dyDescent="0.2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</row>
    <row r="2257" spans="1:19" x14ac:dyDescent="0.2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</row>
    <row r="2258" spans="1:19" x14ac:dyDescent="0.2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</row>
    <row r="2259" spans="1:19" x14ac:dyDescent="0.2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</row>
    <row r="2260" spans="1:19" x14ac:dyDescent="0.2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</row>
    <row r="2261" spans="1:19" x14ac:dyDescent="0.2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</row>
    <row r="2262" spans="1:19" x14ac:dyDescent="0.2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</row>
    <row r="2263" spans="1:19" x14ac:dyDescent="0.2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</row>
    <row r="2264" spans="1:19" x14ac:dyDescent="0.2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</row>
    <row r="2265" spans="1:19" x14ac:dyDescent="0.2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</row>
    <row r="2266" spans="1:19" x14ac:dyDescent="0.2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</row>
    <row r="2267" spans="1:19" x14ac:dyDescent="0.2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</row>
    <row r="2268" spans="1:19" x14ac:dyDescent="0.2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</row>
    <row r="2269" spans="1:19" x14ac:dyDescent="0.2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</row>
    <row r="2270" spans="1:19" x14ac:dyDescent="0.2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</row>
    <row r="2271" spans="1:19" x14ac:dyDescent="0.2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</row>
    <row r="2272" spans="1:19" x14ac:dyDescent="0.2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</row>
    <row r="2273" spans="1:19" x14ac:dyDescent="0.2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</row>
    <row r="2274" spans="1:19" x14ac:dyDescent="0.2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</row>
    <row r="2275" spans="1:19" x14ac:dyDescent="0.2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</row>
    <row r="2276" spans="1:19" x14ac:dyDescent="0.2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</row>
    <row r="2277" spans="1:19" x14ac:dyDescent="0.2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</row>
    <row r="2278" spans="1:19" x14ac:dyDescent="0.2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</row>
    <row r="2279" spans="1:19" x14ac:dyDescent="0.2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</row>
    <row r="2280" spans="1:19" x14ac:dyDescent="0.2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</row>
    <row r="2281" spans="1:19" x14ac:dyDescent="0.2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</row>
    <row r="2282" spans="1:19" x14ac:dyDescent="0.2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</row>
    <row r="2283" spans="1:19" x14ac:dyDescent="0.2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</row>
    <row r="2284" spans="1:19" x14ac:dyDescent="0.2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</row>
    <row r="2285" spans="1:19" x14ac:dyDescent="0.2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</row>
    <row r="2286" spans="1:19" x14ac:dyDescent="0.2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</row>
    <row r="2287" spans="1:19" x14ac:dyDescent="0.2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</row>
    <row r="2288" spans="1:19" x14ac:dyDescent="0.2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</row>
    <row r="2289" spans="1:19" x14ac:dyDescent="0.2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</row>
    <row r="2290" spans="1:19" x14ac:dyDescent="0.2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</row>
    <row r="2291" spans="1:19" x14ac:dyDescent="0.2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</row>
    <row r="2292" spans="1:19" x14ac:dyDescent="0.2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</row>
    <row r="2293" spans="1:19" x14ac:dyDescent="0.2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</row>
    <row r="2294" spans="1:19" x14ac:dyDescent="0.2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</row>
    <row r="2295" spans="1:19" x14ac:dyDescent="0.2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</row>
    <row r="2296" spans="1:19" x14ac:dyDescent="0.2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</row>
    <row r="2297" spans="1:19" x14ac:dyDescent="0.2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</row>
    <row r="2298" spans="1:19" x14ac:dyDescent="0.2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</row>
    <row r="2299" spans="1:19" x14ac:dyDescent="0.2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</row>
    <row r="2300" spans="1:19" x14ac:dyDescent="0.2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</row>
    <row r="2301" spans="1:19" x14ac:dyDescent="0.2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</row>
    <row r="2302" spans="1:19" x14ac:dyDescent="0.2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</row>
    <row r="2303" spans="1:19" x14ac:dyDescent="0.2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</row>
    <row r="2304" spans="1:19" x14ac:dyDescent="0.2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</row>
    <row r="2305" spans="1:19" x14ac:dyDescent="0.2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</row>
    <row r="2306" spans="1:19" x14ac:dyDescent="0.2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</row>
    <row r="2307" spans="1:19" x14ac:dyDescent="0.2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</row>
    <row r="2308" spans="1:19" x14ac:dyDescent="0.2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</row>
    <row r="2309" spans="1:19" x14ac:dyDescent="0.2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</row>
    <row r="2310" spans="1:19" x14ac:dyDescent="0.2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</row>
    <row r="2311" spans="1:19" x14ac:dyDescent="0.2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</row>
    <row r="2312" spans="1:19" x14ac:dyDescent="0.2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</row>
    <row r="2313" spans="1:19" x14ac:dyDescent="0.2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</row>
    <row r="2314" spans="1:19" x14ac:dyDescent="0.2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</row>
    <row r="2315" spans="1:19" x14ac:dyDescent="0.2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</row>
    <row r="2316" spans="1:19" x14ac:dyDescent="0.2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</row>
    <row r="2317" spans="1:19" x14ac:dyDescent="0.2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</row>
    <row r="2318" spans="1:19" x14ac:dyDescent="0.2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</row>
    <row r="2319" spans="1:19" x14ac:dyDescent="0.2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</row>
    <row r="2320" spans="1:19" x14ac:dyDescent="0.2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</row>
    <row r="2321" spans="1:19" x14ac:dyDescent="0.2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</row>
    <row r="2322" spans="1:19" x14ac:dyDescent="0.2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</row>
    <row r="2323" spans="1:19" x14ac:dyDescent="0.2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</row>
    <row r="2324" spans="1:19" x14ac:dyDescent="0.2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</row>
    <row r="2325" spans="1:19" x14ac:dyDescent="0.2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</row>
    <row r="2326" spans="1:19" x14ac:dyDescent="0.2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</row>
    <row r="2327" spans="1:19" x14ac:dyDescent="0.2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</row>
    <row r="2328" spans="1:19" x14ac:dyDescent="0.2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</row>
    <row r="2329" spans="1:19" x14ac:dyDescent="0.2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</row>
    <row r="2330" spans="1:19" x14ac:dyDescent="0.2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</row>
    <row r="2331" spans="1:19" x14ac:dyDescent="0.2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</row>
    <row r="2332" spans="1:19" x14ac:dyDescent="0.2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</row>
    <row r="2333" spans="1:19" x14ac:dyDescent="0.2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</row>
    <row r="2334" spans="1:19" x14ac:dyDescent="0.2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</row>
    <row r="2335" spans="1:19" x14ac:dyDescent="0.2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</row>
    <row r="2336" spans="1:19" x14ac:dyDescent="0.2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</row>
    <row r="2337" spans="1:19" x14ac:dyDescent="0.2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</row>
    <row r="2338" spans="1:19" x14ac:dyDescent="0.2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</row>
    <row r="2339" spans="1:19" x14ac:dyDescent="0.2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</row>
    <row r="2340" spans="1:19" x14ac:dyDescent="0.2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</row>
    <row r="2341" spans="1:19" x14ac:dyDescent="0.2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</row>
    <row r="2342" spans="1:19" x14ac:dyDescent="0.2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</row>
    <row r="2343" spans="1:19" x14ac:dyDescent="0.2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</row>
    <row r="2344" spans="1:19" x14ac:dyDescent="0.2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</row>
    <row r="2345" spans="1:19" x14ac:dyDescent="0.2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</row>
    <row r="2346" spans="1:19" x14ac:dyDescent="0.2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</row>
    <row r="2347" spans="1:19" x14ac:dyDescent="0.2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</row>
    <row r="2348" spans="1:19" x14ac:dyDescent="0.2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</row>
    <row r="2349" spans="1:19" x14ac:dyDescent="0.2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</row>
    <row r="2350" spans="1:19" x14ac:dyDescent="0.2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</row>
    <row r="2351" spans="1:19" x14ac:dyDescent="0.2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</row>
    <row r="2352" spans="1:19" x14ac:dyDescent="0.2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</row>
    <row r="2353" spans="1:19" x14ac:dyDescent="0.2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</row>
    <row r="2354" spans="1:19" x14ac:dyDescent="0.2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</row>
    <row r="2355" spans="1:19" x14ac:dyDescent="0.2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</row>
    <row r="2356" spans="1:19" x14ac:dyDescent="0.2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</row>
    <row r="2357" spans="1:19" x14ac:dyDescent="0.2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</row>
    <row r="2358" spans="1:19" x14ac:dyDescent="0.2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</row>
    <row r="2359" spans="1:19" x14ac:dyDescent="0.2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</row>
    <row r="2360" spans="1:19" x14ac:dyDescent="0.2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</row>
    <row r="2361" spans="1:19" x14ac:dyDescent="0.2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</row>
    <row r="2362" spans="1:19" x14ac:dyDescent="0.2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</row>
    <row r="2363" spans="1:19" x14ac:dyDescent="0.2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</row>
    <row r="2364" spans="1:19" x14ac:dyDescent="0.2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</row>
    <row r="2365" spans="1:19" x14ac:dyDescent="0.2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</row>
    <row r="2366" spans="1:19" x14ac:dyDescent="0.2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</row>
    <row r="2367" spans="1:19" x14ac:dyDescent="0.2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</row>
    <row r="2368" spans="1:19" x14ac:dyDescent="0.2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</row>
    <row r="2369" spans="1:19" x14ac:dyDescent="0.2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</row>
    <row r="2370" spans="1:19" x14ac:dyDescent="0.2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</row>
    <row r="2371" spans="1:19" x14ac:dyDescent="0.2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</row>
    <row r="2372" spans="1:19" x14ac:dyDescent="0.2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</row>
    <row r="2373" spans="1:19" x14ac:dyDescent="0.2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</row>
    <row r="2374" spans="1:19" x14ac:dyDescent="0.2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</row>
    <row r="2375" spans="1:19" x14ac:dyDescent="0.2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</row>
    <row r="2376" spans="1:19" x14ac:dyDescent="0.2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</row>
    <row r="2377" spans="1:19" x14ac:dyDescent="0.2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</row>
    <row r="2378" spans="1:19" x14ac:dyDescent="0.2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</row>
    <row r="2379" spans="1:19" x14ac:dyDescent="0.2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</row>
    <row r="2380" spans="1:19" x14ac:dyDescent="0.2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</row>
    <row r="2381" spans="1:19" x14ac:dyDescent="0.2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</row>
    <row r="2382" spans="1:19" x14ac:dyDescent="0.2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</row>
    <row r="2383" spans="1:19" x14ac:dyDescent="0.2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</row>
    <row r="2384" spans="1:19" x14ac:dyDescent="0.2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</row>
    <row r="2385" spans="1:19" x14ac:dyDescent="0.2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</row>
    <row r="2386" spans="1:19" x14ac:dyDescent="0.2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</row>
    <row r="2387" spans="1:19" x14ac:dyDescent="0.2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</row>
    <row r="2388" spans="1:19" x14ac:dyDescent="0.2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</row>
    <row r="2389" spans="1:19" x14ac:dyDescent="0.2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</row>
    <row r="2390" spans="1:19" x14ac:dyDescent="0.2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</row>
    <row r="2391" spans="1:19" x14ac:dyDescent="0.2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</row>
    <row r="2392" spans="1:19" x14ac:dyDescent="0.2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</row>
    <row r="2393" spans="1:19" x14ac:dyDescent="0.2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</row>
    <row r="2394" spans="1:19" x14ac:dyDescent="0.2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</row>
    <row r="2395" spans="1:19" x14ac:dyDescent="0.2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</row>
    <row r="2396" spans="1:19" x14ac:dyDescent="0.2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</row>
    <row r="2397" spans="1:19" x14ac:dyDescent="0.2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</row>
    <row r="2398" spans="1:19" x14ac:dyDescent="0.2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</row>
    <row r="2399" spans="1:19" x14ac:dyDescent="0.2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</row>
    <row r="2400" spans="1:19" x14ac:dyDescent="0.2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</row>
    <row r="2401" spans="1:19" x14ac:dyDescent="0.2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</row>
    <row r="2402" spans="1:19" x14ac:dyDescent="0.2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</row>
    <row r="2403" spans="1:19" x14ac:dyDescent="0.2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</row>
    <row r="2404" spans="1:19" x14ac:dyDescent="0.2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</row>
    <row r="2405" spans="1:19" x14ac:dyDescent="0.2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</row>
    <row r="2406" spans="1:19" x14ac:dyDescent="0.2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</row>
    <row r="2407" spans="1:19" x14ac:dyDescent="0.2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</row>
    <row r="2408" spans="1:19" x14ac:dyDescent="0.2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</row>
    <row r="2409" spans="1:19" x14ac:dyDescent="0.2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</row>
    <row r="2410" spans="1:19" x14ac:dyDescent="0.2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</row>
    <row r="2411" spans="1:19" x14ac:dyDescent="0.2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</row>
    <row r="2412" spans="1:19" x14ac:dyDescent="0.2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</row>
    <row r="2413" spans="1:19" x14ac:dyDescent="0.2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</row>
    <row r="2414" spans="1:19" x14ac:dyDescent="0.2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</row>
    <row r="2415" spans="1:19" x14ac:dyDescent="0.2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</row>
    <row r="2416" spans="1:19" x14ac:dyDescent="0.2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</row>
    <row r="2417" spans="1:19" x14ac:dyDescent="0.2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</row>
    <row r="2418" spans="1:19" x14ac:dyDescent="0.2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</row>
    <row r="2419" spans="1:19" x14ac:dyDescent="0.2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</row>
    <row r="2420" spans="1:19" x14ac:dyDescent="0.2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</row>
    <row r="2421" spans="1:19" x14ac:dyDescent="0.2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</row>
    <row r="2422" spans="1:19" x14ac:dyDescent="0.2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</row>
    <row r="2423" spans="1:19" x14ac:dyDescent="0.2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</row>
    <row r="2424" spans="1:19" x14ac:dyDescent="0.2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</row>
    <row r="2425" spans="1:19" x14ac:dyDescent="0.2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</row>
    <row r="2426" spans="1:19" x14ac:dyDescent="0.2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</row>
    <row r="2427" spans="1:19" x14ac:dyDescent="0.2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</row>
    <row r="2428" spans="1:19" x14ac:dyDescent="0.2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</row>
    <row r="2429" spans="1:19" x14ac:dyDescent="0.2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</row>
    <row r="2430" spans="1:19" x14ac:dyDescent="0.2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</row>
    <row r="2431" spans="1:19" x14ac:dyDescent="0.2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</row>
    <row r="2432" spans="1:19" x14ac:dyDescent="0.2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</row>
    <row r="2433" spans="1:19" x14ac:dyDescent="0.2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</row>
    <row r="2434" spans="1:19" x14ac:dyDescent="0.2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</row>
    <row r="2435" spans="1:19" x14ac:dyDescent="0.2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</row>
    <row r="2436" spans="1:19" x14ac:dyDescent="0.2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</row>
    <row r="2437" spans="1:19" x14ac:dyDescent="0.2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</row>
    <row r="2438" spans="1:19" x14ac:dyDescent="0.2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</row>
    <row r="2439" spans="1:19" x14ac:dyDescent="0.2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</row>
    <row r="2440" spans="1:19" x14ac:dyDescent="0.2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</row>
    <row r="2441" spans="1:19" x14ac:dyDescent="0.2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</row>
    <row r="2442" spans="1:19" x14ac:dyDescent="0.2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</row>
    <row r="2443" spans="1:19" x14ac:dyDescent="0.2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</row>
    <row r="2444" spans="1:19" x14ac:dyDescent="0.2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</row>
    <row r="2445" spans="1:19" x14ac:dyDescent="0.2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</row>
    <row r="2446" spans="1:19" x14ac:dyDescent="0.2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</row>
    <row r="2447" spans="1:19" x14ac:dyDescent="0.2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</row>
    <row r="2448" spans="1:19" x14ac:dyDescent="0.2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</row>
    <row r="2449" spans="1:19" x14ac:dyDescent="0.2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</row>
    <row r="2450" spans="1:19" x14ac:dyDescent="0.2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</row>
    <row r="2451" spans="1:19" x14ac:dyDescent="0.2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</row>
    <row r="2452" spans="1:19" x14ac:dyDescent="0.2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</row>
    <row r="2453" spans="1:19" x14ac:dyDescent="0.2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</row>
    <row r="2454" spans="1:19" x14ac:dyDescent="0.2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</row>
    <row r="2455" spans="1:19" x14ac:dyDescent="0.2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</row>
    <row r="2456" spans="1:19" x14ac:dyDescent="0.2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</row>
    <row r="2457" spans="1:19" x14ac:dyDescent="0.2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</row>
    <row r="2458" spans="1:19" x14ac:dyDescent="0.2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</row>
    <row r="2459" spans="1:19" x14ac:dyDescent="0.2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</row>
    <row r="2460" spans="1:19" x14ac:dyDescent="0.2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</row>
    <row r="2461" spans="1:19" x14ac:dyDescent="0.2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</row>
    <row r="2462" spans="1:19" x14ac:dyDescent="0.2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</row>
    <row r="2463" spans="1:19" x14ac:dyDescent="0.2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</row>
    <row r="2464" spans="1:19" x14ac:dyDescent="0.2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</row>
    <row r="2465" spans="1:19" x14ac:dyDescent="0.2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</row>
    <row r="2466" spans="1:19" x14ac:dyDescent="0.2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</row>
    <row r="2467" spans="1:19" x14ac:dyDescent="0.2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</row>
    <row r="2468" spans="1:19" x14ac:dyDescent="0.2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</row>
    <row r="2469" spans="1:19" x14ac:dyDescent="0.2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</row>
    <row r="2470" spans="1:19" x14ac:dyDescent="0.2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</row>
    <row r="2471" spans="1:19" x14ac:dyDescent="0.2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</row>
    <row r="2472" spans="1:19" x14ac:dyDescent="0.2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</row>
    <row r="2473" spans="1:19" x14ac:dyDescent="0.2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</row>
    <row r="2474" spans="1:19" x14ac:dyDescent="0.2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</row>
    <row r="2475" spans="1:19" x14ac:dyDescent="0.2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</row>
    <row r="2476" spans="1:19" x14ac:dyDescent="0.2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</row>
    <row r="2477" spans="1:19" x14ac:dyDescent="0.2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</row>
    <row r="2478" spans="1:19" x14ac:dyDescent="0.2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</row>
    <row r="2479" spans="1:19" x14ac:dyDescent="0.2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</row>
    <row r="2480" spans="1:19" x14ac:dyDescent="0.2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</row>
    <row r="2481" spans="1:19" x14ac:dyDescent="0.2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</row>
    <row r="2482" spans="1:19" x14ac:dyDescent="0.2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</row>
    <row r="2483" spans="1:19" x14ac:dyDescent="0.2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</row>
    <row r="2484" spans="1:19" x14ac:dyDescent="0.2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</row>
    <row r="2485" spans="1:19" x14ac:dyDescent="0.2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</row>
    <row r="2486" spans="1:19" x14ac:dyDescent="0.2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</row>
    <row r="2487" spans="1:19" x14ac:dyDescent="0.2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</row>
    <row r="2488" spans="1:19" x14ac:dyDescent="0.2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</row>
    <row r="2489" spans="1:19" x14ac:dyDescent="0.2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</row>
    <row r="2490" spans="1:19" x14ac:dyDescent="0.2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</row>
    <row r="2491" spans="1:19" x14ac:dyDescent="0.2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</row>
    <row r="2492" spans="1:19" x14ac:dyDescent="0.2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</row>
    <row r="2493" spans="1:19" x14ac:dyDescent="0.2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</row>
    <row r="2494" spans="1:19" x14ac:dyDescent="0.2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</row>
    <row r="2495" spans="1:19" x14ac:dyDescent="0.2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</row>
    <row r="2496" spans="1:19" x14ac:dyDescent="0.2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</row>
    <row r="2497" spans="1:19" x14ac:dyDescent="0.2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</row>
    <row r="2498" spans="1:19" x14ac:dyDescent="0.2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</row>
    <row r="2499" spans="1:19" x14ac:dyDescent="0.2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</row>
    <row r="2500" spans="1:19" x14ac:dyDescent="0.2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</row>
    <row r="2501" spans="1:19" x14ac:dyDescent="0.2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</row>
    <row r="2502" spans="1:19" x14ac:dyDescent="0.2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</row>
    <row r="2503" spans="1:19" x14ac:dyDescent="0.2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</row>
    <row r="2504" spans="1:19" x14ac:dyDescent="0.2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</row>
    <row r="2505" spans="1:19" x14ac:dyDescent="0.2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</row>
    <row r="2506" spans="1:19" x14ac:dyDescent="0.2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</row>
    <row r="2507" spans="1:19" x14ac:dyDescent="0.2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</row>
    <row r="2508" spans="1:19" x14ac:dyDescent="0.2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</row>
    <row r="2509" spans="1:19" x14ac:dyDescent="0.2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</row>
    <row r="2510" spans="1:19" x14ac:dyDescent="0.2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</row>
    <row r="2511" spans="1:19" x14ac:dyDescent="0.2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</row>
    <row r="2512" spans="1:19" x14ac:dyDescent="0.2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</row>
    <row r="2513" spans="1:19" x14ac:dyDescent="0.2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</row>
    <row r="2514" spans="1:19" x14ac:dyDescent="0.2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</row>
    <row r="2515" spans="1:19" x14ac:dyDescent="0.2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</row>
    <row r="2516" spans="1:19" x14ac:dyDescent="0.2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</row>
    <row r="2517" spans="1:19" x14ac:dyDescent="0.2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</row>
    <row r="2518" spans="1:19" x14ac:dyDescent="0.2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</row>
    <row r="2519" spans="1:19" x14ac:dyDescent="0.2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</row>
    <row r="2520" spans="1:19" x14ac:dyDescent="0.2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</row>
    <row r="2521" spans="1:19" x14ac:dyDescent="0.2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</row>
    <row r="2522" spans="1:19" x14ac:dyDescent="0.2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</row>
    <row r="2523" spans="1:19" x14ac:dyDescent="0.2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</row>
    <row r="2524" spans="1:19" x14ac:dyDescent="0.2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</row>
    <row r="2525" spans="1:19" x14ac:dyDescent="0.2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</row>
    <row r="2526" spans="1:19" x14ac:dyDescent="0.2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</row>
    <row r="2527" spans="1:19" x14ac:dyDescent="0.2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</row>
    <row r="2528" spans="1:19" x14ac:dyDescent="0.2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</row>
    <row r="2529" spans="1:19" x14ac:dyDescent="0.2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</row>
    <row r="2530" spans="1:19" x14ac:dyDescent="0.2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</row>
    <row r="2531" spans="1:19" x14ac:dyDescent="0.2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</row>
    <row r="2532" spans="1:19" x14ac:dyDescent="0.2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</row>
    <row r="2533" spans="1:19" x14ac:dyDescent="0.2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</row>
    <row r="2534" spans="1:19" x14ac:dyDescent="0.2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</row>
    <row r="2535" spans="1:19" x14ac:dyDescent="0.2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</row>
    <row r="2536" spans="1:19" x14ac:dyDescent="0.2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</row>
    <row r="2537" spans="1:19" x14ac:dyDescent="0.2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</row>
    <row r="2538" spans="1:19" x14ac:dyDescent="0.2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</row>
    <row r="2539" spans="1:19" x14ac:dyDescent="0.2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</row>
    <row r="2540" spans="1:19" x14ac:dyDescent="0.2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</row>
    <row r="2541" spans="1:19" x14ac:dyDescent="0.2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</row>
    <row r="2542" spans="1:19" x14ac:dyDescent="0.2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</row>
    <row r="2543" spans="1:19" x14ac:dyDescent="0.2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</row>
    <row r="2544" spans="1:19" x14ac:dyDescent="0.2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</row>
    <row r="2545" spans="1:19" x14ac:dyDescent="0.2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</row>
    <row r="2546" spans="1:19" x14ac:dyDescent="0.2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</row>
    <row r="2547" spans="1:19" x14ac:dyDescent="0.2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</row>
    <row r="2548" spans="1:19" x14ac:dyDescent="0.2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</row>
    <row r="2549" spans="1:19" x14ac:dyDescent="0.2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</row>
    <row r="2550" spans="1:19" x14ac:dyDescent="0.2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</row>
    <row r="2551" spans="1:19" x14ac:dyDescent="0.2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</row>
    <row r="2552" spans="1:19" x14ac:dyDescent="0.2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</row>
    <row r="2553" spans="1:19" x14ac:dyDescent="0.2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</row>
    <row r="2554" spans="1:19" x14ac:dyDescent="0.2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</row>
    <row r="2555" spans="1:19" x14ac:dyDescent="0.2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</row>
    <row r="2556" spans="1:19" x14ac:dyDescent="0.2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</row>
    <row r="2557" spans="1:19" x14ac:dyDescent="0.2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</row>
    <row r="2558" spans="1:19" x14ac:dyDescent="0.2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</row>
    <row r="2559" spans="1:19" x14ac:dyDescent="0.2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</row>
    <row r="2560" spans="1:19" x14ac:dyDescent="0.2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</row>
    <row r="2561" spans="1:19" x14ac:dyDescent="0.2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</row>
    <row r="2562" spans="1:19" x14ac:dyDescent="0.2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</row>
    <row r="2563" spans="1:19" x14ac:dyDescent="0.2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</row>
    <row r="2564" spans="1:19" x14ac:dyDescent="0.2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</row>
    <row r="2565" spans="1:19" x14ac:dyDescent="0.2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</row>
    <row r="2566" spans="1:19" x14ac:dyDescent="0.2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</row>
    <row r="2567" spans="1:19" x14ac:dyDescent="0.2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</row>
    <row r="2568" spans="1:19" x14ac:dyDescent="0.2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</row>
    <row r="2569" spans="1:19" x14ac:dyDescent="0.2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</row>
    <row r="2570" spans="1:19" x14ac:dyDescent="0.2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</row>
    <row r="2571" spans="1:19" x14ac:dyDescent="0.2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</row>
    <row r="2572" spans="1:19" x14ac:dyDescent="0.2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</row>
    <row r="2573" spans="1:19" x14ac:dyDescent="0.2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</row>
    <row r="2574" spans="1:19" x14ac:dyDescent="0.2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</row>
    <row r="2575" spans="1:19" x14ac:dyDescent="0.2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</row>
    <row r="2576" spans="1:19" x14ac:dyDescent="0.2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</row>
    <row r="2577" spans="1:19" x14ac:dyDescent="0.2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</row>
    <row r="2578" spans="1:19" x14ac:dyDescent="0.2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</row>
    <row r="2579" spans="1:19" x14ac:dyDescent="0.2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</row>
    <row r="2580" spans="1:19" x14ac:dyDescent="0.2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</row>
    <row r="2581" spans="1:19" x14ac:dyDescent="0.2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</row>
    <row r="2582" spans="1:19" x14ac:dyDescent="0.2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</row>
    <row r="2583" spans="1:19" x14ac:dyDescent="0.2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</row>
    <row r="2584" spans="1:19" x14ac:dyDescent="0.2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</row>
    <row r="2585" spans="1:19" x14ac:dyDescent="0.2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</row>
    <row r="2586" spans="1:19" x14ac:dyDescent="0.2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</row>
    <row r="2587" spans="1:19" x14ac:dyDescent="0.2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</row>
    <row r="2588" spans="1:19" x14ac:dyDescent="0.2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</row>
    <row r="2589" spans="1:19" x14ac:dyDescent="0.2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</row>
    <row r="2590" spans="1:19" x14ac:dyDescent="0.2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</row>
    <row r="2591" spans="1:19" x14ac:dyDescent="0.2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</row>
    <row r="2592" spans="1:19" x14ac:dyDescent="0.2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</row>
    <row r="2593" spans="1:19" x14ac:dyDescent="0.2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  <c r="S2593" s="18"/>
    </row>
    <row r="2594" spans="1:19" x14ac:dyDescent="0.2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</row>
    <row r="2595" spans="1:19" x14ac:dyDescent="0.2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</row>
    <row r="2596" spans="1:19" x14ac:dyDescent="0.2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  <c r="S2596" s="18"/>
    </row>
    <row r="2597" spans="1:19" x14ac:dyDescent="0.2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</row>
    <row r="2598" spans="1:19" x14ac:dyDescent="0.2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  <c r="S2598" s="18"/>
    </row>
    <row r="2599" spans="1:19" x14ac:dyDescent="0.2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</row>
    <row r="2600" spans="1:19" x14ac:dyDescent="0.2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8"/>
    </row>
    <row r="2601" spans="1:19" x14ac:dyDescent="0.2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</row>
    <row r="2602" spans="1:19" x14ac:dyDescent="0.2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</row>
    <row r="2603" spans="1:19" x14ac:dyDescent="0.2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</row>
    <row r="2604" spans="1:19" x14ac:dyDescent="0.2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</row>
    <row r="2605" spans="1:19" x14ac:dyDescent="0.2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</row>
    <row r="2606" spans="1:19" x14ac:dyDescent="0.2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</row>
    <row r="2607" spans="1:19" x14ac:dyDescent="0.2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</row>
    <row r="2608" spans="1:19" x14ac:dyDescent="0.2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</row>
    <row r="2609" spans="1:19" x14ac:dyDescent="0.2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</row>
    <row r="2610" spans="1:19" x14ac:dyDescent="0.2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  <c r="S2610" s="18"/>
    </row>
    <row r="2611" spans="1:19" x14ac:dyDescent="0.2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</row>
    <row r="2612" spans="1:19" x14ac:dyDescent="0.2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  <c r="S2612" s="18"/>
    </row>
    <row r="2613" spans="1:19" x14ac:dyDescent="0.2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</row>
    <row r="2614" spans="1:19" x14ac:dyDescent="0.2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  <c r="S2614" s="18"/>
    </row>
    <row r="2615" spans="1:19" x14ac:dyDescent="0.2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</row>
    <row r="2616" spans="1:19" x14ac:dyDescent="0.2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8"/>
    </row>
    <row r="2617" spans="1:19" x14ac:dyDescent="0.2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</row>
    <row r="2618" spans="1:19" x14ac:dyDescent="0.2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</row>
    <row r="2619" spans="1:19" x14ac:dyDescent="0.2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  <c r="S2619" s="18"/>
    </row>
    <row r="2620" spans="1:19" x14ac:dyDescent="0.2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  <c r="S2620" s="18"/>
    </row>
    <row r="2621" spans="1:19" x14ac:dyDescent="0.2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</row>
    <row r="2622" spans="1:19" x14ac:dyDescent="0.2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  <c r="S2622" s="18"/>
    </row>
    <row r="2623" spans="1:19" x14ac:dyDescent="0.2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  <c r="S2623" s="18"/>
    </row>
    <row r="2624" spans="1:19" x14ac:dyDescent="0.2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  <c r="S2624" s="18"/>
    </row>
    <row r="2625" spans="1:19" x14ac:dyDescent="0.2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</row>
    <row r="2626" spans="1:19" x14ac:dyDescent="0.2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  <c r="S2626" s="18"/>
    </row>
    <row r="2627" spans="1:19" x14ac:dyDescent="0.2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</row>
    <row r="2628" spans="1:19" x14ac:dyDescent="0.2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</row>
    <row r="2629" spans="1:19" x14ac:dyDescent="0.2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</row>
    <row r="2630" spans="1:19" x14ac:dyDescent="0.2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</row>
    <row r="2631" spans="1:19" x14ac:dyDescent="0.2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</row>
    <row r="2632" spans="1:19" x14ac:dyDescent="0.2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  <c r="S2632" s="18"/>
    </row>
    <row r="2633" spans="1:19" x14ac:dyDescent="0.2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</row>
    <row r="2634" spans="1:19" x14ac:dyDescent="0.2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8"/>
    </row>
    <row r="2635" spans="1:19" x14ac:dyDescent="0.2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  <c r="S2635" s="18"/>
    </row>
    <row r="2636" spans="1:19" x14ac:dyDescent="0.2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  <c r="S2636" s="18"/>
    </row>
    <row r="2637" spans="1:19" x14ac:dyDescent="0.2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</row>
    <row r="2638" spans="1:19" x14ac:dyDescent="0.2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8"/>
    </row>
    <row r="2639" spans="1:19" x14ac:dyDescent="0.2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</row>
    <row r="2640" spans="1:19" x14ac:dyDescent="0.2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  <c r="S2640" s="18"/>
    </row>
    <row r="2641" spans="1:19" x14ac:dyDescent="0.2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  <c r="S2641" s="18"/>
    </row>
    <row r="2642" spans="1:19" x14ac:dyDescent="0.2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  <c r="S2642" s="18"/>
    </row>
    <row r="2643" spans="1:19" x14ac:dyDescent="0.2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</row>
    <row r="2644" spans="1:19" x14ac:dyDescent="0.2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  <c r="S2644" s="18"/>
    </row>
    <row r="2645" spans="1:19" x14ac:dyDescent="0.2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</row>
    <row r="2646" spans="1:19" x14ac:dyDescent="0.2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  <c r="S2646" s="18"/>
    </row>
    <row r="2647" spans="1:19" x14ac:dyDescent="0.2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  <c r="S2647" s="18"/>
    </row>
    <row r="2648" spans="1:19" x14ac:dyDescent="0.2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  <c r="S2648" s="18"/>
    </row>
    <row r="2649" spans="1:19" x14ac:dyDescent="0.2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</row>
    <row r="2650" spans="1:19" x14ac:dyDescent="0.2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</row>
    <row r="2651" spans="1:19" x14ac:dyDescent="0.2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</row>
    <row r="2652" spans="1:19" x14ac:dyDescent="0.2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  <c r="S2652" s="18"/>
    </row>
    <row r="2653" spans="1:19" x14ac:dyDescent="0.2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</row>
    <row r="2654" spans="1:19" x14ac:dyDescent="0.2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8"/>
    </row>
    <row r="2655" spans="1:19" x14ac:dyDescent="0.2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  <c r="S2655" s="18"/>
    </row>
    <row r="2656" spans="1:19" x14ac:dyDescent="0.2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  <c r="S2656" s="18"/>
    </row>
    <row r="2657" spans="1:19" x14ac:dyDescent="0.2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  <c r="S2657" s="18"/>
    </row>
    <row r="2658" spans="1:19" x14ac:dyDescent="0.2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  <c r="S2658" s="18"/>
    </row>
    <row r="2659" spans="1:19" x14ac:dyDescent="0.2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  <c r="S2659" s="18"/>
    </row>
    <row r="2660" spans="1:19" x14ac:dyDescent="0.2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</row>
    <row r="2661" spans="1:19" x14ac:dyDescent="0.2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</row>
    <row r="2662" spans="1:19" x14ac:dyDescent="0.2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</row>
    <row r="2663" spans="1:19" x14ac:dyDescent="0.2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</row>
    <row r="2664" spans="1:19" x14ac:dyDescent="0.2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</row>
    <row r="2665" spans="1:19" x14ac:dyDescent="0.2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</row>
    <row r="2666" spans="1:19" x14ac:dyDescent="0.2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  <c r="S2666" s="18"/>
    </row>
    <row r="2667" spans="1:19" x14ac:dyDescent="0.2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</row>
    <row r="2668" spans="1:19" x14ac:dyDescent="0.2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  <c r="S2668" s="18"/>
    </row>
    <row r="2669" spans="1:19" x14ac:dyDescent="0.2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</row>
    <row r="2670" spans="1:19" x14ac:dyDescent="0.2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  <c r="S2670" s="18"/>
    </row>
    <row r="2671" spans="1:19" x14ac:dyDescent="0.2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  <c r="S2671" s="18"/>
    </row>
    <row r="2672" spans="1:19" x14ac:dyDescent="0.2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  <c r="S2672" s="18"/>
    </row>
    <row r="2673" spans="1:19" x14ac:dyDescent="0.2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</row>
    <row r="2674" spans="1:19" x14ac:dyDescent="0.2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  <c r="S2674" s="18"/>
    </row>
    <row r="2675" spans="1:19" x14ac:dyDescent="0.2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</row>
    <row r="2676" spans="1:19" x14ac:dyDescent="0.2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  <c r="S2676" s="18"/>
    </row>
    <row r="2677" spans="1:19" x14ac:dyDescent="0.2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  <c r="S2677" s="18"/>
    </row>
    <row r="2678" spans="1:19" x14ac:dyDescent="0.2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</row>
    <row r="2679" spans="1:19" x14ac:dyDescent="0.2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  <c r="S2679" s="18"/>
    </row>
    <row r="2680" spans="1:19" x14ac:dyDescent="0.2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  <c r="S2680" s="18"/>
    </row>
    <row r="2681" spans="1:19" x14ac:dyDescent="0.2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</row>
    <row r="2682" spans="1:19" x14ac:dyDescent="0.2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  <c r="S2682" s="18"/>
    </row>
    <row r="2683" spans="1:19" x14ac:dyDescent="0.2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</row>
    <row r="2684" spans="1:19" x14ac:dyDescent="0.2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  <c r="S2684" s="18"/>
    </row>
    <row r="2685" spans="1:19" x14ac:dyDescent="0.2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</row>
    <row r="2686" spans="1:19" x14ac:dyDescent="0.2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  <c r="S2686" s="18"/>
    </row>
    <row r="2687" spans="1:19" x14ac:dyDescent="0.2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  <c r="S2687" s="18"/>
    </row>
    <row r="2688" spans="1:19" x14ac:dyDescent="0.2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</row>
    <row r="2689" spans="1:19" x14ac:dyDescent="0.2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  <c r="S2689" s="18"/>
    </row>
    <row r="2690" spans="1:19" x14ac:dyDescent="0.2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  <c r="S2690" s="18"/>
    </row>
    <row r="2691" spans="1:19" x14ac:dyDescent="0.2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</row>
    <row r="2692" spans="1:19" x14ac:dyDescent="0.2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  <c r="S2692" s="18"/>
    </row>
    <row r="2693" spans="1:19" x14ac:dyDescent="0.2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</row>
    <row r="2694" spans="1:19" x14ac:dyDescent="0.2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</row>
    <row r="2695" spans="1:19" x14ac:dyDescent="0.2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</row>
    <row r="2696" spans="1:19" x14ac:dyDescent="0.2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</row>
    <row r="2697" spans="1:19" x14ac:dyDescent="0.2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</row>
    <row r="2698" spans="1:19" x14ac:dyDescent="0.2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</row>
    <row r="2699" spans="1:19" x14ac:dyDescent="0.2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</row>
    <row r="2700" spans="1:19" x14ac:dyDescent="0.2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  <c r="S2700" s="18"/>
    </row>
    <row r="2701" spans="1:19" x14ac:dyDescent="0.2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  <c r="S2701" s="18"/>
    </row>
    <row r="2702" spans="1:19" x14ac:dyDescent="0.2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  <c r="S2702" s="18"/>
    </row>
    <row r="2703" spans="1:19" x14ac:dyDescent="0.2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</row>
    <row r="2704" spans="1:19" x14ac:dyDescent="0.2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  <c r="S2704" s="18"/>
    </row>
    <row r="2705" spans="1:19" x14ac:dyDescent="0.2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</row>
    <row r="2706" spans="1:19" x14ac:dyDescent="0.2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  <c r="S2706" s="18"/>
    </row>
    <row r="2707" spans="1:19" x14ac:dyDescent="0.2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  <c r="S2707" s="18"/>
    </row>
    <row r="2708" spans="1:19" x14ac:dyDescent="0.2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  <c r="S2708" s="18"/>
    </row>
    <row r="2709" spans="1:19" x14ac:dyDescent="0.2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</row>
    <row r="2710" spans="1:19" x14ac:dyDescent="0.2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  <c r="S2710" s="18"/>
    </row>
    <row r="2711" spans="1:19" x14ac:dyDescent="0.2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  <c r="S2711" s="18"/>
    </row>
    <row r="2712" spans="1:19" x14ac:dyDescent="0.2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  <c r="S2712" s="18"/>
    </row>
    <row r="2713" spans="1:19" x14ac:dyDescent="0.2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</row>
    <row r="2714" spans="1:19" x14ac:dyDescent="0.2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  <c r="S2714" s="18"/>
    </row>
    <row r="2715" spans="1:19" x14ac:dyDescent="0.2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  <c r="S2715" s="18"/>
    </row>
    <row r="2716" spans="1:19" x14ac:dyDescent="0.2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  <c r="S2716" s="18"/>
    </row>
    <row r="2717" spans="1:19" x14ac:dyDescent="0.2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  <c r="S2717" s="18"/>
    </row>
    <row r="2718" spans="1:19" x14ac:dyDescent="0.2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  <c r="S2718" s="18"/>
    </row>
    <row r="2719" spans="1:19" x14ac:dyDescent="0.2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  <c r="S2719" s="18"/>
    </row>
    <row r="2720" spans="1:19" x14ac:dyDescent="0.2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  <c r="S2720" s="18"/>
    </row>
    <row r="2721" spans="1:19" x14ac:dyDescent="0.2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</row>
    <row r="2722" spans="1:19" x14ac:dyDescent="0.2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</row>
    <row r="2723" spans="1:19" x14ac:dyDescent="0.2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</row>
    <row r="2724" spans="1:19" x14ac:dyDescent="0.2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  <c r="S2724" s="18"/>
    </row>
    <row r="2725" spans="1:19" x14ac:dyDescent="0.2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</row>
    <row r="2726" spans="1:19" x14ac:dyDescent="0.2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  <c r="S2726" s="18"/>
    </row>
    <row r="2727" spans="1:19" x14ac:dyDescent="0.2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  <c r="S2727" s="18"/>
    </row>
    <row r="2728" spans="1:19" x14ac:dyDescent="0.2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  <c r="S2728" s="18"/>
    </row>
    <row r="2729" spans="1:19" x14ac:dyDescent="0.2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  <c r="S2729" s="18"/>
    </row>
    <row r="2730" spans="1:19" x14ac:dyDescent="0.2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</row>
    <row r="2731" spans="1:19" x14ac:dyDescent="0.2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</row>
    <row r="2732" spans="1:19" x14ac:dyDescent="0.2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</row>
    <row r="2733" spans="1:19" x14ac:dyDescent="0.2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</row>
    <row r="2734" spans="1:19" x14ac:dyDescent="0.2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</row>
    <row r="2735" spans="1:19" x14ac:dyDescent="0.2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  <c r="S2735" s="18"/>
    </row>
    <row r="2736" spans="1:19" x14ac:dyDescent="0.2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  <c r="S2736" s="18"/>
    </row>
    <row r="2737" spans="1:19" x14ac:dyDescent="0.2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</row>
    <row r="2738" spans="1:19" x14ac:dyDescent="0.2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</row>
    <row r="2739" spans="1:19" x14ac:dyDescent="0.2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</row>
    <row r="2740" spans="1:19" x14ac:dyDescent="0.2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</row>
    <row r="2741" spans="1:19" x14ac:dyDescent="0.2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</row>
    <row r="2742" spans="1:19" x14ac:dyDescent="0.2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  <c r="S2742" s="18"/>
    </row>
    <row r="2743" spans="1:19" x14ac:dyDescent="0.2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</row>
    <row r="2744" spans="1:19" x14ac:dyDescent="0.2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  <c r="S2744" s="18"/>
    </row>
    <row r="2745" spans="1:19" x14ac:dyDescent="0.2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  <c r="S2745" s="18"/>
    </row>
    <row r="2746" spans="1:19" x14ac:dyDescent="0.2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</row>
    <row r="2747" spans="1:19" x14ac:dyDescent="0.2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  <c r="S2747" s="18"/>
    </row>
    <row r="2748" spans="1:19" x14ac:dyDescent="0.2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  <c r="S2748" s="18"/>
    </row>
    <row r="2749" spans="1:19" x14ac:dyDescent="0.2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</row>
    <row r="2750" spans="1:19" x14ac:dyDescent="0.2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  <c r="S2750" s="18"/>
    </row>
    <row r="2751" spans="1:19" x14ac:dyDescent="0.2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</row>
    <row r="2752" spans="1:19" x14ac:dyDescent="0.2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  <c r="S2752" s="18"/>
    </row>
    <row r="2753" spans="1:19" x14ac:dyDescent="0.2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</row>
    <row r="2754" spans="1:19" x14ac:dyDescent="0.2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  <c r="S2754" s="18"/>
    </row>
    <row r="2755" spans="1:19" x14ac:dyDescent="0.2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</row>
    <row r="2756" spans="1:19" x14ac:dyDescent="0.2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  <c r="S2756" s="18"/>
    </row>
    <row r="2757" spans="1:19" x14ac:dyDescent="0.2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  <c r="S2757" s="18"/>
    </row>
    <row r="2758" spans="1:19" x14ac:dyDescent="0.2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  <c r="S2758" s="18"/>
    </row>
    <row r="2759" spans="1:19" x14ac:dyDescent="0.2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  <c r="S2759" s="18"/>
    </row>
    <row r="2760" spans="1:19" x14ac:dyDescent="0.2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  <c r="S2760" s="18"/>
    </row>
    <row r="2761" spans="1:19" x14ac:dyDescent="0.2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  <c r="S2761" s="18"/>
    </row>
    <row r="2762" spans="1:19" x14ac:dyDescent="0.2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  <c r="S2762" s="18"/>
    </row>
    <row r="2763" spans="1:19" x14ac:dyDescent="0.2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  <c r="S2763" s="18"/>
    </row>
    <row r="2764" spans="1:19" x14ac:dyDescent="0.2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  <c r="S2764" s="18"/>
    </row>
    <row r="2765" spans="1:19" x14ac:dyDescent="0.2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</row>
    <row r="2766" spans="1:19" x14ac:dyDescent="0.2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  <c r="S2766" s="18"/>
    </row>
    <row r="2767" spans="1:19" x14ac:dyDescent="0.2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  <c r="S2767" s="18"/>
    </row>
    <row r="2768" spans="1:19" x14ac:dyDescent="0.2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</row>
    <row r="2769" spans="1:19" x14ac:dyDescent="0.2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</row>
    <row r="2770" spans="1:19" x14ac:dyDescent="0.2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  <c r="S2770" s="18"/>
    </row>
    <row r="2771" spans="1:19" x14ac:dyDescent="0.2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</row>
    <row r="2772" spans="1:19" x14ac:dyDescent="0.2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</row>
    <row r="2773" spans="1:19" x14ac:dyDescent="0.2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  <c r="S2773" s="18"/>
    </row>
    <row r="2774" spans="1:19" x14ac:dyDescent="0.2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</row>
    <row r="2775" spans="1:19" x14ac:dyDescent="0.2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  <c r="S2775" s="18"/>
    </row>
    <row r="2776" spans="1:19" x14ac:dyDescent="0.2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</row>
    <row r="2777" spans="1:19" x14ac:dyDescent="0.2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  <c r="S2777" s="18"/>
    </row>
    <row r="2778" spans="1:19" x14ac:dyDescent="0.2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  <c r="S2778" s="18"/>
    </row>
    <row r="2779" spans="1:19" x14ac:dyDescent="0.2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  <c r="S2779" s="18"/>
    </row>
    <row r="2780" spans="1:19" x14ac:dyDescent="0.2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  <c r="S2780" s="18"/>
    </row>
    <row r="2781" spans="1:19" x14ac:dyDescent="0.2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  <c r="S2781" s="18"/>
    </row>
    <row r="2782" spans="1:19" x14ac:dyDescent="0.2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  <c r="S2782" s="18"/>
    </row>
    <row r="2783" spans="1:19" x14ac:dyDescent="0.2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</row>
    <row r="2784" spans="1:19" x14ac:dyDescent="0.2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8"/>
    </row>
    <row r="2785" spans="1:19" x14ac:dyDescent="0.2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  <c r="S2785" s="18"/>
    </row>
    <row r="2786" spans="1:19" x14ac:dyDescent="0.2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  <c r="S2786" s="18"/>
    </row>
    <row r="2787" spans="1:19" x14ac:dyDescent="0.2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</row>
    <row r="2788" spans="1:19" x14ac:dyDescent="0.2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  <c r="S2788" s="18"/>
    </row>
    <row r="2789" spans="1:19" x14ac:dyDescent="0.2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  <c r="S2789" s="18"/>
    </row>
    <row r="2790" spans="1:19" x14ac:dyDescent="0.2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  <c r="S2790" s="18"/>
    </row>
    <row r="2791" spans="1:19" x14ac:dyDescent="0.2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</row>
    <row r="2792" spans="1:19" x14ac:dyDescent="0.2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</row>
    <row r="2793" spans="1:19" x14ac:dyDescent="0.2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  <c r="S2793" s="18"/>
    </row>
    <row r="2794" spans="1:19" x14ac:dyDescent="0.2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</row>
    <row r="2795" spans="1:19" x14ac:dyDescent="0.2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</row>
    <row r="2796" spans="1:19" x14ac:dyDescent="0.2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  <c r="S2796" s="18"/>
    </row>
    <row r="2797" spans="1:19" x14ac:dyDescent="0.2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  <c r="S2797" s="18"/>
    </row>
    <row r="2798" spans="1:19" x14ac:dyDescent="0.2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  <c r="S2798" s="18"/>
    </row>
    <row r="2799" spans="1:19" x14ac:dyDescent="0.2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  <c r="S2799" s="18"/>
    </row>
    <row r="2800" spans="1:19" x14ac:dyDescent="0.2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  <c r="S2800" s="18"/>
    </row>
    <row r="2801" spans="1:19" x14ac:dyDescent="0.2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  <c r="S2801" s="18"/>
    </row>
    <row r="2802" spans="1:19" x14ac:dyDescent="0.2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  <c r="S2802" s="18"/>
    </row>
    <row r="2803" spans="1:19" x14ac:dyDescent="0.2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  <c r="S2803" s="18"/>
    </row>
    <row r="2804" spans="1:19" x14ac:dyDescent="0.2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</row>
    <row r="2805" spans="1:19" x14ac:dyDescent="0.2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  <c r="S2805" s="18"/>
    </row>
    <row r="2806" spans="1:19" x14ac:dyDescent="0.2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  <c r="S2806" s="18"/>
    </row>
    <row r="2807" spans="1:19" x14ac:dyDescent="0.2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  <c r="S2807" s="18"/>
    </row>
    <row r="2808" spans="1:19" x14ac:dyDescent="0.2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  <c r="S2808" s="18"/>
    </row>
    <row r="2809" spans="1:19" x14ac:dyDescent="0.2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</row>
    <row r="2810" spans="1:19" x14ac:dyDescent="0.2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  <c r="S2810" s="18"/>
    </row>
    <row r="2811" spans="1:19" x14ac:dyDescent="0.2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  <c r="S2811" s="18"/>
    </row>
    <row r="2812" spans="1:19" x14ac:dyDescent="0.2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  <c r="S2812" s="18"/>
    </row>
    <row r="2813" spans="1:19" x14ac:dyDescent="0.2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  <c r="S2813" s="18"/>
    </row>
    <row r="2814" spans="1:19" x14ac:dyDescent="0.2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  <c r="S2814" s="18"/>
    </row>
    <row r="2815" spans="1:19" x14ac:dyDescent="0.2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  <c r="S2815" s="18"/>
    </row>
    <row r="2816" spans="1:19" x14ac:dyDescent="0.2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  <c r="S2816" s="18"/>
    </row>
    <row r="2817" spans="1:19" x14ac:dyDescent="0.2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  <c r="S2817" s="18"/>
    </row>
    <row r="2818" spans="1:19" x14ac:dyDescent="0.2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  <c r="S2818" s="18"/>
    </row>
    <row r="2819" spans="1:19" x14ac:dyDescent="0.2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  <c r="S2819" s="18"/>
    </row>
    <row r="2820" spans="1:19" x14ac:dyDescent="0.2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  <c r="S2820" s="18"/>
    </row>
    <row r="2821" spans="1:19" x14ac:dyDescent="0.2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  <c r="S2821" s="18"/>
    </row>
    <row r="2822" spans="1:19" x14ac:dyDescent="0.2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  <c r="S2822" s="18"/>
    </row>
    <row r="2823" spans="1:19" x14ac:dyDescent="0.2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</row>
    <row r="2824" spans="1:19" x14ac:dyDescent="0.2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  <c r="S2824" s="18"/>
    </row>
    <row r="2825" spans="1:19" x14ac:dyDescent="0.2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</row>
    <row r="2826" spans="1:19" x14ac:dyDescent="0.2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  <c r="S2826" s="18"/>
    </row>
    <row r="2827" spans="1:19" x14ac:dyDescent="0.2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</row>
    <row r="2828" spans="1:19" x14ac:dyDescent="0.2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  <c r="S2828" s="18"/>
    </row>
    <row r="2829" spans="1:19" x14ac:dyDescent="0.2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</row>
    <row r="2830" spans="1:19" x14ac:dyDescent="0.2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</row>
    <row r="2831" spans="1:19" x14ac:dyDescent="0.2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</row>
    <row r="2832" spans="1:19" x14ac:dyDescent="0.2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  <c r="S2832" s="18"/>
    </row>
    <row r="2833" spans="1:19" x14ac:dyDescent="0.2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</row>
    <row r="2834" spans="1:19" x14ac:dyDescent="0.2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  <c r="S2834" s="18"/>
    </row>
    <row r="2835" spans="1:19" x14ac:dyDescent="0.2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  <c r="S2835" s="18"/>
    </row>
    <row r="2836" spans="1:19" x14ac:dyDescent="0.2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  <c r="S2836" s="18"/>
    </row>
    <row r="2837" spans="1:19" x14ac:dyDescent="0.2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  <c r="S2837" s="18"/>
    </row>
    <row r="2838" spans="1:19" x14ac:dyDescent="0.2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  <c r="S2838" s="18"/>
    </row>
    <row r="2839" spans="1:19" x14ac:dyDescent="0.2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  <c r="S2839" s="18"/>
    </row>
    <row r="2840" spans="1:19" x14ac:dyDescent="0.2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  <c r="S2840" s="18"/>
    </row>
    <row r="2841" spans="1:19" x14ac:dyDescent="0.2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  <c r="S2841" s="18"/>
    </row>
    <row r="2842" spans="1:19" x14ac:dyDescent="0.2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</row>
    <row r="2843" spans="1:19" x14ac:dyDescent="0.2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  <c r="S2843" s="18"/>
    </row>
    <row r="2844" spans="1:19" x14ac:dyDescent="0.2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  <c r="S2844" s="18"/>
    </row>
    <row r="2845" spans="1:19" x14ac:dyDescent="0.2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  <c r="S2845" s="18"/>
    </row>
    <row r="2846" spans="1:19" x14ac:dyDescent="0.2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  <c r="S2846" s="18"/>
    </row>
    <row r="2847" spans="1:19" x14ac:dyDescent="0.2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  <c r="S2847" s="18"/>
    </row>
    <row r="2848" spans="1:19" x14ac:dyDescent="0.2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  <c r="S2848" s="18"/>
    </row>
    <row r="2849" spans="1:19" x14ac:dyDescent="0.2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  <c r="S2849" s="18"/>
    </row>
    <row r="2850" spans="1:19" x14ac:dyDescent="0.2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  <c r="S2850" s="18"/>
    </row>
    <row r="2851" spans="1:19" x14ac:dyDescent="0.2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  <c r="S2851" s="18"/>
    </row>
    <row r="2852" spans="1:19" x14ac:dyDescent="0.2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  <c r="S2852" s="18"/>
    </row>
    <row r="2853" spans="1:19" x14ac:dyDescent="0.2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  <c r="S2853" s="18"/>
    </row>
    <row r="2854" spans="1:19" x14ac:dyDescent="0.2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  <c r="S2854" s="18"/>
    </row>
    <row r="2855" spans="1:19" x14ac:dyDescent="0.2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  <c r="S2855" s="18"/>
    </row>
    <row r="2856" spans="1:19" x14ac:dyDescent="0.2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  <c r="S2856" s="18"/>
    </row>
    <row r="2857" spans="1:19" x14ac:dyDescent="0.2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</row>
    <row r="2858" spans="1:19" x14ac:dyDescent="0.2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  <c r="S2858" s="18"/>
    </row>
    <row r="2859" spans="1:19" x14ac:dyDescent="0.2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</row>
    <row r="2860" spans="1:19" x14ac:dyDescent="0.2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</row>
    <row r="2861" spans="1:19" x14ac:dyDescent="0.2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  <c r="S2861" s="18"/>
    </row>
    <row r="2862" spans="1:19" x14ac:dyDescent="0.2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  <c r="S2862" s="18"/>
    </row>
    <row r="2863" spans="1:19" x14ac:dyDescent="0.2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</row>
    <row r="2864" spans="1:19" x14ac:dyDescent="0.2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</row>
    <row r="2865" spans="1:19" x14ac:dyDescent="0.2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</row>
    <row r="2866" spans="1:19" x14ac:dyDescent="0.2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  <c r="S2866" s="18"/>
    </row>
    <row r="2867" spans="1:19" x14ac:dyDescent="0.2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</row>
    <row r="2868" spans="1:19" x14ac:dyDescent="0.2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  <c r="S2868" s="18"/>
    </row>
    <row r="2869" spans="1:19" x14ac:dyDescent="0.2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  <c r="S2869" s="18"/>
    </row>
    <row r="2870" spans="1:19" x14ac:dyDescent="0.2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  <c r="S2870" s="18"/>
    </row>
    <row r="2871" spans="1:19" x14ac:dyDescent="0.2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  <c r="S2871" s="18"/>
    </row>
    <row r="2872" spans="1:19" x14ac:dyDescent="0.2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  <c r="S2872" s="18"/>
    </row>
    <row r="2873" spans="1:19" x14ac:dyDescent="0.2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  <c r="S2873" s="18"/>
    </row>
    <row r="2874" spans="1:19" x14ac:dyDescent="0.2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  <c r="S2874" s="18"/>
    </row>
    <row r="2875" spans="1:19" x14ac:dyDescent="0.2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</row>
    <row r="2876" spans="1:19" x14ac:dyDescent="0.2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  <c r="S2876" s="18"/>
    </row>
    <row r="2877" spans="1:19" x14ac:dyDescent="0.2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</row>
    <row r="2878" spans="1:19" x14ac:dyDescent="0.2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  <c r="S2878" s="18"/>
    </row>
    <row r="2879" spans="1:19" x14ac:dyDescent="0.2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</row>
    <row r="2880" spans="1:19" x14ac:dyDescent="0.2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</row>
    <row r="2881" spans="1:19" x14ac:dyDescent="0.2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</row>
    <row r="2882" spans="1:19" x14ac:dyDescent="0.2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</row>
    <row r="2883" spans="1:19" x14ac:dyDescent="0.2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</row>
    <row r="2884" spans="1:19" x14ac:dyDescent="0.2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8"/>
    </row>
    <row r="2885" spans="1:19" x14ac:dyDescent="0.2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</row>
    <row r="2886" spans="1:19" x14ac:dyDescent="0.2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  <c r="S2886" s="18"/>
    </row>
    <row r="2887" spans="1:19" x14ac:dyDescent="0.2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  <c r="S2887" s="18"/>
    </row>
    <row r="2888" spans="1:19" x14ac:dyDescent="0.2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  <c r="S2888" s="18"/>
    </row>
    <row r="2889" spans="1:19" x14ac:dyDescent="0.2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  <c r="S2889" s="18"/>
    </row>
    <row r="2890" spans="1:19" x14ac:dyDescent="0.2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  <c r="S2890" s="18"/>
    </row>
    <row r="2891" spans="1:19" x14ac:dyDescent="0.2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</row>
    <row r="2892" spans="1:19" x14ac:dyDescent="0.2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</row>
    <row r="2893" spans="1:19" x14ac:dyDescent="0.2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</row>
    <row r="2894" spans="1:19" x14ac:dyDescent="0.2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</row>
    <row r="2895" spans="1:19" x14ac:dyDescent="0.2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  <c r="S2895" s="18"/>
    </row>
    <row r="2896" spans="1:19" x14ac:dyDescent="0.2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  <c r="S2896" s="18"/>
    </row>
    <row r="2897" spans="1:19" x14ac:dyDescent="0.2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</row>
    <row r="2898" spans="1:19" x14ac:dyDescent="0.2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  <c r="S2898" s="18"/>
    </row>
    <row r="2899" spans="1:19" x14ac:dyDescent="0.2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  <c r="S2899" s="18"/>
    </row>
    <row r="2900" spans="1:19" x14ac:dyDescent="0.2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  <c r="S2900" s="18"/>
    </row>
    <row r="2901" spans="1:19" x14ac:dyDescent="0.2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  <c r="S2901" s="18"/>
    </row>
    <row r="2902" spans="1:19" x14ac:dyDescent="0.2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  <c r="S2902" s="18"/>
    </row>
    <row r="2903" spans="1:19" x14ac:dyDescent="0.2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  <c r="S2903" s="18"/>
    </row>
    <row r="2904" spans="1:19" x14ac:dyDescent="0.2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  <c r="S2904" s="18"/>
    </row>
    <row r="2905" spans="1:19" x14ac:dyDescent="0.2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  <c r="S2905" s="18"/>
    </row>
    <row r="2906" spans="1:19" x14ac:dyDescent="0.2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  <c r="S2906" s="18"/>
    </row>
    <row r="2907" spans="1:19" x14ac:dyDescent="0.2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</row>
    <row r="2908" spans="1:19" x14ac:dyDescent="0.2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  <c r="S2908" s="18"/>
    </row>
    <row r="2909" spans="1:19" x14ac:dyDescent="0.2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  <c r="S2909" s="18"/>
    </row>
    <row r="2910" spans="1:19" x14ac:dyDescent="0.2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  <c r="S2910" s="18"/>
    </row>
    <row r="2911" spans="1:19" x14ac:dyDescent="0.2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  <c r="S2911" s="18"/>
    </row>
    <row r="2912" spans="1:19" x14ac:dyDescent="0.2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  <c r="S2912" s="18"/>
    </row>
    <row r="2913" spans="1:19" x14ac:dyDescent="0.2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  <c r="S2913" s="18"/>
    </row>
    <row r="2914" spans="1:19" x14ac:dyDescent="0.2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  <c r="S2914" s="18"/>
    </row>
    <row r="2915" spans="1:19" x14ac:dyDescent="0.2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  <c r="S2915" s="18"/>
    </row>
    <row r="2916" spans="1:19" x14ac:dyDescent="0.2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</row>
    <row r="2917" spans="1:19" x14ac:dyDescent="0.2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  <c r="S2917" s="18"/>
    </row>
    <row r="2918" spans="1:19" x14ac:dyDescent="0.2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  <c r="S2918" s="18"/>
    </row>
    <row r="2919" spans="1:19" x14ac:dyDescent="0.2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  <c r="S2919" s="18"/>
    </row>
    <row r="2920" spans="1:19" x14ac:dyDescent="0.2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  <c r="S2920" s="18"/>
    </row>
    <row r="2921" spans="1:19" x14ac:dyDescent="0.2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  <c r="S2921" s="18"/>
    </row>
    <row r="2922" spans="1:19" x14ac:dyDescent="0.2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  <c r="S2922" s="18"/>
    </row>
    <row r="2923" spans="1:19" x14ac:dyDescent="0.2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  <c r="S2923" s="18"/>
    </row>
    <row r="2924" spans="1:19" x14ac:dyDescent="0.2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  <c r="S2924" s="18"/>
    </row>
    <row r="2925" spans="1:19" x14ac:dyDescent="0.2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  <c r="S2925" s="18"/>
    </row>
    <row r="2926" spans="1:19" x14ac:dyDescent="0.2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  <c r="S2926" s="18"/>
    </row>
    <row r="2927" spans="1:19" x14ac:dyDescent="0.2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  <c r="S2927" s="18"/>
    </row>
    <row r="2928" spans="1:19" x14ac:dyDescent="0.2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  <c r="S2928" s="18"/>
    </row>
    <row r="2929" spans="1:19" x14ac:dyDescent="0.2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  <c r="S2929" s="18"/>
    </row>
    <row r="2930" spans="1:19" x14ac:dyDescent="0.2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  <c r="S2930" s="18"/>
    </row>
    <row r="2931" spans="1:19" x14ac:dyDescent="0.2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</row>
    <row r="2932" spans="1:19" x14ac:dyDescent="0.2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  <c r="S2932" s="18"/>
    </row>
    <row r="2933" spans="1:19" x14ac:dyDescent="0.2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</row>
    <row r="2934" spans="1:19" x14ac:dyDescent="0.2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8"/>
    </row>
    <row r="2935" spans="1:19" x14ac:dyDescent="0.2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</row>
    <row r="2936" spans="1:19" x14ac:dyDescent="0.2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  <c r="S2936" s="18"/>
    </row>
    <row r="2937" spans="1:19" x14ac:dyDescent="0.2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</row>
    <row r="2938" spans="1:19" x14ac:dyDescent="0.2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  <c r="S2938" s="18"/>
    </row>
    <row r="2939" spans="1:19" x14ac:dyDescent="0.2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  <c r="S2939" s="18"/>
    </row>
    <row r="2940" spans="1:19" x14ac:dyDescent="0.2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  <c r="S2940" s="18"/>
    </row>
    <row r="2941" spans="1:19" x14ac:dyDescent="0.2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</row>
    <row r="2942" spans="1:19" x14ac:dyDescent="0.2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  <c r="S2942" s="18"/>
    </row>
    <row r="2943" spans="1:19" x14ac:dyDescent="0.2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  <c r="S2943" s="18"/>
    </row>
    <row r="2944" spans="1:19" x14ac:dyDescent="0.2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  <c r="S2944" s="18"/>
    </row>
    <row r="2945" spans="1:19" x14ac:dyDescent="0.2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  <c r="S2945" s="18"/>
    </row>
    <row r="2946" spans="1:19" x14ac:dyDescent="0.2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  <c r="S2946" s="18"/>
    </row>
    <row r="2947" spans="1:19" x14ac:dyDescent="0.2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  <c r="S2947" s="18"/>
    </row>
    <row r="2948" spans="1:19" x14ac:dyDescent="0.2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  <c r="S2948" s="18"/>
    </row>
    <row r="2949" spans="1:19" x14ac:dyDescent="0.2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  <c r="S2949" s="18"/>
    </row>
    <row r="2950" spans="1:19" x14ac:dyDescent="0.2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  <c r="S2950" s="18"/>
    </row>
    <row r="2951" spans="1:19" x14ac:dyDescent="0.2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</row>
    <row r="2952" spans="1:19" x14ac:dyDescent="0.2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  <c r="S2952" s="18"/>
    </row>
    <row r="2953" spans="1:19" x14ac:dyDescent="0.2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  <c r="S2953" s="18"/>
    </row>
    <row r="2954" spans="1:19" x14ac:dyDescent="0.2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</row>
    <row r="2955" spans="1:19" x14ac:dyDescent="0.2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  <c r="S2955" s="18"/>
    </row>
    <row r="2956" spans="1:19" x14ac:dyDescent="0.2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</row>
    <row r="2957" spans="1:19" x14ac:dyDescent="0.2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  <c r="S2957" s="18"/>
    </row>
    <row r="2958" spans="1:19" x14ac:dyDescent="0.2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</row>
    <row r="2959" spans="1:19" x14ac:dyDescent="0.2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  <c r="S2959" s="18"/>
    </row>
    <row r="2960" spans="1:19" x14ac:dyDescent="0.2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  <c r="S2960" s="18"/>
    </row>
    <row r="2961" spans="1:19" x14ac:dyDescent="0.2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  <c r="S2961" s="18"/>
    </row>
    <row r="2962" spans="1:19" x14ac:dyDescent="0.2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  <c r="S2962" s="18"/>
    </row>
    <row r="2963" spans="1:19" x14ac:dyDescent="0.2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  <c r="S2963" s="18"/>
    </row>
    <row r="2964" spans="1:19" x14ac:dyDescent="0.2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  <c r="S2964" s="18"/>
    </row>
    <row r="2965" spans="1:19" x14ac:dyDescent="0.2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  <c r="S2965" s="18"/>
    </row>
    <row r="2966" spans="1:19" x14ac:dyDescent="0.2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  <c r="S2966" s="18"/>
    </row>
    <row r="2967" spans="1:19" x14ac:dyDescent="0.2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</row>
    <row r="2968" spans="1:19" x14ac:dyDescent="0.2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  <c r="S2968" s="18"/>
    </row>
    <row r="2969" spans="1:19" x14ac:dyDescent="0.2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  <c r="S2969" s="18"/>
    </row>
    <row r="2970" spans="1:19" x14ac:dyDescent="0.2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  <c r="S2970" s="18"/>
    </row>
    <row r="2971" spans="1:19" x14ac:dyDescent="0.2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  <c r="S2971" s="18"/>
    </row>
    <row r="2972" spans="1:19" x14ac:dyDescent="0.2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  <c r="S2972" s="18"/>
    </row>
    <row r="2973" spans="1:19" x14ac:dyDescent="0.2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  <c r="S2973" s="18"/>
    </row>
    <row r="2974" spans="1:19" x14ac:dyDescent="0.2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  <c r="S2974" s="18"/>
    </row>
    <row r="2975" spans="1:19" x14ac:dyDescent="0.2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  <c r="S2975" s="18"/>
    </row>
    <row r="2976" spans="1:19" x14ac:dyDescent="0.2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  <c r="S2976" s="18"/>
    </row>
    <row r="2977" spans="1:19" x14ac:dyDescent="0.2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  <c r="S2977" s="18"/>
    </row>
    <row r="2978" spans="1:19" x14ac:dyDescent="0.2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  <c r="S2978" s="18"/>
    </row>
    <row r="2979" spans="1:19" x14ac:dyDescent="0.2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</row>
    <row r="2980" spans="1:19" x14ac:dyDescent="0.2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  <c r="S2980" s="18"/>
    </row>
    <row r="2981" spans="1:19" x14ac:dyDescent="0.2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  <c r="S2981" s="18"/>
    </row>
    <row r="2982" spans="1:19" x14ac:dyDescent="0.2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  <c r="S2982" s="18"/>
    </row>
    <row r="2983" spans="1:19" x14ac:dyDescent="0.2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  <c r="S2983" s="18"/>
    </row>
    <row r="2984" spans="1:19" x14ac:dyDescent="0.2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  <c r="S2984" s="18"/>
    </row>
    <row r="2985" spans="1:19" x14ac:dyDescent="0.2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  <c r="S2985" s="18"/>
    </row>
    <row r="2986" spans="1:19" x14ac:dyDescent="0.2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  <c r="S2986" s="18"/>
    </row>
    <row r="2987" spans="1:19" x14ac:dyDescent="0.2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  <c r="S2987" s="18"/>
    </row>
    <row r="2988" spans="1:19" x14ac:dyDescent="0.2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  <c r="S2988" s="18"/>
    </row>
    <row r="2989" spans="1:19" x14ac:dyDescent="0.2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</row>
    <row r="2990" spans="1:19" x14ac:dyDescent="0.2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  <c r="S2990" s="18"/>
    </row>
    <row r="2991" spans="1:19" x14ac:dyDescent="0.2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</row>
    <row r="2992" spans="1:19" x14ac:dyDescent="0.2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  <c r="S2992" s="18"/>
    </row>
    <row r="2993" spans="1:19" x14ac:dyDescent="0.2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</row>
    <row r="2994" spans="1:19" x14ac:dyDescent="0.2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  <c r="S2994" s="18"/>
    </row>
    <row r="2995" spans="1:19" x14ac:dyDescent="0.2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</row>
    <row r="2996" spans="1:19" x14ac:dyDescent="0.2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  <c r="S2996" s="18"/>
    </row>
    <row r="2997" spans="1:19" x14ac:dyDescent="0.2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</row>
    <row r="2998" spans="1:19" x14ac:dyDescent="0.2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  <c r="S2998" s="18"/>
    </row>
    <row r="2999" spans="1:19" x14ac:dyDescent="0.2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  <c r="S2999" s="18"/>
    </row>
    <row r="3000" spans="1:19" x14ac:dyDescent="0.2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  <c r="S3000" s="18"/>
    </row>
    <row r="3001" spans="1:19" x14ac:dyDescent="0.2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  <c r="S3001" s="18"/>
    </row>
    <row r="3002" spans="1:19" x14ac:dyDescent="0.2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  <c r="S3002" s="18"/>
    </row>
    <row r="3003" spans="1:19" x14ac:dyDescent="0.2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  <c r="S3003" s="18"/>
    </row>
    <row r="3004" spans="1:19" x14ac:dyDescent="0.2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  <c r="S3004" s="18"/>
    </row>
    <row r="3005" spans="1:19" x14ac:dyDescent="0.2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</row>
    <row r="3006" spans="1:19" x14ac:dyDescent="0.2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  <c r="S3006" s="18"/>
    </row>
    <row r="3007" spans="1:19" x14ac:dyDescent="0.2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</row>
    <row r="3008" spans="1:19" x14ac:dyDescent="0.2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</row>
    <row r="3009" spans="1:19" x14ac:dyDescent="0.2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</row>
    <row r="3010" spans="1:19" x14ac:dyDescent="0.2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  <c r="S3010" s="18"/>
    </row>
    <row r="3011" spans="1:19" x14ac:dyDescent="0.2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  <c r="S3011" s="18"/>
    </row>
    <row r="3012" spans="1:19" x14ac:dyDescent="0.2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  <c r="S3012" s="18"/>
    </row>
    <row r="3013" spans="1:19" x14ac:dyDescent="0.2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</row>
    <row r="3014" spans="1:19" x14ac:dyDescent="0.2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  <c r="S3014" s="18"/>
    </row>
    <row r="3015" spans="1:19" x14ac:dyDescent="0.2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  <c r="S3015" s="18"/>
    </row>
    <row r="3016" spans="1:19" x14ac:dyDescent="0.2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  <c r="S3016" s="18"/>
    </row>
    <row r="3017" spans="1:19" x14ac:dyDescent="0.2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  <c r="S3017" s="18"/>
    </row>
    <row r="3018" spans="1:19" x14ac:dyDescent="0.2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  <c r="S3018" s="18"/>
    </row>
    <row r="3019" spans="1:19" x14ac:dyDescent="0.2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</row>
    <row r="3020" spans="1:19" x14ac:dyDescent="0.2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  <c r="S3020" s="18"/>
    </row>
    <row r="3021" spans="1:19" x14ac:dyDescent="0.2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  <c r="S3021" s="18"/>
    </row>
    <row r="3022" spans="1:19" x14ac:dyDescent="0.2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  <c r="S3022" s="18"/>
    </row>
    <row r="3023" spans="1:19" x14ac:dyDescent="0.2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  <c r="S3023" s="18"/>
    </row>
    <row r="3024" spans="1:19" x14ac:dyDescent="0.2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</row>
    <row r="3025" spans="1:19" x14ac:dyDescent="0.2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</row>
    <row r="3026" spans="1:19" x14ac:dyDescent="0.2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  <c r="S3026" s="18"/>
    </row>
    <row r="3027" spans="1:19" x14ac:dyDescent="0.2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  <c r="S3027" s="18"/>
    </row>
    <row r="3028" spans="1:19" x14ac:dyDescent="0.2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</row>
    <row r="3029" spans="1:19" x14ac:dyDescent="0.2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</row>
    <row r="3030" spans="1:19" x14ac:dyDescent="0.2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  <c r="S3030" s="18"/>
    </row>
    <row r="3031" spans="1:19" x14ac:dyDescent="0.2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</row>
    <row r="3032" spans="1:19" x14ac:dyDescent="0.2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  <c r="S3032" s="18"/>
    </row>
    <row r="3033" spans="1:19" x14ac:dyDescent="0.2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</row>
    <row r="3034" spans="1:19" x14ac:dyDescent="0.2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</row>
    <row r="3035" spans="1:19" x14ac:dyDescent="0.2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  <c r="S3035" s="18"/>
    </row>
    <row r="3036" spans="1:19" x14ac:dyDescent="0.2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  <c r="S3036" s="18"/>
    </row>
    <row r="3037" spans="1:19" x14ac:dyDescent="0.2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  <c r="S3037" s="18"/>
    </row>
    <row r="3038" spans="1:19" x14ac:dyDescent="0.2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  <c r="S3038" s="18"/>
    </row>
    <row r="3039" spans="1:19" x14ac:dyDescent="0.2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</row>
    <row r="3040" spans="1:19" x14ac:dyDescent="0.2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  <c r="S3040" s="18"/>
    </row>
    <row r="3041" spans="1:19" x14ac:dyDescent="0.2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  <c r="S3041" s="18"/>
    </row>
    <row r="3042" spans="1:19" x14ac:dyDescent="0.2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</row>
    <row r="3043" spans="1:19" x14ac:dyDescent="0.2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</row>
    <row r="3044" spans="1:19" x14ac:dyDescent="0.2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  <c r="S3044" s="18"/>
    </row>
    <row r="3045" spans="1:19" x14ac:dyDescent="0.2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</row>
    <row r="3046" spans="1:19" x14ac:dyDescent="0.2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  <c r="S3046" s="18"/>
    </row>
    <row r="3047" spans="1:19" x14ac:dyDescent="0.2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</row>
    <row r="3048" spans="1:19" x14ac:dyDescent="0.2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  <c r="S3048" s="18"/>
    </row>
    <row r="3049" spans="1:19" x14ac:dyDescent="0.2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</row>
    <row r="3050" spans="1:19" x14ac:dyDescent="0.2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  <c r="S3050" s="18"/>
    </row>
    <row r="3051" spans="1:19" x14ac:dyDescent="0.2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</row>
    <row r="3052" spans="1:19" x14ac:dyDescent="0.2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8"/>
    </row>
    <row r="3053" spans="1:19" x14ac:dyDescent="0.2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</row>
    <row r="3054" spans="1:19" x14ac:dyDescent="0.2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  <c r="S3054" s="18"/>
    </row>
    <row r="3055" spans="1:19" x14ac:dyDescent="0.2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  <c r="S3055" s="18"/>
    </row>
    <row r="3056" spans="1:19" x14ac:dyDescent="0.2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  <c r="S3056" s="18"/>
    </row>
    <row r="3057" spans="1:19" x14ac:dyDescent="0.2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  <c r="S3057" s="18"/>
    </row>
    <row r="3058" spans="1:19" x14ac:dyDescent="0.2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  <c r="S3058" s="18"/>
    </row>
    <row r="3059" spans="1:19" x14ac:dyDescent="0.2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  <c r="S3059" s="18"/>
    </row>
    <row r="3060" spans="1:19" x14ac:dyDescent="0.2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  <c r="S3060" s="18"/>
    </row>
    <row r="3061" spans="1:19" x14ac:dyDescent="0.2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</row>
    <row r="3062" spans="1:19" x14ac:dyDescent="0.2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  <c r="S3062" s="18"/>
    </row>
    <row r="3063" spans="1:19" x14ac:dyDescent="0.2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  <c r="S3063" s="18"/>
    </row>
    <row r="3064" spans="1:19" x14ac:dyDescent="0.2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  <c r="S3064" s="18"/>
    </row>
    <row r="3065" spans="1:19" x14ac:dyDescent="0.2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  <c r="S3065" s="18"/>
    </row>
    <row r="3066" spans="1:19" x14ac:dyDescent="0.2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  <c r="S3066" s="18"/>
    </row>
    <row r="3067" spans="1:19" x14ac:dyDescent="0.2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  <c r="S3067" s="18"/>
    </row>
    <row r="3068" spans="1:19" x14ac:dyDescent="0.2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  <c r="S3068" s="18"/>
    </row>
    <row r="3069" spans="1:19" x14ac:dyDescent="0.2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  <c r="S3069" s="18"/>
    </row>
    <row r="3070" spans="1:19" x14ac:dyDescent="0.2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  <c r="S3070" s="18"/>
    </row>
    <row r="3071" spans="1:19" x14ac:dyDescent="0.2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  <c r="S3071" s="18"/>
    </row>
    <row r="3072" spans="1:19" x14ac:dyDescent="0.2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  <c r="S3072" s="18"/>
    </row>
    <row r="3073" spans="1:19" x14ac:dyDescent="0.2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  <c r="S3073" s="18"/>
    </row>
    <row r="3074" spans="1:19" x14ac:dyDescent="0.2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  <c r="S3074" s="18"/>
    </row>
    <row r="3075" spans="1:19" x14ac:dyDescent="0.2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  <c r="S3075" s="18"/>
    </row>
    <row r="3076" spans="1:19" x14ac:dyDescent="0.2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  <c r="S3076" s="18"/>
    </row>
    <row r="3077" spans="1:19" x14ac:dyDescent="0.2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  <c r="S3077" s="18"/>
    </row>
    <row r="3078" spans="1:19" x14ac:dyDescent="0.2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  <c r="S3078" s="18"/>
    </row>
    <row r="3079" spans="1:19" x14ac:dyDescent="0.2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  <c r="S3079" s="18"/>
    </row>
    <row r="3080" spans="1:19" x14ac:dyDescent="0.2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  <c r="S3080" s="18"/>
    </row>
    <row r="3081" spans="1:19" x14ac:dyDescent="0.2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</row>
    <row r="3082" spans="1:19" x14ac:dyDescent="0.2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  <c r="S3082" s="18"/>
    </row>
    <row r="3083" spans="1:19" x14ac:dyDescent="0.2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</row>
    <row r="3084" spans="1:19" x14ac:dyDescent="0.2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  <c r="S3084" s="18"/>
    </row>
    <row r="3085" spans="1:19" x14ac:dyDescent="0.2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  <c r="S3085" s="18"/>
    </row>
    <row r="3086" spans="1:19" x14ac:dyDescent="0.2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  <c r="S3086" s="18"/>
    </row>
    <row r="3087" spans="1:19" x14ac:dyDescent="0.2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  <c r="S3087" s="18"/>
    </row>
    <row r="3088" spans="1:19" x14ac:dyDescent="0.2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  <c r="S3088" s="18"/>
    </row>
    <row r="3089" spans="1:19" x14ac:dyDescent="0.2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  <c r="S3089" s="18"/>
    </row>
    <row r="3090" spans="1:19" x14ac:dyDescent="0.2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  <c r="S3090" s="18"/>
    </row>
    <row r="3091" spans="1:19" x14ac:dyDescent="0.2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  <c r="S3091" s="18"/>
    </row>
    <row r="3092" spans="1:19" x14ac:dyDescent="0.2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  <c r="S3092" s="18"/>
    </row>
    <row r="3093" spans="1:19" x14ac:dyDescent="0.2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</row>
    <row r="3094" spans="1:19" x14ac:dyDescent="0.2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  <c r="S3094" s="18"/>
    </row>
    <row r="3095" spans="1:19" x14ac:dyDescent="0.2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  <c r="S3095" s="18"/>
    </row>
    <row r="3096" spans="1:19" x14ac:dyDescent="0.2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  <c r="S3096" s="18"/>
    </row>
    <row r="3097" spans="1:19" x14ac:dyDescent="0.2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</row>
    <row r="3098" spans="1:19" x14ac:dyDescent="0.2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</row>
    <row r="3099" spans="1:19" x14ac:dyDescent="0.2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  <c r="S3099" s="18"/>
    </row>
    <row r="3100" spans="1:19" x14ac:dyDescent="0.2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  <c r="S3100" s="18"/>
    </row>
    <row r="3101" spans="1:19" x14ac:dyDescent="0.2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  <c r="S3101" s="18"/>
    </row>
    <row r="3102" spans="1:19" x14ac:dyDescent="0.2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  <c r="S3102" s="18"/>
    </row>
    <row r="3103" spans="1:19" x14ac:dyDescent="0.2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  <c r="S3103" s="18"/>
    </row>
    <row r="3104" spans="1:19" x14ac:dyDescent="0.2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  <c r="S3104" s="18"/>
    </row>
    <row r="3105" spans="1:19" x14ac:dyDescent="0.2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  <c r="S3105" s="18"/>
    </row>
    <row r="3106" spans="1:19" x14ac:dyDescent="0.2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  <c r="S3106" s="18"/>
    </row>
    <row r="3107" spans="1:19" x14ac:dyDescent="0.2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  <c r="S3107" s="18"/>
    </row>
    <row r="3108" spans="1:19" x14ac:dyDescent="0.2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  <c r="S3108" s="18"/>
    </row>
    <row r="3109" spans="1:19" x14ac:dyDescent="0.2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  <c r="S3109" s="18"/>
    </row>
    <row r="3110" spans="1:19" x14ac:dyDescent="0.2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  <c r="S3110" s="18"/>
    </row>
    <row r="3111" spans="1:19" x14ac:dyDescent="0.2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  <c r="S3111" s="18"/>
    </row>
    <row r="3112" spans="1:19" x14ac:dyDescent="0.2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  <c r="S3112" s="18"/>
    </row>
    <row r="3113" spans="1:19" x14ac:dyDescent="0.2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  <c r="S3113" s="18"/>
    </row>
    <row r="3114" spans="1:19" x14ac:dyDescent="0.2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  <c r="S3114" s="18"/>
    </row>
    <row r="3115" spans="1:19" x14ac:dyDescent="0.2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</row>
    <row r="3116" spans="1:19" x14ac:dyDescent="0.2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  <c r="S3116" s="18"/>
    </row>
    <row r="3117" spans="1:19" x14ac:dyDescent="0.2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</row>
    <row r="3118" spans="1:19" x14ac:dyDescent="0.2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  <c r="S3118" s="18"/>
    </row>
    <row r="3119" spans="1:19" x14ac:dyDescent="0.2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  <c r="S3119" s="18"/>
    </row>
    <row r="3120" spans="1:19" x14ac:dyDescent="0.2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  <c r="S3120" s="18"/>
    </row>
    <row r="3121" spans="1:19" x14ac:dyDescent="0.2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  <c r="S3121" s="18"/>
    </row>
    <row r="3122" spans="1:19" x14ac:dyDescent="0.2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  <c r="S3122" s="18"/>
    </row>
    <row r="3123" spans="1:19" x14ac:dyDescent="0.2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  <c r="S3123" s="18"/>
    </row>
    <row r="3124" spans="1:19" x14ac:dyDescent="0.2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</row>
    <row r="3125" spans="1:19" x14ac:dyDescent="0.2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  <c r="S3125" s="18"/>
    </row>
    <row r="3126" spans="1:19" x14ac:dyDescent="0.2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  <c r="S3126" s="18"/>
    </row>
    <row r="3127" spans="1:19" x14ac:dyDescent="0.2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</row>
    <row r="3128" spans="1:19" x14ac:dyDescent="0.2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  <c r="S3128" s="18"/>
    </row>
    <row r="3129" spans="1:19" x14ac:dyDescent="0.2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  <c r="S3129" s="18"/>
    </row>
    <row r="3130" spans="1:19" x14ac:dyDescent="0.2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  <c r="S3130" s="18"/>
    </row>
    <row r="3131" spans="1:19" x14ac:dyDescent="0.2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  <c r="S3131" s="18"/>
    </row>
    <row r="3132" spans="1:19" x14ac:dyDescent="0.2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</row>
    <row r="3133" spans="1:19" x14ac:dyDescent="0.2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</row>
    <row r="3134" spans="1:19" x14ac:dyDescent="0.2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  <c r="S3134" s="18"/>
    </row>
    <row r="3135" spans="1:19" x14ac:dyDescent="0.2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  <c r="S3135" s="18"/>
    </row>
    <row r="3136" spans="1:19" x14ac:dyDescent="0.2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</row>
    <row r="3137" spans="1:19" x14ac:dyDescent="0.2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</row>
    <row r="3138" spans="1:19" x14ac:dyDescent="0.2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</row>
    <row r="3139" spans="1:19" x14ac:dyDescent="0.2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  <c r="S3139" s="18"/>
    </row>
    <row r="3140" spans="1:19" x14ac:dyDescent="0.2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  <c r="S3140" s="18"/>
    </row>
    <row r="3141" spans="1:19" x14ac:dyDescent="0.2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</row>
    <row r="3142" spans="1:19" x14ac:dyDescent="0.2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  <c r="S3142" s="18"/>
    </row>
    <row r="3143" spans="1:19" x14ac:dyDescent="0.2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  <c r="S3143" s="18"/>
    </row>
    <row r="3144" spans="1:19" x14ac:dyDescent="0.2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  <c r="S3144" s="18"/>
    </row>
    <row r="3145" spans="1:19" x14ac:dyDescent="0.2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</row>
    <row r="3146" spans="1:19" x14ac:dyDescent="0.2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  <c r="S3146" s="18"/>
    </row>
    <row r="3147" spans="1:19" x14ac:dyDescent="0.2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  <c r="S3147" s="18"/>
    </row>
    <row r="3148" spans="1:19" x14ac:dyDescent="0.2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  <c r="S3148" s="18"/>
    </row>
    <row r="3149" spans="1:19" x14ac:dyDescent="0.2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</row>
    <row r="3150" spans="1:19" x14ac:dyDescent="0.2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  <c r="S3150" s="18"/>
    </row>
    <row r="3151" spans="1:19" x14ac:dyDescent="0.2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</row>
    <row r="3152" spans="1:19" x14ac:dyDescent="0.2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  <c r="S3152" s="18"/>
    </row>
    <row r="3153" spans="1:19" x14ac:dyDescent="0.2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  <c r="S3153" s="18"/>
    </row>
    <row r="3154" spans="1:19" x14ac:dyDescent="0.2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  <c r="S3154" s="18"/>
    </row>
    <row r="3155" spans="1:19" x14ac:dyDescent="0.2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  <c r="S3155" s="18"/>
    </row>
    <row r="3156" spans="1:19" x14ac:dyDescent="0.2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  <c r="S3156" s="18"/>
    </row>
    <row r="3157" spans="1:19" x14ac:dyDescent="0.2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</row>
    <row r="3158" spans="1:19" x14ac:dyDescent="0.2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  <c r="S3158" s="18"/>
    </row>
    <row r="3159" spans="1:19" x14ac:dyDescent="0.2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</row>
    <row r="3160" spans="1:19" x14ac:dyDescent="0.2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  <c r="S3160" s="18"/>
    </row>
    <row r="3161" spans="1:19" x14ac:dyDescent="0.2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</row>
    <row r="3162" spans="1:19" x14ac:dyDescent="0.2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  <c r="S3162" s="18"/>
    </row>
    <row r="3163" spans="1:19" x14ac:dyDescent="0.2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</row>
    <row r="3164" spans="1:19" x14ac:dyDescent="0.2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  <c r="S3164" s="18"/>
    </row>
    <row r="3165" spans="1:19" x14ac:dyDescent="0.2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</row>
    <row r="3166" spans="1:19" x14ac:dyDescent="0.2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  <c r="S3166" s="18"/>
    </row>
    <row r="3167" spans="1:19" x14ac:dyDescent="0.2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  <c r="S3167" s="18"/>
    </row>
    <row r="3168" spans="1:19" x14ac:dyDescent="0.2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  <c r="S3168" s="18"/>
    </row>
    <row r="3169" spans="1:19" x14ac:dyDescent="0.2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</row>
    <row r="3170" spans="1:19" x14ac:dyDescent="0.2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</row>
    <row r="3171" spans="1:19" x14ac:dyDescent="0.2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  <c r="S3171" s="18"/>
    </row>
    <row r="3172" spans="1:19" x14ac:dyDescent="0.2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  <c r="S3172" s="18"/>
    </row>
    <row r="3173" spans="1:19" x14ac:dyDescent="0.2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  <c r="S3173" s="18"/>
    </row>
    <row r="3174" spans="1:19" x14ac:dyDescent="0.2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  <c r="S3174" s="18"/>
    </row>
    <row r="3175" spans="1:19" x14ac:dyDescent="0.2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</row>
    <row r="3176" spans="1:19" x14ac:dyDescent="0.2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  <c r="S3176" s="18"/>
    </row>
    <row r="3177" spans="1:19" x14ac:dyDescent="0.2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  <c r="S3177" s="18"/>
    </row>
    <row r="3178" spans="1:19" x14ac:dyDescent="0.2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  <c r="S3178" s="18"/>
    </row>
    <row r="3179" spans="1:19" x14ac:dyDescent="0.2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  <c r="S3179" s="18"/>
    </row>
    <row r="3180" spans="1:19" x14ac:dyDescent="0.2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  <c r="S3180" s="18"/>
    </row>
    <row r="3181" spans="1:19" x14ac:dyDescent="0.2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  <c r="S3181" s="18"/>
    </row>
    <row r="3182" spans="1:19" x14ac:dyDescent="0.2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  <c r="S3182" s="18"/>
    </row>
    <row r="3183" spans="1:19" x14ac:dyDescent="0.2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  <c r="S3183" s="18"/>
    </row>
    <row r="3184" spans="1:19" x14ac:dyDescent="0.2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  <c r="S3184" s="18"/>
    </row>
    <row r="3185" spans="1:19" x14ac:dyDescent="0.2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  <c r="S3185" s="18"/>
    </row>
    <row r="3186" spans="1:19" x14ac:dyDescent="0.2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  <c r="S3186" s="18"/>
    </row>
    <row r="3187" spans="1:19" x14ac:dyDescent="0.2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  <c r="S3187" s="18"/>
    </row>
    <row r="3188" spans="1:19" x14ac:dyDescent="0.2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  <c r="S3188" s="18"/>
    </row>
    <row r="3189" spans="1:19" x14ac:dyDescent="0.2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</row>
    <row r="3190" spans="1:19" x14ac:dyDescent="0.2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  <c r="S3190" s="18"/>
    </row>
    <row r="3191" spans="1:19" x14ac:dyDescent="0.2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  <c r="S3191" s="18"/>
    </row>
    <row r="3192" spans="1:19" x14ac:dyDescent="0.2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  <c r="S3192" s="18"/>
    </row>
    <row r="3193" spans="1:19" x14ac:dyDescent="0.2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  <c r="S3193" s="18"/>
    </row>
    <row r="3194" spans="1:19" x14ac:dyDescent="0.2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  <c r="S3194" s="18"/>
    </row>
    <row r="3195" spans="1:19" x14ac:dyDescent="0.2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  <c r="S3195" s="18"/>
    </row>
    <row r="3196" spans="1:19" x14ac:dyDescent="0.2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  <c r="S3196" s="18"/>
    </row>
    <row r="3197" spans="1:19" x14ac:dyDescent="0.2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  <c r="S3197" s="18"/>
    </row>
    <row r="3198" spans="1:19" x14ac:dyDescent="0.2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  <c r="S3198" s="18"/>
    </row>
    <row r="3199" spans="1:19" x14ac:dyDescent="0.2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  <c r="S3199" s="18"/>
    </row>
    <row r="3200" spans="1:19" x14ac:dyDescent="0.2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  <c r="S3200" s="18"/>
    </row>
    <row r="3201" spans="1:19" x14ac:dyDescent="0.2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  <c r="S3201" s="18"/>
    </row>
    <row r="3202" spans="1:19" x14ac:dyDescent="0.2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  <c r="S3202" s="18"/>
    </row>
    <row r="3203" spans="1:19" x14ac:dyDescent="0.2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  <c r="S3203" s="18"/>
    </row>
    <row r="3204" spans="1:19" x14ac:dyDescent="0.2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  <c r="S3204" s="18"/>
    </row>
    <row r="3205" spans="1:19" x14ac:dyDescent="0.2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  <c r="S3205" s="18"/>
    </row>
    <row r="3206" spans="1:19" x14ac:dyDescent="0.2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</row>
    <row r="3207" spans="1:19" x14ac:dyDescent="0.2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  <c r="S3207" s="18"/>
    </row>
    <row r="3208" spans="1:19" x14ac:dyDescent="0.2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  <c r="S3208" s="18"/>
    </row>
    <row r="3209" spans="1:19" x14ac:dyDescent="0.2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  <c r="S3209" s="18"/>
    </row>
    <row r="3210" spans="1:19" x14ac:dyDescent="0.2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  <c r="S3210" s="18"/>
    </row>
    <row r="3211" spans="1:19" x14ac:dyDescent="0.2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  <c r="S3211" s="18"/>
    </row>
    <row r="3212" spans="1:19" x14ac:dyDescent="0.2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  <c r="S3212" s="18"/>
    </row>
    <row r="3213" spans="1:19" x14ac:dyDescent="0.2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  <c r="S3213" s="18"/>
    </row>
    <row r="3214" spans="1:19" x14ac:dyDescent="0.2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  <c r="S3214" s="18"/>
    </row>
    <row r="3215" spans="1:19" x14ac:dyDescent="0.2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  <c r="S3215" s="18"/>
    </row>
    <row r="3216" spans="1:19" x14ac:dyDescent="0.2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</row>
    <row r="3217" spans="1:19" x14ac:dyDescent="0.2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  <c r="S3217" s="18"/>
    </row>
    <row r="3218" spans="1:19" x14ac:dyDescent="0.2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  <c r="S3218" s="18"/>
    </row>
    <row r="3219" spans="1:19" x14ac:dyDescent="0.2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  <c r="S3219" s="18"/>
    </row>
    <row r="3220" spans="1:19" x14ac:dyDescent="0.2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  <c r="S3220" s="18"/>
    </row>
    <row r="3221" spans="1:19" x14ac:dyDescent="0.2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  <c r="S3221" s="18"/>
    </row>
    <row r="3222" spans="1:19" x14ac:dyDescent="0.2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  <c r="S3222" s="18"/>
    </row>
    <row r="3223" spans="1:19" x14ac:dyDescent="0.2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  <c r="S3223" s="18"/>
    </row>
    <row r="3224" spans="1:19" x14ac:dyDescent="0.2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</row>
    <row r="3225" spans="1:19" x14ac:dyDescent="0.2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  <c r="S3225" s="18"/>
    </row>
    <row r="3226" spans="1:19" x14ac:dyDescent="0.2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  <c r="S3226" s="18"/>
    </row>
    <row r="3227" spans="1:19" x14ac:dyDescent="0.2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</row>
    <row r="3228" spans="1:19" x14ac:dyDescent="0.2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  <c r="S3228" s="18"/>
    </row>
    <row r="3229" spans="1:19" x14ac:dyDescent="0.2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</row>
    <row r="3230" spans="1:19" x14ac:dyDescent="0.2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  <c r="S3230" s="18"/>
    </row>
    <row r="3231" spans="1:19" x14ac:dyDescent="0.2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</row>
    <row r="3232" spans="1:19" x14ac:dyDescent="0.2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  <c r="S3232" s="18"/>
    </row>
    <row r="3233" spans="1:19" x14ac:dyDescent="0.2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  <c r="S3233" s="18"/>
    </row>
    <row r="3234" spans="1:19" x14ac:dyDescent="0.2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  <c r="S3234" s="18"/>
    </row>
    <row r="3235" spans="1:19" x14ac:dyDescent="0.2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  <c r="S3235" s="18"/>
    </row>
    <row r="3236" spans="1:19" x14ac:dyDescent="0.2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  <c r="S3236" s="18"/>
    </row>
    <row r="3237" spans="1:19" x14ac:dyDescent="0.2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  <c r="S3237" s="18"/>
    </row>
    <row r="3238" spans="1:19" x14ac:dyDescent="0.2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  <c r="S3238" s="18"/>
    </row>
    <row r="3239" spans="1:19" x14ac:dyDescent="0.2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  <c r="S3239" s="18"/>
    </row>
    <row r="3240" spans="1:19" x14ac:dyDescent="0.2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  <c r="S3240" s="18"/>
    </row>
    <row r="3241" spans="1:19" x14ac:dyDescent="0.2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  <c r="S3241" s="18"/>
    </row>
    <row r="3242" spans="1:19" x14ac:dyDescent="0.2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  <c r="S3242" s="18"/>
    </row>
    <row r="3243" spans="1:19" x14ac:dyDescent="0.2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</row>
    <row r="3244" spans="1:19" x14ac:dyDescent="0.2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  <c r="S3244" s="18"/>
    </row>
    <row r="3245" spans="1:19" x14ac:dyDescent="0.2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  <c r="S3245" s="18"/>
    </row>
    <row r="3246" spans="1:19" x14ac:dyDescent="0.2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  <c r="S3246" s="18"/>
    </row>
    <row r="3247" spans="1:19" x14ac:dyDescent="0.2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  <c r="S3247" s="18"/>
    </row>
    <row r="3248" spans="1:19" x14ac:dyDescent="0.2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  <c r="S3248" s="18"/>
    </row>
    <row r="3249" spans="1:19" x14ac:dyDescent="0.2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  <c r="S3249" s="18"/>
    </row>
    <row r="3250" spans="1:19" x14ac:dyDescent="0.2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  <c r="S3250" s="18"/>
    </row>
    <row r="3251" spans="1:19" x14ac:dyDescent="0.2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  <c r="S3251" s="18"/>
    </row>
    <row r="3252" spans="1:19" x14ac:dyDescent="0.2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  <c r="S3252" s="18"/>
    </row>
    <row r="3253" spans="1:19" x14ac:dyDescent="0.2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  <c r="S3253" s="18"/>
    </row>
    <row r="3254" spans="1:19" x14ac:dyDescent="0.2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  <c r="S3254" s="18"/>
    </row>
    <row r="3255" spans="1:19" x14ac:dyDescent="0.2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  <c r="S3255" s="18"/>
    </row>
    <row r="3256" spans="1:19" x14ac:dyDescent="0.2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  <c r="S3256" s="18"/>
    </row>
    <row r="3257" spans="1:19" x14ac:dyDescent="0.2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  <c r="S3257" s="18"/>
    </row>
    <row r="3258" spans="1:19" x14ac:dyDescent="0.2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  <c r="S3258" s="18"/>
    </row>
    <row r="3259" spans="1:19" x14ac:dyDescent="0.2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  <c r="S3259" s="18"/>
    </row>
    <row r="3260" spans="1:19" x14ac:dyDescent="0.2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  <c r="S3260" s="18"/>
    </row>
    <row r="3261" spans="1:19" x14ac:dyDescent="0.2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  <c r="S3261" s="18"/>
    </row>
    <row r="3262" spans="1:19" x14ac:dyDescent="0.2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  <c r="S3262" s="18"/>
    </row>
    <row r="3263" spans="1:19" x14ac:dyDescent="0.2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  <c r="S3263" s="18"/>
    </row>
    <row r="3264" spans="1:19" x14ac:dyDescent="0.2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  <c r="S3264" s="18"/>
    </row>
    <row r="3265" spans="1:19" x14ac:dyDescent="0.2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  <c r="S3265" s="18"/>
    </row>
    <row r="3266" spans="1:19" x14ac:dyDescent="0.2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  <c r="S3266" s="18"/>
    </row>
    <row r="3267" spans="1:19" x14ac:dyDescent="0.2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  <c r="S3267" s="18"/>
    </row>
    <row r="3268" spans="1:19" x14ac:dyDescent="0.2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  <c r="S3268" s="18"/>
    </row>
    <row r="3269" spans="1:19" x14ac:dyDescent="0.2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  <c r="S3269" s="18"/>
    </row>
    <row r="3270" spans="1:19" x14ac:dyDescent="0.2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  <c r="S3270" s="18"/>
    </row>
    <row r="3271" spans="1:19" x14ac:dyDescent="0.2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  <c r="S3271" s="18"/>
    </row>
    <row r="3272" spans="1:19" x14ac:dyDescent="0.2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  <c r="S3272" s="18"/>
    </row>
    <row r="3273" spans="1:19" x14ac:dyDescent="0.2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  <c r="S3273" s="18"/>
    </row>
    <row r="3274" spans="1:19" x14ac:dyDescent="0.2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  <c r="S3274" s="18"/>
    </row>
    <row r="3275" spans="1:19" x14ac:dyDescent="0.2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  <c r="S3275" s="18"/>
    </row>
    <row r="3276" spans="1:19" x14ac:dyDescent="0.2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  <c r="S3276" s="18"/>
    </row>
    <row r="3277" spans="1:19" x14ac:dyDescent="0.2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  <c r="S3277" s="18"/>
    </row>
    <row r="3278" spans="1:19" x14ac:dyDescent="0.2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  <c r="S3278" s="18"/>
    </row>
    <row r="3279" spans="1:19" x14ac:dyDescent="0.2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  <c r="S3279" s="18"/>
    </row>
    <row r="3280" spans="1:19" x14ac:dyDescent="0.2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</row>
    <row r="3281" spans="1:19" x14ac:dyDescent="0.2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  <c r="S3281" s="18"/>
    </row>
    <row r="3282" spans="1:19" x14ac:dyDescent="0.2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  <c r="S3282" s="18"/>
    </row>
    <row r="3283" spans="1:19" x14ac:dyDescent="0.2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  <c r="S3283" s="18"/>
    </row>
    <row r="3284" spans="1:19" x14ac:dyDescent="0.2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  <c r="S3284" s="18"/>
    </row>
    <row r="3285" spans="1:19" x14ac:dyDescent="0.2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  <c r="S3285" s="18"/>
    </row>
    <row r="3286" spans="1:19" x14ac:dyDescent="0.2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</row>
    <row r="3287" spans="1:19" x14ac:dyDescent="0.2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  <c r="S3287" s="18"/>
    </row>
    <row r="3288" spans="1:19" x14ac:dyDescent="0.2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  <c r="S3288" s="18"/>
    </row>
    <row r="3289" spans="1:19" x14ac:dyDescent="0.2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  <c r="S3289" s="18"/>
    </row>
    <row r="3290" spans="1:19" x14ac:dyDescent="0.2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  <c r="S3290" s="18"/>
    </row>
    <row r="3291" spans="1:19" x14ac:dyDescent="0.2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  <c r="S3291" s="18"/>
    </row>
    <row r="3292" spans="1:19" x14ac:dyDescent="0.2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  <c r="S3292" s="18"/>
    </row>
    <row r="3293" spans="1:19" x14ac:dyDescent="0.2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  <c r="S3293" s="18"/>
    </row>
    <row r="3294" spans="1:19" x14ac:dyDescent="0.2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  <c r="S3294" s="18"/>
    </row>
    <row r="3295" spans="1:19" x14ac:dyDescent="0.2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  <c r="S3295" s="18"/>
    </row>
    <row r="3296" spans="1:19" x14ac:dyDescent="0.2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  <c r="S3296" s="18"/>
    </row>
    <row r="3297" spans="1:19" x14ac:dyDescent="0.2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</row>
    <row r="3298" spans="1:19" x14ac:dyDescent="0.2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  <c r="S3298" s="18"/>
    </row>
    <row r="3299" spans="1:19" x14ac:dyDescent="0.2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</row>
    <row r="3300" spans="1:19" x14ac:dyDescent="0.2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  <c r="S3300" s="18"/>
    </row>
    <row r="3301" spans="1:19" x14ac:dyDescent="0.2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  <c r="S3301" s="18"/>
    </row>
    <row r="3302" spans="1:19" x14ac:dyDescent="0.2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  <c r="S3302" s="18"/>
    </row>
    <row r="3303" spans="1:19" x14ac:dyDescent="0.2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  <c r="S3303" s="18"/>
    </row>
    <row r="3304" spans="1:19" x14ac:dyDescent="0.2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  <c r="S3304" s="18"/>
    </row>
    <row r="3305" spans="1:19" x14ac:dyDescent="0.2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  <c r="S3305" s="18"/>
    </row>
    <row r="3306" spans="1:19" x14ac:dyDescent="0.2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  <c r="S3306" s="18"/>
    </row>
    <row r="3307" spans="1:19" x14ac:dyDescent="0.2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  <c r="S3307" s="18"/>
    </row>
    <row r="3308" spans="1:19" x14ac:dyDescent="0.2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  <c r="S3308" s="18"/>
    </row>
    <row r="3309" spans="1:19" x14ac:dyDescent="0.2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  <c r="S3309" s="18"/>
    </row>
    <row r="3310" spans="1:19" x14ac:dyDescent="0.2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  <c r="S3310" s="18"/>
    </row>
    <row r="3311" spans="1:19" x14ac:dyDescent="0.2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  <c r="S3311" s="18"/>
    </row>
    <row r="3312" spans="1:19" x14ac:dyDescent="0.2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  <c r="S3312" s="18"/>
    </row>
    <row r="3313" spans="1:19" x14ac:dyDescent="0.2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  <c r="S3313" s="18"/>
    </row>
    <row r="3314" spans="1:19" x14ac:dyDescent="0.2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  <c r="S3314" s="18"/>
    </row>
    <row r="3315" spans="1:19" x14ac:dyDescent="0.2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</row>
    <row r="3316" spans="1:19" x14ac:dyDescent="0.2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  <c r="S3316" s="18"/>
    </row>
    <row r="3317" spans="1:19" x14ac:dyDescent="0.2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</row>
    <row r="3318" spans="1:19" x14ac:dyDescent="0.2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</row>
    <row r="3319" spans="1:19" x14ac:dyDescent="0.2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  <c r="S3319" s="18"/>
    </row>
    <row r="3320" spans="1:19" x14ac:dyDescent="0.2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</row>
    <row r="3321" spans="1:19" x14ac:dyDescent="0.2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  <c r="S3321" s="18"/>
    </row>
    <row r="3322" spans="1:19" x14ac:dyDescent="0.2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</row>
    <row r="3323" spans="1:19" x14ac:dyDescent="0.2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  <c r="S3323" s="18"/>
    </row>
    <row r="3324" spans="1:19" x14ac:dyDescent="0.2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</row>
    <row r="3325" spans="1:19" x14ac:dyDescent="0.2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  <c r="S3325" s="18"/>
    </row>
    <row r="3326" spans="1:19" x14ac:dyDescent="0.2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  <c r="S3326" s="18"/>
    </row>
    <row r="3327" spans="1:19" x14ac:dyDescent="0.2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  <c r="S3327" s="18"/>
    </row>
    <row r="3328" spans="1:19" x14ac:dyDescent="0.2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  <c r="S3328" s="18"/>
    </row>
    <row r="3329" spans="1:19" x14ac:dyDescent="0.2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  <c r="S3329" s="18"/>
    </row>
    <row r="3330" spans="1:19" x14ac:dyDescent="0.2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  <c r="S3330" s="18"/>
    </row>
    <row r="3331" spans="1:19" x14ac:dyDescent="0.2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  <c r="S3331" s="18"/>
    </row>
    <row r="3332" spans="1:19" x14ac:dyDescent="0.2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  <c r="S3332" s="18"/>
    </row>
    <row r="3333" spans="1:19" x14ac:dyDescent="0.2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  <c r="S3333" s="18"/>
    </row>
    <row r="3334" spans="1:19" x14ac:dyDescent="0.2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  <c r="S3334" s="18"/>
    </row>
    <row r="3335" spans="1:19" x14ac:dyDescent="0.2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</row>
    <row r="3336" spans="1:19" x14ac:dyDescent="0.2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  <c r="S3336" s="18"/>
    </row>
    <row r="3337" spans="1:19" x14ac:dyDescent="0.2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  <c r="S3337" s="18"/>
    </row>
    <row r="3338" spans="1:19" x14ac:dyDescent="0.2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</row>
    <row r="3339" spans="1:19" x14ac:dyDescent="0.2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</row>
    <row r="3340" spans="1:19" x14ac:dyDescent="0.2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  <c r="S3340" s="18"/>
    </row>
    <row r="3341" spans="1:19" x14ac:dyDescent="0.2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</row>
    <row r="3342" spans="1:19" x14ac:dyDescent="0.2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  <c r="S3342" s="18"/>
    </row>
    <row r="3343" spans="1:19" x14ac:dyDescent="0.2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</row>
    <row r="3344" spans="1:19" x14ac:dyDescent="0.2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  <c r="S3344" s="18"/>
    </row>
    <row r="3345" spans="1:19" x14ac:dyDescent="0.2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</row>
    <row r="3346" spans="1:19" x14ac:dyDescent="0.2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  <c r="S3346" s="18"/>
    </row>
    <row r="3347" spans="1:19" x14ac:dyDescent="0.2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  <c r="S3347" s="18"/>
    </row>
    <row r="3348" spans="1:19" x14ac:dyDescent="0.2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  <c r="S3348" s="18"/>
    </row>
    <row r="3349" spans="1:19" x14ac:dyDescent="0.2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  <c r="S3349" s="18"/>
    </row>
    <row r="3350" spans="1:19" x14ac:dyDescent="0.2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  <c r="S3350" s="18"/>
    </row>
    <row r="3351" spans="1:19" x14ac:dyDescent="0.2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  <c r="S3351" s="18"/>
    </row>
    <row r="3352" spans="1:19" x14ac:dyDescent="0.2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  <c r="S3352" s="18"/>
    </row>
    <row r="3353" spans="1:19" x14ac:dyDescent="0.2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  <c r="S3353" s="18"/>
    </row>
    <row r="3354" spans="1:19" x14ac:dyDescent="0.2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  <c r="S3354" s="18"/>
    </row>
    <row r="3355" spans="1:19" x14ac:dyDescent="0.2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  <c r="S3355" s="18"/>
    </row>
    <row r="3356" spans="1:19" x14ac:dyDescent="0.2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  <c r="S3356" s="18"/>
    </row>
    <row r="3357" spans="1:19" x14ac:dyDescent="0.2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  <c r="S3357" s="18"/>
    </row>
    <row r="3358" spans="1:19" x14ac:dyDescent="0.2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  <c r="S3358" s="18"/>
    </row>
    <row r="3359" spans="1:19" x14ac:dyDescent="0.2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  <c r="S3359" s="18"/>
    </row>
    <row r="3360" spans="1:19" x14ac:dyDescent="0.2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  <c r="S3360" s="18"/>
    </row>
    <row r="3361" spans="1:19" x14ac:dyDescent="0.2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  <c r="S3361" s="18"/>
    </row>
    <row r="3362" spans="1:19" x14ac:dyDescent="0.2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  <c r="S3362" s="18"/>
    </row>
    <row r="3363" spans="1:19" x14ac:dyDescent="0.2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  <c r="S3363" s="18"/>
    </row>
    <row r="3364" spans="1:19" x14ac:dyDescent="0.2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  <c r="S3364" s="18"/>
    </row>
    <row r="3365" spans="1:19" x14ac:dyDescent="0.2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  <c r="S3365" s="18"/>
    </row>
    <row r="3366" spans="1:19" x14ac:dyDescent="0.2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  <c r="S3366" s="18"/>
    </row>
    <row r="3367" spans="1:19" x14ac:dyDescent="0.2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  <c r="S3367" s="18"/>
    </row>
    <row r="3368" spans="1:19" x14ac:dyDescent="0.2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  <c r="S3368" s="18"/>
    </row>
    <row r="3369" spans="1:19" x14ac:dyDescent="0.2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  <c r="S3369" s="18"/>
    </row>
    <row r="3370" spans="1:19" x14ac:dyDescent="0.2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  <c r="S3370" s="18"/>
    </row>
    <row r="3371" spans="1:19" x14ac:dyDescent="0.2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  <c r="S3371" s="18"/>
    </row>
    <row r="3372" spans="1:19" x14ac:dyDescent="0.2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  <c r="S3372" s="18"/>
    </row>
    <row r="3373" spans="1:19" x14ac:dyDescent="0.2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  <c r="S3373" s="18"/>
    </row>
    <row r="3374" spans="1:19" x14ac:dyDescent="0.2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  <c r="S3374" s="18"/>
    </row>
    <row r="3375" spans="1:19" x14ac:dyDescent="0.2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  <c r="S3375" s="18"/>
    </row>
    <row r="3376" spans="1:19" x14ac:dyDescent="0.2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  <c r="S3376" s="18"/>
    </row>
    <row r="3377" spans="1:19" x14ac:dyDescent="0.2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</row>
    <row r="3378" spans="1:19" x14ac:dyDescent="0.2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  <c r="S3378" s="18"/>
    </row>
    <row r="3379" spans="1:19" x14ac:dyDescent="0.2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  <c r="S3379" s="18"/>
    </row>
    <row r="3380" spans="1:19" x14ac:dyDescent="0.2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  <c r="S3380" s="18"/>
    </row>
    <row r="3381" spans="1:19" x14ac:dyDescent="0.2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  <c r="S3381" s="18"/>
    </row>
    <row r="3382" spans="1:19" x14ac:dyDescent="0.2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  <c r="S3382" s="18"/>
    </row>
    <row r="3383" spans="1:19" x14ac:dyDescent="0.2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  <c r="S3383" s="18"/>
    </row>
    <row r="3384" spans="1:19" x14ac:dyDescent="0.2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  <c r="S3384" s="18"/>
    </row>
    <row r="3385" spans="1:19" x14ac:dyDescent="0.2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  <c r="S3385" s="18"/>
    </row>
    <row r="3386" spans="1:19" x14ac:dyDescent="0.2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  <c r="S3386" s="18"/>
    </row>
    <row r="3387" spans="1:19" x14ac:dyDescent="0.2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  <c r="S3387" s="18"/>
    </row>
    <row r="3388" spans="1:19" x14ac:dyDescent="0.2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  <c r="S3388" s="18"/>
    </row>
    <row r="3389" spans="1:19" x14ac:dyDescent="0.2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  <c r="S3389" s="18"/>
    </row>
    <row r="3390" spans="1:19" x14ac:dyDescent="0.2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  <c r="S3390" s="18"/>
    </row>
    <row r="3391" spans="1:19" x14ac:dyDescent="0.2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  <c r="S3391" s="18"/>
    </row>
    <row r="3392" spans="1:19" x14ac:dyDescent="0.2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  <c r="S3392" s="18"/>
    </row>
    <row r="3393" spans="1:19" x14ac:dyDescent="0.2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  <c r="S3393" s="18"/>
    </row>
    <row r="3394" spans="1:19" x14ac:dyDescent="0.2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  <c r="S3394" s="18"/>
    </row>
    <row r="3395" spans="1:19" x14ac:dyDescent="0.2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</row>
    <row r="3396" spans="1:19" x14ac:dyDescent="0.2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  <c r="S3396" s="18"/>
    </row>
    <row r="3397" spans="1:19" x14ac:dyDescent="0.2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  <c r="S3397" s="18"/>
    </row>
    <row r="3398" spans="1:19" x14ac:dyDescent="0.2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  <c r="S3398" s="18"/>
    </row>
    <row r="3399" spans="1:19" x14ac:dyDescent="0.2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  <c r="S3399" s="18"/>
    </row>
    <row r="3400" spans="1:19" x14ac:dyDescent="0.2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  <c r="S3400" s="18"/>
    </row>
    <row r="3401" spans="1:19" x14ac:dyDescent="0.2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  <c r="S3401" s="18"/>
    </row>
    <row r="3402" spans="1:19" x14ac:dyDescent="0.2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  <c r="S3402" s="18"/>
    </row>
    <row r="3403" spans="1:19" x14ac:dyDescent="0.2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  <c r="S3403" s="18"/>
    </row>
    <row r="3404" spans="1:19" x14ac:dyDescent="0.2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  <c r="S3404" s="18"/>
    </row>
    <row r="3405" spans="1:19" x14ac:dyDescent="0.2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  <c r="S3405" s="18"/>
    </row>
    <row r="3406" spans="1:19" x14ac:dyDescent="0.2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  <c r="S3406" s="18"/>
    </row>
    <row r="3407" spans="1:19" x14ac:dyDescent="0.2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  <c r="S3407" s="18"/>
    </row>
    <row r="3408" spans="1:19" x14ac:dyDescent="0.2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  <c r="S3408" s="18"/>
    </row>
    <row r="3409" spans="1:19" x14ac:dyDescent="0.2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  <c r="S3409" s="18"/>
    </row>
    <row r="3410" spans="1:19" x14ac:dyDescent="0.2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  <c r="S3410" s="18"/>
    </row>
    <row r="3411" spans="1:19" x14ac:dyDescent="0.2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  <c r="S3411" s="18"/>
    </row>
    <row r="3412" spans="1:19" x14ac:dyDescent="0.2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  <c r="S3412" s="18"/>
    </row>
    <row r="3413" spans="1:19" x14ac:dyDescent="0.2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  <c r="S3413" s="18"/>
    </row>
    <row r="3414" spans="1:19" x14ac:dyDescent="0.2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  <c r="S3414" s="18"/>
    </row>
    <row r="3415" spans="1:19" x14ac:dyDescent="0.2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  <c r="S3415" s="18"/>
    </row>
    <row r="3416" spans="1:19" x14ac:dyDescent="0.2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  <c r="S3416" s="18"/>
    </row>
    <row r="3417" spans="1:19" x14ac:dyDescent="0.2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  <c r="S3417" s="18"/>
    </row>
    <row r="3418" spans="1:19" x14ac:dyDescent="0.2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  <c r="S3418" s="18"/>
    </row>
    <row r="3419" spans="1:19" x14ac:dyDescent="0.2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  <c r="S3419" s="18"/>
    </row>
    <row r="3420" spans="1:19" x14ac:dyDescent="0.2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  <c r="S3420" s="18"/>
    </row>
    <row r="3421" spans="1:19" x14ac:dyDescent="0.2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  <c r="S3421" s="18"/>
    </row>
    <row r="3422" spans="1:19" x14ac:dyDescent="0.2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  <c r="S3422" s="18"/>
    </row>
    <row r="3423" spans="1:19" x14ac:dyDescent="0.2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  <c r="S3423" s="18"/>
    </row>
    <row r="3424" spans="1:19" x14ac:dyDescent="0.2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  <c r="S3424" s="18"/>
    </row>
    <row r="3425" spans="1:19" x14ac:dyDescent="0.2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  <c r="S3425" s="18"/>
    </row>
    <row r="3426" spans="1:19" x14ac:dyDescent="0.2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  <c r="S3426" s="18"/>
    </row>
    <row r="3427" spans="1:19" x14ac:dyDescent="0.2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  <c r="S3427" s="18"/>
    </row>
    <row r="3428" spans="1:19" x14ac:dyDescent="0.2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  <c r="S3428" s="18"/>
    </row>
    <row r="3429" spans="1:19" x14ac:dyDescent="0.2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  <c r="S3429" s="18"/>
    </row>
    <row r="3430" spans="1:19" x14ac:dyDescent="0.2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  <c r="S3430" s="18"/>
    </row>
    <row r="3431" spans="1:19" x14ac:dyDescent="0.2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  <c r="S3431" s="18"/>
    </row>
    <row r="3432" spans="1:19" x14ac:dyDescent="0.2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  <c r="S3432" s="18"/>
    </row>
    <row r="3433" spans="1:19" x14ac:dyDescent="0.2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  <c r="S3433" s="18"/>
    </row>
    <row r="3434" spans="1:19" x14ac:dyDescent="0.2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  <c r="S3434" s="18"/>
    </row>
    <row r="3435" spans="1:19" x14ac:dyDescent="0.2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  <c r="S3435" s="18"/>
    </row>
    <row r="3436" spans="1:19" x14ac:dyDescent="0.2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  <c r="S3436" s="18"/>
    </row>
    <row r="3437" spans="1:19" x14ac:dyDescent="0.2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  <c r="S3437" s="18"/>
    </row>
    <row r="3438" spans="1:19" x14ac:dyDescent="0.2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  <c r="S3438" s="18"/>
    </row>
    <row r="3439" spans="1:19" x14ac:dyDescent="0.2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  <c r="S3439" s="18"/>
    </row>
    <row r="3440" spans="1:19" x14ac:dyDescent="0.2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  <c r="S3440" s="18"/>
    </row>
    <row r="3441" spans="1:19" x14ac:dyDescent="0.2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  <c r="S3441" s="18"/>
    </row>
    <row r="3442" spans="1:19" x14ac:dyDescent="0.2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  <c r="S3442" s="18"/>
    </row>
    <row r="3443" spans="1:19" x14ac:dyDescent="0.2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  <c r="S3443" s="18"/>
    </row>
    <row r="3444" spans="1:19" x14ac:dyDescent="0.2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  <c r="S3444" s="18"/>
    </row>
    <row r="3445" spans="1:19" x14ac:dyDescent="0.2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  <c r="S3445" s="18"/>
    </row>
    <row r="3446" spans="1:19" x14ac:dyDescent="0.2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  <c r="S3446" s="18"/>
    </row>
    <row r="3447" spans="1:19" x14ac:dyDescent="0.2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  <c r="S3447" s="18"/>
    </row>
    <row r="3448" spans="1:19" x14ac:dyDescent="0.2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  <c r="S3448" s="18"/>
    </row>
    <row r="3449" spans="1:19" x14ac:dyDescent="0.2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  <c r="S3449" s="18"/>
    </row>
    <row r="3450" spans="1:19" x14ac:dyDescent="0.2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  <c r="S3450" s="18"/>
    </row>
    <row r="3451" spans="1:19" x14ac:dyDescent="0.2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  <c r="S3451" s="18"/>
    </row>
    <row r="3452" spans="1:19" x14ac:dyDescent="0.2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  <c r="S3452" s="18"/>
    </row>
    <row r="3453" spans="1:19" x14ac:dyDescent="0.2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  <c r="S3453" s="18"/>
    </row>
    <row r="3454" spans="1:19" x14ac:dyDescent="0.2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  <c r="S3454" s="18"/>
    </row>
    <row r="3455" spans="1:19" x14ac:dyDescent="0.2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  <c r="S3455" s="18"/>
    </row>
    <row r="3456" spans="1:19" x14ac:dyDescent="0.2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  <c r="S3456" s="18"/>
    </row>
    <row r="3457" spans="1:19" x14ac:dyDescent="0.2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  <c r="S3457" s="18"/>
    </row>
    <row r="3458" spans="1:19" x14ac:dyDescent="0.2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  <c r="S3458" s="18"/>
    </row>
    <row r="3459" spans="1:19" x14ac:dyDescent="0.2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18"/>
      <c r="S3459" s="18"/>
    </row>
    <row r="3460" spans="1:19" x14ac:dyDescent="0.2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8"/>
      <c r="R3460" s="18"/>
      <c r="S3460" s="18"/>
    </row>
    <row r="3461" spans="1:19" x14ac:dyDescent="0.2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  <c r="S3461" s="18"/>
    </row>
    <row r="3462" spans="1:19" x14ac:dyDescent="0.2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18"/>
      <c r="S3462" s="18"/>
    </row>
    <row r="3463" spans="1:19" x14ac:dyDescent="0.2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  <c r="S3463" s="18"/>
    </row>
    <row r="3464" spans="1:19" x14ac:dyDescent="0.2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18"/>
      <c r="S3464" s="18"/>
    </row>
    <row r="3465" spans="1:19" x14ac:dyDescent="0.2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18"/>
      <c r="S3465" s="18"/>
    </row>
    <row r="3466" spans="1:19" x14ac:dyDescent="0.2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  <c r="S3466" s="18"/>
    </row>
    <row r="3467" spans="1:19" x14ac:dyDescent="0.2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18"/>
      <c r="S3467" s="18"/>
    </row>
    <row r="3468" spans="1:19" x14ac:dyDescent="0.2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18"/>
      <c r="S3468" s="18"/>
    </row>
    <row r="3469" spans="1:19" x14ac:dyDescent="0.2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  <c r="S3469" s="18"/>
    </row>
    <row r="3470" spans="1:19" x14ac:dyDescent="0.2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18"/>
      <c r="S3470" s="18"/>
    </row>
    <row r="3471" spans="1:19" x14ac:dyDescent="0.2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  <c r="S3471" s="18"/>
    </row>
    <row r="3472" spans="1:19" x14ac:dyDescent="0.2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18"/>
      <c r="S3472" s="18"/>
    </row>
    <row r="3473" spans="1:19" x14ac:dyDescent="0.2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18"/>
      <c r="S3473" s="18"/>
    </row>
    <row r="3474" spans="1:19" x14ac:dyDescent="0.2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  <c r="S3474" s="18"/>
    </row>
    <row r="3475" spans="1:19" x14ac:dyDescent="0.2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  <c r="S3475" s="18"/>
    </row>
    <row r="3476" spans="1:19" x14ac:dyDescent="0.2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18"/>
      <c r="S3476" s="18"/>
    </row>
    <row r="3477" spans="1:19" x14ac:dyDescent="0.2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  <c r="S3477" s="18"/>
    </row>
    <row r="3478" spans="1:19" x14ac:dyDescent="0.2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18"/>
      <c r="S3478" s="18"/>
    </row>
    <row r="3479" spans="1:19" x14ac:dyDescent="0.2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  <c r="S3479" s="18"/>
    </row>
    <row r="3480" spans="1:19" x14ac:dyDescent="0.2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18"/>
      <c r="S3480" s="18"/>
    </row>
    <row r="3481" spans="1:19" x14ac:dyDescent="0.2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  <c r="S3481" s="18"/>
    </row>
    <row r="3482" spans="1:19" x14ac:dyDescent="0.2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  <c r="S3482" s="18"/>
    </row>
    <row r="3483" spans="1:19" x14ac:dyDescent="0.2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  <c r="S3483" s="18"/>
    </row>
    <row r="3484" spans="1:19" x14ac:dyDescent="0.2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  <c r="S3484" s="18"/>
    </row>
    <row r="3485" spans="1:19" x14ac:dyDescent="0.2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  <c r="S3485" s="18"/>
    </row>
    <row r="3486" spans="1:19" x14ac:dyDescent="0.2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18"/>
      <c r="S3486" s="18"/>
    </row>
    <row r="3487" spans="1:19" x14ac:dyDescent="0.2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  <c r="S3487" s="18"/>
    </row>
    <row r="3488" spans="1:19" x14ac:dyDescent="0.2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18"/>
      <c r="S3488" s="18"/>
    </row>
    <row r="3489" spans="1:19" x14ac:dyDescent="0.2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  <c r="S3489" s="18"/>
    </row>
    <row r="3490" spans="1:19" x14ac:dyDescent="0.2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  <c r="S3490" s="18"/>
    </row>
    <row r="3491" spans="1:19" x14ac:dyDescent="0.2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18"/>
      <c r="S3491" s="18"/>
    </row>
    <row r="3492" spans="1:19" x14ac:dyDescent="0.2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  <c r="S3492" s="18"/>
    </row>
    <row r="3493" spans="1:19" x14ac:dyDescent="0.2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  <c r="S3493" s="18"/>
    </row>
    <row r="3494" spans="1:19" x14ac:dyDescent="0.2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18"/>
      <c r="S3494" s="18"/>
    </row>
    <row r="3495" spans="1:19" x14ac:dyDescent="0.2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  <c r="S3495" s="18"/>
    </row>
    <row r="3496" spans="1:19" x14ac:dyDescent="0.2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18"/>
      <c r="S3496" s="18"/>
    </row>
    <row r="3497" spans="1:19" x14ac:dyDescent="0.2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18"/>
      <c r="S3497" s="18"/>
    </row>
    <row r="3498" spans="1:19" x14ac:dyDescent="0.2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18"/>
      <c r="S3498" s="18"/>
    </row>
    <row r="3499" spans="1:19" x14ac:dyDescent="0.2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  <c r="S3499" s="18"/>
    </row>
    <row r="3500" spans="1:19" x14ac:dyDescent="0.2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18"/>
      <c r="S3500" s="18"/>
    </row>
    <row r="3501" spans="1:19" x14ac:dyDescent="0.2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  <c r="S3501" s="18"/>
    </row>
    <row r="3502" spans="1:19" x14ac:dyDescent="0.2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  <c r="S3502" s="18"/>
    </row>
    <row r="3503" spans="1:19" x14ac:dyDescent="0.2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  <c r="S3503" s="18"/>
    </row>
    <row r="3504" spans="1:19" x14ac:dyDescent="0.2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  <c r="S3504" s="18"/>
    </row>
    <row r="3505" spans="1:19" x14ac:dyDescent="0.2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  <c r="S3505" s="18"/>
    </row>
    <row r="3506" spans="1:19" x14ac:dyDescent="0.2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  <c r="S3506" s="18"/>
    </row>
    <row r="3507" spans="1:19" x14ac:dyDescent="0.2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  <c r="S3507" s="18"/>
    </row>
    <row r="3508" spans="1:19" x14ac:dyDescent="0.2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  <c r="S3508" s="18"/>
    </row>
    <row r="3509" spans="1:19" x14ac:dyDescent="0.2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  <c r="S3509" s="18"/>
    </row>
    <row r="3510" spans="1:19" x14ac:dyDescent="0.2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  <c r="S3510" s="18"/>
    </row>
    <row r="3511" spans="1:19" x14ac:dyDescent="0.2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  <c r="S3511" s="18"/>
    </row>
    <row r="3512" spans="1:19" x14ac:dyDescent="0.2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  <c r="S3512" s="18"/>
    </row>
    <row r="3513" spans="1:19" x14ac:dyDescent="0.2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  <c r="S3513" s="18"/>
    </row>
    <row r="3514" spans="1:19" x14ac:dyDescent="0.2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18"/>
      <c r="S3514" s="18"/>
    </row>
    <row r="3515" spans="1:19" x14ac:dyDescent="0.2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  <c r="S3515" s="18"/>
    </row>
    <row r="3516" spans="1:19" x14ac:dyDescent="0.2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18"/>
      <c r="S3516" s="18"/>
    </row>
    <row r="3517" spans="1:19" x14ac:dyDescent="0.2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18"/>
      <c r="S3517" s="18"/>
    </row>
    <row r="3518" spans="1:19" x14ac:dyDescent="0.2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18"/>
      <c r="S3518" s="18"/>
    </row>
    <row r="3519" spans="1:19" x14ac:dyDescent="0.2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18"/>
      <c r="S3519" s="18"/>
    </row>
    <row r="3520" spans="1:19" x14ac:dyDescent="0.2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  <c r="S3520" s="18"/>
    </row>
    <row r="3521" spans="1:19" x14ac:dyDescent="0.2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18"/>
      <c r="S3521" s="18"/>
    </row>
    <row r="3522" spans="1:19" x14ac:dyDescent="0.2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18"/>
      <c r="S3522" s="18"/>
    </row>
    <row r="3523" spans="1:19" x14ac:dyDescent="0.2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  <c r="S3523" s="18"/>
    </row>
    <row r="3524" spans="1:19" x14ac:dyDescent="0.2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18"/>
      <c r="S3524" s="18"/>
    </row>
    <row r="3525" spans="1:19" x14ac:dyDescent="0.2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  <c r="S3525" s="18"/>
    </row>
    <row r="3526" spans="1:19" x14ac:dyDescent="0.2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18"/>
      <c r="S3526" s="18"/>
    </row>
    <row r="3527" spans="1:19" x14ac:dyDescent="0.2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  <c r="S3527" s="18"/>
    </row>
    <row r="3528" spans="1:19" x14ac:dyDescent="0.2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  <c r="S3528" s="18"/>
    </row>
    <row r="3529" spans="1:19" x14ac:dyDescent="0.2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  <c r="S3529" s="18"/>
    </row>
    <row r="3530" spans="1:19" x14ac:dyDescent="0.2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18"/>
      <c r="S3530" s="18"/>
    </row>
    <row r="3531" spans="1:19" x14ac:dyDescent="0.2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  <c r="S3531" s="18"/>
    </row>
    <row r="3532" spans="1:19" x14ac:dyDescent="0.2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18"/>
      <c r="S3532" s="18"/>
    </row>
    <row r="3533" spans="1:19" x14ac:dyDescent="0.2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  <c r="S3533" s="18"/>
    </row>
    <row r="3534" spans="1:19" x14ac:dyDescent="0.2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  <c r="S3534" s="18"/>
    </row>
    <row r="3535" spans="1:19" x14ac:dyDescent="0.2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  <c r="S3535" s="18"/>
    </row>
    <row r="3536" spans="1:19" x14ac:dyDescent="0.2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  <c r="S3536" s="18"/>
    </row>
    <row r="3537" spans="1:19" x14ac:dyDescent="0.2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18"/>
      <c r="S3537" s="18"/>
    </row>
    <row r="3538" spans="1:19" x14ac:dyDescent="0.2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  <c r="S3538" s="18"/>
    </row>
    <row r="3539" spans="1:19" x14ac:dyDescent="0.2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  <c r="S3539" s="18"/>
    </row>
    <row r="3540" spans="1:19" x14ac:dyDescent="0.2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18"/>
      <c r="S3540" s="18"/>
    </row>
    <row r="3541" spans="1:19" x14ac:dyDescent="0.2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  <c r="S3541" s="18"/>
    </row>
    <row r="3542" spans="1:19" x14ac:dyDescent="0.2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18"/>
      <c r="S3542" s="18"/>
    </row>
    <row r="3543" spans="1:19" x14ac:dyDescent="0.2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18"/>
      <c r="S3543" s="18"/>
    </row>
    <row r="3544" spans="1:19" x14ac:dyDescent="0.2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18"/>
      <c r="S3544" s="18"/>
    </row>
    <row r="3545" spans="1:19" x14ac:dyDescent="0.2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  <c r="S3545" s="18"/>
    </row>
    <row r="3546" spans="1:19" x14ac:dyDescent="0.2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18"/>
      <c r="S3546" s="18"/>
    </row>
    <row r="3547" spans="1:19" x14ac:dyDescent="0.2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  <c r="S3547" s="18"/>
    </row>
    <row r="3548" spans="1:19" x14ac:dyDescent="0.2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18"/>
      <c r="S3548" s="18"/>
    </row>
    <row r="3549" spans="1:19" x14ac:dyDescent="0.2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  <c r="S3549" s="18"/>
    </row>
    <row r="3550" spans="1:19" x14ac:dyDescent="0.2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  <c r="S3550" s="18"/>
    </row>
    <row r="3551" spans="1:19" x14ac:dyDescent="0.2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18"/>
      <c r="S3551" s="18"/>
    </row>
    <row r="3552" spans="1:19" x14ac:dyDescent="0.2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18"/>
      <c r="S3552" s="18"/>
    </row>
    <row r="3553" spans="1:19" x14ac:dyDescent="0.2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  <c r="S3553" s="18"/>
    </row>
    <row r="3554" spans="1:19" x14ac:dyDescent="0.2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18"/>
      <c r="S3554" s="18"/>
    </row>
    <row r="3555" spans="1:19" x14ac:dyDescent="0.2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18"/>
      <c r="S3555" s="18"/>
    </row>
    <row r="3556" spans="1:19" x14ac:dyDescent="0.2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18"/>
      <c r="S3556" s="18"/>
    </row>
    <row r="3557" spans="1:19" x14ac:dyDescent="0.2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  <c r="S3557" s="18"/>
    </row>
    <row r="3558" spans="1:19" x14ac:dyDescent="0.2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  <c r="S3558" s="18"/>
    </row>
    <row r="3559" spans="1:19" x14ac:dyDescent="0.2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  <c r="S3559" s="18"/>
    </row>
    <row r="3560" spans="1:19" x14ac:dyDescent="0.2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18"/>
      <c r="S3560" s="18"/>
    </row>
    <row r="3561" spans="1:19" x14ac:dyDescent="0.2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  <c r="S3561" s="18"/>
    </row>
    <row r="3562" spans="1:19" x14ac:dyDescent="0.2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18"/>
      <c r="S3562" s="18"/>
    </row>
    <row r="3563" spans="1:19" x14ac:dyDescent="0.2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  <c r="S3563" s="18"/>
    </row>
    <row r="3564" spans="1:19" x14ac:dyDescent="0.2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  <c r="S3564" s="18"/>
    </row>
    <row r="3565" spans="1:19" x14ac:dyDescent="0.2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  <c r="S3565" s="18"/>
    </row>
    <row r="3566" spans="1:19" x14ac:dyDescent="0.2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  <c r="S3566" s="18"/>
    </row>
    <row r="3567" spans="1:19" x14ac:dyDescent="0.2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18"/>
      <c r="S3567" s="18"/>
    </row>
    <row r="3568" spans="1:19" x14ac:dyDescent="0.2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18"/>
      <c r="S3568" s="18"/>
    </row>
    <row r="3569" spans="1:19" x14ac:dyDescent="0.2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18"/>
      <c r="S3569" s="18"/>
    </row>
    <row r="3570" spans="1:19" x14ac:dyDescent="0.2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18"/>
      <c r="S3570" s="18"/>
    </row>
    <row r="3571" spans="1:19" x14ac:dyDescent="0.2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  <c r="S3571" s="18"/>
    </row>
    <row r="3572" spans="1:19" x14ac:dyDescent="0.2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18"/>
      <c r="S3572" s="18"/>
    </row>
    <row r="3573" spans="1:19" x14ac:dyDescent="0.2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  <c r="S3573" s="18"/>
    </row>
    <row r="3574" spans="1:19" x14ac:dyDescent="0.2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  <c r="S3574" s="18"/>
    </row>
    <row r="3575" spans="1:19" x14ac:dyDescent="0.2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  <c r="S3575" s="18"/>
    </row>
    <row r="3576" spans="1:19" x14ac:dyDescent="0.2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18"/>
      <c r="S3576" s="18"/>
    </row>
    <row r="3577" spans="1:19" x14ac:dyDescent="0.2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  <c r="S3577" s="18"/>
    </row>
    <row r="3578" spans="1:19" x14ac:dyDescent="0.2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18"/>
      <c r="S3578" s="18"/>
    </row>
    <row r="3579" spans="1:19" x14ac:dyDescent="0.2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18"/>
      <c r="S3579" s="18"/>
    </row>
    <row r="3580" spans="1:19" x14ac:dyDescent="0.2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18"/>
      <c r="S3580" s="18"/>
    </row>
    <row r="3581" spans="1:19" x14ac:dyDescent="0.2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  <c r="S3581" s="18"/>
    </row>
    <row r="3582" spans="1:19" x14ac:dyDescent="0.2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  <c r="S3582" s="18"/>
    </row>
    <row r="3583" spans="1:19" x14ac:dyDescent="0.2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  <c r="S3583" s="18"/>
    </row>
    <row r="3584" spans="1:19" x14ac:dyDescent="0.2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  <c r="S3584" s="18"/>
    </row>
    <row r="3585" spans="1:19" x14ac:dyDescent="0.2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  <c r="S3585" s="18"/>
    </row>
    <row r="3586" spans="1:19" x14ac:dyDescent="0.2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18"/>
      <c r="S3586" s="18"/>
    </row>
    <row r="3587" spans="1:19" x14ac:dyDescent="0.2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  <c r="S3587" s="18"/>
    </row>
    <row r="3588" spans="1:19" x14ac:dyDescent="0.2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18"/>
      <c r="S3588" s="18"/>
    </row>
    <row r="3589" spans="1:19" x14ac:dyDescent="0.2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  <c r="S3589" s="18"/>
    </row>
    <row r="3590" spans="1:19" x14ac:dyDescent="0.2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18"/>
      <c r="S3590" s="18"/>
    </row>
    <row r="3591" spans="1:19" x14ac:dyDescent="0.2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18"/>
      <c r="S3591" s="18"/>
    </row>
    <row r="3592" spans="1:19" x14ac:dyDescent="0.2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18"/>
      <c r="S3592" s="18"/>
    </row>
    <row r="3593" spans="1:19" x14ac:dyDescent="0.2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  <c r="S3593" s="18"/>
    </row>
    <row r="3594" spans="1:19" x14ac:dyDescent="0.2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18"/>
      <c r="S3594" s="18"/>
    </row>
    <row r="3595" spans="1:19" x14ac:dyDescent="0.2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  <c r="S3595" s="18"/>
    </row>
    <row r="3596" spans="1:19" x14ac:dyDescent="0.2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  <c r="S3596" s="18"/>
    </row>
    <row r="3597" spans="1:19" x14ac:dyDescent="0.2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  <c r="S3597" s="18"/>
    </row>
    <row r="3598" spans="1:19" x14ac:dyDescent="0.2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18"/>
      <c r="S3598" s="18"/>
    </row>
    <row r="3599" spans="1:19" x14ac:dyDescent="0.2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18"/>
      <c r="S3599" s="18"/>
    </row>
    <row r="3600" spans="1:19" x14ac:dyDescent="0.2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18"/>
      <c r="S3600" s="18"/>
    </row>
    <row r="3601" spans="1:19" x14ac:dyDescent="0.2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  <c r="S3601" s="18"/>
    </row>
    <row r="3602" spans="1:19" x14ac:dyDescent="0.2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18"/>
      <c r="S3602" s="18"/>
    </row>
    <row r="3603" spans="1:19" x14ac:dyDescent="0.2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  <c r="S3603" s="18"/>
    </row>
    <row r="3604" spans="1:19" x14ac:dyDescent="0.2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18"/>
      <c r="S3604" s="18"/>
    </row>
    <row r="3605" spans="1:19" x14ac:dyDescent="0.2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  <c r="S3605" s="18"/>
    </row>
    <row r="3606" spans="1:19" x14ac:dyDescent="0.2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18"/>
      <c r="S3606" s="18"/>
    </row>
    <row r="3607" spans="1:19" x14ac:dyDescent="0.2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  <c r="S3607" s="18"/>
    </row>
    <row r="3608" spans="1:19" x14ac:dyDescent="0.2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18"/>
      <c r="S3608" s="18"/>
    </row>
    <row r="3609" spans="1:19" x14ac:dyDescent="0.2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  <c r="S3609" s="18"/>
    </row>
    <row r="3610" spans="1:19" x14ac:dyDescent="0.2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18"/>
      <c r="S3610" s="18"/>
    </row>
    <row r="3611" spans="1:19" x14ac:dyDescent="0.2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18"/>
      <c r="S3611" s="18"/>
    </row>
    <row r="3612" spans="1:19" x14ac:dyDescent="0.2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18"/>
      <c r="S3612" s="18"/>
    </row>
    <row r="3613" spans="1:19" x14ac:dyDescent="0.2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  <c r="S3613" s="18"/>
    </row>
    <row r="3614" spans="1:19" x14ac:dyDescent="0.2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18"/>
      <c r="S3614" s="18"/>
    </row>
    <row r="3615" spans="1:19" x14ac:dyDescent="0.2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  <c r="S3615" s="18"/>
    </row>
    <row r="3616" spans="1:19" x14ac:dyDescent="0.2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18"/>
      <c r="S3616" s="18"/>
    </row>
    <row r="3617" spans="1:19" x14ac:dyDescent="0.2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  <c r="S3617" s="18"/>
    </row>
    <row r="3618" spans="1:19" x14ac:dyDescent="0.2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18"/>
      <c r="S3618" s="18"/>
    </row>
    <row r="3619" spans="1:19" x14ac:dyDescent="0.2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  <c r="S3619" s="18"/>
    </row>
    <row r="3620" spans="1:19" x14ac:dyDescent="0.2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18"/>
      <c r="S3620" s="18"/>
    </row>
    <row r="3621" spans="1:19" x14ac:dyDescent="0.2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  <c r="S3621" s="18"/>
    </row>
    <row r="3622" spans="1:19" x14ac:dyDescent="0.2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18"/>
      <c r="S3622" s="18"/>
    </row>
    <row r="3623" spans="1:19" x14ac:dyDescent="0.2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  <c r="S3623" s="18"/>
    </row>
    <row r="3624" spans="1:19" x14ac:dyDescent="0.2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18"/>
      <c r="S3624" s="18"/>
    </row>
    <row r="3625" spans="1:19" x14ac:dyDescent="0.2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/>
      <c r="S3625" s="18"/>
    </row>
    <row r="3626" spans="1:19" x14ac:dyDescent="0.2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18"/>
      <c r="S3626" s="18"/>
    </row>
    <row r="3627" spans="1:19" x14ac:dyDescent="0.2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  <c r="S3627" s="18"/>
    </row>
    <row r="3628" spans="1:19" x14ac:dyDescent="0.2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18"/>
      <c r="S3628" s="18"/>
    </row>
    <row r="3629" spans="1:19" x14ac:dyDescent="0.2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  <c r="S3629" s="18"/>
    </row>
    <row r="3630" spans="1:19" x14ac:dyDescent="0.2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  <c r="S3630" s="18"/>
    </row>
    <row r="3631" spans="1:19" x14ac:dyDescent="0.2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  <c r="S3631" s="18"/>
    </row>
    <row r="3632" spans="1:19" x14ac:dyDescent="0.2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18"/>
      <c r="S3632" s="18"/>
    </row>
    <row r="3633" spans="1:19" x14ac:dyDescent="0.2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  <c r="S3633" s="18"/>
    </row>
    <row r="3634" spans="1:19" x14ac:dyDescent="0.2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  <c r="S3634" s="18"/>
    </row>
    <row r="3635" spans="1:19" x14ac:dyDescent="0.2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18"/>
      <c r="S3635" s="18"/>
    </row>
    <row r="3636" spans="1:19" x14ac:dyDescent="0.2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18"/>
      <c r="S3636" s="18"/>
    </row>
    <row r="3637" spans="1:19" x14ac:dyDescent="0.2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18"/>
      <c r="S3637" s="18"/>
    </row>
    <row r="3638" spans="1:19" x14ac:dyDescent="0.2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18"/>
      <c r="S3638" s="18"/>
    </row>
    <row r="3639" spans="1:19" x14ac:dyDescent="0.2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  <c r="S3639" s="18"/>
    </row>
    <row r="3640" spans="1:19" x14ac:dyDescent="0.2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18"/>
      <c r="S3640" s="18"/>
    </row>
    <row r="3641" spans="1:19" x14ac:dyDescent="0.2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  <c r="S3641" s="18"/>
    </row>
    <row r="3642" spans="1:19" x14ac:dyDescent="0.2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  <c r="S3642" s="18"/>
    </row>
    <row r="3643" spans="1:19" x14ac:dyDescent="0.2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  <c r="S3643" s="18"/>
    </row>
    <row r="3644" spans="1:19" x14ac:dyDescent="0.2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18"/>
      <c r="S3644" s="18"/>
    </row>
    <row r="3645" spans="1:19" x14ac:dyDescent="0.2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  <c r="S3645" s="18"/>
    </row>
    <row r="3646" spans="1:19" x14ac:dyDescent="0.2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18"/>
      <c r="S3646" s="18"/>
    </row>
    <row r="3647" spans="1:19" x14ac:dyDescent="0.2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  <c r="S3647" s="18"/>
    </row>
    <row r="3648" spans="1:19" x14ac:dyDescent="0.2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18"/>
      <c r="S3648" s="18"/>
    </row>
    <row r="3649" spans="1:19" x14ac:dyDescent="0.2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  <c r="S3649" s="18"/>
    </row>
    <row r="3650" spans="1:19" x14ac:dyDescent="0.2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  <c r="S3650" s="18"/>
    </row>
    <row r="3651" spans="1:19" x14ac:dyDescent="0.2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/>
      <c r="S3651" s="18"/>
    </row>
    <row r="3652" spans="1:19" x14ac:dyDescent="0.2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18"/>
      <c r="S3652" s="18"/>
    </row>
    <row r="3653" spans="1:19" x14ac:dyDescent="0.2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  <c r="S3653" s="18"/>
    </row>
    <row r="3654" spans="1:19" x14ac:dyDescent="0.2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18"/>
      <c r="S3654" s="18"/>
    </row>
    <row r="3655" spans="1:19" x14ac:dyDescent="0.2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  <c r="S3655" s="18"/>
    </row>
    <row r="3656" spans="1:19" x14ac:dyDescent="0.2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8"/>
      <c r="R3656" s="18"/>
      <c r="S3656" s="18"/>
    </row>
    <row r="3657" spans="1:19" x14ac:dyDescent="0.2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  <c r="S3657" s="18"/>
    </row>
    <row r="3658" spans="1:19" x14ac:dyDescent="0.2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  <c r="S3658" s="18"/>
    </row>
    <row r="3659" spans="1:19" x14ac:dyDescent="0.2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18"/>
      <c r="S3659" s="18"/>
    </row>
    <row r="3660" spans="1:19" x14ac:dyDescent="0.2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18"/>
      <c r="S3660" s="18"/>
    </row>
    <row r="3661" spans="1:19" x14ac:dyDescent="0.2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  <c r="S3661" s="18"/>
    </row>
    <row r="3662" spans="1:19" x14ac:dyDescent="0.2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18"/>
      <c r="S3662" s="18"/>
    </row>
    <row r="3663" spans="1:19" x14ac:dyDescent="0.2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18"/>
      <c r="S3663" s="18"/>
    </row>
    <row r="3664" spans="1:19" x14ac:dyDescent="0.2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18"/>
      <c r="S3664" s="18"/>
    </row>
    <row r="3665" spans="1:19" x14ac:dyDescent="0.2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  <c r="S3665" s="18"/>
    </row>
    <row r="3666" spans="1:19" x14ac:dyDescent="0.2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  <c r="S3666" s="18"/>
    </row>
    <row r="3667" spans="1:19" x14ac:dyDescent="0.2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  <c r="S3667" s="18"/>
    </row>
    <row r="3668" spans="1:19" x14ac:dyDescent="0.2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18"/>
      <c r="S3668" s="18"/>
    </row>
    <row r="3669" spans="1:19" x14ac:dyDescent="0.2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  <c r="S3669" s="18"/>
    </row>
    <row r="3670" spans="1:19" x14ac:dyDescent="0.2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18"/>
      <c r="S3670" s="18"/>
    </row>
    <row r="3671" spans="1:19" x14ac:dyDescent="0.2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  <c r="S3671" s="18"/>
    </row>
    <row r="3672" spans="1:19" x14ac:dyDescent="0.2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18"/>
      <c r="S3672" s="18"/>
    </row>
    <row r="3673" spans="1:19" x14ac:dyDescent="0.2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  <c r="S3673" s="18"/>
    </row>
    <row r="3674" spans="1:19" x14ac:dyDescent="0.2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  <c r="S3674" s="18"/>
    </row>
    <row r="3675" spans="1:19" x14ac:dyDescent="0.2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  <c r="S3675" s="18"/>
    </row>
    <row r="3676" spans="1:19" x14ac:dyDescent="0.2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  <c r="S3676" s="18"/>
    </row>
    <row r="3677" spans="1:19" x14ac:dyDescent="0.2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  <c r="S3677" s="18"/>
    </row>
    <row r="3678" spans="1:19" x14ac:dyDescent="0.2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18"/>
      <c r="S3678" s="18"/>
    </row>
    <row r="3679" spans="1:19" x14ac:dyDescent="0.2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  <c r="S3679" s="18"/>
    </row>
    <row r="3680" spans="1:19" x14ac:dyDescent="0.2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18"/>
      <c r="S3680" s="18"/>
    </row>
    <row r="3681" spans="1:19" x14ac:dyDescent="0.2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  <c r="S3681" s="18"/>
    </row>
    <row r="3682" spans="1:19" x14ac:dyDescent="0.2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18"/>
      <c r="S3682" s="18"/>
    </row>
    <row r="3683" spans="1:19" x14ac:dyDescent="0.2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  <c r="S3683" s="18"/>
    </row>
    <row r="3684" spans="1:19" x14ac:dyDescent="0.2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  <c r="S3684" s="18"/>
    </row>
    <row r="3685" spans="1:19" x14ac:dyDescent="0.2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  <c r="S3685" s="18"/>
    </row>
    <row r="3686" spans="1:19" x14ac:dyDescent="0.2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18"/>
      <c r="S3686" s="18"/>
    </row>
    <row r="3687" spans="1:19" x14ac:dyDescent="0.2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18"/>
      <c r="S3687" s="18"/>
    </row>
    <row r="3688" spans="1:19" x14ac:dyDescent="0.2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  <c r="S3688" s="18"/>
    </row>
    <row r="3689" spans="1:19" x14ac:dyDescent="0.2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  <c r="S3689" s="18"/>
    </row>
    <row r="3690" spans="1:19" x14ac:dyDescent="0.2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8"/>
      <c r="R3690" s="18"/>
      <c r="S3690" s="18"/>
    </row>
    <row r="3691" spans="1:19" x14ac:dyDescent="0.2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  <c r="S3691" s="18"/>
    </row>
    <row r="3692" spans="1:19" x14ac:dyDescent="0.2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8"/>
      <c r="R3692" s="18"/>
      <c r="S3692" s="18"/>
    </row>
    <row r="3693" spans="1:19" x14ac:dyDescent="0.2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8"/>
      <c r="R3693" s="18"/>
      <c r="S3693" s="18"/>
    </row>
    <row r="3694" spans="1:19" x14ac:dyDescent="0.2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8"/>
      <c r="R3694" s="18"/>
      <c r="S3694" s="18"/>
    </row>
    <row r="3695" spans="1:19" x14ac:dyDescent="0.2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  <c r="S3695" s="18"/>
    </row>
    <row r="3696" spans="1:19" x14ac:dyDescent="0.2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  <c r="S3696" s="18"/>
    </row>
    <row r="3697" spans="1:19" x14ac:dyDescent="0.2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18"/>
      <c r="S3697" s="18"/>
    </row>
    <row r="3698" spans="1:19" x14ac:dyDescent="0.2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18"/>
      <c r="S3698" s="18"/>
    </row>
    <row r="3699" spans="1:19" x14ac:dyDescent="0.2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  <c r="S3699" s="18"/>
    </row>
    <row r="3700" spans="1:19" x14ac:dyDescent="0.2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18"/>
      <c r="S3700" s="18"/>
    </row>
    <row r="3701" spans="1:19" x14ac:dyDescent="0.2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  <c r="S3701" s="18"/>
    </row>
    <row r="3702" spans="1:19" x14ac:dyDescent="0.2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  <c r="S3702" s="18"/>
    </row>
    <row r="3703" spans="1:19" x14ac:dyDescent="0.2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18"/>
      <c r="S3703" s="18"/>
    </row>
    <row r="3704" spans="1:19" x14ac:dyDescent="0.2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  <c r="S3704" s="18"/>
    </row>
    <row r="3705" spans="1:19" x14ac:dyDescent="0.2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  <c r="S3705" s="18"/>
    </row>
    <row r="3706" spans="1:19" x14ac:dyDescent="0.2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18"/>
      <c r="S3706" s="18"/>
    </row>
    <row r="3707" spans="1:19" x14ac:dyDescent="0.2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  <c r="S3707" s="18"/>
    </row>
    <row r="3708" spans="1:19" x14ac:dyDescent="0.2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18"/>
      <c r="S3708" s="18"/>
    </row>
    <row r="3709" spans="1:19" x14ac:dyDescent="0.2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  <c r="S3709" s="18"/>
    </row>
    <row r="3710" spans="1:19" x14ac:dyDescent="0.2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18"/>
      <c r="S3710" s="18"/>
    </row>
    <row r="3711" spans="1:19" x14ac:dyDescent="0.2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  <c r="S3711" s="18"/>
    </row>
    <row r="3712" spans="1:19" x14ac:dyDescent="0.2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18"/>
      <c r="S3712" s="18"/>
    </row>
    <row r="3713" spans="1:19" x14ac:dyDescent="0.2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  <c r="S3713" s="18"/>
    </row>
    <row r="3714" spans="1:19" x14ac:dyDescent="0.2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18"/>
      <c r="S3714" s="18"/>
    </row>
    <row r="3715" spans="1:19" x14ac:dyDescent="0.2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  <c r="S3715" s="18"/>
    </row>
    <row r="3716" spans="1:19" x14ac:dyDescent="0.2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18"/>
      <c r="S3716" s="18"/>
    </row>
    <row r="3717" spans="1:19" x14ac:dyDescent="0.2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  <c r="S3717" s="18"/>
    </row>
    <row r="3718" spans="1:19" x14ac:dyDescent="0.2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18"/>
      <c r="S3718" s="18"/>
    </row>
    <row r="3719" spans="1:19" x14ac:dyDescent="0.2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  <c r="S3719" s="18"/>
    </row>
    <row r="3720" spans="1:19" x14ac:dyDescent="0.2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18"/>
      <c r="S3720" s="18"/>
    </row>
    <row r="3721" spans="1:19" x14ac:dyDescent="0.2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  <c r="S3721" s="18"/>
    </row>
    <row r="3722" spans="1:19" x14ac:dyDescent="0.2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  <c r="S3722" s="18"/>
    </row>
    <row r="3723" spans="1:19" x14ac:dyDescent="0.2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  <c r="S3723" s="18"/>
    </row>
    <row r="3724" spans="1:19" x14ac:dyDescent="0.2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18"/>
      <c r="S3724" s="18"/>
    </row>
    <row r="3725" spans="1:19" x14ac:dyDescent="0.2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  <c r="S3725" s="18"/>
    </row>
    <row r="3726" spans="1:19" x14ac:dyDescent="0.2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18"/>
      <c r="S3726" s="18"/>
    </row>
    <row r="3727" spans="1:19" x14ac:dyDescent="0.2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18"/>
      <c r="S3727" s="18"/>
    </row>
    <row r="3728" spans="1:19" x14ac:dyDescent="0.2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8"/>
      <c r="R3728" s="18"/>
      <c r="S3728" s="18"/>
    </row>
    <row r="3729" spans="1:19" x14ac:dyDescent="0.2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  <c r="S3729" s="18"/>
    </row>
    <row r="3730" spans="1:19" x14ac:dyDescent="0.2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18"/>
      <c r="S3730" s="18"/>
    </row>
    <row r="3731" spans="1:19" x14ac:dyDescent="0.2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18"/>
      <c r="S3731" s="18"/>
    </row>
    <row r="3732" spans="1:19" x14ac:dyDescent="0.2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18"/>
      <c r="S3732" s="18"/>
    </row>
    <row r="3733" spans="1:19" x14ac:dyDescent="0.2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  <c r="S3733" s="18"/>
    </row>
    <row r="3734" spans="1:19" x14ac:dyDescent="0.2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  <c r="S3734" s="18"/>
    </row>
    <row r="3735" spans="1:19" x14ac:dyDescent="0.2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/>
      <c r="S3735" s="18"/>
    </row>
    <row r="3736" spans="1:19" x14ac:dyDescent="0.2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8"/>
      <c r="R3736" s="18"/>
      <c r="S3736" s="18"/>
    </row>
    <row r="3737" spans="1:19" x14ac:dyDescent="0.2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  <c r="S3737" s="18"/>
    </row>
    <row r="3738" spans="1:19" x14ac:dyDescent="0.2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8"/>
      <c r="R3738" s="18"/>
      <c r="S3738" s="18"/>
    </row>
    <row r="3739" spans="1:19" x14ac:dyDescent="0.2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  <c r="S3739" s="18"/>
    </row>
    <row r="3740" spans="1:19" x14ac:dyDescent="0.2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18"/>
      <c r="S3740" s="18"/>
    </row>
    <row r="3741" spans="1:19" x14ac:dyDescent="0.2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  <c r="S3741" s="18"/>
    </row>
    <row r="3742" spans="1:19" x14ac:dyDescent="0.2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18"/>
      <c r="S3742" s="18"/>
    </row>
    <row r="3743" spans="1:19" x14ac:dyDescent="0.2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  <c r="S3743" s="18"/>
    </row>
    <row r="3744" spans="1:19" x14ac:dyDescent="0.2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18"/>
      <c r="S3744" s="18"/>
    </row>
    <row r="3745" spans="1:19" x14ac:dyDescent="0.2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  <c r="S3745" s="18"/>
    </row>
    <row r="3746" spans="1:19" x14ac:dyDescent="0.2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18"/>
      <c r="S3746" s="18"/>
    </row>
    <row r="3747" spans="1:19" x14ac:dyDescent="0.2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  <c r="S3747" s="18"/>
    </row>
    <row r="3748" spans="1:19" x14ac:dyDescent="0.2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18"/>
      <c r="S3748" s="18"/>
    </row>
    <row r="3749" spans="1:19" x14ac:dyDescent="0.2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  <c r="S3749" s="18"/>
    </row>
    <row r="3750" spans="1:19" x14ac:dyDescent="0.2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18"/>
      <c r="S3750" s="18"/>
    </row>
    <row r="3751" spans="1:19" x14ac:dyDescent="0.2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  <c r="S3751" s="18"/>
    </row>
    <row r="3752" spans="1:19" x14ac:dyDescent="0.2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18"/>
      <c r="S3752" s="18"/>
    </row>
    <row r="3753" spans="1:19" x14ac:dyDescent="0.2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  <c r="S3753" s="18"/>
    </row>
    <row r="3754" spans="1:19" x14ac:dyDescent="0.2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18"/>
      <c r="S3754" s="18"/>
    </row>
    <row r="3755" spans="1:19" x14ac:dyDescent="0.2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  <c r="S3755" s="18"/>
    </row>
    <row r="3756" spans="1:19" x14ac:dyDescent="0.2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8"/>
      <c r="R3756" s="18"/>
      <c r="S3756" s="18"/>
    </row>
    <row r="3757" spans="1:19" x14ac:dyDescent="0.2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  <c r="S3757" s="18"/>
    </row>
    <row r="3758" spans="1:19" x14ac:dyDescent="0.2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18"/>
      <c r="S3758" s="18"/>
    </row>
    <row r="3759" spans="1:19" x14ac:dyDescent="0.2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/>
      <c r="R3759" s="18"/>
      <c r="S3759" s="18"/>
    </row>
    <row r="3760" spans="1:19" x14ac:dyDescent="0.2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18"/>
      <c r="S3760" s="18"/>
    </row>
    <row r="3761" spans="1:19" x14ac:dyDescent="0.2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  <c r="S3761" s="18"/>
    </row>
    <row r="3762" spans="1:19" x14ac:dyDescent="0.2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18"/>
      <c r="S3762" s="18"/>
    </row>
    <row r="3763" spans="1:19" x14ac:dyDescent="0.2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  <c r="S3763" s="18"/>
    </row>
    <row r="3764" spans="1:19" x14ac:dyDescent="0.2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18"/>
      <c r="S3764" s="18"/>
    </row>
    <row r="3765" spans="1:19" x14ac:dyDescent="0.2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  <c r="S3765" s="18"/>
    </row>
    <row r="3766" spans="1:19" x14ac:dyDescent="0.2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18"/>
      <c r="S3766" s="18"/>
    </row>
    <row r="3767" spans="1:19" x14ac:dyDescent="0.2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  <c r="S3767" s="18"/>
    </row>
    <row r="3768" spans="1:19" x14ac:dyDescent="0.2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  <c r="S3768" s="18"/>
    </row>
    <row r="3769" spans="1:19" x14ac:dyDescent="0.2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  <c r="S3769" s="18"/>
    </row>
    <row r="3770" spans="1:19" x14ac:dyDescent="0.2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18"/>
      <c r="S3770" s="18"/>
    </row>
    <row r="3771" spans="1:19" x14ac:dyDescent="0.2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18"/>
      <c r="S3771" s="18"/>
    </row>
    <row r="3772" spans="1:19" x14ac:dyDescent="0.2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18"/>
      <c r="S3772" s="18"/>
    </row>
    <row r="3773" spans="1:19" x14ac:dyDescent="0.2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  <c r="S3773" s="18"/>
    </row>
    <row r="3774" spans="1:19" x14ac:dyDescent="0.2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18"/>
      <c r="S3774" s="18"/>
    </row>
    <row r="3775" spans="1:19" x14ac:dyDescent="0.2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18"/>
      <c r="S3775" s="18"/>
    </row>
    <row r="3776" spans="1:19" x14ac:dyDescent="0.2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18"/>
      <c r="S3776" s="18"/>
    </row>
    <row r="3777" spans="1:19" x14ac:dyDescent="0.2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18"/>
      <c r="S3777" s="18"/>
    </row>
    <row r="3778" spans="1:19" x14ac:dyDescent="0.2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18"/>
      <c r="S3778" s="18"/>
    </row>
    <row r="3779" spans="1:19" x14ac:dyDescent="0.2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  <c r="S3779" s="18"/>
    </row>
    <row r="3780" spans="1:19" x14ac:dyDescent="0.2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  <c r="S3780" s="18"/>
    </row>
    <row r="3781" spans="1:19" x14ac:dyDescent="0.2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  <c r="S3781" s="18"/>
    </row>
    <row r="3782" spans="1:19" x14ac:dyDescent="0.2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18"/>
      <c r="S3782" s="18"/>
    </row>
    <row r="3783" spans="1:19" x14ac:dyDescent="0.2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  <c r="S3783" s="18"/>
    </row>
    <row r="3784" spans="1:19" x14ac:dyDescent="0.2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  <c r="S3784" s="18"/>
    </row>
    <row r="3785" spans="1:19" x14ac:dyDescent="0.2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  <c r="S3785" s="18"/>
    </row>
    <row r="3786" spans="1:19" x14ac:dyDescent="0.2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18"/>
      <c r="S3786" s="18"/>
    </row>
    <row r="3787" spans="1:19" x14ac:dyDescent="0.2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18"/>
      <c r="S3787" s="18"/>
    </row>
    <row r="3788" spans="1:19" x14ac:dyDescent="0.2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  <c r="S3788" s="18"/>
    </row>
    <row r="3789" spans="1:19" x14ac:dyDescent="0.2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  <c r="S3789" s="18"/>
    </row>
    <row r="3790" spans="1:19" x14ac:dyDescent="0.2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18"/>
      <c r="S3790" s="18"/>
    </row>
    <row r="3791" spans="1:19" x14ac:dyDescent="0.2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  <c r="S3791" s="18"/>
    </row>
    <row r="3792" spans="1:19" x14ac:dyDescent="0.2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18"/>
      <c r="S3792" s="18"/>
    </row>
    <row r="3793" spans="1:19" x14ac:dyDescent="0.2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  <c r="S3793" s="18"/>
    </row>
    <row r="3794" spans="1:19" x14ac:dyDescent="0.2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18"/>
      <c r="S3794" s="18"/>
    </row>
    <row r="3795" spans="1:19" x14ac:dyDescent="0.2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  <c r="S3795" s="18"/>
    </row>
    <row r="3796" spans="1:19" x14ac:dyDescent="0.2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  <c r="S3796" s="18"/>
    </row>
    <row r="3797" spans="1:19" x14ac:dyDescent="0.2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  <c r="S3797" s="18"/>
    </row>
    <row r="3798" spans="1:19" x14ac:dyDescent="0.2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8"/>
      <c r="R3798" s="18"/>
      <c r="S3798" s="18"/>
    </row>
    <row r="3799" spans="1:19" x14ac:dyDescent="0.2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  <c r="S3799" s="18"/>
    </row>
    <row r="3800" spans="1:19" x14ac:dyDescent="0.2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18"/>
      <c r="S3800" s="18"/>
    </row>
    <row r="3801" spans="1:19" x14ac:dyDescent="0.2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  <c r="S3801" s="18"/>
    </row>
    <row r="3802" spans="1:19" x14ac:dyDescent="0.2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8"/>
      <c r="R3802" s="18"/>
      <c r="S3802" s="18"/>
    </row>
    <row r="3803" spans="1:19" x14ac:dyDescent="0.2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  <c r="S3803" s="18"/>
    </row>
    <row r="3804" spans="1:19" x14ac:dyDescent="0.2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  <c r="S3804" s="18"/>
    </row>
    <row r="3805" spans="1:19" x14ac:dyDescent="0.2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  <c r="S3805" s="18"/>
    </row>
    <row r="3806" spans="1:19" x14ac:dyDescent="0.2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18"/>
      <c r="S3806" s="18"/>
    </row>
    <row r="3807" spans="1:19" x14ac:dyDescent="0.2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  <c r="S3807" s="18"/>
    </row>
    <row r="3808" spans="1:19" x14ac:dyDescent="0.2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18"/>
      <c r="S3808" s="18"/>
    </row>
    <row r="3809" spans="1:19" x14ac:dyDescent="0.2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  <c r="S3809" s="18"/>
    </row>
    <row r="3810" spans="1:19" x14ac:dyDescent="0.2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18"/>
      <c r="S3810" s="18"/>
    </row>
    <row r="3811" spans="1:19" x14ac:dyDescent="0.2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  <c r="S3811" s="18"/>
    </row>
    <row r="3812" spans="1:19" x14ac:dyDescent="0.2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18"/>
      <c r="S3812" s="18"/>
    </row>
    <row r="3813" spans="1:19" x14ac:dyDescent="0.2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  <c r="S3813" s="18"/>
    </row>
    <row r="3814" spans="1:19" x14ac:dyDescent="0.2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  <c r="S3814" s="18"/>
    </row>
    <row r="3815" spans="1:19" x14ac:dyDescent="0.2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  <c r="S3815" s="18"/>
    </row>
    <row r="3816" spans="1:19" x14ac:dyDescent="0.2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18"/>
      <c r="S3816" s="18"/>
    </row>
    <row r="3817" spans="1:19" x14ac:dyDescent="0.2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  <c r="S3817" s="18"/>
    </row>
    <row r="3818" spans="1:19" x14ac:dyDescent="0.2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8"/>
      <c r="R3818" s="18"/>
      <c r="S3818" s="18"/>
    </row>
    <row r="3819" spans="1:19" x14ac:dyDescent="0.2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  <c r="S3819" s="18"/>
    </row>
    <row r="3820" spans="1:19" x14ac:dyDescent="0.2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18"/>
      <c r="S3820" s="18"/>
    </row>
    <row r="3821" spans="1:19" x14ac:dyDescent="0.2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  <c r="S3821" s="18"/>
    </row>
    <row r="3822" spans="1:19" x14ac:dyDescent="0.2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18"/>
      <c r="S3822" s="18"/>
    </row>
    <row r="3823" spans="1:19" x14ac:dyDescent="0.2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  <c r="S3823" s="18"/>
    </row>
    <row r="3824" spans="1:19" x14ac:dyDescent="0.2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8"/>
      <c r="R3824" s="18"/>
      <c r="S3824" s="18"/>
    </row>
    <row r="3825" spans="1:19" x14ac:dyDescent="0.2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  <c r="S3825" s="18"/>
    </row>
    <row r="3826" spans="1:19" x14ac:dyDescent="0.2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  <c r="S3826" s="18"/>
    </row>
    <row r="3827" spans="1:19" x14ac:dyDescent="0.2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  <c r="S3827" s="18"/>
    </row>
    <row r="3828" spans="1:19" x14ac:dyDescent="0.2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8"/>
      <c r="R3828" s="18"/>
      <c r="S3828" s="18"/>
    </row>
    <row r="3829" spans="1:19" x14ac:dyDescent="0.2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  <c r="S3829" s="18"/>
    </row>
    <row r="3830" spans="1:19" x14ac:dyDescent="0.2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8"/>
      <c r="R3830" s="18"/>
      <c r="S3830" s="18"/>
    </row>
    <row r="3831" spans="1:19" x14ac:dyDescent="0.2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/>
      <c r="S3831" s="18"/>
    </row>
    <row r="3832" spans="1:19" x14ac:dyDescent="0.2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18"/>
      <c r="S3832" s="18"/>
    </row>
    <row r="3833" spans="1:19" x14ac:dyDescent="0.2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  <c r="S3833" s="18"/>
    </row>
    <row r="3834" spans="1:19" x14ac:dyDescent="0.2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  <c r="S3834" s="18"/>
    </row>
    <row r="3835" spans="1:19" x14ac:dyDescent="0.2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  <c r="S3835" s="18"/>
    </row>
    <row r="3836" spans="1:19" x14ac:dyDescent="0.2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18"/>
      <c r="S3836" s="18"/>
    </row>
    <row r="3837" spans="1:19" x14ac:dyDescent="0.2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  <c r="S3837" s="18"/>
    </row>
    <row r="3838" spans="1:19" x14ac:dyDescent="0.2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18"/>
      <c r="S3838" s="18"/>
    </row>
    <row r="3839" spans="1:19" x14ac:dyDescent="0.2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/>
      <c r="S3839" s="18"/>
    </row>
    <row r="3840" spans="1:19" x14ac:dyDescent="0.2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18"/>
      <c r="S3840" s="18"/>
    </row>
    <row r="3841" spans="1:19" x14ac:dyDescent="0.2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  <c r="S3841" s="18"/>
    </row>
    <row r="3842" spans="1:19" x14ac:dyDescent="0.2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  <c r="S3842" s="18"/>
    </row>
    <row r="3843" spans="1:19" x14ac:dyDescent="0.2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  <c r="S3843" s="18"/>
    </row>
    <row r="3844" spans="1:19" x14ac:dyDescent="0.2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18"/>
      <c r="S3844" s="18"/>
    </row>
    <row r="3845" spans="1:19" x14ac:dyDescent="0.2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8"/>
      <c r="R3845" s="18"/>
      <c r="S3845" s="18"/>
    </row>
    <row r="3846" spans="1:19" x14ac:dyDescent="0.2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18"/>
      <c r="S3846" s="18"/>
    </row>
    <row r="3847" spans="1:19" x14ac:dyDescent="0.2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  <c r="S3847" s="18"/>
    </row>
    <row r="3848" spans="1:19" x14ac:dyDescent="0.2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18"/>
      <c r="S3848" s="18"/>
    </row>
    <row r="3849" spans="1:19" x14ac:dyDescent="0.2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  <c r="S3849" s="18"/>
    </row>
    <row r="3850" spans="1:19" x14ac:dyDescent="0.2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  <c r="S3850" s="18"/>
    </row>
    <row r="3851" spans="1:19" x14ac:dyDescent="0.2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  <c r="S3851" s="18"/>
    </row>
    <row r="3852" spans="1:19" x14ac:dyDescent="0.2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18"/>
      <c r="S3852" s="18"/>
    </row>
    <row r="3853" spans="1:19" x14ac:dyDescent="0.2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  <c r="S3853" s="18"/>
    </row>
    <row r="3854" spans="1:19" x14ac:dyDescent="0.2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18"/>
      <c r="S3854" s="18"/>
    </row>
    <row r="3855" spans="1:19" x14ac:dyDescent="0.2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  <c r="S3855" s="18"/>
    </row>
    <row r="3856" spans="1:19" x14ac:dyDescent="0.2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18"/>
      <c r="S3856" s="18"/>
    </row>
    <row r="3857" spans="1:19" x14ac:dyDescent="0.2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18"/>
      <c r="S3857" s="18"/>
    </row>
    <row r="3858" spans="1:19" x14ac:dyDescent="0.2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8"/>
      <c r="R3858" s="18"/>
      <c r="S3858" s="18"/>
    </row>
    <row r="3859" spans="1:19" x14ac:dyDescent="0.2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  <c r="S3859" s="18"/>
    </row>
    <row r="3860" spans="1:19" x14ac:dyDescent="0.2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  <c r="S3860" s="18"/>
    </row>
    <row r="3861" spans="1:19" x14ac:dyDescent="0.2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  <c r="S3861" s="18"/>
    </row>
    <row r="3862" spans="1:19" x14ac:dyDescent="0.2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8"/>
      <c r="R3862" s="18"/>
      <c r="S3862" s="18"/>
    </row>
    <row r="3863" spans="1:19" x14ac:dyDescent="0.2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  <c r="S3863" s="18"/>
    </row>
    <row r="3864" spans="1:19" x14ac:dyDescent="0.2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8"/>
      <c r="R3864" s="18"/>
      <c r="S3864" s="18"/>
    </row>
    <row r="3865" spans="1:19" x14ac:dyDescent="0.2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  <c r="S3865" s="18"/>
    </row>
    <row r="3866" spans="1:19" x14ac:dyDescent="0.2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18"/>
      <c r="S3866" s="18"/>
    </row>
    <row r="3867" spans="1:19" x14ac:dyDescent="0.2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  <c r="S3867" s="18"/>
    </row>
    <row r="3868" spans="1:19" x14ac:dyDescent="0.2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18"/>
      <c r="S3868" s="18"/>
    </row>
    <row r="3869" spans="1:19" x14ac:dyDescent="0.2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  <c r="S3869" s="18"/>
    </row>
    <row r="3870" spans="1:19" x14ac:dyDescent="0.2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18"/>
      <c r="S3870" s="18"/>
    </row>
    <row r="3871" spans="1:19" x14ac:dyDescent="0.2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  <c r="S3871" s="18"/>
    </row>
    <row r="3872" spans="1:19" x14ac:dyDescent="0.2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18"/>
      <c r="S3872" s="18"/>
    </row>
    <row r="3873" spans="1:19" x14ac:dyDescent="0.2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  <c r="S3873" s="18"/>
    </row>
    <row r="3874" spans="1:19" x14ac:dyDescent="0.2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18"/>
      <c r="S3874" s="18"/>
    </row>
    <row r="3875" spans="1:19" x14ac:dyDescent="0.2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  <c r="S3875" s="18"/>
    </row>
    <row r="3876" spans="1:19" x14ac:dyDescent="0.2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18"/>
      <c r="S3876" s="18"/>
    </row>
    <row r="3877" spans="1:19" x14ac:dyDescent="0.2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  <c r="S3877" s="18"/>
    </row>
    <row r="3878" spans="1:19" x14ac:dyDescent="0.2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18"/>
      <c r="S3878" s="18"/>
    </row>
    <row r="3879" spans="1:19" x14ac:dyDescent="0.2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  <c r="S3879" s="18"/>
    </row>
    <row r="3880" spans="1:19" x14ac:dyDescent="0.2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18"/>
      <c r="S3880" s="18"/>
    </row>
    <row r="3881" spans="1:19" x14ac:dyDescent="0.2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  <c r="S3881" s="18"/>
    </row>
    <row r="3882" spans="1:19" x14ac:dyDescent="0.2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18"/>
      <c r="S3882" s="18"/>
    </row>
    <row r="3883" spans="1:19" x14ac:dyDescent="0.2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  <c r="S3883" s="18"/>
    </row>
    <row r="3884" spans="1:19" x14ac:dyDescent="0.2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  <c r="S3884" s="18"/>
    </row>
    <row r="3885" spans="1:19" x14ac:dyDescent="0.2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  <c r="S3885" s="18"/>
    </row>
    <row r="3886" spans="1:19" x14ac:dyDescent="0.2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18"/>
      <c r="S3886" s="18"/>
    </row>
    <row r="3887" spans="1:19" x14ac:dyDescent="0.2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  <c r="S3887" s="18"/>
    </row>
    <row r="3888" spans="1:19" x14ac:dyDescent="0.2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18"/>
      <c r="S3888" s="18"/>
    </row>
    <row r="3889" spans="1:19" x14ac:dyDescent="0.2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  <c r="S3889" s="18"/>
    </row>
    <row r="3890" spans="1:19" x14ac:dyDescent="0.2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18"/>
      <c r="S3890" s="18"/>
    </row>
    <row r="3891" spans="1:19" x14ac:dyDescent="0.2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  <c r="S3891" s="18"/>
    </row>
    <row r="3892" spans="1:19" x14ac:dyDescent="0.2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18"/>
      <c r="S3892" s="18"/>
    </row>
    <row r="3893" spans="1:19" x14ac:dyDescent="0.2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  <c r="S3893" s="18"/>
    </row>
    <row r="3894" spans="1:19" x14ac:dyDescent="0.2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18"/>
      <c r="S3894" s="18"/>
    </row>
    <row r="3895" spans="1:19" x14ac:dyDescent="0.2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8"/>
      <c r="R3895" s="18"/>
      <c r="S3895" s="18"/>
    </row>
    <row r="3896" spans="1:19" x14ac:dyDescent="0.2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8"/>
      <c r="R3896" s="18"/>
      <c r="S3896" s="18"/>
    </row>
    <row r="3897" spans="1:19" x14ac:dyDescent="0.2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  <c r="S3897" s="18"/>
    </row>
    <row r="3898" spans="1:19" x14ac:dyDescent="0.2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8"/>
      <c r="R3898" s="18"/>
      <c r="S3898" s="18"/>
    </row>
    <row r="3899" spans="1:19" x14ac:dyDescent="0.2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  <c r="S3899" s="18"/>
    </row>
    <row r="3900" spans="1:19" x14ac:dyDescent="0.2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18"/>
      <c r="S3900" s="18"/>
    </row>
    <row r="3901" spans="1:19" x14ac:dyDescent="0.2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  <c r="S3901" s="18"/>
    </row>
    <row r="3902" spans="1:19" x14ac:dyDescent="0.2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8"/>
      <c r="R3902" s="18"/>
      <c r="S3902" s="18"/>
    </row>
    <row r="3903" spans="1:19" x14ac:dyDescent="0.2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  <c r="S3903" s="18"/>
    </row>
    <row r="3904" spans="1:19" x14ac:dyDescent="0.2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8"/>
      <c r="R3904" s="18"/>
      <c r="S3904" s="18"/>
    </row>
    <row r="3905" spans="1:19" x14ac:dyDescent="0.2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  <c r="S3905" s="18"/>
    </row>
    <row r="3906" spans="1:19" x14ac:dyDescent="0.2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  <c r="S3906" s="18"/>
    </row>
    <row r="3907" spans="1:19" x14ac:dyDescent="0.2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  <c r="S3907" s="18"/>
    </row>
    <row r="3908" spans="1:19" x14ac:dyDescent="0.2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18"/>
      <c r="S3908" s="18"/>
    </row>
    <row r="3909" spans="1:19" x14ac:dyDescent="0.2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  <c r="S3909" s="18"/>
    </row>
    <row r="3910" spans="1:19" x14ac:dyDescent="0.2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18"/>
      <c r="S3910" s="18"/>
    </row>
    <row r="3911" spans="1:19" x14ac:dyDescent="0.2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  <c r="S3911" s="18"/>
    </row>
    <row r="3912" spans="1:19" x14ac:dyDescent="0.2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8"/>
      <c r="R3912" s="18"/>
      <c r="S3912" s="18"/>
    </row>
    <row r="3913" spans="1:19" x14ac:dyDescent="0.2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  <c r="S3913" s="18"/>
    </row>
    <row r="3914" spans="1:19" x14ac:dyDescent="0.2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8"/>
      <c r="R3914" s="18"/>
      <c r="S3914" s="18"/>
    </row>
    <row r="3915" spans="1:19" x14ac:dyDescent="0.2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  <c r="S3915" s="18"/>
    </row>
    <row r="3916" spans="1:19" x14ac:dyDescent="0.2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8"/>
      <c r="R3916" s="18"/>
      <c r="S3916" s="18"/>
    </row>
    <row r="3917" spans="1:19" x14ac:dyDescent="0.2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  <c r="S3917" s="18"/>
    </row>
    <row r="3918" spans="1:19" x14ac:dyDescent="0.2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8"/>
      <c r="R3918" s="18"/>
      <c r="S3918" s="18"/>
    </row>
    <row r="3919" spans="1:19" x14ac:dyDescent="0.2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  <c r="S3919" s="18"/>
    </row>
    <row r="3920" spans="1:19" x14ac:dyDescent="0.2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18"/>
      <c r="S3920" s="18"/>
    </row>
    <row r="3921" spans="1:19" x14ac:dyDescent="0.2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  <c r="S3921" s="18"/>
    </row>
    <row r="3922" spans="1:19" x14ac:dyDescent="0.2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8"/>
      <c r="R3922" s="18"/>
      <c r="S3922" s="18"/>
    </row>
    <row r="3923" spans="1:19" x14ac:dyDescent="0.2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  <c r="S3923" s="18"/>
    </row>
    <row r="3924" spans="1:19" x14ac:dyDescent="0.2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18"/>
      <c r="S3924" s="18"/>
    </row>
    <row r="3925" spans="1:19" x14ac:dyDescent="0.2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  <c r="S3925" s="18"/>
    </row>
    <row r="3926" spans="1:19" x14ac:dyDescent="0.2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8"/>
      <c r="R3926" s="18"/>
      <c r="S3926" s="18"/>
    </row>
    <row r="3927" spans="1:19" x14ac:dyDescent="0.2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  <c r="S3927" s="18"/>
    </row>
    <row r="3928" spans="1:19" x14ac:dyDescent="0.2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18"/>
      <c r="S3928" s="18"/>
    </row>
    <row r="3929" spans="1:19" x14ac:dyDescent="0.2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  <c r="S3929" s="18"/>
    </row>
    <row r="3930" spans="1:19" x14ac:dyDescent="0.2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18"/>
      <c r="S3930" s="18"/>
    </row>
    <row r="3931" spans="1:19" x14ac:dyDescent="0.2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  <c r="S3931" s="18"/>
    </row>
    <row r="3932" spans="1:19" x14ac:dyDescent="0.2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8"/>
      <c r="R3932" s="18"/>
      <c r="S3932" s="18"/>
    </row>
    <row r="3933" spans="1:19" x14ac:dyDescent="0.2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  <c r="S3933" s="18"/>
    </row>
    <row r="3934" spans="1:19" x14ac:dyDescent="0.2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  <c r="S3934" s="18"/>
    </row>
    <row r="3935" spans="1:19" x14ac:dyDescent="0.2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/>
      <c r="S3935" s="18"/>
    </row>
    <row r="3936" spans="1:19" x14ac:dyDescent="0.2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8"/>
      <c r="R3936" s="18"/>
      <c r="S3936" s="18"/>
    </row>
    <row r="3937" spans="1:19" x14ac:dyDescent="0.2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  <c r="S3937" s="18"/>
    </row>
    <row r="3938" spans="1:19" x14ac:dyDescent="0.2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8"/>
      <c r="R3938" s="18"/>
      <c r="S3938" s="18"/>
    </row>
    <row r="3939" spans="1:19" x14ac:dyDescent="0.2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  <c r="S3939" s="18"/>
    </row>
    <row r="3940" spans="1:19" x14ac:dyDescent="0.2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8"/>
      <c r="R3940" s="18"/>
      <c r="S3940" s="18"/>
    </row>
    <row r="3941" spans="1:19" x14ac:dyDescent="0.2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  <c r="S3941" s="18"/>
    </row>
    <row r="3942" spans="1:19" x14ac:dyDescent="0.2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8"/>
      <c r="R3942" s="18"/>
      <c r="S3942" s="18"/>
    </row>
    <row r="3943" spans="1:19" x14ac:dyDescent="0.2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  <c r="S3943" s="18"/>
    </row>
    <row r="3944" spans="1:19" x14ac:dyDescent="0.2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18"/>
      <c r="S3944" s="18"/>
    </row>
    <row r="3945" spans="1:19" x14ac:dyDescent="0.2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  <c r="S3945" s="18"/>
    </row>
    <row r="3946" spans="1:19" x14ac:dyDescent="0.2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8"/>
      <c r="R3946" s="18"/>
      <c r="S3946" s="18"/>
    </row>
    <row r="3947" spans="1:19" x14ac:dyDescent="0.2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8"/>
      <c r="R3947" s="18"/>
      <c r="S3947" s="18"/>
    </row>
    <row r="3948" spans="1:19" x14ac:dyDescent="0.2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18"/>
      <c r="S3948" s="18"/>
    </row>
    <row r="3949" spans="1:19" x14ac:dyDescent="0.2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  <c r="S3949" s="18"/>
    </row>
    <row r="3950" spans="1:19" x14ac:dyDescent="0.2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8"/>
      <c r="R3950" s="18"/>
      <c r="S3950" s="18"/>
    </row>
    <row r="3951" spans="1:19" x14ac:dyDescent="0.2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8"/>
      <c r="R3951" s="18"/>
      <c r="S3951" s="18"/>
    </row>
    <row r="3952" spans="1:19" x14ac:dyDescent="0.2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  <c r="S3952" s="18"/>
    </row>
    <row r="3953" spans="1:19" x14ac:dyDescent="0.2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  <c r="S3953" s="18"/>
    </row>
    <row r="3954" spans="1:19" x14ac:dyDescent="0.2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8"/>
      <c r="R3954" s="18"/>
      <c r="S3954" s="18"/>
    </row>
    <row r="3955" spans="1:19" x14ac:dyDescent="0.2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  <c r="S3955" s="18"/>
    </row>
    <row r="3956" spans="1:19" x14ac:dyDescent="0.2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8"/>
      <c r="R3956" s="18"/>
      <c r="S3956" s="18"/>
    </row>
    <row r="3957" spans="1:19" x14ac:dyDescent="0.2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8"/>
      <c r="R3957" s="18"/>
      <c r="S3957" s="18"/>
    </row>
    <row r="3958" spans="1:19" x14ac:dyDescent="0.2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8"/>
      <c r="R3958" s="18"/>
      <c r="S3958" s="18"/>
    </row>
    <row r="3959" spans="1:19" x14ac:dyDescent="0.2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8"/>
      <c r="R3959" s="18"/>
      <c r="S3959" s="18"/>
    </row>
    <row r="3960" spans="1:19" x14ac:dyDescent="0.2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8"/>
      <c r="R3960" s="18"/>
      <c r="S3960" s="18"/>
    </row>
    <row r="3961" spans="1:19" x14ac:dyDescent="0.2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  <c r="S3961" s="18"/>
    </row>
    <row r="3962" spans="1:19" x14ac:dyDescent="0.2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8"/>
      <c r="R3962" s="18"/>
      <c r="S3962" s="18"/>
    </row>
    <row r="3963" spans="1:19" x14ac:dyDescent="0.2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  <c r="S3963" s="18"/>
    </row>
    <row r="3964" spans="1:19" x14ac:dyDescent="0.2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  <c r="S3964" s="18"/>
    </row>
    <row r="3965" spans="1:19" x14ac:dyDescent="0.2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  <c r="S3965" s="18"/>
    </row>
    <row r="3966" spans="1:19" x14ac:dyDescent="0.2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8"/>
      <c r="R3966" s="18"/>
      <c r="S3966" s="18"/>
    </row>
    <row r="3967" spans="1:19" x14ac:dyDescent="0.2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18"/>
      <c r="S3967" s="18"/>
    </row>
    <row r="3968" spans="1:19" x14ac:dyDescent="0.2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8"/>
      <c r="R3968" s="18"/>
      <c r="S3968" s="18"/>
    </row>
    <row r="3969" spans="1:19" x14ac:dyDescent="0.2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  <c r="S3969" s="18"/>
    </row>
    <row r="3970" spans="1:19" x14ac:dyDescent="0.2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18"/>
      <c r="S3970" s="18"/>
    </row>
    <row r="3971" spans="1:19" x14ac:dyDescent="0.2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8"/>
      <c r="R3971" s="18"/>
      <c r="S3971" s="18"/>
    </row>
    <row r="3972" spans="1:19" x14ac:dyDescent="0.2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8"/>
      <c r="R3972" s="18"/>
      <c r="S3972" s="18"/>
    </row>
    <row r="3973" spans="1:19" x14ac:dyDescent="0.2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  <c r="S3973" s="18"/>
    </row>
    <row r="3974" spans="1:19" x14ac:dyDescent="0.2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18"/>
      <c r="S3974" s="18"/>
    </row>
    <row r="3975" spans="1:19" x14ac:dyDescent="0.2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  <c r="S3975" s="18"/>
    </row>
    <row r="3976" spans="1:19" x14ac:dyDescent="0.2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18"/>
      <c r="S3976" s="18"/>
    </row>
    <row r="3977" spans="1:19" x14ac:dyDescent="0.2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  <c r="S3977" s="18"/>
    </row>
    <row r="3978" spans="1:19" x14ac:dyDescent="0.2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18"/>
      <c r="S3978" s="18"/>
    </row>
    <row r="3979" spans="1:19" x14ac:dyDescent="0.2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  <c r="S3979" s="18"/>
    </row>
    <row r="3980" spans="1:19" x14ac:dyDescent="0.2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  <c r="S3980" s="18"/>
    </row>
    <row r="3981" spans="1:19" x14ac:dyDescent="0.2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  <c r="S3981" s="18"/>
    </row>
    <row r="3982" spans="1:19" x14ac:dyDescent="0.2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18"/>
      <c r="S3982" s="18"/>
    </row>
    <row r="3983" spans="1:19" x14ac:dyDescent="0.2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  <c r="S3983" s="18"/>
    </row>
    <row r="3984" spans="1:19" x14ac:dyDescent="0.2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  <c r="S3984" s="18"/>
    </row>
    <row r="3985" spans="1:19" x14ac:dyDescent="0.2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  <c r="S3985" s="18"/>
    </row>
    <row r="3986" spans="1:19" x14ac:dyDescent="0.2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18"/>
      <c r="S3986" s="18"/>
    </row>
    <row r="3987" spans="1:19" x14ac:dyDescent="0.2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  <c r="S3987" s="18"/>
    </row>
    <row r="3988" spans="1:19" x14ac:dyDescent="0.2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  <c r="S3988" s="18"/>
    </row>
    <row r="3989" spans="1:19" x14ac:dyDescent="0.2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  <c r="S3989" s="18"/>
    </row>
    <row r="3990" spans="1:19" x14ac:dyDescent="0.2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18"/>
      <c r="S3990" s="18"/>
    </row>
    <row r="3991" spans="1:19" x14ac:dyDescent="0.2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  <c r="S3991" s="18"/>
    </row>
    <row r="3992" spans="1:19" x14ac:dyDescent="0.2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18"/>
      <c r="S3992" s="18"/>
    </row>
    <row r="3993" spans="1:19" x14ac:dyDescent="0.2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  <c r="S3993" s="18"/>
    </row>
    <row r="3994" spans="1:19" x14ac:dyDescent="0.2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18"/>
      <c r="S3994" s="18"/>
    </row>
    <row r="3995" spans="1:19" x14ac:dyDescent="0.2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  <c r="S3995" s="18"/>
    </row>
    <row r="3996" spans="1:19" x14ac:dyDescent="0.2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  <c r="S3996" s="18"/>
    </row>
    <row r="3997" spans="1:19" x14ac:dyDescent="0.2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  <c r="S3997" s="18"/>
    </row>
    <row r="3998" spans="1:19" x14ac:dyDescent="0.2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  <c r="S3998" s="18"/>
    </row>
    <row r="3999" spans="1:19" x14ac:dyDescent="0.2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  <c r="S3999" s="18"/>
    </row>
    <row r="4000" spans="1:19" x14ac:dyDescent="0.2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18"/>
      <c r="S4000" s="18"/>
    </row>
    <row r="4001" spans="1:19" x14ac:dyDescent="0.2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  <c r="S4001" s="18"/>
    </row>
    <row r="4002" spans="1:19" x14ac:dyDescent="0.2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8"/>
      <c r="R4002" s="18"/>
      <c r="S4002" s="18"/>
    </row>
    <row r="4003" spans="1:19" x14ac:dyDescent="0.2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  <c r="S4003" s="18"/>
    </row>
    <row r="4004" spans="1:19" x14ac:dyDescent="0.2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18"/>
      <c r="S4004" s="18"/>
    </row>
    <row r="4005" spans="1:19" x14ac:dyDescent="0.2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  <c r="S4005" s="18"/>
    </row>
    <row r="4006" spans="1:19" x14ac:dyDescent="0.2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8"/>
      <c r="R4006" s="18"/>
      <c r="S4006" s="18"/>
    </row>
    <row r="4007" spans="1:19" x14ac:dyDescent="0.2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  <c r="S4007" s="18"/>
    </row>
    <row r="4008" spans="1:19" x14ac:dyDescent="0.2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8"/>
      <c r="R4008" s="18"/>
      <c r="S4008" s="18"/>
    </row>
    <row r="4009" spans="1:19" x14ac:dyDescent="0.2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  <c r="S4009" s="18"/>
    </row>
    <row r="4010" spans="1:19" x14ac:dyDescent="0.2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  <c r="S4010" s="18"/>
    </row>
    <row r="4011" spans="1:19" x14ac:dyDescent="0.2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8"/>
      <c r="R4011" s="18"/>
      <c r="S4011" s="18"/>
    </row>
    <row r="4012" spans="1:19" x14ac:dyDescent="0.2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18"/>
      <c r="S4012" s="18"/>
    </row>
    <row r="4013" spans="1:19" x14ac:dyDescent="0.2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  <c r="S4013" s="18"/>
    </row>
    <row r="4014" spans="1:19" x14ac:dyDescent="0.2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8"/>
      <c r="R4014" s="18"/>
      <c r="S4014" s="18"/>
    </row>
    <row r="4015" spans="1:19" x14ac:dyDescent="0.2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  <c r="S4015" s="18"/>
    </row>
    <row r="4016" spans="1:19" x14ac:dyDescent="0.2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18"/>
      <c r="S4016" s="18"/>
    </row>
    <row r="4017" spans="1:19" x14ac:dyDescent="0.2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  <c r="S4017" s="18"/>
    </row>
    <row r="4018" spans="1:19" x14ac:dyDescent="0.2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  <c r="S4018" s="18"/>
    </row>
    <row r="4019" spans="1:19" x14ac:dyDescent="0.2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  <c r="S4019" s="18"/>
    </row>
    <row r="4020" spans="1:19" x14ac:dyDescent="0.2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18"/>
      <c r="S4020" s="18"/>
    </row>
    <row r="4021" spans="1:19" x14ac:dyDescent="0.2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  <c r="S4021" s="18"/>
    </row>
    <row r="4022" spans="1:19" x14ac:dyDescent="0.2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18"/>
      <c r="S4022" s="18"/>
    </row>
    <row r="4023" spans="1:19" x14ac:dyDescent="0.2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  <c r="S4023" s="18"/>
    </row>
    <row r="4024" spans="1:19" x14ac:dyDescent="0.2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18"/>
      <c r="S4024" s="18"/>
    </row>
    <row r="4025" spans="1:19" x14ac:dyDescent="0.2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  <c r="S4025" s="18"/>
    </row>
    <row r="4026" spans="1:19" x14ac:dyDescent="0.2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  <c r="S4026" s="18"/>
    </row>
    <row r="4027" spans="1:19" x14ac:dyDescent="0.2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  <c r="S4027" s="18"/>
    </row>
    <row r="4028" spans="1:19" x14ac:dyDescent="0.2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8"/>
      <c r="R4028" s="18"/>
      <c r="S4028" s="18"/>
    </row>
    <row r="4029" spans="1:19" x14ac:dyDescent="0.2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  <c r="S4029" s="18"/>
    </row>
    <row r="4030" spans="1:19" x14ac:dyDescent="0.2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8"/>
      <c r="R4030" s="18"/>
      <c r="S4030" s="18"/>
    </row>
    <row r="4031" spans="1:19" x14ac:dyDescent="0.2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  <c r="S4031" s="18"/>
    </row>
    <row r="4032" spans="1:19" x14ac:dyDescent="0.2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18"/>
      <c r="S4032" s="18"/>
    </row>
    <row r="4033" spans="1:19" x14ac:dyDescent="0.2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  <c r="S4033" s="18"/>
    </row>
    <row r="4034" spans="1:19" x14ac:dyDescent="0.2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  <c r="S4034" s="18"/>
    </row>
    <row r="4035" spans="1:19" x14ac:dyDescent="0.2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18"/>
      <c r="S4035" s="18"/>
    </row>
    <row r="4036" spans="1:19" x14ac:dyDescent="0.2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8"/>
      <c r="R4036" s="18"/>
      <c r="S4036" s="18"/>
    </row>
    <row r="4037" spans="1:19" x14ac:dyDescent="0.2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  <c r="S4037" s="18"/>
    </row>
    <row r="4038" spans="1:19" x14ac:dyDescent="0.2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8"/>
      <c r="R4038" s="18"/>
      <c r="S4038" s="18"/>
    </row>
    <row r="4039" spans="1:19" x14ac:dyDescent="0.2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  <c r="S4039" s="18"/>
    </row>
    <row r="4040" spans="1:19" x14ac:dyDescent="0.2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8"/>
      <c r="R4040" s="18"/>
      <c r="S4040" s="18"/>
    </row>
    <row r="4041" spans="1:19" x14ac:dyDescent="0.2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  <c r="S4041" s="18"/>
    </row>
    <row r="4042" spans="1:19" x14ac:dyDescent="0.2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  <c r="S4042" s="18"/>
    </row>
    <row r="4043" spans="1:19" x14ac:dyDescent="0.2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  <c r="S4043" s="18"/>
    </row>
    <row r="4044" spans="1:19" x14ac:dyDescent="0.2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  <c r="S4044" s="18"/>
    </row>
    <row r="4045" spans="1:19" x14ac:dyDescent="0.2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  <c r="S4045" s="18"/>
    </row>
    <row r="4046" spans="1:19" x14ac:dyDescent="0.2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18"/>
      <c r="S4046" s="18"/>
    </row>
    <row r="4047" spans="1:19" x14ac:dyDescent="0.2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  <c r="S4047" s="18"/>
    </row>
    <row r="4048" spans="1:19" x14ac:dyDescent="0.2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18"/>
      <c r="S4048" s="18"/>
    </row>
    <row r="4049" spans="1:19" x14ac:dyDescent="0.2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  <c r="S4049" s="18"/>
    </row>
    <row r="4050" spans="1:19" x14ac:dyDescent="0.2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8"/>
      <c r="R4050" s="18"/>
      <c r="S4050" s="18"/>
    </row>
    <row r="4051" spans="1:19" x14ac:dyDescent="0.2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  <c r="S4051" s="18"/>
    </row>
    <row r="4052" spans="1:19" x14ac:dyDescent="0.2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8"/>
      <c r="R4052" s="18"/>
      <c r="S4052" s="18"/>
    </row>
    <row r="4053" spans="1:19" x14ac:dyDescent="0.2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  <c r="S4053" s="18"/>
    </row>
    <row r="4054" spans="1:19" x14ac:dyDescent="0.2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8"/>
      <c r="R4054" s="18"/>
      <c r="S4054" s="18"/>
    </row>
    <row r="4055" spans="1:19" x14ac:dyDescent="0.2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  <c r="S4055" s="18"/>
    </row>
    <row r="4056" spans="1:19" x14ac:dyDescent="0.2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18"/>
      <c r="S4056" s="18"/>
    </row>
    <row r="4057" spans="1:19" x14ac:dyDescent="0.2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  <c r="S4057" s="18"/>
    </row>
    <row r="4058" spans="1:19" x14ac:dyDescent="0.2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8"/>
      <c r="R4058" s="18"/>
      <c r="S4058" s="18"/>
    </row>
    <row r="4059" spans="1:19" x14ac:dyDescent="0.2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  <c r="S4059" s="18"/>
    </row>
    <row r="4060" spans="1:19" x14ac:dyDescent="0.2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8"/>
      <c r="R4060" s="18"/>
      <c r="S4060" s="18"/>
    </row>
    <row r="4061" spans="1:19" x14ac:dyDescent="0.2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  <c r="S4061" s="18"/>
    </row>
    <row r="4062" spans="1:19" x14ac:dyDescent="0.2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8"/>
      <c r="R4062" s="18"/>
      <c r="S4062" s="18"/>
    </row>
    <row r="4063" spans="1:19" x14ac:dyDescent="0.2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  <c r="S4063" s="18"/>
    </row>
    <row r="4064" spans="1:19" x14ac:dyDescent="0.2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8"/>
      <c r="S4064" s="18"/>
    </row>
    <row r="4065" spans="1:19" x14ac:dyDescent="0.2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  <c r="S4065" s="18"/>
    </row>
    <row r="4066" spans="1:19" x14ac:dyDescent="0.2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8"/>
      <c r="R4066" s="18"/>
      <c r="S4066" s="18"/>
    </row>
    <row r="4067" spans="1:19" x14ac:dyDescent="0.2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  <c r="S4067" s="18"/>
    </row>
    <row r="4068" spans="1:19" x14ac:dyDescent="0.2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8"/>
      <c r="R4068" s="18"/>
      <c r="S4068" s="18"/>
    </row>
    <row r="4069" spans="1:19" x14ac:dyDescent="0.2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  <c r="S4069" s="18"/>
    </row>
    <row r="4070" spans="1:19" x14ac:dyDescent="0.2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8"/>
      <c r="R4070" s="18"/>
      <c r="S4070" s="18"/>
    </row>
    <row r="4071" spans="1:19" x14ac:dyDescent="0.2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  <c r="S4071" s="18"/>
    </row>
    <row r="4072" spans="1:19" x14ac:dyDescent="0.2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8"/>
      <c r="S4072" s="18"/>
    </row>
    <row r="4073" spans="1:19" x14ac:dyDescent="0.2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  <c r="S4073" s="18"/>
    </row>
    <row r="4074" spans="1:19" x14ac:dyDescent="0.2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8"/>
      <c r="R4074" s="18"/>
      <c r="S4074" s="18"/>
    </row>
    <row r="4075" spans="1:19" x14ac:dyDescent="0.2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  <c r="S4075" s="18"/>
    </row>
    <row r="4076" spans="1:19" x14ac:dyDescent="0.2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8"/>
      <c r="R4076" s="18"/>
      <c r="S4076" s="18"/>
    </row>
    <row r="4077" spans="1:19" x14ac:dyDescent="0.2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  <c r="S4077" s="18"/>
    </row>
    <row r="4078" spans="1:19" x14ac:dyDescent="0.2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8"/>
      <c r="R4078" s="18"/>
      <c r="S4078" s="18"/>
    </row>
    <row r="4079" spans="1:19" x14ac:dyDescent="0.2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8"/>
      <c r="R4079" s="18"/>
      <c r="S4079" s="18"/>
    </row>
    <row r="4080" spans="1:19" x14ac:dyDescent="0.2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8"/>
      <c r="R4080" s="18"/>
      <c r="S4080" s="18"/>
    </row>
    <row r="4081" spans="1:19" x14ac:dyDescent="0.2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  <c r="S4081" s="18"/>
    </row>
    <row r="4082" spans="1:19" x14ac:dyDescent="0.2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8"/>
      <c r="R4082" s="18"/>
      <c r="S4082" s="18"/>
    </row>
    <row r="4083" spans="1:19" x14ac:dyDescent="0.2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  <c r="S4083" s="18"/>
    </row>
    <row r="4084" spans="1:19" x14ac:dyDescent="0.2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  <c r="S4084" s="18"/>
    </row>
    <row r="4085" spans="1:19" x14ac:dyDescent="0.2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8"/>
      <c r="R4085" s="18"/>
      <c r="S4085" s="18"/>
    </row>
    <row r="4086" spans="1:19" x14ac:dyDescent="0.2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8"/>
      <c r="R4086" s="18"/>
      <c r="S4086" s="18"/>
    </row>
    <row r="4087" spans="1:19" x14ac:dyDescent="0.2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  <c r="S4087" s="18"/>
    </row>
    <row r="4088" spans="1:19" x14ac:dyDescent="0.2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8"/>
      <c r="R4088" s="18"/>
      <c r="S4088" s="18"/>
    </row>
    <row r="4089" spans="1:19" x14ac:dyDescent="0.2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8"/>
      <c r="R4089" s="18"/>
      <c r="S4089" s="18"/>
    </row>
    <row r="4090" spans="1:19" x14ac:dyDescent="0.2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  <c r="S4090" s="18"/>
    </row>
    <row r="4091" spans="1:19" x14ac:dyDescent="0.2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  <c r="S4091" s="18"/>
    </row>
    <row r="4092" spans="1:19" x14ac:dyDescent="0.2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8"/>
      <c r="R4092" s="18"/>
      <c r="S4092" s="18"/>
    </row>
    <row r="4093" spans="1:19" x14ac:dyDescent="0.2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  <c r="S4093" s="18"/>
    </row>
    <row r="4094" spans="1:19" x14ac:dyDescent="0.2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8"/>
      <c r="R4094" s="18"/>
      <c r="S4094" s="18"/>
    </row>
    <row r="4095" spans="1:19" x14ac:dyDescent="0.2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  <c r="S4095" s="18"/>
    </row>
    <row r="4096" spans="1:19" x14ac:dyDescent="0.2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18"/>
      <c r="S4096" s="18"/>
    </row>
    <row r="4097" spans="1:19" x14ac:dyDescent="0.2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  <c r="S4097" s="18"/>
    </row>
    <row r="4098" spans="1:19" x14ac:dyDescent="0.2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18"/>
      <c r="R4098" s="18"/>
      <c r="S4098" s="18"/>
    </row>
    <row r="4099" spans="1:19" x14ac:dyDescent="0.2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  <c r="S4099" s="18"/>
    </row>
    <row r="4100" spans="1:19" x14ac:dyDescent="0.2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  <c r="S4100" s="18"/>
    </row>
    <row r="4101" spans="1:19" x14ac:dyDescent="0.2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18"/>
      <c r="S4101" s="18"/>
    </row>
    <row r="4102" spans="1:19" x14ac:dyDescent="0.2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8"/>
      <c r="S4102" s="18"/>
    </row>
    <row r="4103" spans="1:19" x14ac:dyDescent="0.2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  <c r="S4103" s="18"/>
    </row>
    <row r="4104" spans="1:19" x14ac:dyDescent="0.2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18"/>
      <c r="S4104" s="18"/>
    </row>
    <row r="4105" spans="1:19" x14ac:dyDescent="0.2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  <c r="S4105" s="18"/>
    </row>
    <row r="4106" spans="1:19" x14ac:dyDescent="0.2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18"/>
      <c r="R4106" s="18"/>
      <c r="S4106" s="18"/>
    </row>
    <row r="4107" spans="1:19" x14ac:dyDescent="0.2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  <c r="S4107" s="18"/>
    </row>
    <row r="4108" spans="1:19" x14ac:dyDescent="0.2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18"/>
      <c r="R4108" s="18"/>
      <c r="S4108" s="18"/>
    </row>
    <row r="4109" spans="1:19" x14ac:dyDescent="0.2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18"/>
      <c r="S4109" s="18"/>
    </row>
    <row r="4110" spans="1:19" x14ac:dyDescent="0.2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8"/>
      <c r="S4110" s="18"/>
    </row>
    <row r="4111" spans="1:19" x14ac:dyDescent="0.2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  <c r="S4111" s="18"/>
    </row>
    <row r="4112" spans="1:19" x14ac:dyDescent="0.2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18"/>
      <c r="S4112" s="18"/>
    </row>
    <row r="4113" spans="1:19" x14ac:dyDescent="0.2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  <c r="S4113" s="18"/>
    </row>
    <row r="4114" spans="1:19" x14ac:dyDescent="0.2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18"/>
      <c r="S4114" s="18"/>
    </row>
    <row r="4115" spans="1:19" x14ac:dyDescent="0.2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  <c r="S4115" s="18"/>
    </row>
    <row r="4116" spans="1:19" x14ac:dyDescent="0.2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18"/>
      <c r="S4116" s="18"/>
    </row>
    <row r="4117" spans="1:19" x14ac:dyDescent="0.2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  <c r="S4117" s="18"/>
    </row>
    <row r="4118" spans="1:19" x14ac:dyDescent="0.2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  <c r="S4118" s="18"/>
    </row>
    <row r="4119" spans="1:19" x14ac:dyDescent="0.2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  <c r="S4119" s="18"/>
    </row>
    <row r="4120" spans="1:19" x14ac:dyDescent="0.2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18"/>
      <c r="S4120" s="18"/>
    </row>
    <row r="4121" spans="1:19" x14ac:dyDescent="0.2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  <c r="S4121" s="18"/>
    </row>
    <row r="4122" spans="1:19" x14ac:dyDescent="0.2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18"/>
      <c r="S4122" s="18"/>
    </row>
    <row r="4123" spans="1:19" x14ac:dyDescent="0.2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  <c r="S4123" s="18"/>
    </row>
    <row r="4124" spans="1:19" x14ac:dyDescent="0.2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18"/>
      <c r="S4124" s="18"/>
    </row>
    <row r="4125" spans="1:19" x14ac:dyDescent="0.2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  <c r="S4125" s="18"/>
    </row>
    <row r="4126" spans="1:19" x14ac:dyDescent="0.2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8"/>
      <c r="S4126" s="18"/>
    </row>
    <row r="4127" spans="1:19" x14ac:dyDescent="0.2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18"/>
      <c r="S4127" s="18"/>
    </row>
    <row r="4128" spans="1:19" x14ac:dyDescent="0.2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18"/>
      <c r="S4128" s="18"/>
    </row>
    <row r="4129" spans="1:19" x14ac:dyDescent="0.2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  <c r="S4129" s="18"/>
    </row>
    <row r="4130" spans="1:19" x14ac:dyDescent="0.2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18"/>
      <c r="S4130" s="18"/>
    </row>
    <row r="4131" spans="1:19" x14ac:dyDescent="0.2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  <c r="S4131" s="18"/>
    </row>
    <row r="4132" spans="1:19" x14ac:dyDescent="0.2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18"/>
      <c r="S4132" s="18"/>
    </row>
    <row r="4133" spans="1:19" x14ac:dyDescent="0.2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18"/>
      <c r="S4133" s="18"/>
    </row>
    <row r="4134" spans="1:19" x14ac:dyDescent="0.2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  <c r="S4134" s="18"/>
    </row>
    <row r="4135" spans="1:19" x14ac:dyDescent="0.2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  <c r="S4135" s="18"/>
    </row>
    <row r="4136" spans="1:19" x14ac:dyDescent="0.2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  <c r="S4136" s="18"/>
    </row>
    <row r="4137" spans="1:19" x14ac:dyDescent="0.2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  <c r="S4137" s="18"/>
    </row>
    <row r="4138" spans="1:19" x14ac:dyDescent="0.2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18"/>
      <c r="S4138" s="18"/>
    </row>
    <row r="4139" spans="1:19" x14ac:dyDescent="0.2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  <c r="S4139" s="18"/>
    </row>
    <row r="4140" spans="1:19" x14ac:dyDescent="0.2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18"/>
      <c r="S4140" s="18"/>
    </row>
    <row r="4141" spans="1:19" x14ac:dyDescent="0.2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  <c r="S4141" s="18"/>
    </row>
    <row r="4142" spans="1:19" x14ac:dyDescent="0.2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18"/>
      <c r="S4142" s="18"/>
    </row>
    <row r="4143" spans="1:19" x14ac:dyDescent="0.2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  <c r="S4143" s="18"/>
    </row>
    <row r="4144" spans="1:19" x14ac:dyDescent="0.2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18"/>
      <c r="S4144" s="18"/>
    </row>
    <row r="4145" spans="1:19" x14ac:dyDescent="0.2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  <c r="S4145" s="18"/>
    </row>
    <row r="4146" spans="1:19" x14ac:dyDescent="0.2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18"/>
      <c r="S4146" s="18"/>
    </row>
    <row r="4147" spans="1:19" x14ac:dyDescent="0.2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  <c r="S4147" s="18"/>
    </row>
    <row r="4148" spans="1:19" x14ac:dyDescent="0.2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  <c r="S4148" s="18"/>
    </row>
    <row r="4149" spans="1:19" x14ac:dyDescent="0.2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  <c r="S4149" s="18"/>
    </row>
    <row r="4150" spans="1:19" x14ac:dyDescent="0.2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18"/>
      <c r="S4150" s="18"/>
    </row>
    <row r="4151" spans="1:19" x14ac:dyDescent="0.2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  <c r="S4151" s="18"/>
    </row>
    <row r="4152" spans="1:19" x14ac:dyDescent="0.2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18"/>
      <c r="S4152" s="18"/>
    </row>
    <row r="4153" spans="1:19" x14ac:dyDescent="0.2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  <c r="S4153" s="18"/>
    </row>
    <row r="4154" spans="1:19" x14ac:dyDescent="0.2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18"/>
      <c r="S4154" s="18"/>
    </row>
    <row r="4155" spans="1:19" x14ac:dyDescent="0.2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18"/>
      <c r="S4155" s="18"/>
    </row>
    <row r="4156" spans="1:19" x14ac:dyDescent="0.2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  <c r="S4156" s="18"/>
    </row>
    <row r="4157" spans="1:19" x14ac:dyDescent="0.2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  <c r="S4157" s="18"/>
    </row>
    <row r="4158" spans="1:19" x14ac:dyDescent="0.2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18"/>
      <c r="S4158" s="18"/>
    </row>
    <row r="4159" spans="1:19" x14ac:dyDescent="0.2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  <c r="S4159" s="18"/>
    </row>
    <row r="4160" spans="1:19" x14ac:dyDescent="0.2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18"/>
      <c r="S4160" s="18"/>
    </row>
    <row r="4161" spans="1:19" x14ac:dyDescent="0.2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  <c r="S4161" s="18"/>
    </row>
    <row r="4162" spans="1:19" x14ac:dyDescent="0.2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18"/>
      <c r="S4162" s="18"/>
    </row>
    <row r="4163" spans="1:19" x14ac:dyDescent="0.2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  <c r="S4163" s="18"/>
    </row>
    <row r="4164" spans="1:19" x14ac:dyDescent="0.2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18"/>
      <c r="S4164" s="18"/>
    </row>
    <row r="4165" spans="1:19" x14ac:dyDescent="0.2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  <c r="S4165" s="18"/>
    </row>
    <row r="4166" spans="1:19" x14ac:dyDescent="0.2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18"/>
      <c r="S4166" s="18"/>
    </row>
    <row r="4167" spans="1:19" x14ac:dyDescent="0.2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  <c r="S4167" s="18"/>
    </row>
    <row r="4168" spans="1:19" x14ac:dyDescent="0.2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18"/>
      <c r="S4168" s="18"/>
    </row>
    <row r="4169" spans="1:19" x14ac:dyDescent="0.2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  <c r="S4169" s="18"/>
    </row>
    <row r="4170" spans="1:19" x14ac:dyDescent="0.2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18"/>
      <c r="S4170" s="18"/>
    </row>
    <row r="4171" spans="1:19" x14ac:dyDescent="0.2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  <c r="S4171" s="18"/>
    </row>
    <row r="4172" spans="1:19" x14ac:dyDescent="0.2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  <c r="S4172" s="18"/>
    </row>
    <row r="4173" spans="1:19" x14ac:dyDescent="0.2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  <c r="S4173" s="18"/>
    </row>
    <row r="4174" spans="1:19" x14ac:dyDescent="0.2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18"/>
      <c r="S4174" s="18"/>
    </row>
    <row r="4175" spans="1:19" x14ac:dyDescent="0.2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  <c r="S4175" s="18"/>
    </row>
    <row r="4176" spans="1:19" x14ac:dyDescent="0.2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18"/>
      <c r="S4176" s="18"/>
    </row>
    <row r="4177" spans="1:19" x14ac:dyDescent="0.2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18"/>
      <c r="S4177" s="18"/>
    </row>
    <row r="4178" spans="1:19" x14ac:dyDescent="0.2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18"/>
      <c r="S4178" s="18"/>
    </row>
    <row r="4179" spans="1:19" x14ac:dyDescent="0.2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  <c r="S4179" s="18"/>
    </row>
    <row r="4180" spans="1:19" x14ac:dyDescent="0.2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18"/>
      <c r="S4180" s="18"/>
    </row>
    <row r="4181" spans="1:19" x14ac:dyDescent="0.2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  <c r="S4181" s="18"/>
    </row>
    <row r="4182" spans="1:19" x14ac:dyDescent="0.2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  <c r="S4182" s="18"/>
    </row>
    <row r="4183" spans="1:19" x14ac:dyDescent="0.2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  <c r="S4183" s="18"/>
    </row>
    <row r="4184" spans="1:19" x14ac:dyDescent="0.2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  <c r="S4184" s="18"/>
    </row>
    <row r="4185" spans="1:19" x14ac:dyDescent="0.2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  <c r="S4185" s="18"/>
    </row>
    <row r="4186" spans="1:19" x14ac:dyDescent="0.2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18"/>
      <c r="S4186" s="18"/>
    </row>
    <row r="4187" spans="1:19" x14ac:dyDescent="0.2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  <c r="S4187" s="18"/>
    </row>
    <row r="4188" spans="1:19" x14ac:dyDescent="0.2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18"/>
      <c r="S4188" s="18"/>
    </row>
    <row r="4189" spans="1:19" x14ac:dyDescent="0.2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18"/>
      <c r="S4189" s="18"/>
    </row>
    <row r="4190" spans="1:19" x14ac:dyDescent="0.2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18"/>
      <c r="S4190" s="18"/>
    </row>
    <row r="4191" spans="1:19" x14ac:dyDescent="0.2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18"/>
      <c r="S4191" s="18"/>
    </row>
    <row r="4192" spans="1:19" x14ac:dyDescent="0.2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18"/>
      <c r="S4192" s="18"/>
    </row>
    <row r="4193" spans="1:19" x14ac:dyDescent="0.2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18"/>
      <c r="S4193" s="18"/>
    </row>
    <row r="4194" spans="1:19" x14ac:dyDescent="0.2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18"/>
      <c r="S4194" s="18"/>
    </row>
    <row r="4195" spans="1:19" x14ac:dyDescent="0.2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18"/>
      <c r="S4195" s="18"/>
    </row>
    <row r="4196" spans="1:19" x14ac:dyDescent="0.2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18"/>
      <c r="S4196" s="18"/>
    </row>
    <row r="4197" spans="1:19" x14ac:dyDescent="0.2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  <c r="S4197" s="18"/>
    </row>
    <row r="4198" spans="1:19" x14ac:dyDescent="0.2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18"/>
      <c r="S4198" s="18"/>
    </row>
    <row r="4199" spans="1:19" x14ac:dyDescent="0.2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  <c r="S4199" s="18"/>
    </row>
    <row r="4200" spans="1:19" x14ac:dyDescent="0.2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18"/>
      <c r="S4200" s="18"/>
    </row>
    <row r="4201" spans="1:19" x14ac:dyDescent="0.2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  <c r="S4201" s="18"/>
    </row>
    <row r="4202" spans="1:19" x14ac:dyDescent="0.2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18"/>
      <c r="S4202" s="18"/>
    </row>
    <row r="4203" spans="1:19" x14ac:dyDescent="0.2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  <c r="S4203" s="18"/>
    </row>
    <row r="4204" spans="1:19" x14ac:dyDescent="0.2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18"/>
      <c r="S4204" s="18"/>
    </row>
    <row r="4205" spans="1:19" x14ac:dyDescent="0.2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  <c r="S4205" s="18"/>
    </row>
    <row r="4206" spans="1:19" x14ac:dyDescent="0.2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18"/>
      <c r="S4206" s="18"/>
    </row>
    <row r="4207" spans="1:19" x14ac:dyDescent="0.2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  <c r="S4207" s="18"/>
    </row>
    <row r="4208" spans="1:19" x14ac:dyDescent="0.2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18"/>
      <c r="S4208" s="18"/>
    </row>
    <row r="4209" spans="1:19" x14ac:dyDescent="0.2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  <c r="S4209" s="18"/>
    </row>
    <row r="4210" spans="1:19" x14ac:dyDescent="0.2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18"/>
      <c r="S4210" s="18"/>
    </row>
    <row r="4211" spans="1:19" x14ac:dyDescent="0.2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  <c r="S4211" s="18"/>
    </row>
    <row r="4212" spans="1:19" x14ac:dyDescent="0.2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18"/>
      <c r="S4212" s="18"/>
    </row>
    <row r="4213" spans="1:19" x14ac:dyDescent="0.2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  <c r="S4213" s="18"/>
    </row>
    <row r="4214" spans="1:19" x14ac:dyDescent="0.2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18"/>
      <c r="S4214" s="18"/>
    </row>
    <row r="4215" spans="1:19" x14ac:dyDescent="0.2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  <c r="S4215" s="18"/>
    </row>
    <row r="4216" spans="1:19" x14ac:dyDescent="0.2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18"/>
      <c r="S4216" s="18"/>
    </row>
    <row r="4217" spans="1:19" x14ac:dyDescent="0.2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18"/>
      <c r="S4217" s="18"/>
    </row>
    <row r="4218" spans="1:19" x14ac:dyDescent="0.2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  <c r="S4218" s="18"/>
    </row>
    <row r="4219" spans="1:19" x14ac:dyDescent="0.2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  <c r="S4219" s="18"/>
    </row>
    <row r="4220" spans="1:19" x14ac:dyDescent="0.2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18"/>
      <c r="S4220" s="18"/>
    </row>
    <row r="4221" spans="1:19" x14ac:dyDescent="0.2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18"/>
      <c r="S4221" s="18"/>
    </row>
    <row r="4222" spans="1:19" x14ac:dyDescent="0.2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18"/>
      <c r="S4222" s="18"/>
    </row>
    <row r="4223" spans="1:19" x14ac:dyDescent="0.2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  <c r="S4223" s="18"/>
    </row>
    <row r="4224" spans="1:19" x14ac:dyDescent="0.2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18"/>
      <c r="S4224" s="18"/>
    </row>
    <row r="4225" spans="1:19" x14ac:dyDescent="0.2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  <c r="S4225" s="18"/>
    </row>
    <row r="4226" spans="1:19" x14ac:dyDescent="0.2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18"/>
      <c r="S4226" s="18"/>
    </row>
    <row r="4227" spans="1:19" x14ac:dyDescent="0.2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  <c r="S4227" s="18"/>
    </row>
    <row r="4228" spans="1:19" x14ac:dyDescent="0.2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  <c r="S4228" s="18"/>
    </row>
    <row r="4229" spans="1:19" x14ac:dyDescent="0.2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  <c r="S4229" s="18"/>
    </row>
    <row r="4230" spans="1:19" x14ac:dyDescent="0.2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18"/>
      <c r="S4230" s="18"/>
    </row>
    <row r="4231" spans="1:19" x14ac:dyDescent="0.2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  <c r="S4231" s="18"/>
    </row>
    <row r="4232" spans="1:19" x14ac:dyDescent="0.2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18"/>
      <c r="S4232" s="18"/>
    </row>
    <row r="4233" spans="1:19" x14ac:dyDescent="0.2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  <c r="S4233" s="18"/>
    </row>
    <row r="4234" spans="1:19" x14ac:dyDescent="0.2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  <c r="S4234" s="18"/>
    </row>
    <row r="4235" spans="1:19" x14ac:dyDescent="0.2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  <c r="S4235" s="18"/>
    </row>
    <row r="4236" spans="1:19" x14ac:dyDescent="0.2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18"/>
      <c r="S4236" s="18"/>
    </row>
    <row r="4237" spans="1:19" x14ac:dyDescent="0.2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  <c r="S4237" s="18"/>
    </row>
    <row r="4238" spans="1:19" x14ac:dyDescent="0.2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18"/>
      <c r="S4238" s="18"/>
    </row>
    <row r="4239" spans="1:19" x14ac:dyDescent="0.2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  <c r="S4239" s="18"/>
    </row>
    <row r="4240" spans="1:19" x14ac:dyDescent="0.2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18"/>
      <c r="S4240" s="18"/>
    </row>
    <row r="4241" spans="1:19" x14ac:dyDescent="0.2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  <c r="P4241" s="18"/>
      <c r="Q4241" s="18"/>
      <c r="R4241" s="18"/>
      <c r="S4241" s="18"/>
    </row>
    <row r="4242" spans="1:19" x14ac:dyDescent="0.2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  <c r="O4242" s="18"/>
      <c r="P4242" s="18"/>
      <c r="Q4242" s="18"/>
      <c r="R4242" s="18"/>
      <c r="S4242" s="18"/>
    </row>
    <row r="4243" spans="1:19" x14ac:dyDescent="0.2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  <c r="P4243" s="18"/>
      <c r="Q4243" s="18"/>
      <c r="R4243" s="18"/>
      <c r="S4243" s="18"/>
    </row>
    <row r="4244" spans="1:19" x14ac:dyDescent="0.2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  <c r="O4244" s="18"/>
      <c r="P4244" s="18"/>
      <c r="Q4244" s="18"/>
      <c r="R4244" s="18"/>
      <c r="S4244" s="18"/>
    </row>
    <row r="4245" spans="1:19" x14ac:dyDescent="0.2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  <c r="P4245" s="18"/>
      <c r="Q4245" s="18"/>
      <c r="R4245" s="18"/>
      <c r="S4245" s="18"/>
    </row>
    <row r="4246" spans="1:19" x14ac:dyDescent="0.2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  <c r="O4246" s="18"/>
      <c r="P4246" s="18"/>
      <c r="Q4246" s="18"/>
      <c r="R4246" s="18"/>
      <c r="S4246" s="18"/>
    </row>
    <row r="4247" spans="1:19" x14ac:dyDescent="0.2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  <c r="P4247" s="18"/>
      <c r="Q4247" s="18"/>
      <c r="R4247" s="18"/>
      <c r="S4247" s="18"/>
    </row>
    <row r="4248" spans="1:19" x14ac:dyDescent="0.2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  <c r="O4248" s="18"/>
      <c r="P4248" s="18"/>
      <c r="Q4248" s="18"/>
      <c r="R4248" s="18"/>
      <c r="S4248" s="18"/>
    </row>
    <row r="4249" spans="1:19" x14ac:dyDescent="0.2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  <c r="P4249" s="18"/>
      <c r="Q4249" s="18"/>
      <c r="R4249" s="18"/>
      <c r="S4249" s="18"/>
    </row>
    <row r="4250" spans="1:19" x14ac:dyDescent="0.2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  <c r="O4250" s="18"/>
      <c r="P4250" s="18"/>
      <c r="Q4250" s="18"/>
      <c r="R4250" s="18"/>
      <c r="S4250" s="18"/>
    </row>
    <row r="4251" spans="1:19" x14ac:dyDescent="0.2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  <c r="P4251" s="18"/>
      <c r="Q4251" s="18"/>
      <c r="R4251" s="18"/>
      <c r="S4251" s="18"/>
    </row>
    <row r="4252" spans="1:19" x14ac:dyDescent="0.2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  <c r="O4252" s="18"/>
      <c r="P4252" s="18"/>
      <c r="Q4252" s="18"/>
      <c r="R4252" s="18"/>
      <c r="S4252" s="18"/>
    </row>
    <row r="4253" spans="1:19" x14ac:dyDescent="0.2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  <c r="P4253" s="18"/>
      <c r="Q4253" s="18"/>
      <c r="R4253" s="18"/>
      <c r="S4253" s="18"/>
    </row>
  </sheetData>
  <phoneticPr fontId="6" type="noConversion"/>
  <pageMargins left="0" right="0" top="0.7" bottom="0" header="0.25" footer="0"/>
  <pageSetup scale="72" orientation="landscape" horizontalDpi="300" r:id="rId1"/>
  <headerFooter alignWithMargins="0">
    <oddFooter>&amp;CPage &amp;P of &amp;N</oddFooter>
  </headerFooter>
  <rowBreaks count="2" manualBreakCount="2">
    <brk id="58" max="18" man="1"/>
    <brk id="187" max="16383" man="1"/>
  </rowBreaks>
  <customProperties>
    <customPr name="_pios_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3:CM96"/>
  <sheetViews>
    <sheetView zoomScale="115" zoomScaleNormal="115" zoomScaleSheetLayoutView="85" workbookViewId="0">
      <pane xSplit="2" ySplit="11" topLeftCell="I12" activePane="bottomRight" state="frozen"/>
      <selection activeCell="E28" sqref="E28"/>
      <selection pane="topRight" activeCell="E28" sqref="E28"/>
      <selection pane="bottomLeft" activeCell="E28" sqref="E28"/>
      <selection pane="bottomRight" activeCell="E28" sqref="E28"/>
    </sheetView>
  </sheetViews>
  <sheetFormatPr defaultColWidth="9.140625" defaultRowHeight="12.75" x14ac:dyDescent="0.2"/>
  <cols>
    <col min="1" max="1" width="9.140625" style="211"/>
    <col min="2" max="2" width="34.42578125" style="211" bestFit="1" customWidth="1"/>
    <col min="3" max="86" width="11.5703125" style="211" customWidth="1"/>
    <col min="87" max="16384" width="9.140625" style="211"/>
  </cols>
  <sheetData>
    <row r="3" spans="1:91" x14ac:dyDescent="0.2">
      <c r="N3" s="577" t="s">
        <v>716</v>
      </c>
    </row>
    <row r="4" spans="1:91" ht="15.75" x14ac:dyDescent="0.25">
      <c r="A4" s="223" t="s">
        <v>100</v>
      </c>
      <c r="B4" s="578"/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9"/>
      <c r="P4" s="579"/>
      <c r="Q4" s="579"/>
      <c r="R4" s="579"/>
      <c r="S4" s="579"/>
      <c r="T4" s="579"/>
      <c r="U4" s="579"/>
      <c r="V4" s="579"/>
      <c r="W4" s="579"/>
      <c r="X4" s="579"/>
    </row>
    <row r="5" spans="1:91" ht="15.75" x14ac:dyDescent="0.25">
      <c r="A5" s="223" t="s">
        <v>101</v>
      </c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9"/>
      <c r="P5" s="579"/>
      <c r="Q5" s="579"/>
      <c r="R5" s="579"/>
      <c r="S5" s="579"/>
      <c r="T5" s="579"/>
      <c r="U5" s="579"/>
      <c r="V5" s="579"/>
      <c r="W5" s="579"/>
      <c r="X5" s="579"/>
    </row>
    <row r="6" spans="1:91" ht="15.75" x14ac:dyDescent="0.25">
      <c r="A6" s="223" t="str">
        <f>'WNA Summary'!I6</f>
        <v>Reference Period - Twelve Months Ending 06/30/2017</v>
      </c>
      <c r="B6" s="578"/>
      <c r="C6" s="578"/>
      <c r="D6" s="578"/>
      <c r="E6" s="578"/>
      <c r="F6" s="578"/>
      <c r="G6" s="578"/>
      <c r="H6" s="578"/>
      <c r="I6" s="578"/>
      <c r="J6" s="578"/>
      <c r="K6" s="578"/>
      <c r="L6" s="578"/>
      <c r="M6" s="578"/>
      <c r="N6" s="578"/>
      <c r="O6" s="579"/>
      <c r="P6" s="579"/>
      <c r="Q6" s="579"/>
      <c r="R6" s="579"/>
      <c r="S6" s="579"/>
      <c r="T6" s="579"/>
      <c r="U6" s="579"/>
      <c r="V6" s="579"/>
      <c r="W6" s="579"/>
      <c r="X6" s="579"/>
    </row>
    <row r="7" spans="1:91" ht="15.75" x14ac:dyDescent="0.25">
      <c r="A7" s="223" t="s">
        <v>688</v>
      </c>
      <c r="B7" s="578"/>
      <c r="C7" s="578"/>
      <c r="D7" s="578"/>
      <c r="E7" s="578"/>
      <c r="F7" s="578"/>
      <c r="G7" s="578"/>
      <c r="H7" s="578"/>
      <c r="I7" s="578"/>
      <c r="J7" s="578"/>
      <c r="K7" s="578"/>
      <c r="L7" s="578"/>
      <c r="M7" s="578"/>
      <c r="N7" s="578"/>
      <c r="O7" s="580"/>
      <c r="P7" s="580"/>
      <c r="Q7" s="579"/>
      <c r="R7" s="579"/>
      <c r="S7" s="579"/>
      <c r="T7" s="579"/>
      <c r="U7" s="579"/>
      <c r="V7" s="579"/>
      <c r="W7" s="579"/>
      <c r="X7" s="579"/>
    </row>
    <row r="8" spans="1:91" ht="15.75" x14ac:dyDescent="0.25">
      <c r="A8" s="579"/>
      <c r="B8" s="579"/>
      <c r="C8" s="579"/>
      <c r="D8" s="579"/>
      <c r="E8" s="579"/>
      <c r="F8" s="579"/>
      <c r="G8" s="579"/>
      <c r="H8" s="579"/>
      <c r="I8" s="579"/>
      <c r="J8" s="579"/>
      <c r="K8" s="581"/>
      <c r="L8" s="579"/>
      <c r="M8" s="579"/>
      <c r="N8" s="579"/>
      <c r="O8" s="579"/>
      <c r="P8" s="579"/>
      <c r="Q8" s="579"/>
      <c r="R8" s="579"/>
      <c r="S8" s="579"/>
      <c r="T8" s="579"/>
      <c r="U8" s="579"/>
      <c r="V8" s="579"/>
      <c r="W8" s="579"/>
      <c r="X8" s="579"/>
    </row>
    <row r="10" spans="1:91" s="42" customFormat="1" x14ac:dyDescent="0.2">
      <c r="A10" s="582" t="s">
        <v>12</v>
      </c>
      <c r="B10" s="582" t="s">
        <v>5</v>
      </c>
      <c r="C10" s="214">
        <f>Dashboard!B6</f>
        <v>42582</v>
      </c>
      <c r="D10" s="583">
        <f>EOMONTH(C10,1)</f>
        <v>42613</v>
      </c>
      <c r="E10" s="583">
        <f t="shared" ref="E10:BP10" si="0">EOMONTH(D10,1)</f>
        <v>42643</v>
      </c>
      <c r="F10" s="583">
        <f t="shared" si="0"/>
        <v>42674</v>
      </c>
      <c r="G10" s="583">
        <f t="shared" si="0"/>
        <v>42704</v>
      </c>
      <c r="H10" s="583">
        <f t="shared" si="0"/>
        <v>42735</v>
      </c>
      <c r="I10" s="583">
        <f t="shared" si="0"/>
        <v>42766</v>
      </c>
      <c r="J10" s="583">
        <f t="shared" si="0"/>
        <v>42794</v>
      </c>
      <c r="K10" s="583">
        <f t="shared" si="0"/>
        <v>42825</v>
      </c>
      <c r="L10" s="583">
        <f t="shared" si="0"/>
        <v>42855</v>
      </c>
      <c r="M10" s="583">
        <f t="shared" si="0"/>
        <v>42886</v>
      </c>
      <c r="N10" s="583">
        <f t="shared" si="0"/>
        <v>42916</v>
      </c>
      <c r="O10" s="583">
        <f t="shared" si="0"/>
        <v>42947</v>
      </c>
      <c r="P10" s="583">
        <f t="shared" si="0"/>
        <v>42978</v>
      </c>
      <c r="Q10" s="583">
        <f t="shared" si="0"/>
        <v>43008</v>
      </c>
      <c r="R10" s="583">
        <f t="shared" si="0"/>
        <v>43039</v>
      </c>
      <c r="S10" s="583">
        <f t="shared" si="0"/>
        <v>43069</v>
      </c>
      <c r="T10" s="583">
        <f t="shared" si="0"/>
        <v>43100</v>
      </c>
      <c r="U10" s="583">
        <f t="shared" si="0"/>
        <v>43131</v>
      </c>
      <c r="V10" s="583">
        <f t="shared" si="0"/>
        <v>43159</v>
      </c>
      <c r="W10" s="583">
        <f t="shared" si="0"/>
        <v>43190</v>
      </c>
      <c r="X10" s="583">
        <f t="shared" si="0"/>
        <v>43220</v>
      </c>
      <c r="Y10" s="583">
        <f t="shared" si="0"/>
        <v>43251</v>
      </c>
      <c r="Z10" s="583">
        <f t="shared" si="0"/>
        <v>43281</v>
      </c>
      <c r="AA10" s="583">
        <f t="shared" si="0"/>
        <v>43312</v>
      </c>
      <c r="AB10" s="583">
        <f t="shared" si="0"/>
        <v>43343</v>
      </c>
      <c r="AC10" s="583">
        <f t="shared" si="0"/>
        <v>43373</v>
      </c>
      <c r="AD10" s="583">
        <f t="shared" si="0"/>
        <v>43404</v>
      </c>
      <c r="AE10" s="583">
        <f t="shared" si="0"/>
        <v>43434</v>
      </c>
      <c r="AF10" s="583">
        <f t="shared" si="0"/>
        <v>43465</v>
      </c>
      <c r="AG10" s="583">
        <f t="shared" si="0"/>
        <v>43496</v>
      </c>
      <c r="AH10" s="583">
        <f t="shared" si="0"/>
        <v>43524</v>
      </c>
      <c r="AI10" s="583">
        <f t="shared" si="0"/>
        <v>43555</v>
      </c>
      <c r="AJ10" s="583">
        <f t="shared" si="0"/>
        <v>43585</v>
      </c>
      <c r="AK10" s="583">
        <f t="shared" si="0"/>
        <v>43616</v>
      </c>
      <c r="AL10" s="583">
        <f t="shared" si="0"/>
        <v>43646</v>
      </c>
      <c r="AM10" s="583">
        <f t="shared" si="0"/>
        <v>43677</v>
      </c>
      <c r="AN10" s="583">
        <f t="shared" si="0"/>
        <v>43708</v>
      </c>
      <c r="AO10" s="583">
        <f t="shared" si="0"/>
        <v>43738</v>
      </c>
      <c r="AP10" s="583">
        <f t="shared" si="0"/>
        <v>43769</v>
      </c>
      <c r="AQ10" s="583">
        <f t="shared" si="0"/>
        <v>43799</v>
      </c>
      <c r="AR10" s="583">
        <f t="shared" si="0"/>
        <v>43830</v>
      </c>
      <c r="AS10" s="583">
        <f t="shared" si="0"/>
        <v>43861</v>
      </c>
      <c r="AT10" s="583">
        <f t="shared" si="0"/>
        <v>43890</v>
      </c>
      <c r="AU10" s="583">
        <f t="shared" si="0"/>
        <v>43921</v>
      </c>
      <c r="AV10" s="583">
        <f t="shared" si="0"/>
        <v>43951</v>
      </c>
      <c r="AW10" s="583">
        <f t="shared" si="0"/>
        <v>43982</v>
      </c>
      <c r="AX10" s="583">
        <f t="shared" si="0"/>
        <v>44012</v>
      </c>
      <c r="AY10" s="583">
        <f t="shared" si="0"/>
        <v>44043</v>
      </c>
      <c r="AZ10" s="583">
        <f t="shared" si="0"/>
        <v>44074</v>
      </c>
      <c r="BA10" s="583">
        <f t="shared" si="0"/>
        <v>44104</v>
      </c>
      <c r="BB10" s="583">
        <f t="shared" si="0"/>
        <v>44135</v>
      </c>
      <c r="BC10" s="583">
        <f t="shared" si="0"/>
        <v>44165</v>
      </c>
      <c r="BD10" s="583">
        <f t="shared" si="0"/>
        <v>44196</v>
      </c>
      <c r="BE10" s="583">
        <f t="shared" si="0"/>
        <v>44227</v>
      </c>
      <c r="BF10" s="583">
        <f t="shared" si="0"/>
        <v>44255</v>
      </c>
      <c r="BG10" s="583">
        <f t="shared" si="0"/>
        <v>44286</v>
      </c>
      <c r="BH10" s="583">
        <f t="shared" si="0"/>
        <v>44316</v>
      </c>
      <c r="BI10" s="583">
        <f t="shared" si="0"/>
        <v>44347</v>
      </c>
      <c r="BJ10" s="583">
        <f t="shared" si="0"/>
        <v>44377</v>
      </c>
      <c r="BK10" s="583">
        <f t="shared" si="0"/>
        <v>44408</v>
      </c>
      <c r="BL10" s="583">
        <f t="shared" si="0"/>
        <v>44439</v>
      </c>
      <c r="BM10" s="583">
        <f t="shared" si="0"/>
        <v>44469</v>
      </c>
      <c r="BN10" s="583">
        <f t="shared" si="0"/>
        <v>44500</v>
      </c>
      <c r="BO10" s="583">
        <f t="shared" si="0"/>
        <v>44530</v>
      </c>
      <c r="BP10" s="583">
        <f t="shared" si="0"/>
        <v>44561</v>
      </c>
      <c r="BQ10" s="583">
        <f t="shared" ref="BQ10:CH10" si="1">EOMONTH(BP10,1)</f>
        <v>44592</v>
      </c>
      <c r="BR10" s="583">
        <f t="shared" si="1"/>
        <v>44620</v>
      </c>
      <c r="BS10" s="583">
        <f t="shared" si="1"/>
        <v>44651</v>
      </c>
      <c r="BT10" s="583">
        <f t="shared" si="1"/>
        <v>44681</v>
      </c>
      <c r="BU10" s="583">
        <f t="shared" si="1"/>
        <v>44712</v>
      </c>
      <c r="BV10" s="583">
        <f t="shared" si="1"/>
        <v>44742</v>
      </c>
      <c r="BW10" s="583">
        <f t="shared" si="1"/>
        <v>44773</v>
      </c>
      <c r="BX10" s="583">
        <f t="shared" si="1"/>
        <v>44804</v>
      </c>
      <c r="BY10" s="583">
        <f t="shared" si="1"/>
        <v>44834</v>
      </c>
      <c r="BZ10" s="583">
        <f t="shared" si="1"/>
        <v>44865</v>
      </c>
      <c r="CA10" s="583">
        <f t="shared" si="1"/>
        <v>44895</v>
      </c>
      <c r="CB10" s="583">
        <f t="shared" si="1"/>
        <v>44926</v>
      </c>
      <c r="CC10" s="583">
        <f t="shared" si="1"/>
        <v>44957</v>
      </c>
      <c r="CD10" s="583">
        <f t="shared" si="1"/>
        <v>44985</v>
      </c>
      <c r="CE10" s="583">
        <f t="shared" si="1"/>
        <v>45016</v>
      </c>
      <c r="CF10" s="583">
        <f t="shared" si="1"/>
        <v>45046</v>
      </c>
      <c r="CG10" s="583">
        <f t="shared" si="1"/>
        <v>45077</v>
      </c>
      <c r="CH10" s="583">
        <f t="shared" si="1"/>
        <v>45107</v>
      </c>
      <c r="CI10" s="584"/>
      <c r="CJ10" s="584"/>
      <c r="CK10" s="584"/>
      <c r="CL10" s="584"/>
      <c r="CM10" s="584"/>
    </row>
    <row r="11" spans="1:91" s="42" customFormat="1" x14ac:dyDescent="0.2">
      <c r="A11" s="211"/>
      <c r="B11" s="585"/>
      <c r="C11" s="585" t="s">
        <v>13</v>
      </c>
      <c r="D11" s="213" t="s">
        <v>14</v>
      </c>
      <c r="E11" s="586" t="s">
        <v>15</v>
      </c>
      <c r="F11" s="586" t="s">
        <v>16</v>
      </c>
      <c r="G11" s="586" t="s">
        <v>108</v>
      </c>
      <c r="H11" s="586" t="s">
        <v>109</v>
      </c>
      <c r="I11" s="586" t="s">
        <v>110</v>
      </c>
      <c r="J11" s="586" t="s">
        <v>111</v>
      </c>
      <c r="K11" s="586" t="s">
        <v>112</v>
      </c>
      <c r="L11" s="586" t="s">
        <v>113</v>
      </c>
      <c r="M11" s="586" t="s">
        <v>114</v>
      </c>
      <c r="N11" s="586" t="s">
        <v>115</v>
      </c>
      <c r="O11" s="586" t="s">
        <v>116</v>
      </c>
      <c r="P11" s="586" t="s">
        <v>234</v>
      </c>
      <c r="Q11" s="586" t="s">
        <v>235</v>
      </c>
      <c r="R11" s="586" t="s">
        <v>236</v>
      </c>
      <c r="S11" s="586" t="s">
        <v>237</v>
      </c>
      <c r="T11" s="586" t="s">
        <v>238</v>
      </c>
      <c r="U11" s="586" t="s">
        <v>239</v>
      </c>
      <c r="V11" s="586" t="s">
        <v>240</v>
      </c>
      <c r="W11" s="586" t="s">
        <v>241</v>
      </c>
      <c r="X11" s="586" t="s">
        <v>242</v>
      </c>
      <c r="Y11" s="586" t="s">
        <v>243</v>
      </c>
      <c r="Z11" s="586" t="s">
        <v>244</v>
      </c>
      <c r="AA11" s="586" t="s">
        <v>245</v>
      </c>
      <c r="AB11" s="586" t="s">
        <v>246</v>
      </c>
      <c r="AC11" s="586" t="s">
        <v>247</v>
      </c>
      <c r="AD11" s="586" t="s">
        <v>248</v>
      </c>
      <c r="AE11" s="586" t="s">
        <v>249</v>
      </c>
      <c r="AF11" s="586" t="s">
        <v>250</v>
      </c>
      <c r="AG11" s="586" t="s">
        <v>251</v>
      </c>
      <c r="AH11" s="586" t="s">
        <v>252</v>
      </c>
      <c r="AI11" s="586" t="s">
        <v>253</v>
      </c>
      <c r="AJ11" s="586" t="s">
        <v>254</v>
      </c>
      <c r="AK11" s="586" t="s">
        <v>255</v>
      </c>
      <c r="AL11" s="586" t="s">
        <v>256</v>
      </c>
      <c r="AM11" s="586" t="s">
        <v>257</v>
      </c>
      <c r="AN11" s="586" t="s">
        <v>258</v>
      </c>
      <c r="AO11" s="586" t="s">
        <v>259</v>
      </c>
      <c r="AP11" s="586" t="s">
        <v>260</v>
      </c>
      <c r="AQ11" s="586" t="s">
        <v>261</v>
      </c>
      <c r="AR11" s="586" t="s">
        <v>262</v>
      </c>
      <c r="AS11" s="586" t="s">
        <v>263</v>
      </c>
      <c r="AT11" s="586" t="s">
        <v>264</v>
      </c>
      <c r="AU11" s="586" t="s">
        <v>265</v>
      </c>
      <c r="AV11" s="586" t="s">
        <v>266</v>
      </c>
      <c r="AW11" s="586" t="s">
        <v>267</v>
      </c>
      <c r="AX11" s="586" t="s">
        <v>268</v>
      </c>
      <c r="AY11" s="586" t="s">
        <v>269</v>
      </c>
      <c r="AZ11" s="586" t="s">
        <v>270</v>
      </c>
      <c r="BA11" s="586" t="s">
        <v>271</v>
      </c>
      <c r="BB11" s="586" t="s">
        <v>272</v>
      </c>
      <c r="BC11" s="586" t="s">
        <v>273</v>
      </c>
      <c r="BD11" s="586" t="s">
        <v>274</v>
      </c>
      <c r="BE11" s="586" t="s">
        <v>275</v>
      </c>
      <c r="BF11" s="586" t="s">
        <v>276</v>
      </c>
      <c r="BG11" s="586" t="s">
        <v>277</v>
      </c>
      <c r="BH11" s="586" t="s">
        <v>278</v>
      </c>
      <c r="BI11" s="586" t="s">
        <v>279</v>
      </c>
      <c r="BJ11" s="586" t="s">
        <v>280</v>
      </c>
      <c r="BK11" s="586" t="s">
        <v>281</v>
      </c>
      <c r="BL11" s="586" t="s">
        <v>282</v>
      </c>
      <c r="BM11" s="586" t="s">
        <v>298</v>
      </c>
      <c r="BN11" s="586" t="s">
        <v>299</v>
      </c>
      <c r="BO11" s="586" t="s">
        <v>300</v>
      </c>
      <c r="BP11" s="586" t="s">
        <v>301</v>
      </c>
      <c r="BQ11" s="586" t="s">
        <v>302</v>
      </c>
      <c r="BR11" s="586" t="s">
        <v>303</v>
      </c>
      <c r="BS11" s="586" t="s">
        <v>304</v>
      </c>
      <c r="BT11" s="586" t="s">
        <v>305</v>
      </c>
      <c r="BU11" s="586" t="s">
        <v>306</v>
      </c>
      <c r="BV11" s="586" t="s">
        <v>307</v>
      </c>
      <c r="BW11" s="586" t="s">
        <v>308</v>
      </c>
      <c r="BX11" s="586" t="s">
        <v>309</v>
      </c>
      <c r="BY11" s="586" t="s">
        <v>329</v>
      </c>
      <c r="BZ11" s="586" t="s">
        <v>330</v>
      </c>
      <c r="CA11" s="586" t="s">
        <v>331</v>
      </c>
      <c r="CB11" s="586" t="s">
        <v>332</v>
      </c>
      <c r="CC11" s="586" t="s">
        <v>333</v>
      </c>
      <c r="CD11" s="586" t="s">
        <v>334</v>
      </c>
      <c r="CE11" s="586" t="s">
        <v>335</v>
      </c>
      <c r="CF11" s="586" t="s">
        <v>336</v>
      </c>
      <c r="CG11" s="586" t="s">
        <v>337</v>
      </c>
      <c r="CH11" s="586" t="s">
        <v>338</v>
      </c>
      <c r="CI11" s="587"/>
      <c r="CJ11" s="584"/>
      <c r="CK11" s="584"/>
      <c r="CL11" s="584"/>
      <c r="CM11" s="584"/>
    </row>
    <row r="12" spans="1:91" s="42" customFormat="1" x14ac:dyDescent="0.2">
      <c r="A12" s="211"/>
      <c r="B12" s="211"/>
      <c r="C12" s="212"/>
      <c r="D12" s="588"/>
      <c r="E12" s="588"/>
      <c r="F12" s="588"/>
      <c r="G12" s="588"/>
      <c r="H12" s="588"/>
      <c r="I12" s="588"/>
      <c r="J12" s="588"/>
      <c r="K12" s="588"/>
      <c r="L12" s="588"/>
      <c r="M12" s="588"/>
      <c r="N12" s="588"/>
      <c r="O12" s="211"/>
      <c r="P12" s="588"/>
      <c r="Q12" s="588"/>
      <c r="R12" s="588"/>
      <c r="S12" s="588"/>
      <c r="T12" s="588"/>
      <c r="U12" s="588"/>
      <c r="V12" s="588"/>
      <c r="W12" s="588"/>
      <c r="X12" s="588"/>
      <c r="Y12" s="588"/>
      <c r="Z12" s="588"/>
      <c r="AA12" s="588"/>
      <c r="AB12" s="588"/>
      <c r="AC12" s="588"/>
      <c r="AD12" s="588"/>
      <c r="AE12" s="588"/>
      <c r="AF12" s="588"/>
      <c r="AG12" s="588"/>
      <c r="AH12" s="588"/>
      <c r="AI12" s="588"/>
      <c r="AJ12" s="588"/>
      <c r="AK12" s="588"/>
      <c r="AL12" s="588"/>
      <c r="AM12" s="588"/>
      <c r="AN12" s="588"/>
      <c r="AO12" s="588"/>
      <c r="AP12" s="588"/>
      <c r="AQ12" s="588"/>
      <c r="AR12" s="588"/>
      <c r="AS12" s="588"/>
      <c r="AT12" s="588"/>
      <c r="AU12" s="588"/>
      <c r="AV12" s="588"/>
      <c r="AW12" s="588"/>
      <c r="AX12" s="588"/>
      <c r="AY12" s="588"/>
      <c r="AZ12" s="588"/>
      <c r="BA12" s="588"/>
      <c r="BB12" s="588"/>
      <c r="BC12" s="588"/>
      <c r="BD12" s="588"/>
      <c r="BE12" s="588"/>
      <c r="BF12" s="588"/>
      <c r="BG12" s="588"/>
      <c r="BH12" s="588"/>
      <c r="BI12" s="588"/>
      <c r="BJ12" s="588"/>
      <c r="BK12" s="588"/>
      <c r="BL12" s="588"/>
      <c r="BM12" s="588"/>
      <c r="BN12" s="588"/>
      <c r="BO12" s="588"/>
      <c r="BP12" s="588"/>
      <c r="BQ12" s="588"/>
      <c r="BR12" s="588"/>
      <c r="BS12" s="588"/>
      <c r="BT12" s="588"/>
      <c r="BU12" s="588"/>
      <c r="BV12" s="588"/>
      <c r="BW12" s="588"/>
      <c r="BX12" s="588"/>
      <c r="BY12" s="588"/>
      <c r="BZ12" s="588"/>
      <c r="CA12" s="588"/>
      <c r="CB12" s="588"/>
      <c r="CC12" s="588"/>
      <c r="CD12" s="588"/>
      <c r="CE12" s="588"/>
      <c r="CF12" s="588"/>
      <c r="CG12" s="588"/>
      <c r="CH12" s="588"/>
      <c r="CI12" s="584"/>
      <c r="CJ12" s="584"/>
      <c r="CK12" s="584"/>
      <c r="CL12" s="584"/>
      <c r="CM12" s="584"/>
    </row>
    <row r="13" spans="1:91" x14ac:dyDescent="0.2">
      <c r="A13" s="585">
        <v>1</v>
      </c>
      <c r="B13" s="211" t="s">
        <v>584</v>
      </c>
      <c r="C13" s="210">
        <f>HDDs!$E$12</f>
        <v>0</v>
      </c>
      <c r="D13" s="210">
        <f>HDDs!$E$13</f>
        <v>0</v>
      </c>
      <c r="E13" s="210">
        <f>HDDs!$E$14</f>
        <v>0</v>
      </c>
      <c r="F13" s="210">
        <f>HDDs!$E$15</f>
        <v>40</v>
      </c>
      <c r="G13" s="210">
        <f>HDDs!$E$16</f>
        <v>204</v>
      </c>
      <c r="H13" s="210">
        <f>HDDs!$E$17</f>
        <v>671</v>
      </c>
      <c r="I13" s="210">
        <f>HDDs!$E$18</f>
        <v>788</v>
      </c>
      <c r="J13" s="210">
        <f>HDDs!$E$19</f>
        <v>604</v>
      </c>
      <c r="K13" s="210">
        <f>HDDs!$E$20</f>
        <v>432</v>
      </c>
      <c r="L13" s="210">
        <f>HDDs!$E$21</f>
        <v>226</v>
      </c>
      <c r="M13" s="210">
        <f>HDDs!$E$22</f>
        <v>93</v>
      </c>
      <c r="N13" s="210">
        <f>HDDs!$E$23</f>
        <v>4</v>
      </c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210"/>
      <c r="BN13" s="210"/>
      <c r="BO13" s="210"/>
      <c r="BP13" s="210"/>
      <c r="BQ13" s="210"/>
      <c r="BR13" s="210"/>
      <c r="BS13" s="210"/>
      <c r="BT13" s="210"/>
      <c r="BU13" s="210"/>
      <c r="BV13" s="210"/>
      <c r="BW13" s="210"/>
      <c r="BX13" s="210"/>
      <c r="BY13" s="210"/>
      <c r="BZ13" s="210"/>
      <c r="CA13" s="210"/>
      <c r="CB13" s="210"/>
      <c r="CC13" s="210"/>
      <c r="CD13" s="210"/>
      <c r="CE13" s="210"/>
      <c r="CF13" s="210"/>
      <c r="CG13" s="210"/>
      <c r="CH13" s="210"/>
    </row>
    <row r="14" spans="1:91" x14ac:dyDescent="0.2">
      <c r="A14" s="585">
        <v>2</v>
      </c>
      <c r="B14" s="211" t="s">
        <v>585</v>
      </c>
      <c r="C14" s="210">
        <f>HDDs!$F$12</f>
        <v>0</v>
      </c>
      <c r="D14" s="210">
        <f>HDDs!$F$13</f>
        <v>0</v>
      </c>
      <c r="E14" s="210">
        <f>HDDs!$F$14</f>
        <v>2</v>
      </c>
      <c r="F14" s="210">
        <f>HDDs!$F$15</f>
        <v>89</v>
      </c>
      <c r="G14" s="210">
        <f>HDDs!$F$16</f>
        <v>358</v>
      </c>
      <c r="H14" s="210">
        <f>HDDs!$F$17</f>
        <v>665</v>
      </c>
      <c r="I14" s="210">
        <f>HDDs!$F$18</f>
        <v>852</v>
      </c>
      <c r="J14" s="210">
        <f>HDDs!$F$19</f>
        <v>889</v>
      </c>
      <c r="K14" s="210">
        <f>HDDs!$F$20</f>
        <v>607</v>
      </c>
      <c r="L14" s="210">
        <f>HDDs!$F$21</f>
        <v>354</v>
      </c>
      <c r="M14" s="210">
        <f>HDDs!$F$22</f>
        <v>121</v>
      </c>
      <c r="N14" s="210">
        <f>HDDs!$F$23</f>
        <v>22</v>
      </c>
      <c r="O14" s="210">
        <f>C14</f>
        <v>0</v>
      </c>
      <c r="P14" s="210">
        <f t="shared" ref="P14:CA15" si="2">D14</f>
        <v>0</v>
      </c>
      <c r="Q14" s="210">
        <f t="shared" si="2"/>
        <v>2</v>
      </c>
      <c r="R14" s="210">
        <f t="shared" si="2"/>
        <v>89</v>
      </c>
      <c r="S14" s="210">
        <f t="shared" si="2"/>
        <v>358</v>
      </c>
      <c r="T14" s="210">
        <f t="shared" si="2"/>
        <v>665</v>
      </c>
      <c r="U14" s="210">
        <f t="shared" si="2"/>
        <v>852</v>
      </c>
      <c r="V14" s="210">
        <f t="shared" si="2"/>
        <v>889</v>
      </c>
      <c r="W14" s="210">
        <f t="shared" si="2"/>
        <v>607</v>
      </c>
      <c r="X14" s="210">
        <f t="shared" si="2"/>
        <v>354</v>
      </c>
      <c r="Y14" s="210">
        <f t="shared" si="2"/>
        <v>121</v>
      </c>
      <c r="Z14" s="210">
        <f t="shared" si="2"/>
        <v>22</v>
      </c>
      <c r="AA14" s="210">
        <f t="shared" si="2"/>
        <v>0</v>
      </c>
      <c r="AB14" s="210">
        <f t="shared" si="2"/>
        <v>0</v>
      </c>
      <c r="AC14" s="210">
        <f t="shared" si="2"/>
        <v>2</v>
      </c>
      <c r="AD14" s="210">
        <f t="shared" si="2"/>
        <v>89</v>
      </c>
      <c r="AE14" s="210">
        <f t="shared" si="2"/>
        <v>358</v>
      </c>
      <c r="AF14" s="210">
        <f t="shared" si="2"/>
        <v>665</v>
      </c>
      <c r="AG14" s="210">
        <f t="shared" si="2"/>
        <v>852</v>
      </c>
      <c r="AH14" s="210">
        <f t="shared" si="2"/>
        <v>889</v>
      </c>
      <c r="AI14" s="210">
        <f t="shared" si="2"/>
        <v>607</v>
      </c>
      <c r="AJ14" s="210">
        <f t="shared" si="2"/>
        <v>354</v>
      </c>
      <c r="AK14" s="210">
        <f t="shared" si="2"/>
        <v>121</v>
      </c>
      <c r="AL14" s="210">
        <f t="shared" si="2"/>
        <v>22</v>
      </c>
      <c r="AM14" s="210">
        <f t="shared" si="2"/>
        <v>0</v>
      </c>
      <c r="AN14" s="210">
        <f t="shared" si="2"/>
        <v>0</v>
      </c>
      <c r="AO14" s="210">
        <f t="shared" si="2"/>
        <v>2</v>
      </c>
      <c r="AP14" s="210">
        <f t="shared" si="2"/>
        <v>89</v>
      </c>
      <c r="AQ14" s="210">
        <f t="shared" si="2"/>
        <v>358</v>
      </c>
      <c r="AR14" s="210">
        <f t="shared" si="2"/>
        <v>665</v>
      </c>
      <c r="AS14" s="210">
        <f t="shared" si="2"/>
        <v>852</v>
      </c>
      <c r="AT14" s="210">
        <f t="shared" si="2"/>
        <v>889</v>
      </c>
      <c r="AU14" s="210">
        <f t="shared" si="2"/>
        <v>607</v>
      </c>
      <c r="AV14" s="210">
        <f t="shared" si="2"/>
        <v>354</v>
      </c>
      <c r="AW14" s="210">
        <f t="shared" si="2"/>
        <v>121</v>
      </c>
      <c r="AX14" s="210">
        <f t="shared" si="2"/>
        <v>22</v>
      </c>
      <c r="AY14" s="210">
        <f t="shared" si="2"/>
        <v>0</v>
      </c>
      <c r="AZ14" s="210">
        <f t="shared" si="2"/>
        <v>0</v>
      </c>
      <c r="BA14" s="210">
        <f t="shared" si="2"/>
        <v>2</v>
      </c>
      <c r="BB14" s="210">
        <f t="shared" si="2"/>
        <v>89</v>
      </c>
      <c r="BC14" s="210">
        <f t="shared" si="2"/>
        <v>358</v>
      </c>
      <c r="BD14" s="210">
        <f t="shared" si="2"/>
        <v>665</v>
      </c>
      <c r="BE14" s="210">
        <f t="shared" si="2"/>
        <v>852</v>
      </c>
      <c r="BF14" s="210">
        <f t="shared" si="2"/>
        <v>889</v>
      </c>
      <c r="BG14" s="210">
        <f t="shared" si="2"/>
        <v>607</v>
      </c>
      <c r="BH14" s="210">
        <f t="shared" si="2"/>
        <v>354</v>
      </c>
      <c r="BI14" s="210">
        <f t="shared" si="2"/>
        <v>121</v>
      </c>
      <c r="BJ14" s="210">
        <f t="shared" si="2"/>
        <v>22</v>
      </c>
      <c r="BK14" s="210">
        <f t="shared" si="2"/>
        <v>0</v>
      </c>
      <c r="BL14" s="210">
        <f t="shared" si="2"/>
        <v>0</v>
      </c>
      <c r="BM14" s="210">
        <f t="shared" si="2"/>
        <v>2</v>
      </c>
      <c r="BN14" s="210">
        <f t="shared" si="2"/>
        <v>89</v>
      </c>
      <c r="BO14" s="210">
        <f t="shared" si="2"/>
        <v>358</v>
      </c>
      <c r="BP14" s="210">
        <f t="shared" si="2"/>
        <v>665</v>
      </c>
      <c r="BQ14" s="210">
        <f t="shared" si="2"/>
        <v>852</v>
      </c>
      <c r="BR14" s="210">
        <f t="shared" si="2"/>
        <v>889</v>
      </c>
      <c r="BS14" s="210">
        <f t="shared" si="2"/>
        <v>607</v>
      </c>
      <c r="BT14" s="210">
        <f t="shared" si="2"/>
        <v>354</v>
      </c>
      <c r="BU14" s="210">
        <f t="shared" si="2"/>
        <v>121</v>
      </c>
      <c r="BV14" s="210">
        <f t="shared" si="2"/>
        <v>22</v>
      </c>
      <c r="BW14" s="210">
        <f t="shared" si="2"/>
        <v>0</v>
      </c>
      <c r="BX14" s="210">
        <f t="shared" si="2"/>
        <v>0</v>
      </c>
      <c r="BY14" s="210">
        <f t="shared" si="2"/>
        <v>2</v>
      </c>
      <c r="BZ14" s="210">
        <f t="shared" si="2"/>
        <v>89</v>
      </c>
      <c r="CA14" s="210">
        <f t="shared" si="2"/>
        <v>358</v>
      </c>
      <c r="CB14" s="210">
        <f t="shared" ref="CB14:CH15" si="3">BP14</f>
        <v>665</v>
      </c>
      <c r="CC14" s="210">
        <f t="shared" si="3"/>
        <v>852</v>
      </c>
      <c r="CD14" s="210">
        <f t="shared" si="3"/>
        <v>889</v>
      </c>
      <c r="CE14" s="210">
        <f t="shared" si="3"/>
        <v>607</v>
      </c>
      <c r="CF14" s="210">
        <f t="shared" si="3"/>
        <v>354</v>
      </c>
      <c r="CG14" s="210">
        <f t="shared" si="3"/>
        <v>121</v>
      </c>
      <c r="CH14" s="210">
        <f t="shared" si="3"/>
        <v>22</v>
      </c>
    </row>
    <row r="15" spans="1:91" x14ac:dyDescent="0.2">
      <c r="A15" s="585">
        <v>3</v>
      </c>
      <c r="B15" s="211" t="s">
        <v>602</v>
      </c>
      <c r="C15" s="210">
        <f>HDDs!$D$12</f>
        <v>0</v>
      </c>
      <c r="D15" s="210">
        <f>HDDs!$D$13</f>
        <v>0</v>
      </c>
      <c r="E15" s="210">
        <f>HDDs!$D$14</f>
        <v>24</v>
      </c>
      <c r="F15" s="210">
        <f>HDDs!$D$15</f>
        <v>213</v>
      </c>
      <c r="G15" s="210">
        <f>HDDs!$D$16</f>
        <v>500</v>
      </c>
      <c r="H15" s="210">
        <f>HDDs!$D$17</f>
        <v>808</v>
      </c>
      <c r="I15" s="210">
        <f>HDDs!$D$18</f>
        <v>894</v>
      </c>
      <c r="J15" s="210">
        <f>HDDs!$D$19</f>
        <v>728</v>
      </c>
      <c r="K15" s="210">
        <f>HDDs!$D$20</f>
        <v>519</v>
      </c>
      <c r="L15" s="210">
        <f>HDDs!$D$21</f>
        <v>212</v>
      </c>
      <c r="M15" s="210">
        <f>HDDs!$D$22</f>
        <v>59</v>
      </c>
      <c r="N15" s="210">
        <f>HDDs!$D$23</f>
        <v>2</v>
      </c>
      <c r="O15" s="210">
        <f>C15</f>
        <v>0</v>
      </c>
      <c r="P15" s="210">
        <f t="shared" si="2"/>
        <v>0</v>
      </c>
      <c r="Q15" s="210">
        <f t="shared" si="2"/>
        <v>24</v>
      </c>
      <c r="R15" s="210">
        <f t="shared" si="2"/>
        <v>213</v>
      </c>
      <c r="S15" s="210">
        <f t="shared" si="2"/>
        <v>500</v>
      </c>
      <c r="T15" s="210">
        <f t="shared" si="2"/>
        <v>808</v>
      </c>
      <c r="U15" s="210">
        <f t="shared" si="2"/>
        <v>894</v>
      </c>
      <c r="V15" s="210">
        <f t="shared" si="2"/>
        <v>728</v>
      </c>
      <c r="W15" s="210">
        <f t="shared" si="2"/>
        <v>519</v>
      </c>
      <c r="X15" s="210">
        <f t="shared" si="2"/>
        <v>212</v>
      </c>
      <c r="Y15" s="210">
        <f t="shared" si="2"/>
        <v>59</v>
      </c>
      <c r="Z15" s="210">
        <f t="shared" si="2"/>
        <v>2</v>
      </c>
      <c r="AA15" s="210">
        <f t="shared" si="2"/>
        <v>0</v>
      </c>
      <c r="AB15" s="210">
        <f t="shared" si="2"/>
        <v>0</v>
      </c>
      <c r="AC15" s="210">
        <f t="shared" si="2"/>
        <v>24</v>
      </c>
      <c r="AD15" s="210">
        <f t="shared" si="2"/>
        <v>213</v>
      </c>
      <c r="AE15" s="210">
        <f t="shared" si="2"/>
        <v>500</v>
      </c>
      <c r="AF15" s="210">
        <f t="shared" si="2"/>
        <v>808</v>
      </c>
      <c r="AG15" s="210">
        <f t="shared" si="2"/>
        <v>894</v>
      </c>
      <c r="AH15" s="210">
        <f t="shared" si="2"/>
        <v>728</v>
      </c>
      <c r="AI15" s="210">
        <f t="shared" si="2"/>
        <v>519</v>
      </c>
      <c r="AJ15" s="210">
        <f t="shared" si="2"/>
        <v>212</v>
      </c>
      <c r="AK15" s="210">
        <f t="shared" si="2"/>
        <v>59</v>
      </c>
      <c r="AL15" s="210">
        <f t="shared" si="2"/>
        <v>2</v>
      </c>
      <c r="AM15" s="210">
        <f t="shared" si="2"/>
        <v>0</v>
      </c>
      <c r="AN15" s="210">
        <f t="shared" si="2"/>
        <v>0</v>
      </c>
      <c r="AO15" s="210">
        <f t="shared" si="2"/>
        <v>24</v>
      </c>
      <c r="AP15" s="210">
        <f t="shared" si="2"/>
        <v>213</v>
      </c>
      <c r="AQ15" s="210">
        <f t="shared" si="2"/>
        <v>500</v>
      </c>
      <c r="AR15" s="210">
        <f t="shared" si="2"/>
        <v>808</v>
      </c>
      <c r="AS15" s="210">
        <f t="shared" si="2"/>
        <v>894</v>
      </c>
      <c r="AT15" s="210">
        <f t="shared" si="2"/>
        <v>728</v>
      </c>
      <c r="AU15" s="210">
        <f t="shared" si="2"/>
        <v>519</v>
      </c>
      <c r="AV15" s="210">
        <f t="shared" si="2"/>
        <v>212</v>
      </c>
      <c r="AW15" s="210">
        <f t="shared" si="2"/>
        <v>59</v>
      </c>
      <c r="AX15" s="210">
        <f t="shared" si="2"/>
        <v>2</v>
      </c>
      <c r="AY15" s="210">
        <f t="shared" si="2"/>
        <v>0</v>
      </c>
      <c r="AZ15" s="210">
        <f t="shared" si="2"/>
        <v>0</v>
      </c>
      <c r="BA15" s="210">
        <f t="shared" si="2"/>
        <v>24</v>
      </c>
      <c r="BB15" s="210">
        <f t="shared" si="2"/>
        <v>213</v>
      </c>
      <c r="BC15" s="210">
        <f t="shared" si="2"/>
        <v>500</v>
      </c>
      <c r="BD15" s="210">
        <f t="shared" si="2"/>
        <v>808</v>
      </c>
      <c r="BE15" s="210">
        <f t="shared" si="2"/>
        <v>894</v>
      </c>
      <c r="BF15" s="210">
        <f t="shared" si="2"/>
        <v>728</v>
      </c>
      <c r="BG15" s="210">
        <f t="shared" si="2"/>
        <v>519</v>
      </c>
      <c r="BH15" s="210">
        <f t="shared" si="2"/>
        <v>212</v>
      </c>
      <c r="BI15" s="210">
        <f t="shared" si="2"/>
        <v>59</v>
      </c>
      <c r="BJ15" s="210">
        <f t="shared" si="2"/>
        <v>2</v>
      </c>
      <c r="BK15" s="210">
        <f t="shared" si="2"/>
        <v>0</v>
      </c>
      <c r="BL15" s="210">
        <f t="shared" si="2"/>
        <v>0</v>
      </c>
      <c r="BM15" s="210">
        <f t="shared" si="2"/>
        <v>24</v>
      </c>
      <c r="BN15" s="210">
        <f t="shared" si="2"/>
        <v>213</v>
      </c>
      <c r="BO15" s="210">
        <f t="shared" si="2"/>
        <v>500</v>
      </c>
      <c r="BP15" s="210">
        <f t="shared" si="2"/>
        <v>808</v>
      </c>
      <c r="BQ15" s="210">
        <f t="shared" si="2"/>
        <v>894</v>
      </c>
      <c r="BR15" s="210">
        <f t="shared" si="2"/>
        <v>728</v>
      </c>
      <c r="BS15" s="210">
        <f t="shared" si="2"/>
        <v>519</v>
      </c>
      <c r="BT15" s="210">
        <f t="shared" si="2"/>
        <v>212</v>
      </c>
      <c r="BU15" s="210">
        <f t="shared" si="2"/>
        <v>59</v>
      </c>
      <c r="BV15" s="210">
        <f t="shared" si="2"/>
        <v>2</v>
      </c>
      <c r="BW15" s="210">
        <f t="shared" si="2"/>
        <v>0</v>
      </c>
      <c r="BX15" s="210">
        <f t="shared" si="2"/>
        <v>0</v>
      </c>
      <c r="BY15" s="210">
        <f t="shared" si="2"/>
        <v>24</v>
      </c>
      <c r="BZ15" s="210">
        <f t="shared" si="2"/>
        <v>213</v>
      </c>
      <c r="CA15" s="210">
        <f t="shared" si="2"/>
        <v>500</v>
      </c>
      <c r="CB15" s="210">
        <f t="shared" si="3"/>
        <v>808</v>
      </c>
      <c r="CC15" s="210">
        <f t="shared" si="3"/>
        <v>894</v>
      </c>
      <c r="CD15" s="210">
        <f t="shared" si="3"/>
        <v>728</v>
      </c>
      <c r="CE15" s="210">
        <f t="shared" si="3"/>
        <v>519</v>
      </c>
      <c r="CF15" s="210">
        <f t="shared" si="3"/>
        <v>212</v>
      </c>
      <c r="CG15" s="210">
        <f t="shared" si="3"/>
        <v>59</v>
      </c>
      <c r="CH15" s="210">
        <f t="shared" si="3"/>
        <v>2</v>
      </c>
    </row>
    <row r="16" spans="1:91" x14ac:dyDescent="0.2">
      <c r="A16" s="585">
        <v>4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</row>
    <row r="17" spans="1:86" x14ac:dyDescent="0.2">
      <c r="A17" s="585">
        <v>5</v>
      </c>
      <c r="B17" s="36" t="s">
        <v>30</v>
      </c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</row>
    <row r="18" spans="1:86" x14ac:dyDescent="0.2">
      <c r="A18" s="585">
        <v>6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</row>
    <row r="19" spans="1:86" x14ac:dyDescent="0.2">
      <c r="A19" s="585">
        <v>7</v>
      </c>
      <c r="B19" s="211" t="s">
        <v>599</v>
      </c>
      <c r="C19" s="577"/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89">
        <v>300</v>
      </c>
      <c r="P19" s="590">
        <f>O19</f>
        <v>300</v>
      </c>
      <c r="Q19" s="590">
        <f t="shared" ref="Q19:Z19" si="4">P19</f>
        <v>300</v>
      </c>
      <c r="R19" s="590">
        <f t="shared" si="4"/>
        <v>300</v>
      </c>
      <c r="S19" s="590">
        <f t="shared" si="4"/>
        <v>300</v>
      </c>
      <c r="T19" s="590">
        <f t="shared" si="4"/>
        <v>300</v>
      </c>
      <c r="U19" s="590">
        <f t="shared" si="4"/>
        <v>300</v>
      </c>
      <c r="V19" s="590">
        <f t="shared" si="4"/>
        <v>300</v>
      </c>
      <c r="W19" s="590">
        <f t="shared" si="4"/>
        <v>300</v>
      </c>
      <c r="X19" s="590">
        <f t="shared" si="4"/>
        <v>300</v>
      </c>
      <c r="Y19" s="590">
        <f t="shared" si="4"/>
        <v>300</v>
      </c>
      <c r="Z19" s="590">
        <f t="shared" si="4"/>
        <v>300</v>
      </c>
      <c r="AA19" s="590">
        <f t="shared" ref="AA19:AA21" si="5">Z19</f>
        <v>300</v>
      </c>
      <c r="AB19" s="590">
        <f t="shared" ref="AB19:AB21" si="6">AA19</f>
        <v>300</v>
      </c>
      <c r="AC19" s="590">
        <f t="shared" ref="AC19:AC21" si="7">AB19</f>
        <v>300</v>
      </c>
      <c r="AD19" s="590">
        <f t="shared" ref="AD19:AD21" si="8">AC19</f>
        <v>300</v>
      </c>
      <c r="AE19" s="590">
        <f t="shared" ref="AE19:AE21" si="9">AD19</f>
        <v>300</v>
      </c>
      <c r="AF19" s="590">
        <f t="shared" ref="AF19:AF21" si="10">AE19</f>
        <v>300</v>
      </c>
      <c r="AG19" s="590">
        <f t="shared" ref="AG19:AG21" si="11">AF19</f>
        <v>300</v>
      </c>
      <c r="AH19" s="590">
        <f t="shared" ref="AH19:AH21" si="12">AG19</f>
        <v>300</v>
      </c>
      <c r="AI19" s="590">
        <f t="shared" ref="AI19:AI21" si="13">AH19</f>
        <v>300</v>
      </c>
      <c r="AJ19" s="590">
        <f t="shared" ref="AJ19:AJ21" si="14">AI19</f>
        <v>300</v>
      </c>
      <c r="AK19" s="590">
        <f t="shared" ref="AK19:AK21" si="15">AJ19</f>
        <v>300</v>
      </c>
      <c r="AL19" s="590">
        <f t="shared" ref="AL19:AL21" si="16">AK19</f>
        <v>300</v>
      </c>
      <c r="AM19" s="590">
        <f t="shared" ref="AM19:AM21" si="17">AL19</f>
        <v>300</v>
      </c>
      <c r="AN19" s="590">
        <f t="shared" ref="AN19:AN21" si="18">AM19</f>
        <v>300</v>
      </c>
      <c r="AO19" s="590">
        <f t="shared" ref="AO19:AO21" si="19">AN19</f>
        <v>300</v>
      </c>
      <c r="AP19" s="590">
        <f t="shared" ref="AP19:AP21" si="20">AO19</f>
        <v>300</v>
      </c>
      <c r="AQ19" s="590">
        <f t="shared" ref="AQ19:AQ21" si="21">AP19</f>
        <v>300</v>
      </c>
      <c r="AR19" s="590">
        <f t="shared" ref="AR19:AR21" si="22">AQ19</f>
        <v>300</v>
      </c>
      <c r="AS19" s="590">
        <f t="shared" ref="AS19:AS21" si="23">AR19</f>
        <v>300</v>
      </c>
      <c r="AT19" s="590">
        <f t="shared" ref="AT19:AT21" si="24">AS19</f>
        <v>300</v>
      </c>
      <c r="AU19" s="590">
        <f t="shared" ref="AU19:AU21" si="25">AT19</f>
        <v>300</v>
      </c>
      <c r="AV19" s="590">
        <f t="shared" ref="AV19:AV21" si="26">AU19</f>
        <v>300</v>
      </c>
      <c r="AW19" s="590">
        <f t="shared" ref="AW19:AW21" si="27">AV19</f>
        <v>300</v>
      </c>
      <c r="AX19" s="590">
        <f t="shared" ref="AX19:AX21" si="28">AW19</f>
        <v>300</v>
      </c>
      <c r="AY19" s="590">
        <f t="shared" ref="AY19:AY21" si="29">AX19</f>
        <v>300</v>
      </c>
      <c r="AZ19" s="590">
        <f t="shared" ref="AZ19:AZ21" si="30">AY19</f>
        <v>300</v>
      </c>
      <c r="BA19" s="590">
        <f t="shared" ref="BA19:BA21" si="31">AZ19</f>
        <v>300</v>
      </c>
      <c r="BB19" s="590">
        <f t="shared" ref="BB19:BB21" si="32">BA19</f>
        <v>300</v>
      </c>
      <c r="BC19" s="590">
        <f t="shared" ref="BC19:BC21" si="33">BB19</f>
        <v>300</v>
      </c>
      <c r="BD19" s="590">
        <f t="shared" ref="BD19:BD21" si="34">BC19</f>
        <v>300</v>
      </c>
      <c r="BE19" s="590">
        <f t="shared" ref="BE19:BE21" si="35">BD19</f>
        <v>300</v>
      </c>
      <c r="BF19" s="590">
        <f t="shared" ref="BF19:BF21" si="36">BE19</f>
        <v>300</v>
      </c>
      <c r="BG19" s="590">
        <f t="shared" ref="BG19:BG21" si="37">BF19</f>
        <v>300</v>
      </c>
      <c r="BH19" s="590">
        <f t="shared" ref="BH19:BH21" si="38">BG19</f>
        <v>300</v>
      </c>
      <c r="BI19" s="590">
        <f t="shared" ref="BI19:BI21" si="39">BH19</f>
        <v>300</v>
      </c>
      <c r="BJ19" s="590">
        <f t="shared" ref="BJ19:BJ21" si="40">BI19</f>
        <v>300</v>
      </c>
      <c r="BK19" s="590">
        <f t="shared" ref="BK19:BK21" si="41">BJ19</f>
        <v>300</v>
      </c>
      <c r="BL19" s="590">
        <f t="shared" ref="BL19:BL21" si="42">BK19</f>
        <v>300</v>
      </c>
      <c r="BM19" s="590">
        <f t="shared" ref="BM19:BM21" si="43">BL19</f>
        <v>300</v>
      </c>
      <c r="BN19" s="590">
        <f t="shared" ref="BN19:BN21" si="44">BM19</f>
        <v>300</v>
      </c>
      <c r="BO19" s="590">
        <f t="shared" ref="BO19:BO21" si="45">BN19</f>
        <v>300</v>
      </c>
      <c r="BP19" s="590">
        <f t="shared" ref="BP19:BP21" si="46">BO19</f>
        <v>300</v>
      </c>
      <c r="BQ19" s="590">
        <f t="shared" ref="BQ19:BQ21" si="47">BP19</f>
        <v>300</v>
      </c>
      <c r="BR19" s="590">
        <f t="shared" ref="BR19:BR21" si="48">BQ19</f>
        <v>300</v>
      </c>
      <c r="BS19" s="590">
        <f t="shared" ref="BS19:BS21" si="49">BR19</f>
        <v>300</v>
      </c>
      <c r="BT19" s="590">
        <f t="shared" ref="BT19:BT21" si="50">BS19</f>
        <v>300</v>
      </c>
      <c r="BU19" s="590">
        <f t="shared" ref="BU19:BU21" si="51">BT19</f>
        <v>300</v>
      </c>
      <c r="BV19" s="590">
        <f t="shared" ref="BV19:BV21" si="52">BU19</f>
        <v>300</v>
      </c>
      <c r="BW19" s="590">
        <f t="shared" ref="BW19:BW21" si="53">BV19</f>
        <v>300</v>
      </c>
      <c r="BX19" s="590">
        <f t="shared" ref="BX19:BX21" si="54">BW19</f>
        <v>300</v>
      </c>
      <c r="BY19" s="590">
        <f t="shared" ref="BY19:BY21" si="55">BX19</f>
        <v>300</v>
      </c>
      <c r="BZ19" s="590">
        <f t="shared" ref="BZ19:BZ21" si="56">BY19</f>
        <v>300</v>
      </c>
      <c r="CA19" s="590">
        <f t="shared" ref="CA19:CA21" si="57">BZ19</f>
        <v>300</v>
      </c>
      <c r="CB19" s="590">
        <f t="shared" ref="CB19:CB21" si="58">CA19</f>
        <v>300</v>
      </c>
      <c r="CC19" s="590">
        <f t="shared" ref="CC19:CC21" si="59">CB19</f>
        <v>300</v>
      </c>
      <c r="CD19" s="590">
        <f t="shared" ref="CD19:CD21" si="60">CC19</f>
        <v>300</v>
      </c>
      <c r="CE19" s="590">
        <f t="shared" ref="CE19:CE21" si="61">CD19</f>
        <v>300</v>
      </c>
      <c r="CF19" s="590">
        <f t="shared" ref="CF19:CF21" si="62">CE19</f>
        <v>300</v>
      </c>
      <c r="CG19" s="590">
        <f t="shared" ref="CG19:CG21" si="63">CF19</f>
        <v>300</v>
      </c>
      <c r="CH19" s="590">
        <f t="shared" ref="CH19:CH21" si="64">CG19</f>
        <v>300</v>
      </c>
    </row>
    <row r="20" spans="1:86" x14ac:dyDescent="0.2">
      <c r="A20" s="585">
        <v>8</v>
      </c>
      <c r="B20" s="211" t="s">
        <v>600</v>
      </c>
      <c r="C20" s="577"/>
      <c r="D20" s="577"/>
      <c r="E20" s="577"/>
      <c r="F20" s="577"/>
      <c r="G20" s="577"/>
      <c r="H20" s="577"/>
      <c r="I20" s="577"/>
      <c r="J20" s="577"/>
      <c r="K20" s="577"/>
      <c r="L20" s="577"/>
      <c r="M20" s="577"/>
      <c r="N20" s="577"/>
      <c r="O20" s="707">
        <v>0</v>
      </c>
      <c r="P20" s="590">
        <f t="shared" ref="P20:Z21" si="65">O20</f>
        <v>0</v>
      </c>
      <c r="Q20" s="590">
        <f t="shared" si="65"/>
        <v>0</v>
      </c>
      <c r="R20" s="590">
        <f t="shared" si="65"/>
        <v>0</v>
      </c>
      <c r="S20" s="590">
        <f t="shared" si="65"/>
        <v>0</v>
      </c>
      <c r="T20" s="590">
        <f t="shared" si="65"/>
        <v>0</v>
      </c>
      <c r="U20" s="590">
        <f t="shared" si="65"/>
        <v>0</v>
      </c>
      <c r="V20" s="590">
        <f t="shared" si="65"/>
        <v>0</v>
      </c>
      <c r="W20" s="590">
        <f t="shared" si="65"/>
        <v>0</v>
      </c>
      <c r="X20" s="590">
        <f t="shared" si="65"/>
        <v>0</v>
      </c>
      <c r="Y20" s="590">
        <f t="shared" si="65"/>
        <v>0</v>
      </c>
      <c r="Z20" s="590">
        <f t="shared" si="65"/>
        <v>0</v>
      </c>
      <c r="AA20" s="590">
        <f t="shared" si="5"/>
        <v>0</v>
      </c>
      <c r="AB20" s="590">
        <f t="shared" si="6"/>
        <v>0</v>
      </c>
      <c r="AC20" s="590">
        <f t="shared" si="7"/>
        <v>0</v>
      </c>
      <c r="AD20" s="590">
        <f t="shared" si="8"/>
        <v>0</v>
      </c>
      <c r="AE20" s="590">
        <f t="shared" si="9"/>
        <v>0</v>
      </c>
      <c r="AF20" s="590">
        <f t="shared" si="10"/>
        <v>0</v>
      </c>
      <c r="AG20" s="590">
        <f t="shared" si="11"/>
        <v>0</v>
      </c>
      <c r="AH20" s="590">
        <f t="shared" si="12"/>
        <v>0</v>
      </c>
      <c r="AI20" s="590">
        <f t="shared" si="13"/>
        <v>0</v>
      </c>
      <c r="AJ20" s="590">
        <f t="shared" si="14"/>
        <v>0</v>
      </c>
      <c r="AK20" s="590">
        <f t="shared" si="15"/>
        <v>0</v>
      </c>
      <c r="AL20" s="590">
        <f t="shared" si="16"/>
        <v>0</v>
      </c>
      <c r="AM20" s="590">
        <f t="shared" si="17"/>
        <v>0</v>
      </c>
      <c r="AN20" s="590">
        <f t="shared" si="18"/>
        <v>0</v>
      </c>
      <c r="AO20" s="590">
        <f t="shared" si="19"/>
        <v>0</v>
      </c>
      <c r="AP20" s="590">
        <f t="shared" si="20"/>
        <v>0</v>
      </c>
      <c r="AQ20" s="590">
        <f t="shared" si="21"/>
        <v>0</v>
      </c>
      <c r="AR20" s="590">
        <f t="shared" si="22"/>
        <v>0</v>
      </c>
      <c r="AS20" s="590">
        <f t="shared" si="23"/>
        <v>0</v>
      </c>
      <c r="AT20" s="590">
        <f t="shared" si="24"/>
        <v>0</v>
      </c>
      <c r="AU20" s="590">
        <f t="shared" si="25"/>
        <v>0</v>
      </c>
      <c r="AV20" s="590">
        <f t="shared" si="26"/>
        <v>0</v>
      </c>
      <c r="AW20" s="590">
        <f t="shared" si="27"/>
        <v>0</v>
      </c>
      <c r="AX20" s="590">
        <f t="shared" si="28"/>
        <v>0</v>
      </c>
      <c r="AY20" s="590">
        <f t="shared" si="29"/>
        <v>0</v>
      </c>
      <c r="AZ20" s="590">
        <f t="shared" si="30"/>
        <v>0</v>
      </c>
      <c r="BA20" s="590">
        <f t="shared" si="31"/>
        <v>0</v>
      </c>
      <c r="BB20" s="590">
        <f t="shared" si="32"/>
        <v>0</v>
      </c>
      <c r="BC20" s="590">
        <f t="shared" si="33"/>
        <v>0</v>
      </c>
      <c r="BD20" s="590">
        <f t="shared" si="34"/>
        <v>0</v>
      </c>
      <c r="BE20" s="590">
        <f t="shared" si="35"/>
        <v>0</v>
      </c>
      <c r="BF20" s="590">
        <f t="shared" si="36"/>
        <v>0</v>
      </c>
      <c r="BG20" s="590">
        <f t="shared" si="37"/>
        <v>0</v>
      </c>
      <c r="BH20" s="590">
        <f t="shared" si="38"/>
        <v>0</v>
      </c>
      <c r="BI20" s="590">
        <f t="shared" si="39"/>
        <v>0</v>
      </c>
      <c r="BJ20" s="590">
        <f t="shared" si="40"/>
        <v>0</v>
      </c>
      <c r="BK20" s="590">
        <f t="shared" si="41"/>
        <v>0</v>
      </c>
      <c r="BL20" s="590">
        <f t="shared" si="42"/>
        <v>0</v>
      </c>
      <c r="BM20" s="590">
        <f t="shared" si="43"/>
        <v>0</v>
      </c>
      <c r="BN20" s="590">
        <f t="shared" si="44"/>
        <v>0</v>
      </c>
      <c r="BO20" s="590">
        <f t="shared" si="45"/>
        <v>0</v>
      </c>
      <c r="BP20" s="590">
        <f t="shared" si="46"/>
        <v>0</v>
      </c>
      <c r="BQ20" s="590">
        <f t="shared" si="47"/>
        <v>0</v>
      </c>
      <c r="BR20" s="590">
        <f t="shared" si="48"/>
        <v>0</v>
      </c>
      <c r="BS20" s="590">
        <f t="shared" si="49"/>
        <v>0</v>
      </c>
      <c r="BT20" s="590">
        <f t="shared" si="50"/>
        <v>0</v>
      </c>
      <c r="BU20" s="590">
        <f t="shared" si="51"/>
        <v>0</v>
      </c>
      <c r="BV20" s="590">
        <f t="shared" si="52"/>
        <v>0</v>
      </c>
      <c r="BW20" s="590">
        <f t="shared" si="53"/>
        <v>0</v>
      </c>
      <c r="BX20" s="590">
        <f t="shared" si="54"/>
        <v>0</v>
      </c>
      <c r="BY20" s="590">
        <f t="shared" si="55"/>
        <v>0</v>
      </c>
      <c r="BZ20" s="590">
        <f t="shared" si="56"/>
        <v>0</v>
      </c>
      <c r="CA20" s="590">
        <f t="shared" si="57"/>
        <v>0</v>
      </c>
      <c r="CB20" s="590">
        <f t="shared" si="58"/>
        <v>0</v>
      </c>
      <c r="CC20" s="590">
        <f t="shared" si="59"/>
        <v>0</v>
      </c>
      <c r="CD20" s="590">
        <f t="shared" si="60"/>
        <v>0</v>
      </c>
      <c r="CE20" s="590">
        <f t="shared" si="61"/>
        <v>0</v>
      </c>
      <c r="CF20" s="590">
        <f t="shared" si="62"/>
        <v>0</v>
      </c>
      <c r="CG20" s="590">
        <f t="shared" si="63"/>
        <v>0</v>
      </c>
      <c r="CH20" s="590">
        <f t="shared" si="64"/>
        <v>0</v>
      </c>
    </row>
    <row r="21" spans="1:86" x14ac:dyDescent="0.2">
      <c r="A21" s="585">
        <v>9</v>
      </c>
      <c r="B21" s="211" t="s">
        <v>601</v>
      </c>
      <c r="C21" s="577"/>
      <c r="D21" s="577"/>
      <c r="E21" s="577"/>
      <c r="F21" s="577"/>
      <c r="G21" s="577"/>
      <c r="H21" s="577"/>
      <c r="I21" s="577"/>
      <c r="J21" s="577"/>
      <c r="K21" s="577"/>
      <c r="L21" s="577"/>
      <c r="M21" s="577"/>
      <c r="N21" s="577"/>
      <c r="O21" s="707">
        <v>0</v>
      </c>
      <c r="P21" s="590">
        <f t="shared" si="65"/>
        <v>0</v>
      </c>
      <c r="Q21" s="590">
        <f t="shared" ref="Q21:Z21" si="66">P21</f>
        <v>0</v>
      </c>
      <c r="R21" s="590">
        <f t="shared" si="66"/>
        <v>0</v>
      </c>
      <c r="S21" s="590">
        <f t="shared" si="66"/>
        <v>0</v>
      </c>
      <c r="T21" s="590">
        <f t="shared" si="66"/>
        <v>0</v>
      </c>
      <c r="U21" s="590">
        <f t="shared" si="66"/>
        <v>0</v>
      </c>
      <c r="V21" s="590">
        <f t="shared" si="66"/>
        <v>0</v>
      </c>
      <c r="W21" s="590">
        <f t="shared" si="66"/>
        <v>0</v>
      </c>
      <c r="X21" s="590">
        <f t="shared" si="66"/>
        <v>0</v>
      </c>
      <c r="Y21" s="590">
        <f t="shared" si="66"/>
        <v>0</v>
      </c>
      <c r="Z21" s="590">
        <f t="shared" si="66"/>
        <v>0</v>
      </c>
      <c r="AA21" s="590">
        <f t="shared" si="5"/>
        <v>0</v>
      </c>
      <c r="AB21" s="590">
        <f t="shared" si="6"/>
        <v>0</v>
      </c>
      <c r="AC21" s="590">
        <f t="shared" si="7"/>
        <v>0</v>
      </c>
      <c r="AD21" s="590">
        <f t="shared" si="8"/>
        <v>0</v>
      </c>
      <c r="AE21" s="590">
        <f t="shared" si="9"/>
        <v>0</v>
      </c>
      <c r="AF21" s="590">
        <f t="shared" si="10"/>
        <v>0</v>
      </c>
      <c r="AG21" s="590">
        <f t="shared" si="11"/>
        <v>0</v>
      </c>
      <c r="AH21" s="590">
        <f t="shared" si="12"/>
        <v>0</v>
      </c>
      <c r="AI21" s="590">
        <f t="shared" si="13"/>
        <v>0</v>
      </c>
      <c r="AJ21" s="590">
        <f t="shared" si="14"/>
        <v>0</v>
      </c>
      <c r="AK21" s="590">
        <f t="shared" si="15"/>
        <v>0</v>
      </c>
      <c r="AL21" s="590">
        <f t="shared" si="16"/>
        <v>0</v>
      </c>
      <c r="AM21" s="590">
        <f t="shared" si="17"/>
        <v>0</v>
      </c>
      <c r="AN21" s="590">
        <f t="shared" si="18"/>
        <v>0</v>
      </c>
      <c r="AO21" s="590">
        <f t="shared" si="19"/>
        <v>0</v>
      </c>
      <c r="AP21" s="590">
        <f t="shared" si="20"/>
        <v>0</v>
      </c>
      <c r="AQ21" s="590">
        <f t="shared" si="21"/>
        <v>0</v>
      </c>
      <c r="AR21" s="590">
        <f t="shared" si="22"/>
        <v>0</v>
      </c>
      <c r="AS21" s="590">
        <f t="shared" si="23"/>
        <v>0</v>
      </c>
      <c r="AT21" s="590">
        <f t="shared" si="24"/>
        <v>0</v>
      </c>
      <c r="AU21" s="590">
        <f t="shared" si="25"/>
        <v>0</v>
      </c>
      <c r="AV21" s="590">
        <f t="shared" si="26"/>
        <v>0</v>
      </c>
      <c r="AW21" s="590">
        <f t="shared" si="27"/>
        <v>0</v>
      </c>
      <c r="AX21" s="590">
        <f t="shared" si="28"/>
        <v>0</v>
      </c>
      <c r="AY21" s="590">
        <f t="shared" si="29"/>
        <v>0</v>
      </c>
      <c r="AZ21" s="590">
        <f t="shared" si="30"/>
        <v>0</v>
      </c>
      <c r="BA21" s="590">
        <f t="shared" si="31"/>
        <v>0</v>
      </c>
      <c r="BB21" s="590">
        <f t="shared" si="32"/>
        <v>0</v>
      </c>
      <c r="BC21" s="590">
        <f t="shared" si="33"/>
        <v>0</v>
      </c>
      <c r="BD21" s="590">
        <f t="shared" si="34"/>
        <v>0</v>
      </c>
      <c r="BE21" s="590">
        <f t="shared" si="35"/>
        <v>0</v>
      </c>
      <c r="BF21" s="590">
        <f t="shared" si="36"/>
        <v>0</v>
      </c>
      <c r="BG21" s="590">
        <f t="shared" si="37"/>
        <v>0</v>
      </c>
      <c r="BH21" s="590">
        <f t="shared" si="38"/>
        <v>0</v>
      </c>
      <c r="BI21" s="590">
        <f t="shared" si="39"/>
        <v>0</v>
      </c>
      <c r="BJ21" s="590">
        <f t="shared" si="40"/>
        <v>0</v>
      </c>
      <c r="BK21" s="590">
        <f t="shared" si="41"/>
        <v>0</v>
      </c>
      <c r="BL21" s="590">
        <f t="shared" si="42"/>
        <v>0</v>
      </c>
      <c r="BM21" s="590">
        <f t="shared" si="43"/>
        <v>0</v>
      </c>
      <c r="BN21" s="590">
        <f t="shared" si="44"/>
        <v>0</v>
      </c>
      <c r="BO21" s="590">
        <f t="shared" si="45"/>
        <v>0</v>
      </c>
      <c r="BP21" s="590">
        <f t="shared" si="46"/>
        <v>0</v>
      </c>
      <c r="BQ21" s="590">
        <f t="shared" si="47"/>
        <v>0</v>
      </c>
      <c r="BR21" s="590">
        <f t="shared" si="48"/>
        <v>0</v>
      </c>
      <c r="BS21" s="590">
        <f t="shared" si="49"/>
        <v>0</v>
      </c>
      <c r="BT21" s="590">
        <f t="shared" si="50"/>
        <v>0</v>
      </c>
      <c r="BU21" s="590">
        <f t="shared" si="51"/>
        <v>0</v>
      </c>
      <c r="BV21" s="590">
        <f t="shared" si="52"/>
        <v>0</v>
      </c>
      <c r="BW21" s="590">
        <f t="shared" si="53"/>
        <v>0</v>
      </c>
      <c r="BX21" s="590">
        <f t="shared" si="54"/>
        <v>0</v>
      </c>
      <c r="BY21" s="590">
        <f t="shared" si="55"/>
        <v>0</v>
      </c>
      <c r="BZ21" s="590">
        <f t="shared" si="56"/>
        <v>0</v>
      </c>
      <c r="CA21" s="590">
        <f t="shared" si="57"/>
        <v>0</v>
      </c>
      <c r="CB21" s="590">
        <f t="shared" si="58"/>
        <v>0</v>
      </c>
      <c r="CC21" s="590">
        <f t="shared" si="59"/>
        <v>0</v>
      </c>
      <c r="CD21" s="590">
        <f t="shared" si="60"/>
        <v>0</v>
      </c>
      <c r="CE21" s="590">
        <f t="shared" si="61"/>
        <v>0</v>
      </c>
      <c r="CF21" s="590">
        <f t="shared" si="62"/>
        <v>0</v>
      </c>
      <c r="CG21" s="590">
        <f t="shared" si="63"/>
        <v>0</v>
      </c>
      <c r="CH21" s="590">
        <f t="shared" si="64"/>
        <v>0</v>
      </c>
    </row>
    <row r="22" spans="1:86" x14ac:dyDescent="0.2">
      <c r="A22" s="585">
        <v>10</v>
      </c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</row>
    <row r="23" spans="1:86" x14ac:dyDescent="0.2">
      <c r="A23" s="585">
        <v>11</v>
      </c>
      <c r="B23" s="211" t="s">
        <v>595</v>
      </c>
      <c r="C23" s="45">
        <f t="shared" ref="C23:Z23" si="67">C28*C30</f>
        <v>153578.61582713109</v>
      </c>
      <c r="D23" s="45">
        <f t="shared" si="67"/>
        <v>154438.75233150131</v>
      </c>
      <c r="E23" s="45">
        <f t="shared" si="67"/>
        <v>152050.25766849867</v>
      </c>
      <c r="F23" s="45">
        <f t="shared" si="67"/>
        <v>152363.48656893408</v>
      </c>
      <c r="G23" s="45">
        <f t="shared" si="67"/>
        <v>153647.22787198838</v>
      </c>
      <c r="H23" s="45">
        <f t="shared" si="67"/>
        <v>157002.25742776311</v>
      </c>
      <c r="I23" s="45">
        <f t="shared" si="67"/>
        <v>157988.6798697692</v>
      </c>
      <c r="J23" s="45">
        <f t="shared" si="67"/>
        <v>158685.73847042068</v>
      </c>
      <c r="K23" s="45">
        <f t="shared" si="67"/>
        <v>158940.29910061578</v>
      </c>
      <c r="L23" s="45">
        <f t="shared" si="67"/>
        <v>156409.6084605901</v>
      </c>
      <c r="M23" s="45">
        <f t="shared" si="67"/>
        <v>158384.44209952568</v>
      </c>
      <c r="N23" s="45">
        <f t="shared" si="67"/>
        <v>156006.88558860173</v>
      </c>
      <c r="O23" s="45">
        <f t="shared" si="67"/>
        <v>153876.92906564099</v>
      </c>
      <c r="P23" s="45">
        <f t="shared" si="67"/>
        <v>154737.06557001124</v>
      </c>
      <c r="Q23" s="45">
        <f t="shared" si="67"/>
        <v>152348.57090700857</v>
      </c>
      <c r="R23" s="45">
        <f t="shared" si="67"/>
        <v>152661.79980744398</v>
      </c>
      <c r="S23" s="45">
        <f t="shared" si="67"/>
        <v>153945.54111049828</v>
      </c>
      <c r="T23" s="45">
        <f t="shared" si="67"/>
        <v>157300.57066627301</v>
      </c>
      <c r="U23" s="45">
        <f t="shared" si="67"/>
        <v>158286.9931082791</v>
      </c>
      <c r="V23" s="45">
        <f t="shared" si="67"/>
        <v>158984.05170893058</v>
      </c>
      <c r="W23" s="45">
        <f t="shared" si="67"/>
        <v>159238.61233912568</v>
      </c>
      <c r="X23" s="45">
        <f t="shared" si="67"/>
        <v>156707.9216991</v>
      </c>
      <c r="Y23" s="45">
        <f t="shared" si="67"/>
        <v>158682.75533803558</v>
      </c>
      <c r="Z23" s="45">
        <f t="shared" si="67"/>
        <v>156305.19882711163</v>
      </c>
      <c r="AA23" s="45">
        <f t="shared" ref="AA23:CH23" si="68">AA28*AA30</f>
        <v>154175.24230415092</v>
      </c>
      <c r="AB23" s="45">
        <f t="shared" si="68"/>
        <v>155035.37880852114</v>
      </c>
      <c r="AC23" s="45">
        <f t="shared" si="68"/>
        <v>152646.8841455185</v>
      </c>
      <c r="AD23" s="45">
        <f t="shared" si="68"/>
        <v>152960.11304595388</v>
      </c>
      <c r="AE23" s="45">
        <f t="shared" si="68"/>
        <v>154243.85434900818</v>
      </c>
      <c r="AF23" s="45">
        <f t="shared" si="68"/>
        <v>157598.88390478291</v>
      </c>
      <c r="AG23" s="45">
        <f t="shared" si="68"/>
        <v>158585.306346789</v>
      </c>
      <c r="AH23" s="45">
        <f t="shared" si="68"/>
        <v>159282.36494744048</v>
      </c>
      <c r="AI23" s="45">
        <f t="shared" si="68"/>
        <v>159536.92557763561</v>
      </c>
      <c r="AJ23" s="45">
        <f t="shared" si="68"/>
        <v>157006.2349376099</v>
      </c>
      <c r="AK23" s="45">
        <f t="shared" si="68"/>
        <v>158981.06857654548</v>
      </c>
      <c r="AL23" s="45">
        <f t="shared" si="68"/>
        <v>156603.51206562153</v>
      </c>
      <c r="AM23" s="45">
        <f t="shared" si="68"/>
        <v>154473.55554266082</v>
      </c>
      <c r="AN23" s="45">
        <f t="shared" si="68"/>
        <v>155333.69204703104</v>
      </c>
      <c r="AO23" s="45">
        <f t="shared" si="68"/>
        <v>152945.1973840284</v>
      </c>
      <c r="AP23" s="45">
        <f t="shared" si="68"/>
        <v>153258.42628446379</v>
      </c>
      <c r="AQ23" s="45">
        <f t="shared" si="68"/>
        <v>154542.16758751808</v>
      </c>
      <c r="AR23" s="45">
        <f t="shared" si="68"/>
        <v>157897.19714329281</v>
      </c>
      <c r="AS23" s="45">
        <f t="shared" si="68"/>
        <v>158883.6195852989</v>
      </c>
      <c r="AT23" s="45">
        <f t="shared" si="68"/>
        <v>159580.67818595038</v>
      </c>
      <c r="AU23" s="45">
        <f t="shared" si="68"/>
        <v>159835.23881614552</v>
      </c>
      <c r="AV23" s="45">
        <f t="shared" si="68"/>
        <v>157304.5481761198</v>
      </c>
      <c r="AW23" s="45">
        <f t="shared" si="68"/>
        <v>159279.38181505539</v>
      </c>
      <c r="AX23" s="45">
        <f t="shared" si="68"/>
        <v>156901.82530413143</v>
      </c>
      <c r="AY23" s="45">
        <f t="shared" si="68"/>
        <v>154771.86878117072</v>
      </c>
      <c r="AZ23" s="45">
        <f t="shared" si="68"/>
        <v>155632.00528554094</v>
      </c>
      <c r="BA23" s="45">
        <f t="shared" si="68"/>
        <v>153243.51062253831</v>
      </c>
      <c r="BB23" s="45">
        <f t="shared" si="68"/>
        <v>153556.73952297369</v>
      </c>
      <c r="BC23" s="45">
        <f t="shared" si="68"/>
        <v>154840.48082602798</v>
      </c>
      <c r="BD23" s="45">
        <f t="shared" si="68"/>
        <v>158195.51038180271</v>
      </c>
      <c r="BE23" s="45">
        <f t="shared" si="68"/>
        <v>159181.93282380881</v>
      </c>
      <c r="BF23" s="45">
        <f t="shared" si="68"/>
        <v>159878.99142446028</v>
      </c>
      <c r="BG23" s="45">
        <f t="shared" si="68"/>
        <v>160133.55205465542</v>
      </c>
      <c r="BH23" s="45">
        <f t="shared" si="68"/>
        <v>157602.8614146297</v>
      </c>
      <c r="BI23" s="45">
        <f t="shared" si="68"/>
        <v>159577.69505356529</v>
      </c>
      <c r="BJ23" s="45">
        <f t="shared" si="68"/>
        <v>157200.13854264133</v>
      </c>
      <c r="BK23" s="45">
        <f t="shared" si="68"/>
        <v>155070.18201968062</v>
      </c>
      <c r="BL23" s="45">
        <f t="shared" si="68"/>
        <v>155930.31852405085</v>
      </c>
      <c r="BM23" s="45">
        <f t="shared" si="68"/>
        <v>153541.82386104821</v>
      </c>
      <c r="BN23" s="45">
        <f t="shared" si="68"/>
        <v>153855.05276148362</v>
      </c>
      <c r="BO23" s="45">
        <f t="shared" si="68"/>
        <v>155138.79406453788</v>
      </c>
      <c r="BP23" s="45">
        <f t="shared" si="68"/>
        <v>158493.82362031264</v>
      </c>
      <c r="BQ23" s="45">
        <f t="shared" si="68"/>
        <v>159480.24606231871</v>
      </c>
      <c r="BR23" s="45">
        <f t="shared" si="68"/>
        <v>160177.30466297019</v>
      </c>
      <c r="BS23" s="45">
        <f t="shared" si="68"/>
        <v>160431.86529316532</v>
      </c>
      <c r="BT23" s="45">
        <f t="shared" si="68"/>
        <v>157901.17465313963</v>
      </c>
      <c r="BU23" s="45">
        <f t="shared" si="68"/>
        <v>159876.00829207519</v>
      </c>
      <c r="BV23" s="45">
        <f t="shared" si="68"/>
        <v>157498.45178115123</v>
      </c>
      <c r="BW23" s="45">
        <f t="shared" si="68"/>
        <v>155368.49525819052</v>
      </c>
      <c r="BX23" s="45">
        <f t="shared" si="68"/>
        <v>156228.63176256075</v>
      </c>
      <c r="BY23" s="45">
        <f t="shared" si="68"/>
        <v>153840.13709955811</v>
      </c>
      <c r="BZ23" s="45">
        <f t="shared" si="68"/>
        <v>154153.36599999352</v>
      </c>
      <c r="CA23" s="45">
        <f t="shared" si="68"/>
        <v>155437.10730304781</v>
      </c>
      <c r="CB23" s="45">
        <f t="shared" si="68"/>
        <v>158792.13685882255</v>
      </c>
      <c r="CC23" s="45">
        <f t="shared" si="68"/>
        <v>159778.55930082864</v>
      </c>
      <c r="CD23" s="45">
        <f t="shared" si="68"/>
        <v>160475.61790148012</v>
      </c>
      <c r="CE23" s="45">
        <f t="shared" si="68"/>
        <v>160730.17853167522</v>
      </c>
      <c r="CF23" s="45">
        <f t="shared" si="68"/>
        <v>158199.48789164954</v>
      </c>
      <c r="CG23" s="45">
        <f t="shared" si="68"/>
        <v>160174.32153058509</v>
      </c>
      <c r="CH23" s="45">
        <f t="shared" si="68"/>
        <v>157796.76501966116</v>
      </c>
    </row>
    <row r="24" spans="1:86" x14ac:dyDescent="0.2">
      <c r="A24" s="585">
        <v>12</v>
      </c>
      <c r="B24" s="211" t="s">
        <v>596</v>
      </c>
      <c r="C24" s="45">
        <f t="shared" ref="C24:N24" si="69">C32-C23</f>
        <v>16547.884172868915</v>
      </c>
      <c r="D24" s="45">
        <f t="shared" si="69"/>
        <v>-13522.952331501292</v>
      </c>
      <c r="E24" s="45">
        <f t="shared" si="69"/>
        <v>13522.95233150135</v>
      </c>
      <c r="F24" s="45">
        <f t="shared" si="69"/>
        <v>39982.033431065938</v>
      </c>
      <c r="G24" s="45">
        <f t="shared" si="69"/>
        <v>251612.88212801167</v>
      </c>
      <c r="H24" s="45">
        <f t="shared" si="69"/>
        <v>1256305.9425722368</v>
      </c>
      <c r="I24" s="45">
        <f t="shared" si="69"/>
        <v>1781322.1301302309</v>
      </c>
      <c r="J24" s="45">
        <f t="shared" si="69"/>
        <v>1263472.3215295793</v>
      </c>
      <c r="K24" s="45">
        <f t="shared" si="69"/>
        <v>878239.13089938415</v>
      </c>
      <c r="L24" s="45">
        <f t="shared" si="69"/>
        <v>610360.52153940988</v>
      </c>
      <c r="M24" s="45">
        <f t="shared" si="69"/>
        <v>148897.91790047431</v>
      </c>
      <c r="N24" s="45">
        <f t="shared" si="69"/>
        <v>42929.414411398291</v>
      </c>
      <c r="O24" s="46">
        <f>O26*O30*O$14</f>
        <v>0</v>
      </c>
      <c r="P24" s="46">
        <f t="shared" ref="P24:Z24" si="70">P26*P30*P$14</f>
        <v>0</v>
      </c>
      <c r="Q24" s="46">
        <f t="shared" si="70"/>
        <v>3969.6165585934855</v>
      </c>
      <c r="R24" s="46">
        <f t="shared" si="70"/>
        <v>177011.12529230394</v>
      </c>
      <c r="S24" s="46">
        <f t="shared" si="70"/>
        <v>718009.71299002948</v>
      </c>
      <c r="T24" s="46">
        <f t="shared" si="70"/>
        <v>1362799.9897643619</v>
      </c>
      <c r="U24" s="46">
        <f t="shared" si="70"/>
        <v>1756972.6538136676</v>
      </c>
      <c r="V24" s="46">
        <f t="shared" si="70"/>
        <v>1841346.4120071421</v>
      </c>
      <c r="W24" s="46">
        <f t="shared" si="70"/>
        <v>1259265.350265967</v>
      </c>
      <c r="X24" s="46">
        <f t="shared" si="70"/>
        <v>722727.18551329395</v>
      </c>
      <c r="Y24" s="46">
        <f t="shared" si="70"/>
        <v>250146.98995125043</v>
      </c>
      <c r="Z24" s="46">
        <f t="shared" si="70"/>
        <v>44799.821353151005</v>
      </c>
      <c r="AA24" s="46">
        <f>AA26*AA30*AA$14</f>
        <v>0</v>
      </c>
      <c r="AB24" s="46">
        <f t="shared" ref="AB24:AL24" si="71">AB26*AB30*AB$14</f>
        <v>0</v>
      </c>
      <c r="AC24" s="46">
        <f t="shared" si="71"/>
        <v>3977.4667293781858</v>
      </c>
      <c r="AD24" s="46">
        <f t="shared" si="71"/>
        <v>177360.46494869178</v>
      </c>
      <c r="AE24" s="46">
        <f t="shared" si="71"/>
        <v>719415.03827611601</v>
      </c>
      <c r="AF24" s="46">
        <f t="shared" si="71"/>
        <v>1365411.0051121551</v>
      </c>
      <c r="AG24" s="46">
        <f t="shared" si="71"/>
        <v>1760318.1072645348</v>
      </c>
      <c r="AH24" s="46">
        <f t="shared" si="71"/>
        <v>1844837.3060926176</v>
      </c>
      <c r="AI24" s="46">
        <f t="shared" si="71"/>
        <v>1261648.9357337861</v>
      </c>
      <c r="AJ24" s="46">
        <f t="shared" si="71"/>
        <v>724117.05636775284</v>
      </c>
      <c r="AK24" s="46">
        <f t="shared" si="71"/>
        <v>250622.11928816073</v>
      </c>
      <c r="AL24" s="46">
        <f t="shared" si="71"/>
        <v>44886.195265282076</v>
      </c>
      <c r="AM24" s="46">
        <f>AM26*AM30*AM$14</f>
        <v>0</v>
      </c>
      <c r="AN24" s="46">
        <f t="shared" ref="AN24:AX24" si="72">AN26*AN30*AN$14</f>
        <v>0</v>
      </c>
      <c r="AO24" s="46">
        <f t="shared" si="72"/>
        <v>3985.3172592490746</v>
      </c>
      <c r="AP24" s="46">
        <f t="shared" si="72"/>
        <v>177709.82058961366</v>
      </c>
      <c r="AQ24" s="46">
        <f t="shared" si="72"/>
        <v>720820.42794524599</v>
      </c>
      <c r="AR24" s="46">
        <f t="shared" si="72"/>
        <v>1368022.1404702123</v>
      </c>
      <c r="AS24" s="46">
        <f t="shared" si="72"/>
        <v>1763663.7146296401</v>
      </c>
      <c r="AT24" s="46">
        <f t="shared" si="72"/>
        <v>1848328.3608919627</v>
      </c>
      <c r="AU24" s="46">
        <f t="shared" si="72"/>
        <v>1264032.6309641872</v>
      </c>
      <c r="AV24" s="46">
        <f t="shared" si="72"/>
        <v>725506.9910682512</v>
      </c>
      <c r="AW24" s="46">
        <f t="shared" si="72"/>
        <v>251097.27049271349</v>
      </c>
      <c r="AX24" s="46">
        <f t="shared" si="72"/>
        <v>44972.573143593872</v>
      </c>
      <c r="AY24" s="46">
        <f>AY26*AY30*AY$14</f>
        <v>0</v>
      </c>
      <c r="AZ24" s="46">
        <f t="shared" ref="AZ24:BJ24" si="73">AZ26*AZ30*AZ$14</f>
        <v>0</v>
      </c>
      <c r="BA24" s="46">
        <f t="shared" si="73"/>
        <v>3993.1680373375652</v>
      </c>
      <c r="BB24" s="46">
        <f t="shared" si="73"/>
        <v>178059.18727130286</v>
      </c>
      <c r="BC24" s="46">
        <f t="shared" si="73"/>
        <v>722225.86194450769</v>
      </c>
      <c r="BD24" s="46">
        <f t="shared" si="73"/>
        <v>1370633.3577799043</v>
      </c>
      <c r="BE24" s="46">
        <f t="shared" si="73"/>
        <v>1767009.4268432204</v>
      </c>
      <c r="BF24" s="46">
        <f t="shared" si="73"/>
        <v>1851819.5249837828</v>
      </c>
      <c r="BG24" s="46">
        <f t="shared" si="73"/>
        <v>1266416.4007911107</v>
      </c>
      <c r="BH24" s="46">
        <f t="shared" si="73"/>
        <v>726896.96943112754</v>
      </c>
      <c r="BI24" s="46">
        <f t="shared" si="73"/>
        <v>251572.43657927398</v>
      </c>
      <c r="BJ24" s="46">
        <f t="shared" si="73"/>
        <v>45058.953736949203</v>
      </c>
      <c r="BK24" s="46">
        <f>BK26*BK30*BK$14</f>
        <v>0</v>
      </c>
      <c r="BL24" s="46">
        <f t="shared" ref="BL24:BV24" si="74">BL26*BL30*BL$14</f>
        <v>0</v>
      </c>
      <c r="BM24" s="46">
        <f t="shared" si="74"/>
        <v>4001.019072283781</v>
      </c>
      <c r="BN24" s="46">
        <f t="shared" si="74"/>
        <v>178408.56537905775</v>
      </c>
      <c r="BO24" s="46">
        <f t="shared" si="74"/>
        <v>723631.34183715645</v>
      </c>
      <c r="BP24" s="46">
        <f t="shared" si="74"/>
        <v>1373244.6600101106</v>
      </c>
      <c r="BQ24" s="46">
        <f t="shared" si="74"/>
        <v>1770355.2477335238</v>
      </c>
      <c r="BR24" s="46">
        <f t="shared" si="74"/>
        <v>1855310.8023806489</v>
      </c>
      <c r="BS24" s="46">
        <f t="shared" si="74"/>
        <v>1268800.2479588049</v>
      </c>
      <c r="BT24" s="46">
        <f t="shared" si="74"/>
        <v>728286.99303069001</v>
      </c>
      <c r="BU24" s="46">
        <f t="shared" si="74"/>
        <v>252047.61809292194</v>
      </c>
      <c r="BV24" s="46">
        <f t="shared" si="74"/>
        <v>45145.337142928009</v>
      </c>
      <c r="BW24" s="46">
        <f>BW26*BW30*BW$14</f>
        <v>0</v>
      </c>
      <c r="BX24" s="46">
        <f t="shared" ref="BX24:CH24" si="75">BX26*BX30*BX$14</f>
        <v>0</v>
      </c>
      <c r="BY24" s="46">
        <f t="shared" si="75"/>
        <v>4008.8780906302532</v>
      </c>
      <c r="BZ24" s="46">
        <f t="shared" si="75"/>
        <v>178758.29944410833</v>
      </c>
      <c r="CA24" s="46">
        <f t="shared" si="75"/>
        <v>725038.26503185055</v>
      </c>
      <c r="CB24" s="46">
        <f t="shared" si="75"/>
        <v>1375858.6989356715</v>
      </c>
      <c r="CC24" s="46">
        <f t="shared" si="75"/>
        <v>1773704.5958683025</v>
      </c>
      <c r="CD24" s="46">
        <f t="shared" si="75"/>
        <v>1858805.775671456</v>
      </c>
      <c r="CE24" s="46">
        <f t="shared" si="75"/>
        <v>1271186.6225023265</v>
      </c>
      <c r="CF24" s="46">
        <f t="shared" si="75"/>
        <v>729678.46821976034</v>
      </c>
      <c r="CG24" s="46">
        <f t="shared" si="75"/>
        <v>252523.30173707346</v>
      </c>
      <c r="CH24" s="46">
        <f t="shared" si="75"/>
        <v>45231.810539488506</v>
      </c>
    </row>
    <row r="25" spans="1:86" x14ac:dyDescent="0.2">
      <c r="A25" s="585">
        <v>13</v>
      </c>
      <c r="B25" s="211" t="s">
        <v>597</v>
      </c>
      <c r="C25" s="591">
        <f t="shared" ref="C25:N25" si="76">C24/C30</f>
        <v>0.10714280091467568</v>
      </c>
      <c r="D25" s="591">
        <f t="shared" si="76"/>
        <v>-8.7069591090844833E-2</v>
      </c>
      <c r="E25" s="591">
        <f t="shared" si="76"/>
        <v>8.8437331315815521E-2</v>
      </c>
      <c r="F25" s="591">
        <f t="shared" si="76"/>
        <v>0.26093674942774309</v>
      </c>
      <c r="G25" s="591">
        <f t="shared" si="76"/>
        <v>1.6283937076290589</v>
      </c>
      <c r="H25" s="591">
        <f t="shared" si="76"/>
        <v>7.9568430082477466</v>
      </c>
      <c r="I25" s="591">
        <f t="shared" si="76"/>
        <v>11.211604399052321</v>
      </c>
      <c r="J25" s="591">
        <f t="shared" si="76"/>
        <v>7.917336567990195</v>
      </c>
      <c r="K25" s="591">
        <f t="shared" si="76"/>
        <v>5.4945234323249279</v>
      </c>
      <c r="L25" s="591">
        <f t="shared" si="76"/>
        <v>3.8803801895775418</v>
      </c>
      <c r="M25" s="591">
        <f t="shared" si="76"/>
        <v>0.93481867089700088</v>
      </c>
      <c r="N25" s="591">
        <f t="shared" si="76"/>
        <v>0.27362921818227087</v>
      </c>
      <c r="O25" s="592">
        <f>O24/O30</f>
        <v>0</v>
      </c>
      <c r="P25" s="592">
        <f t="shared" ref="P25:Z25" si="77">P24/P30</f>
        <v>0</v>
      </c>
      <c r="Q25" s="592">
        <f t="shared" si="77"/>
        <v>2.5909644008834186E-2</v>
      </c>
      <c r="R25" s="592">
        <f t="shared" si="77"/>
        <v>1.1529791583931213</v>
      </c>
      <c r="S25" s="592">
        <f t="shared" si="77"/>
        <v>4.6378262775813193</v>
      </c>
      <c r="T25" s="592">
        <f t="shared" si="77"/>
        <v>8.6149566329373659</v>
      </c>
      <c r="U25" s="592">
        <f t="shared" si="77"/>
        <v>11.037508347763362</v>
      </c>
      <c r="V25" s="592">
        <f t="shared" si="77"/>
        <v>11.516836761926797</v>
      </c>
      <c r="W25" s="592">
        <f t="shared" si="77"/>
        <v>7.8635769566811771</v>
      </c>
      <c r="X25" s="592">
        <f t="shared" si="77"/>
        <v>4.5860069895636508</v>
      </c>
      <c r="Y25" s="592">
        <f t="shared" si="77"/>
        <v>1.5675334625344681</v>
      </c>
      <c r="Z25" s="592">
        <f t="shared" si="77"/>
        <v>0.28500608409717604</v>
      </c>
      <c r="AA25" s="592">
        <f>AA24/AA30</f>
        <v>0</v>
      </c>
      <c r="AB25" s="592">
        <f t="shared" ref="AB25:AL25" si="78">AB24/AB30</f>
        <v>0</v>
      </c>
      <c r="AC25" s="592">
        <f t="shared" si="78"/>
        <v>2.5910147413055733E-2</v>
      </c>
      <c r="AD25" s="592">
        <f t="shared" si="78"/>
        <v>1.1530015598809802</v>
      </c>
      <c r="AE25" s="592">
        <f t="shared" si="78"/>
        <v>4.6379163869369764</v>
      </c>
      <c r="AF25" s="592">
        <f t="shared" si="78"/>
        <v>8.6151240148410313</v>
      </c>
      <c r="AG25" s="592">
        <f t="shared" si="78"/>
        <v>11.037722797961743</v>
      </c>
      <c r="AH25" s="592">
        <f t="shared" si="78"/>
        <v>11.517060525103274</v>
      </c>
      <c r="AI25" s="592">
        <f t="shared" si="78"/>
        <v>7.863729739862416</v>
      </c>
      <c r="AJ25" s="592">
        <f t="shared" si="78"/>
        <v>4.5860960921108642</v>
      </c>
      <c r="AK25" s="592">
        <f t="shared" si="78"/>
        <v>1.567563918489872</v>
      </c>
      <c r="AL25" s="592">
        <f t="shared" si="78"/>
        <v>0.28501162154361304</v>
      </c>
      <c r="AM25" s="592">
        <f>AM24/AM30</f>
        <v>0</v>
      </c>
      <c r="AN25" s="592">
        <f t="shared" ref="AN25:AX25" si="79">AN24/AN30</f>
        <v>0</v>
      </c>
      <c r="AO25" s="592">
        <f t="shared" si="79"/>
        <v>2.5910651188148198E-2</v>
      </c>
      <c r="AP25" s="592">
        <f t="shared" si="79"/>
        <v>1.1530239778725948</v>
      </c>
      <c r="AQ25" s="592">
        <f t="shared" si="79"/>
        <v>4.6380065626785276</v>
      </c>
      <c r="AR25" s="592">
        <f t="shared" si="79"/>
        <v>8.6152915200592748</v>
      </c>
      <c r="AS25" s="592">
        <f t="shared" si="79"/>
        <v>11.037937406151132</v>
      </c>
      <c r="AT25" s="592">
        <f t="shared" si="79"/>
        <v>11.517284453131875</v>
      </c>
      <c r="AU25" s="592">
        <f t="shared" si="79"/>
        <v>7.8638826356029785</v>
      </c>
      <c r="AV25" s="592">
        <f t="shared" si="79"/>
        <v>4.5861852603022317</v>
      </c>
      <c r="AW25" s="592">
        <f t="shared" si="79"/>
        <v>1.567594396882966</v>
      </c>
      <c r="AX25" s="592">
        <f t="shared" si="79"/>
        <v>0.28501716306963015</v>
      </c>
      <c r="AY25" s="592">
        <f>AY24/AY30</f>
        <v>0</v>
      </c>
      <c r="AZ25" s="592">
        <f t="shared" ref="AZ25:BJ25" si="80">AZ24/AZ30</f>
        <v>0</v>
      </c>
      <c r="BA25" s="592">
        <f t="shared" si="80"/>
        <v>2.5911154612533679E-2</v>
      </c>
      <c r="BB25" s="592">
        <f t="shared" si="80"/>
        <v>1.1530463802577489</v>
      </c>
      <c r="BC25" s="592">
        <f t="shared" si="80"/>
        <v>4.6380966756435287</v>
      </c>
      <c r="BD25" s="592">
        <f t="shared" si="80"/>
        <v>8.6154589086674473</v>
      </c>
      <c r="BE25" s="592">
        <f t="shared" si="80"/>
        <v>11.038151864939346</v>
      </c>
      <c r="BF25" s="592">
        <f t="shared" si="80"/>
        <v>11.517508225271222</v>
      </c>
      <c r="BG25" s="592">
        <f t="shared" si="80"/>
        <v>7.8640354249039719</v>
      </c>
      <c r="BH25" s="592">
        <f t="shared" si="80"/>
        <v>4.5862743664184613</v>
      </c>
      <c r="BI25" s="592">
        <f t="shared" si="80"/>
        <v>1.5676248540582876</v>
      </c>
      <c r="BJ25" s="592">
        <f t="shared" si="80"/>
        <v>0.28502270073787045</v>
      </c>
      <c r="BK25" s="592">
        <f>BK24/BK30</f>
        <v>0</v>
      </c>
      <c r="BL25" s="592">
        <f t="shared" ref="BL25:BV25" si="81">BL24/BL30</f>
        <v>0</v>
      </c>
      <c r="BM25" s="592">
        <f t="shared" si="81"/>
        <v>2.591165774421204E-2</v>
      </c>
      <c r="BN25" s="592">
        <f t="shared" si="81"/>
        <v>1.1530687696174358</v>
      </c>
      <c r="BO25" s="592">
        <f t="shared" si="81"/>
        <v>4.6381867362139557</v>
      </c>
      <c r="BP25" s="592">
        <f t="shared" si="81"/>
        <v>8.6156261999505031</v>
      </c>
      <c r="BQ25" s="592">
        <f t="shared" si="81"/>
        <v>11.03836619903433</v>
      </c>
      <c r="BR25" s="592">
        <f t="shared" si="81"/>
        <v>11.517731867302254</v>
      </c>
      <c r="BS25" s="592">
        <f t="shared" si="81"/>
        <v>7.8641881253683543</v>
      </c>
      <c r="BT25" s="592">
        <f t="shared" si="81"/>
        <v>4.5863634207255313</v>
      </c>
      <c r="BU25" s="592">
        <f t="shared" si="81"/>
        <v>1.5676552935248287</v>
      </c>
      <c r="BV25" s="592">
        <f t="shared" si="81"/>
        <v>0.28502823518633241</v>
      </c>
      <c r="BW25" s="592">
        <f>BW24/BW30</f>
        <v>0</v>
      </c>
      <c r="BX25" s="592">
        <f t="shared" ref="BX25:CH25" si="82">BX24/BX30</f>
        <v>0</v>
      </c>
      <c r="BY25" s="592">
        <f t="shared" si="82"/>
        <v>2.5912210526987611E-2</v>
      </c>
      <c r="BZ25" s="592">
        <f t="shared" si="82"/>
        <v>1.1530933684509488</v>
      </c>
      <c r="CA25" s="592">
        <f t="shared" si="82"/>
        <v>4.638285684330782</v>
      </c>
      <c r="CB25" s="592">
        <f t="shared" si="82"/>
        <v>8.6158100002233802</v>
      </c>
      <c r="CC25" s="592">
        <f t="shared" si="82"/>
        <v>11.038601684496724</v>
      </c>
      <c r="CD25" s="592">
        <f t="shared" si="82"/>
        <v>11.517977579245992</v>
      </c>
      <c r="CE25" s="592">
        <f t="shared" si="82"/>
        <v>7.8643558949407417</v>
      </c>
      <c r="CF25" s="592">
        <f t="shared" si="82"/>
        <v>4.5864612632768074</v>
      </c>
      <c r="CG25" s="592">
        <f t="shared" si="82"/>
        <v>1.5676887368827506</v>
      </c>
      <c r="CH25" s="592">
        <f t="shared" si="82"/>
        <v>0.28503431579686372</v>
      </c>
    </row>
    <row r="26" spans="1:86" x14ac:dyDescent="0.2">
      <c r="A26" s="585">
        <v>14</v>
      </c>
      <c r="B26" s="211" t="s">
        <v>590</v>
      </c>
      <c r="C26" s="593">
        <f>SUM(C25:N25)/SUM(C$13:N$13)</f>
        <v>1.2954597153647439E-2</v>
      </c>
      <c r="D26" s="593">
        <f>C26</f>
        <v>1.2954597153647439E-2</v>
      </c>
      <c r="E26" s="593">
        <f t="shared" ref="E26:N26" si="83">D26</f>
        <v>1.2954597153647439E-2</v>
      </c>
      <c r="F26" s="593">
        <f t="shared" si="83"/>
        <v>1.2954597153647439E-2</v>
      </c>
      <c r="G26" s="593">
        <f t="shared" si="83"/>
        <v>1.2954597153647439E-2</v>
      </c>
      <c r="H26" s="593">
        <f t="shared" si="83"/>
        <v>1.2954597153647439E-2</v>
      </c>
      <c r="I26" s="593">
        <f t="shared" si="83"/>
        <v>1.2954597153647439E-2</v>
      </c>
      <c r="J26" s="593">
        <f t="shared" si="83"/>
        <v>1.2954597153647439E-2</v>
      </c>
      <c r="K26" s="593">
        <f t="shared" si="83"/>
        <v>1.2954597153647439E-2</v>
      </c>
      <c r="L26" s="593">
        <f t="shared" si="83"/>
        <v>1.2954597153647439E-2</v>
      </c>
      <c r="M26" s="593">
        <f t="shared" si="83"/>
        <v>1.2954597153647439E-2</v>
      </c>
      <c r="N26" s="593">
        <f t="shared" si="83"/>
        <v>1.2954597153647439E-2</v>
      </c>
      <c r="O26" s="594">
        <f>((SUM(C31:N31)/AVERAGE(C30:N30)+O21)*AVERAGE(O30:Z30)-SUM(O23:Z23))/(O30*O$14+P30*P$14+Q30*Q$14+R30*R$14+S30*S$14+T30*T$14+U30*U$14+V30*V$14+W30*W$14+X30*X$14+Y30*Y$14+Z30*Z$14)</f>
        <v>1.2954822004417093E-2</v>
      </c>
      <c r="P26" s="595">
        <f>O26</f>
        <v>1.2954822004417093E-2</v>
      </c>
      <c r="Q26" s="595">
        <f t="shared" ref="Q26:Z26" si="84">P26</f>
        <v>1.2954822004417093E-2</v>
      </c>
      <c r="R26" s="595">
        <f t="shared" si="84"/>
        <v>1.2954822004417093E-2</v>
      </c>
      <c r="S26" s="595">
        <f t="shared" si="84"/>
        <v>1.2954822004417093E-2</v>
      </c>
      <c r="T26" s="595">
        <f t="shared" si="84"/>
        <v>1.2954822004417093E-2</v>
      </c>
      <c r="U26" s="595">
        <f t="shared" si="84"/>
        <v>1.2954822004417093E-2</v>
      </c>
      <c r="V26" s="595">
        <f t="shared" si="84"/>
        <v>1.2954822004417093E-2</v>
      </c>
      <c r="W26" s="595">
        <f t="shared" si="84"/>
        <v>1.2954822004417093E-2</v>
      </c>
      <c r="X26" s="595">
        <f t="shared" si="84"/>
        <v>1.2954822004417093E-2</v>
      </c>
      <c r="Y26" s="595">
        <f t="shared" si="84"/>
        <v>1.2954822004417093E-2</v>
      </c>
      <c r="Z26" s="595">
        <f t="shared" si="84"/>
        <v>1.2954822004417093E-2</v>
      </c>
      <c r="AA26" s="594">
        <f>((SUM(O31:Z31)/AVERAGE(O30:Z30)+AA21)*AVERAGE(AA30:AL30)-SUM(AA23:AL23))/(AA30*AA$14+AB30*AB$14+AC30*AC$14+AD30*AD$14+AE30*AE$14+AF30*AF$14+AG30*AG$14+AH30*AH$14+AI30*AI$14+AJ30*AJ$14+AK30*AK$14+AL30*AL$14)</f>
        <v>1.2955073706527867E-2</v>
      </c>
      <c r="AB26" s="595">
        <f>AA26</f>
        <v>1.2955073706527867E-2</v>
      </c>
      <c r="AC26" s="595">
        <f t="shared" ref="AC26" si="85">AB26</f>
        <v>1.2955073706527867E-2</v>
      </c>
      <c r="AD26" s="595">
        <f t="shared" ref="AD26" si="86">AC26</f>
        <v>1.2955073706527867E-2</v>
      </c>
      <c r="AE26" s="595">
        <f t="shared" ref="AE26" si="87">AD26</f>
        <v>1.2955073706527867E-2</v>
      </c>
      <c r="AF26" s="595">
        <f t="shared" ref="AF26" si="88">AE26</f>
        <v>1.2955073706527867E-2</v>
      </c>
      <c r="AG26" s="595">
        <f t="shared" ref="AG26" si="89">AF26</f>
        <v>1.2955073706527867E-2</v>
      </c>
      <c r="AH26" s="595">
        <f t="shared" ref="AH26" si="90">AG26</f>
        <v>1.2955073706527867E-2</v>
      </c>
      <c r="AI26" s="595">
        <f t="shared" ref="AI26" si="91">AH26</f>
        <v>1.2955073706527867E-2</v>
      </c>
      <c r="AJ26" s="595">
        <f t="shared" ref="AJ26" si="92">AI26</f>
        <v>1.2955073706527867E-2</v>
      </c>
      <c r="AK26" s="595">
        <f t="shared" ref="AK26" si="93">AJ26</f>
        <v>1.2955073706527867E-2</v>
      </c>
      <c r="AL26" s="595">
        <f t="shared" ref="AL26" si="94">AK26</f>
        <v>1.2955073706527867E-2</v>
      </c>
      <c r="AM26" s="594">
        <f>((SUM(AA31:AL31)/AVERAGE(AA30:AL30)+AM21)*AVERAGE(AM30:AX30)-SUM(AM23:AX23))/(AM30*AM$14+AN30*AN$14+AO30*AO$14+AP30*AP$14+AQ30*AQ$14+AR30*AR$14+AS30*AS$14+AT30*AT$14+AU30*AU$14+AV30*AV$14+AW30*AW$14+AX30*AX$14)</f>
        <v>1.2955325594074099E-2</v>
      </c>
      <c r="AN26" s="595">
        <f>AM26</f>
        <v>1.2955325594074099E-2</v>
      </c>
      <c r="AO26" s="595">
        <f t="shared" ref="AO26" si="95">AN26</f>
        <v>1.2955325594074099E-2</v>
      </c>
      <c r="AP26" s="595">
        <f t="shared" ref="AP26" si="96">AO26</f>
        <v>1.2955325594074099E-2</v>
      </c>
      <c r="AQ26" s="595">
        <f t="shared" ref="AQ26" si="97">AP26</f>
        <v>1.2955325594074099E-2</v>
      </c>
      <c r="AR26" s="595">
        <f t="shared" ref="AR26" si="98">AQ26</f>
        <v>1.2955325594074099E-2</v>
      </c>
      <c r="AS26" s="595">
        <f t="shared" ref="AS26" si="99">AR26</f>
        <v>1.2955325594074099E-2</v>
      </c>
      <c r="AT26" s="595">
        <f t="shared" ref="AT26" si="100">AS26</f>
        <v>1.2955325594074099E-2</v>
      </c>
      <c r="AU26" s="595">
        <f t="shared" ref="AU26" si="101">AT26</f>
        <v>1.2955325594074099E-2</v>
      </c>
      <c r="AV26" s="595">
        <f t="shared" ref="AV26" si="102">AU26</f>
        <v>1.2955325594074099E-2</v>
      </c>
      <c r="AW26" s="595">
        <f t="shared" ref="AW26" si="103">AV26</f>
        <v>1.2955325594074099E-2</v>
      </c>
      <c r="AX26" s="595">
        <f t="shared" ref="AX26" si="104">AW26</f>
        <v>1.2955325594074099E-2</v>
      </c>
      <c r="AY26" s="594">
        <f>((SUM(AM31:AX31)/AVERAGE(AM30:AX30)+AY21)*AVERAGE(AY30:BJ30)-SUM(AY23:BJ23))/(AY30*AY$14+AZ30*AZ$14+BA30*BA$14+BB30*BB$14+BC30*BC$14+BD30*BD$14+BE30*BE$14+BF30*BF$14+BG30*BG$14+BH30*BH$14+BI30*BI$14+BJ30*BJ$14)</f>
        <v>1.2955577306266839E-2</v>
      </c>
      <c r="AZ26" s="595">
        <f>AY26</f>
        <v>1.2955577306266839E-2</v>
      </c>
      <c r="BA26" s="595">
        <f t="shared" ref="BA26" si="105">AZ26</f>
        <v>1.2955577306266839E-2</v>
      </c>
      <c r="BB26" s="595">
        <f t="shared" ref="BB26" si="106">BA26</f>
        <v>1.2955577306266839E-2</v>
      </c>
      <c r="BC26" s="595">
        <f t="shared" ref="BC26" si="107">BB26</f>
        <v>1.2955577306266839E-2</v>
      </c>
      <c r="BD26" s="595">
        <f t="shared" ref="BD26" si="108">BC26</f>
        <v>1.2955577306266839E-2</v>
      </c>
      <c r="BE26" s="595">
        <f t="shared" ref="BE26" si="109">BD26</f>
        <v>1.2955577306266839E-2</v>
      </c>
      <c r="BF26" s="595">
        <f t="shared" ref="BF26" si="110">BE26</f>
        <v>1.2955577306266839E-2</v>
      </c>
      <c r="BG26" s="595">
        <f t="shared" ref="BG26" si="111">BF26</f>
        <v>1.2955577306266839E-2</v>
      </c>
      <c r="BH26" s="595">
        <f t="shared" ref="BH26" si="112">BG26</f>
        <v>1.2955577306266839E-2</v>
      </c>
      <c r="BI26" s="595">
        <f t="shared" ref="BI26" si="113">BH26</f>
        <v>1.2955577306266839E-2</v>
      </c>
      <c r="BJ26" s="595">
        <f t="shared" ref="BJ26" si="114">BI26</f>
        <v>1.2955577306266839E-2</v>
      </c>
      <c r="BK26" s="594">
        <f>((SUM(AY31:BJ31)/AVERAGE(AY30:BJ30)+BK21)*AVERAGE(BK30:BV30)-SUM(BK23:BV23))/(BK30*BK$14+BL30*BL$14+BM30*BM$14+BN30*BN$14+BO30*BO$14+BP30*BP$14+BQ30*BQ$14+BR30*BR$14+BS30*BS$14+BT30*BT$14+BU30*BU$14+BV30*BV$14)</f>
        <v>1.295582887210602E-2</v>
      </c>
      <c r="BL26" s="595">
        <f>BK26</f>
        <v>1.295582887210602E-2</v>
      </c>
      <c r="BM26" s="595">
        <f t="shared" ref="BM26" si="115">BL26</f>
        <v>1.295582887210602E-2</v>
      </c>
      <c r="BN26" s="595">
        <f t="shared" ref="BN26" si="116">BM26</f>
        <v>1.295582887210602E-2</v>
      </c>
      <c r="BO26" s="595">
        <f t="shared" ref="BO26" si="117">BN26</f>
        <v>1.295582887210602E-2</v>
      </c>
      <c r="BP26" s="595">
        <f t="shared" ref="BP26" si="118">BO26</f>
        <v>1.295582887210602E-2</v>
      </c>
      <c r="BQ26" s="595">
        <f t="shared" ref="BQ26" si="119">BP26</f>
        <v>1.295582887210602E-2</v>
      </c>
      <c r="BR26" s="595">
        <f t="shared" ref="BR26" si="120">BQ26</f>
        <v>1.295582887210602E-2</v>
      </c>
      <c r="BS26" s="595">
        <f t="shared" ref="BS26" si="121">BR26</f>
        <v>1.295582887210602E-2</v>
      </c>
      <c r="BT26" s="595">
        <f t="shared" ref="BT26" si="122">BS26</f>
        <v>1.295582887210602E-2</v>
      </c>
      <c r="BU26" s="595">
        <f t="shared" ref="BU26" si="123">BT26</f>
        <v>1.295582887210602E-2</v>
      </c>
      <c r="BV26" s="595">
        <f t="shared" ref="BV26" si="124">BU26</f>
        <v>1.295582887210602E-2</v>
      </c>
      <c r="BW26" s="594">
        <f>((SUM(BK31:BV31)/AVERAGE(BK30:BV30)+BW21)*AVERAGE(BW30:CH30)-SUM(BW23:CH23))/(BW30*BW$14+BX30*BX$14+BY30*BY$14+BZ30*BZ$14+CA30*CA$14+CB30*CB$14+CC30*CC$14+CD30*CD$14+CE30*CE$14+CF30*CF$14+CG30*CG$14+CH30*CH$14)</f>
        <v>1.2956105263493806E-2</v>
      </c>
      <c r="BX26" s="595">
        <f>BW26</f>
        <v>1.2956105263493806E-2</v>
      </c>
      <c r="BY26" s="595">
        <f t="shared" ref="BY26" si="125">BX26</f>
        <v>1.2956105263493806E-2</v>
      </c>
      <c r="BZ26" s="595">
        <f t="shared" ref="BZ26" si="126">BY26</f>
        <v>1.2956105263493806E-2</v>
      </c>
      <c r="CA26" s="595">
        <f t="shared" ref="CA26" si="127">BZ26</f>
        <v>1.2956105263493806E-2</v>
      </c>
      <c r="CB26" s="595">
        <f t="shared" ref="CB26" si="128">CA26</f>
        <v>1.2956105263493806E-2</v>
      </c>
      <c r="CC26" s="595">
        <f t="shared" ref="CC26" si="129">CB26</f>
        <v>1.2956105263493806E-2</v>
      </c>
      <c r="CD26" s="595">
        <f t="shared" ref="CD26" si="130">CC26</f>
        <v>1.2956105263493806E-2</v>
      </c>
      <c r="CE26" s="595">
        <f t="shared" ref="CE26" si="131">CD26</f>
        <v>1.2956105263493806E-2</v>
      </c>
      <c r="CF26" s="595">
        <f t="shared" ref="CF26" si="132">CE26</f>
        <v>1.2956105263493806E-2</v>
      </c>
      <c r="CG26" s="595">
        <f t="shared" ref="CG26" si="133">CF26</f>
        <v>1.2956105263493806E-2</v>
      </c>
      <c r="CH26" s="595">
        <f t="shared" ref="CH26" si="134">CG26</f>
        <v>1.2956105263493806E-2</v>
      </c>
    </row>
    <row r="27" spans="1:86" x14ac:dyDescent="0.2">
      <c r="A27" s="585">
        <v>15</v>
      </c>
      <c r="B27" s="211" t="s">
        <v>104</v>
      </c>
      <c r="C27" s="42">
        <f>ROUND(C26*C$14,4)</f>
        <v>0</v>
      </c>
      <c r="D27" s="42">
        <f t="shared" ref="D27:Z27" si="135">ROUND(D26*D$14,4)</f>
        <v>0</v>
      </c>
      <c r="E27" s="42">
        <f t="shared" si="135"/>
        <v>2.5899999999999999E-2</v>
      </c>
      <c r="F27" s="42">
        <f t="shared" si="135"/>
        <v>1.153</v>
      </c>
      <c r="G27" s="42">
        <f t="shared" si="135"/>
        <v>4.6376999999999997</v>
      </c>
      <c r="H27" s="42">
        <f t="shared" si="135"/>
        <v>8.6148000000000007</v>
      </c>
      <c r="I27" s="42">
        <f t="shared" si="135"/>
        <v>11.0373</v>
      </c>
      <c r="J27" s="42">
        <f t="shared" si="135"/>
        <v>11.5166</v>
      </c>
      <c r="K27" s="42">
        <f t="shared" si="135"/>
        <v>7.8634000000000004</v>
      </c>
      <c r="L27" s="42">
        <f t="shared" si="135"/>
        <v>4.5858999999999996</v>
      </c>
      <c r="M27" s="42">
        <f t="shared" si="135"/>
        <v>1.5674999999999999</v>
      </c>
      <c r="N27" s="42">
        <f t="shared" si="135"/>
        <v>0.28499999999999998</v>
      </c>
      <c r="O27" s="42">
        <f t="shared" si="135"/>
        <v>0</v>
      </c>
      <c r="P27" s="42">
        <f t="shared" si="135"/>
        <v>0</v>
      </c>
      <c r="Q27" s="42">
        <f t="shared" si="135"/>
        <v>2.5899999999999999E-2</v>
      </c>
      <c r="R27" s="42">
        <f t="shared" si="135"/>
        <v>1.153</v>
      </c>
      <c r="S27" s="42">
        <f t="shared" si="135"/>
        <v>4.6378000000000004</v>
      </c>
      <c r="T27" s="42">
        <f t="shared" si="135"/>
        <v>8.6150000000000002</v>
      </c>
      <c r="U27" s="42">
        <f t="shared" si="135"/>
        <v>11.0375</v>
      </c>
      <c r="V27" s="42">
        <f t="shared" si="135"/>
        <v>11.5168</v>
      </c>
      <c r="W27" s="42">
        <f t="shared" si="135"/>
        <v>7.8635999999999999</v>
      </c>
      <c r="X27" s="42">
        <f t="shared" si="135"/>
        <v>4.5860000000000003</v>
      </c>
      <c r="Y27" s="42">
        <f t="shared" si="135"/>
        <v>1.5674999999999999</v>
      </c>
      <c r="Z27" s="42">
        <f t="shared" si="135"/>
        <v>0.28499999999999998</v>
      </c>
      <c r="AA27" s="42">
        <f t="shared" ref="AA27:CH27" si="136">ROUND(AA26*AA$14,4)</f>
        <v>0</v>
      </c>
      <c r="AB27" s="42">
        <f t="shared" si="136"/>
        <v>0</v>
      </c>
      <c r="AC27" s="42">
        <f t="shared" si="136"/>
        <v>2.5899999999999999E-2</v>
      </c>
      <c r="AD27" s="42">
        <f t="shared" si="136"/>
        <v>1.153</v>
      </c>
      <c r="AE27" s="42">
        <f t="shared" si="136"/>
        <v>4.6379000000000001</v>
      </c>
      <c r="AF27" s="42">
        <f t="shared" si="136"/>
        <v>8.6151</v>
      </c>
      <c r="AG27" s="42">
        <f t="shared" si="136"/>
        <v>11.037699999999999</v>
      </c>
      <c r="AH27" s="42">
        <f t="shared" si="136"/>
        <v>11.517099999999999</v>
      </c>
      <c r="AI27" s="42">
        <f t="shared" si="136"/>
        <v>7.8636999999999997</v>
      </c>
      <c r="AJ27" s="42">
        <f t="shared" si="136"/>
        <v>4.5861000000000001</v>
      </c>
      <c r="AK27" s="42">
        <f t="shared" si="136"/>
        <v>1.5676000000000001</v>
      </c>
      <c r="AL27" s="42">
        <f t="shared" si="136"/>
        <v>0.28499999999999998</v>
      </c>
      <c r="AM27" s="42">
        <f t="shared" si="136"/>
        <v>0</v>
      </c>
      <c r="AN27" s="42">
        <f t="shared" si="136"/>
        <v>0</v>
      </c>
      <c r="AO27" s="42">
        <f t="shared" si="136"/>
        <v>2.5899999999999999E-2</v>
      </c>
      <c r="AP27" s="42">
        <f t="shared" si="136"/>
        <v>1.153</v>
      </c>
      <c r="AQ27" s="42">
        <f t="shared" si="136"/>
        <v>4.6379999999999999</v>
      </c>
      <c r="AR27" s="42">
        <f t="shared" si="136"/>
        <v>8.6152999999999995</v>
      </c>
      <c r="AS27" s="42">
        <f t="shared" si="136"/>
        <v>11.0379</v>
      </c>
      <c r="AT27" s="42">
        <f t="shared" si="136"/>
        <v>11.517300000000001</v>
      </c>
      <c r="AU27" s="42">
        <f t="shared" si="136"/>
        <v>7.8639000000000001</v>
      </c>
      <c r="AV27" s="42">
        <f t="shared" si="136"/>
        <v>4.5861999999999998</v>
      </c>
      <c r="AW27" s="42">
        <f t="shared" si="136"/>
        <v>1.5676000000000001</v>
      </c>
      <c r="AX27" s="42">
        <f t="shared" si="136"/>
        <v>0.28499999999999998</v>
      </c>
      <c r="AY27" s="42">
        <f t="shared" si="136"/>
        <v>0</v>
      </c>
      <c r="AZ27" s="42">
        <f t="shared" si="136"/>
        <v>0</v>
      </c>
      <c r="BA27" s="42">
        <f t="shared" si="136"/>
        <v>2.5899999999999999E-2</v>
      </c>
      <c r="BB27" s="42">
        <f t="shared" si="136"/>
        <v>1.153</v>
      </c>
      <c r="BC27" s="42">
        <f t="shared" si="136"/>
        <v>4.6380999999999997</v>
      </c>
      <c r="BD27" s="42">
        <f t="shared" si="136"/>
        <v>8.6155000000000008</v>
      </c>
      <c r="BE27" s="42">
        <f t="shared" si="136"/>
        <v>11.0382</v>
      </c>
      <c r="BF27" s="42">
        <f t="shared" si="136"/>
        <v>11.5175</v>
      </c>
      <c r="BG27" s="42">
        <f t="shared" si="136"/>
        <v>7.8639999999999999</v>
      </c>
      <c r="BH27" s="42">
        <f t="shared" si="136"/>
        <v>4.5862999999999996</v>
      </c>
      <c r="BI27" s="42">
        <f t="shared" si="136"/>
        <v>1.5676000000000001</v>
      </c>
      <c r="BJ27" s="42">
        <f t="shared" si="136"/>
        <v>0.28499999999999998</v>
      </c>
      <c r="BK27" s="42">
        <f t="shared" si="136"/>
        <v>0</v>
      </c>
      <c r="BL27" s="42">
        <f t="shared" si="136"/>
        <v>0</v>
      </c>
      <c r="BM27" s="42">
        <f t="shared" si="136"/>
        <v>2.5899999999999999E-2</v>
      </c>
      <c r="BN27" s="42">
        <f t="shared" si="136"/>
        <v>1.1531</v>
      </c>
      <c r="BO27" s="42">
        <f t="shared" si="136"/>
        <v>4.6382000000000003</v>
      </c>
      <c r="BP27" s="42">
        <f t="shared" si="136"/>
        <v>8.6156000000000006</v>
      </c>
      <c r="BQ27" s="42">
        <f t="shared" si="136"/>
        <v>11.038399999999999</v>
      </c>
      <c r="BR27" s="42">
        <f t="shared" si="136"/>
        <v>11.5177</v>
      </c>
      <c r="BS27" s="42">
        <f t="shared" si="136"/>
        <v>7.8642000000000003</v>
      </c>
      <c r="BT27" s="42">
        <f t="shared" si="136"/>
        <v>4.5864000000000003</v>
      </c>
      <c r="BU27" s="42">
        <f t="shared" si="136"/>
        <v>1.5677000000000001</v>
      </c>
      <c r="BV27" s="42">
        <f t="shared" si="136"/>
        <v>0.28499999999999998</v>
      </c>
      <c r="BW27" s="42">
        <f t="shared" si="136"/>
        <v>0</v>
      </c>
      <c r="BX27" s="42">
        <f t="shared" si="136"/>
        <v>0</v>
      </c>
      <c r="BY27" s="42">
        <f t="shared" si="136"/>
        <v>2.5899999999999999E-2</v>
      </c>
      <c r="BZ27" s="42">
        <f t="shared" si="136"/>
        <v>1.1531</v>
      </c>
      <c r="CA27" s="42">
        <f t="shared" si="136"/>
        <v>4.6383000000000001</v>
      </c>
      <c r="CB27" s="42">
        <f t="shared" si="136"/>
        <v>8.6158000000000001</v>
      </c>
      <c r="CC27" s="42">
        <f t="shared" si="136"/>
        <v>11.038600000000001</v>
      </c>
      <c r="CD27" s="42">
        <f t="shared" si="136"/>
        <v>11.518000000000001</v>
      </c>
      <c r="CE27" s="42">
        <f t="shared" si="136"/>
        <v>7.8643999999999998</v>
      </c>
      <c r="CF27" s="42">
        <f t="shared" si="136"/>
        <v>4.5865</v>
      </c>
      <c r="CG27" s="42">
        <f t="shared" si="136"/>
        <v>1.5677000000000001</v>
      </c>
      <c r="CH27" s="42">
        <f t="shared" si="136"/>
        <v>0.28499999999999998</v>
      </c>
    </row>
    <row r="28" spans="1:86" x14ac:dyDescent="0.2">
      <c r="A28" s="585">
        <v>16</v>
      </c>
      <c r="B28" s="211" t="s">
        <v>591</v>
      </c>
      <c r="C28" s="706">
        <f>(D32+E32)/(D30+E30)</f>
        <v>0.994377461699684</v>
      </c>
      <c r="D28" s="596">
        <f t="shared" ref="D28:N28" si="137">C28</f>
        <v>0.994377461699684</v>
      </c>
      <c r="E28" s="596">
        <f t="shared" si="137"/>
        <v>0.994377461699684</v>
      </c>
      <c r="F28" s="596">
        <f t="shared" si="137"/>
        <v>0.994377461699684</v>
      </c>
      <c r="G28" s="596">
        <f t="shared" si="137"/>
        <v>0.994377461699684</v>
      </c>
      <c r="H28" s="596">
        <f t="shared" si="137"/>
        <v>0.994377461699684</v>
      </c>
      <c r="I28" s="596">
        <f t="shared" si="137"/>
        <v>0.994377461699684</v>
      </c>
      <c r="J28" s="596">
        <f t="shared" si="137"/>
        <v>0.994377461699684</v>
      </c>
      <c r="K28" s="596">
        <f t="shared" si="137"/>
        <v>0.994377461699684</v>
      </c>
      <c r="L28" s="596">
        <f t="shared" si="137"/>
        <v>0.994377461699684</v>
      </c>
      <c r="M28" s="596">
        <f t="shared" si="137"/>
        <v>0.994377461699684</v>
      </c>
      <c r="N28" s="596">
        <f t="shared" si="137"/>
        <v>0.994377461699684</v>
      </c>
      <c r="O28" s="597">
        <f>C28+O20</f>
        <v>0.994377461699684</v>
      </c>
      <c r="P28" s="597">
        <f t="shared" ref="P28:Z28" si="138">D28+P20</f>
        <v>0.994377461699684</v>
      </c>
      <c r="Q28" s="597">
        <f t="shared" si="138"/>
        <v>0.994377461699684</v>
      </c>
      <c r="R28" s="597">
        <f t="shared" si="138"/>
        <v>0.994377461699684</v>
      </c>
      <c r="S28" s="597">
        <f t="shared" si="138"/>
        <v>0.994377461699684</v>
      </c>
      <c r="T28" s="597">
        <f t="shared" si="138"/>
        <v>0.994377461699684</v>
      </c>
      <c r="U28" s="597">
        <f t="shared" si="138"/>
        <v>0.994377461699684</v>
      </c>
      <c r="V28" s="597">
        <f t="shared" si="138"/>
        <v>0.994377461699684</v>
      </c>
      <c r="W28" s="597">
        <f t="shared" si="138"/>
        <v>0.994377461699684</v>
      </c>
      <c r="X28" s="597">
        <f t="shared" si="138"/>
        <v>0.994377461699684</v>
      </c>
      <c r="Y28" s="597">
        <f t="shared" si="138"/>
        <v>0.994377461699684</v>
      </c>
      <c r="Z28" s="597">
        <f t="shared" si="138"/>
        <v>0.994377461699684</v>
      </c>
      <c r="AA28" s="597">
        <f>O28+AA20</f>
        <v>0.994377461699684</v>
      </c>
      <c r="AB28" s="597">
        <f t="shared" ref="AB28" si="139">P28+AB20</f>
        <v>0.994377461699684</v>
      </c>
      <c r="AC28" s="597">
        <f t="shared" ref="AC28" si="140">Q28+AC20</f>
        <v>0.994377461699684</v>
      </c>
      <c r="AD28" s="597">
        <f t="shared" ref="AD28" si="141">R28+AD20</f>
        <v>0.994377461699684</v>
      </c>
      <c r="AE28" s="597">
        <f t="shared" ref="AE28" si="142">S28+AE20</f>
        <v>0.994377461699684</v>
      </c>
      <c r="AF28" s="597">
        <f t="shared" ref="AF28" si="143">T28+AF20</f>
        <v>0.994377461699684</v>
      </c>
      <c r="AG28" s="597">
        <f t="shared" ref="AG28" si="144">U28+AG20</f>
        <v>0.994377461699684</v>
      </c>
      <c r="AH28" s="597">
        <f t="shared" ref="AH28" si="145">V28+AH20</f>
        <v>0.994377461699684</v>
      </c>
      <c r="AI28" s="597">
        <f t="shared" ref="AI28" si="146">W28+AI20</f>
        <v>0.994377461699684</v>
      </c>
      <c r="AJ28" s="597">
        <f t="shared" ref="AJ28" si="147">X28+AJ20</f>
        <v>0.994377461699684</v>
      </c>
      <c r="AK28" s="597">
        <f t="shared" ref="AK28" si="148">Y28+AK20</f>
        <v>0.994377461699684</v>
      </c>
      <c r="AL28" s="597">
        <f t="shared" ref="AL28" si="149">Z28+AL20</f>
        <v>0.994377461699684</v>
      </c>
      <c r="AM28" s="597">
        <f>AA28+AM20</f>
        <v>0.994377461699684</v>
      </c>
      <c r="AN28" s="597">
        <f t="shared" ref="AN28" si="150">AB28+AN20</f>
        <v>0.994377461699684</v>
      </c>
      <c r="AO28" s="597">
        <f t="shared" ref="AO28" si="151">AC28+AO20</f>
        <v>0.994377461699684</v>
      </c>
      <c r="AP28" s="597">
        <f t="shared" ref="AP28" si="152">AD28+AP20</f>
        <v>0.994377461699684</v>
      </c>
      <c r="AQ28" s="597">
        <f t="shared" ref="AQ28" si="153">AE28+AQ20</f>
        <v>0.994377461699684</v>
      </c>
      <c r="AR28" s="597">
        <f t="shared" ref="AR28" si="154">AF28+AR20</f>
        <v>0.994377461699684</v>
      </c>
      <c r="AS28" s="597">
        <f t="shared" ref="AS28" si="155">AG28+AS20</f>
        <v>0.994377461699684</v>
      </c>
      <c r="AT28" s="597">
        <f t="shared" ref="AT28" si="156">AH28+AT20</f>
        <v>0.994377461699684</v>
      </c>
      <c r="AU28" s="597">
        <f t="shared" ref="AU28" si="157">AI28+AU20</f>
        <v>0.994377461699684</v>
      </c>
      <c r="AV28" s="597">
        <f t="shared" ref="AV28" si="158">AJ28+AV20</f>
        <v>0.994377461699684</v>
      </c>
      <c r="AW28" s="597">
        <f t="shared" ref="AW28" si="159">AK28+AW20</f>
        <v>0.994377461699684</v>
      </c>
      <c r="AX28" s="597">
        <f t="shared" ref="AX28" si="160">AL28+AX20</f>
        <v>0.994377461699684</v>
      </c>
      <c r="AY28" s="597">
        <f>AM28+AY20</f>
        <v>0.994377461699684</v>
      </c>
      <c r="AZ28" s="597">
        <f t="shared" ref="AZ28" si="161">AN28+AZ20</f>
        <v>0.994377461699684</v>
      </c>
      <c r="BA28" s="597">
        <f t="shared" ref="BA28" si="162">AO28+BA20</f>
        <v>0.994377461699684</v>
      </c>
      <c r="BB28" s="597">
        <f t="shared" ref="BB28" si="163">AP28+BB20</f>
        <v>0.994377461699684</v>
      </c>
      <c r="BC28" s="597">
        <f t="shared" ref="BC28" si="164">AQ28+BC20</f>
        <v>0.994377461699684</v>
      </c>
      <c r="BD28" s="597">
        <f t="shared" ref="BD28" si="165">AR28+BD20</f>
        <v>0.994377461699684</v>
      </c>
      <c r="BE28" s="597">
        <f t="shared" ref="BE28" si="166">AS28+BE20</f>
        <v>0.994377461699684</v>
      </c>
      <c r="BF28" s="597">
        <f t="shared" ref="BF28" si="167">AT28+BF20</f>
        <v>0.994377461699684</v>
      </c>
      <c r="BG28" s="597">
        <f t="shared" ref="BG28" si="168">AU28+BG20</f>
        <v>0.994377461699684</v>
      </c>
      <c r="BH28" s="597">
        <f t="shared" ref="BH28" si="169">AV28+BH20</f>
        <v>0.994377461699684</v>
      </c>
      <c r="BI28" s="597">
        <f t="shared" ref="BI28" si="170">AW28+BI20</f>
        <v>0.994377461699684</v>
      </c>
      <c r="BJ28" s="597">
        <f t="shared" ref="BJ28" si="171">AX28+BJ20</f>
        <v>0.994377461699684</v>
      </c>
      <c r="BK28" s="597">
        <f>AY28+BK20</f>
        <v>0.994377461699684</v>
      </c>
      <c r="BL28" s="597">
        <f t="shared" ref="BL28" si="172">AZ28+BL20</f>
        <v>0.994377461699684</v>
      </c>
      <c r="BM28" s="597">
        <f t="shared" ref="BM28" si="173">BA28+BM20</f>
        <v>0.994377461699684</v>
      </c>
      <c r="BN28" s="597">
        <f t="shared" ref="BN28" si="174">BB28+BN20</f>
        <v>0.994377461699684</v>
      </c>
      <c r="BO28" s="597">
        <f t="shared" ref="BO28" si="175">BC28+BO20</f>
        <v>0.994377461699684</v>
      </c>
      <c r="BP28" s="597">
        <f t="shared" ref="BP28" si="176">BD28+BP20</f>
        <v>0.994377461699684</v>
      </c>
      <c r="BQ28" s="597">
        <f t="shared" ref="BQ28" si="177">BE28+BQ20</f>
        <v>0.994377461699684</v>
      </c>
      <c r="BR28" s="597">
        <f t="shared" ref="BR28" si="178">BF28+BR20</f>
        <v>0.994377461699684</v>
      </c>
      <c r="BS28" s="597">
        <f t="shared" ref="BS28" si="179">BG28+BS20</f>
        <v>0.994377461699684</v>
      </c>
      <c r="BT28" s="597">
        <f t="shared" ref="BT28" si="180">BH28+BT20</f>
        <v>0.994377461699684</v>
      </c>
      <c r="BU28" s="597">
        <f t="shared" ref="BU28" si="181">BI28+BU20</f>
        <v>0.994377461699684</v>
      </c>
      <c r="BV28" s="597">
        <f t="shared" ref="BV28" si="182">BJ28+BV20</f>
        <v>0.994377461699684</v>
      </c>
      <c r="BW28" s="597">
        <f>BK28+BW20</f>
        <v>0.994377461699684</v>
      </c>
      <c r="BX28" s="597">
        <f t="shared" ref="BX28" si="183">BL28+BX20</f>
        <v>0.994377461699684</v>
      </c>
      <c r="BY28" s="597">
        <f t="shared" ref="BY28" si="184">BM28+BY20</f>
        <v>0.994377461699684</v>
      </c>
      <c r="BZ28" s="597">
        <f t="shared" ref="BZ28" si="185">BN28+BZ20</f>
        <v>0.994377461699684</v>
      </c>
      <c r="CA28" s="597">
        <f t="shared" ref="CA28" si="186">BO28+CA20</f>
        <v>0.994377461699684</v>
      </c>
      <c r="CB28" s="597">
        <f t="shared" ref="CB28" si="187">BP28+CB20</f>
        <v>0.994377461699684</v>
      </c>
      <c r="CC28" s="597">
        <f t="shared" ref="CC28" si="188">BQ28+CC20</f>
        <v>0.994377461699684</v>
      </c>
      <c r="CD28" s="597">
        <f t="shared" ref="CD28" si="189">BR28+CD20</f>
        <v>0.994377461699684</v>
      </c>
      <c r="CE28" s="597">
        <f t="shared" ref="CE28" si="190">BS28+CE20</f>
        <v>0.994377461699684</v>
      </c>
      <c r="CF28" s="597">
        <f t="shared" ref="CF28" si="191">BT28+CF20</f>
        <v>0.994377461699684</v>
      </c>
      <c r="CG28" s="597">
        <f t="shared" ref="CG28" si="192">BU28+CG20</f>
        <v>0.994377461699684</v>
      </c>
      <c r="CH28" s="597">
        <f t="shared" ref="CH28" si="193">BV28+CH20</f>
        <v>0.994377461699684</v>
      </c>
    </row>
    <row r="29" spans="1:86" x14ac:dyDescent="0.2">
      <c r="A29" s="585">
        <v>17</v>
      </c>
      <c r="B29" s="211" t="s">
        <v>604</v>
      </c>
      <c r="C29" s="596">
        <f t="shared" ref="C29:Z29" si="194">C28+C27</f>
        <v>0.994377461699684</v>
      </c>
      <c r="D29" s="596">
        <f t="shared" si="194"/>
        <v>0.994377461699684</v>
      </c>
      <c r="E29" s="596">
        <f t="shared" si="194"/>
        <v>1.0202774616996839</v>
      </c>
      <c r="F29" s="596">
        <f t="shared" si="194"/>
        <v>2.1473774616996839</v>
      </c>
      <c r="G29" s="596">
        <f t="shared" si="194"/>
        <v>5.6320774616996836</v>
      </c>
      <c r="H29" s="596">
        <f t="shared" si="194"/>
        <v>9.6091774616996855</v>
      </c>
      <c r="I29" s="596">
        <f t="shared" si="194"/>
        <v>12.031677461699685</v>
      </c>
      <c r="J29" s="596">
        <f t="shared" si="194"/>
        <v>12.510977461699685</v>
      </c>
      <c r="K29" s="596">
        <f t="shared" si="194"/>
        <v>8.8577774616996852</v>
      </c>
      <c r="L29" s="596">
        <f t="shared" si="194"/>
        <v>5.5802774616996835</v>
      </c>
      <c r="M29" s="596">
        <f t="shared" si="194"/>
        <v>2.5618774616996838</v>
      </c>
      <c r="N29" s="596">
        <f t="shared" si="194"/>
        <v>1.279377461699684</v>
      </c>
      <c r="O29" s="596">
        <f t="shared" si="194"/>
        <v>0.994377461699684</v>
      </c>
      <c r="P29" s="596">
        <f t="shared" si="194"/>
        <v>0.994377461699684</v>
      </c>
      <c r="Q29" s="596">
        <f t="shared" si="194"/>
        <v>1.0202774616996839</v>
      </c>
      <c r="R29" s="596">
        <f t="shared" si="194"/>
        <v>2.1473774616996839</v>
      </c>
      <c r="S29" s="596">
        <f t="shared" si="194"/>
        <v>5.6321774616996843</v>
      </c>
      <c r="T29" s="596">
        <f t="shared" si="194"/>
        <v>9.609377461699685</v>
      </c>
      <c r="U29" s="596">
        <f t="shared" si="194"/>
        <v>12.031877461699684</v>
      </c>
      <c r="V29" s="596">
        <f t="shared" si="194"/>
        <v>12.511177461699685</v>
      </c>
      <c r="W29" s="596">
        <f t="shared" si="194"/>
        <v>8.8579774616996847</v>
      </c>
      <c r="X29" s="596">
        <f t="shared" si="194"/>
        <v>5.5803774616996842</v>
      </c>
      <c r="Y29" s="596">
        <f t="shared" si="194"/>
        <v>2.5618774616996838</v>
      </c>
      <c r="Z29" s="596">
        <f t="shared" si="194"/>
        <v>1.279377461699684</v>
      </c>
      <c r="AA29" s="596">
        <f t="shared" ref="AA29:CH29" si="195">AA28+AA27</f>
        <v>0.994377461699684</v>
      </c>
      <c r="AB29" s="596">
        <f t="shared" si="195"/>
        <v>0.994377461699684</v>
      </c>
      <c r="AC29" s="596">
        <f t="shared" si="195"/>
        <v>1.0202774616996839</v>
      </c>
      <c r="AD29" s="596">
        <f t="shared" si="195"/>
        <v>2.1473774616996839</v>
      </c>
      <c r="AE29" s="596">
        <f t="shared" si="195"/>
        <v>5.632277461699684</v>
      </c>
      <c r="AF29" s="596">
        <f t="shared" si="195"/>
        <v>9.6094774616996848</v>
      </c>
      <c r="AG29" s="596">
        <f t="shared" si="195"/>
        <v>12.032077461699684</v>
      </c>
      <c r="AH29" s="596">
        <f t="shared" si="195"/>
        <v>12.511477461699684</v>
      </c>
      <c r="AI29" s="596">
        <f t="shared" si="195"/>
        <v>8.8580774616996845</v>
      </c>
      <c r="AJ29" s="596">
        <f t="shared" si="195"/>
        <v>5.5804774616996839</v>
      </c>
      <c r="AK29" s="596">
        <f t="shared" si="195"/>
        <v>2.561977461699684</v>
      </c>
      <c r="AL29" s="596">
        <f t="shared" si="195"/>
        <v>1.279377461699684</v>
      </c>
      <c r="AM29" s="596">
        <f t="shared" si="195"/>
        <v>0.994377461699684</v>
      </c>
      <c r="AN29" s="596">
        <f t="shared" si="195"/>
        <v>0.994377461699684</v>
      </c>
      <c r="AO29" s="596">
        <f t="shared" si="195"/>
        <v>1.0202774616996839</v>
      </c>
      <c r="AP29" s="596">
        <f t="shared" si="195"/>
        <v>2.1473774616996839</v>
      </c>
      <c r="AQ29" s="596">
        <f t="shared" si="195"/>
        <v>5.6323774616996838</v>
      </c>
      <c r="AR29" s="596">
        <f t="shared" si="195"/>
        <v>9.6096774616996843</v>
      </c>
      <c r="AS29" s="596">
        <f t="shared" si="195"/>
        <v>12.032277461699685</v>
      </c>
      <c r="AT29" s="596">
        <f t="shared" si="195"/>
        <v>12.511677461699685</v>
      </c>
      <c r="AU29" s="596">
        <f t="shared" si="195"/>
        <v>8.858277461699684</v>
      </c>
      <c r="AV29" s="596">
        <f t="shared" si="195"/>
        <v>5.5805774616996837</v>
      </c>
      <c r="AW29" s="596">
        <f t="shared" si="195"/>
        <v>2.561977461699684</v>
      </c>
      <c r="AX29" s="596">
        <f t="shared" si="195"/>
        <v>1.279377461699684</v>
      </c>
      <c r="AY29" s="596">
        <f t="shared" si="195"/>
        <v>0.994377461699684</v>
      </c>
      <c r="AZ29" s="596">
        <f t="shared" si="195"/>
        <v>0.994377461699684</v>
      </c>
      <c r="BA29" s="596">
        <f t="shared" si="195"/>
        <v>1.0202774616996839</v>
      </c>
      <c r="BB29" s="596">
        <f t="shared" si="195"/>
        <v>2.1473774616996839</v>
      </c>
      <c r="BC29" s="596">
        <f t="shared" si="195"/>
        <v>5.6324774616996836</v>
      </c>
      <c r="BD29" s="596">
        <f t="shared" si="195"/>
        <v>9.6098774616996856</v>
      </c>
      <c r="BE29" s="596">
        <f t="shared" si="195"/>
        <v>12.032577461699685</v>
      </c>
      <c r="BF29" s="596">
        <f t="shared" si="195"/>
        <v>12.511877461699685</v>
      </c>
      <c r="BG29" s="596">
        <f t="shared" si="195"/>
        <v>8.8583774616996838</v>
      </c>
      <c r="BH29" s="596">
        <f t="shared" si="195"/>
        <v>5.5806774616996835</v>
      </c>
      <c r="BI29" s="596">
        <f t="shared" si="195"/>
        <v>2.561977461699684</v>
      </c>
      <c r="BJ29" s="596">
        <f t="shared" si="195"/>
        <v>1.279377461699684</v>
      </c>
      <c r="BK29" s="596">
        <f t="shared" si="195"/>
        <v>0.994377461699684</v>
      </c>
      <c r="BL29" s="596">
        <f t="shared" si="195"/>
        <v>0.994377461699684</v>
      </c>
      <c r="BM29" s="596">
        <f t="shared" si="195"/>
        <v>1.0202774616996839</v>
      </c>
      <c r="BN29" s="596">
        <f t="shared" si="195"/>
        <v>2.1474774616996841</v>
      </c>
      <c r="BO29" s="596">
        <f t="shared" si="195"/>
        <v>5.6325774616996842</v>
      </c>
      <c r="BP29" s="596">
        <f t="shared" si="195"/>
        <v>9.6099774616996854</v>
      </c>
      <c r="BQ29" s="596">
        <f t="shared" si="195"/>
        <v>12.032777461699684</v>
      </c>
      <c r="BR29" s="596">
        <f t="shared" si="195"/>
        <v>12.512077461699684</v>
      </c>
      <c r="BS29" s="596">
        <f t="shared" si="195"/>
        <v>8.8585774616996851</v>
      </c>
      <c r="BT29" s="596">
        <f t="shared" si="195"/>
        <v>5.5807774616996841</v>
      </c>
      <c r="BU29" s="596">
        <f t="shared" si="195"/>
        <v>2.5620774616996842</v>
      </c>
      <c r="BV29" s="596">
        <f t="shared" si="195"/>
        <v>1.279377461699684</v>
      </c>
      <c r="BW29" s="596">
        <f t="shared" si="195"/>
        <v>0.994377461699684</v>
      </c>
      <c r="BX29" s="596">
        <f t="shared" si="195"/>
        <v>0.994377461699684</v>
      </c>
      <c r="BY29" s="596">
        <f t="shared" si="195"/>
        <v>1.0202774616996839</v>
      </c>
      <c r="BZ29" s="596">
        <f t="shared" si="195"/>
        <v>2.1474774616996841</v>
      </c>
      <c r="CA29" s="596">
        <f t="shared" si="195"/>
        <v>5.632677461699684</v>
      </c>
      <c r="CB29" s="596">
        <f t="shared" si="195"/>
        <v>9.6101774616996849</v>
      </c>
      <c r="CC29" s="596">
        <f t="shared" si="195"/>
        <v>12.032977461699685</v>
      </c>
      <c r="CD29" s="596">
        <f t="shared" si="195"/>
        <v>12.512377461699685</v>
      </c>
      <c r="CE29" s="596">
        <f t="shared" si="195"/>
        <v>8.8587774616996846</v>
      </c>
      <c r="CF29" s="596">
        <f t="shared" si="195"/>
        <v>5.5808774616996839</v>
      </c>
      <c r="CG29" s="596">
        <f t="shared" si="195"/>
        <v>2.5620774616996842</v>
      </c>
      <c r="CH29" s="596">
        <f t="shared" si="195"/>
        <v>1.279377461699684</v>
      </c>
    </row>
    <row r="30" spans="1:86" x14ac:dyDescent="0.2">
      <c r="A30" s="585">
        <v>18</v>
      </c>
      <c r="B30" s="211" t="s">
        <v>586</v>
      </c>
      <c r="C30" s="598">
        <f>'Bill Frequency'!C$13</f>
        <v>154447</v>
      </c>
      <c r="D30" s="599">
        <f>'Bill Frequency'!D$13</f>
        <v>155312</v>
      </c>
      <c r="E30" s="599">
        <f>'Bill Frequency'!E$13</f>
        <v>152910</v>
      </c>
      <c r="F30" s="599">
        <f>'Bill Frequency'!F$13</f>
        <v>153225</v>
      </c>
      <c r="G30" s="599">
        <f>'Bill Frequency'!G$13</f>
        <v>154516</v>
      </c>
      <c r="H30" s="599">
        <f>'Bill Frequency'!H$13</f>
        <v>157890</v>
      </c>
      <c r="I30" s="599">
        <f>'Bill Frequency'!I$13</f>
        <v>158882</v>
      </c>
      <c r="J30" s="599">
        <f>'Bill Frequency'!J$13</f>
        <v>159583</v>
      </c>
      <c r="K30" s="599">
        <f>'Bill Frequency'!K$13</f>
        <v>159839</v>
      </c>
      <c r="L30" s="599">
        <f>'Bill Frequency'!L$13</f>
        <v>157294</v>
      </c>
      <c r="M30" s="599">
        <f>'Bill Frequency'!M$13</f>
        <v>159280</v>
      </c>
      <c r="N30" s="600">
        <f>'Bill Frequency'!N$13</f>
        <v>156889</v>
      </c>
      <c r="O30" s="601">
        <f>C30+O19</f>
        <v>154747</v>
      </c>
      <c r="P30" s="601">
        <f t="shared" ref="P30:Z30" si="196">D30+P19</f>
        <v>155612</v>
      </c>
      <c r="Q30" s="601">
        <f t="shared" si="196"/>
        <v>153210</v>
      </c>
      <c r="R30" s="601">
        <f t="shared" si="196"/>
        <v>153525</v>
      </c>
      <c r="S30" s="601">
        <f t="shared" si="196"/>
        <v>154816</v>
      </c>
      <c r="T30" s="601">
        <f t="shared" si="196"/>
        <v>158190</v>
      </c>
      <c r="U30" s="601">
        <f t="shared" si="196"/>
        <v>159182</v>
      </c>
      <c r="V30" s="601">
        <f t="shared" si="196"/>
        <v>159883</v>
      </c>
      <c r="W30" s="601">
        <f t="shared" si="196"/>
        <v>160139</v>
      </c>
      <c r="X30" s="601">
        <f t="shared" si="196"/>
        <v>157594</v>
      </c>
      <c r="Y30" s="601">
        <f t="shared" si="196"/>
        <v>159580</v>
      </c>
      <c r="Z30" s="601">
        <f t="shared" si="196"/>
        <v>157189</v>
      </c>
      <c r="AA30" s="601">
        <f>O30+AA19</f>
        <v>155047</v>
      </c>
      <c r="AB30" s="601">
        <f t="shared" ref="AB30" si="197">P30+AB19</f>
        <v>155912</v>
      </c>
      <c r="AC30" s="601">
        <f t="shared" ref="AC30" si="198">Q30+AC19</f>
        <v>153510</v>
      </c>
      <c r="AD30" s="601">
        <f t="shared" ref="AD30" si="199">R30+AD19</f>
        <v>153825</v>
      </c>
      <c r="AE30" s="601">
        <f t="shared" ref="AE30" si="200">S30+AE19</f>
        <v>155116</v>
      </c>
      <c r="AF30" s="601">
        <f t="shared" ref="AF30" si="201">T30+AF19</f>
        <v>158490</v>
      </c>
      <c r="AG30" s="601">
        <f t="shared" ref="AG30" si="202">U30+AG19</f>
        <v>159482</v>
      </c>
      <c r="AH30" s="601">
        <f t="shared" ref="AH30" si="203">V30+AH19</f>
        <v>160183</v>
      </c>
      <c r="AI30" s="601">
        <f t="shared" ref="AI30" si="204">W30+AI19</f>
        <v>160439</v>
      </c>
      <c r="AJ30" s="601">
        <f t="shared" ref="AJ30" si="205">X30+AJ19</f>
        <v>157894</v>
      </c>
      <c r="AK30" s="601">
        <f t="shared" ref="AK30" si="206">Y30+AK19</f>
        <v>159880</v>
      </c>
      <c r="AL30" s="601">
        <f t="shared" ref="AL30" si="207">Z30+AL19</f>
        <v>157489</v>
      </c>
      <c r="AM30" s="601">
        <f>AA30+AM19</f>
        <v>155347</v>
      </c>
      <c r="AN30" s="601">
        <f t="shared" ref="AN30" si="208">AB30+AN19</f>
        <v>156212</v>
      </c>
      <c r="AO30" s="601">
        <f t="shared" ref="AO30" si="209">AC30+AO19</f>
        <v>153810</v>
      </c>
      <c r="AP30" s="601">
        <f t="shared" ref="AP30" si="210">AD30+AP19</f>
        <v>154125</v>
      </c>
      <c r="AQ30" s="601">
        <f t="shared" ref="AQ30" si="211">AE30+AQ19</f>
        <v>155416</v>
      </c>
      <c r="AR30" s="601">
        <f t="shared" ref="AR30" si="212">AF30+AR19</f>
        <v>158790</v>
      </c>
      <c r="AS30" s="601">
        <f t="shared" ref="AS30" si="213">AG30+AS19</f>
        <v>159782</v>
      </c>
      <c r="AT30" s="601">
        <f t="shared" ref="AT30" si="214">AH30+AT19</f>
        <v>160483</v>
      </c>
      <c r="AU30" s="601">
        <f t="shared" ref="AU30" si="215">AI30+AU19</f>
        <v>160739</v>
      </c>
      <c r="AV30" s="601">
        <f t="shared" ref="AV30" si="216">AJ30+AV19</f>
        <v>158194</v>
      </c>
      <c r="AW30" s="601">
        <f t="shared" ref="AW30" si="217">AK30+AW19</f>
        <v>160180</v>
      </c>
      <c r="AX30" s="601">
        <f t="shared" ref="AX30" si="218">AL30+AX19</f>
        <v>157789</v>
      </c>
      <c r="AY30" s="601">
        <f>AM30+AY19</f>
        <v>155647</v>
      </c>
      <c r="AZ30" s="601">
        <f t="shared" ref="AZ30" si="219">AN30+AZ19</f>
        <v>156512</v>
      </c>
      <c r="BA30" s="601">
        <f t="shared" ref="BA30" si="220">AO30+BA19</f>
        <v>154110</v>
      </c>
      <c r="BB30" s="601">
        <f t="shared" ref="BB30" si="221">AP30+BB19</f>
        <v>154425</v>
      </c>
      <c r="BC30" s="601">
        <f t="shared" ref="BC30" si="222">AQ30+BC19</f>
        <v>155716</v>
      </c>
      <c r="BD30" s="601">
        <f t="shared" ref="BD30" si="223">AR30+BD19</f>
        <v>159090</v>
      </c>
      <c r="BE30" s="601">
        <f t="shared" ref="BE30" si="224">AS30+BE19</f>
        <v>160082</v>
      </c>
      <c r="BF30" s="601">
        <f t="shared" ref="BF30" si="225">AT30+BF19</f>
        <v>160783</v>
      </c>
      <c r="BG30" s="601">
        <f t="shared" ref="BG30" si="226">AU30+BG19</f>
        <v>161039</v>
      </c>
      <c r="BH30" s="601">
        <f t="shared" ref="BH30" si="227">AV30+BH19</f>
        <v>158494</v>
      </c>
      <c r="BI30" s="601">
        <f t="shared" ref="BI30" si="228">AW30+BI19</f>
        <v>160480</v>
      </c>
      <c r="BJ30" s="601">
        <f t="shared" ref="BJ30" si="229">AX30+BJ19</f>
        <v>158089</v>
      </c>
      <c r="BK30" s="601">
        <f>AY30+BK19</f>
        <v>155947</v>
      </c>
      <c r="BL30" s="601">
        <f t="shared" ref="BL30" si="230">AZ30+BL19</f>
        <v>156812</v>
      </c>
      <c r="BM30" s="601">
        <f t="shared" ref="BM30" si="231">BA30+BM19</f>
        <v>154410</v>
      </c>
      <c r="BN30" s="601">
        <f t="shared" ref="BN30" si="232">BB30+BN19</f>
        <v>154725</v>
      </c>
      <c r="BO30" s="601">
        <f t="shared" ref="BO30" si="233">BC30+BO19</f>
        <v>156016</v>
      </c>
      <c r="BP30" s="601">
        <f t="shared" ref="BP30" si="234">BD30+BP19</f>
        <v>159390</v>
      </c>
      <c r="BQ30" s="601">
        <f t="shared" ref="BQ30" si="235">BE30+BQ19</f>
        <v>160382</v>
      </c>
      <c r="BR30" s="601">
        <f t="shared" ref="BR30" si="236">BF30+BR19</f>
        <v>161083</v>
      </c>
      <c r="BS30" s="601">
        <f t="shared" ref="BS30" si="237">BG30+BS19</f>
        <v>161339</v>
      </c>
      <c r="BT30" s="601">
        <f t="shared" ref="BT30" si="238">BH30+BT19</f>
        <v>158794</v>
      </c>
      <c r="BU30" s="601">
        <f t="shared" ref="BU30" si="239">BI30+BU19</f>
        <v>160780</v>
      </c>
      <c r="BV30" s="601">
        <f t="shared" ref="BV30" si="240">BJ30+BV19</f>
        <v>158389</v>
      </c>
      <c r="BW30" s="601">
        <f>BK30+BW19</f>
        <v>156247</v>
      </c>
      <c r="BX30" s="601">
        <f t="shared" ref="BX30" si="241">BL30+BX19</f>
        <v>157112</v>
      </c>
      <c r="BY30" s="601">
        <f t="shared" ref="BY30" si="242">BM30+BY19</f>
        <v>154710</v>
      </c>
      <c r="BZ30" s="601">
        <f t="shared" ref="BZ30" si="243">BN30+BZ19</f>
        <v>155025</v>
      </c>
      <c r="CA30" s="601">
        <f t="shared" ref="CA30" si="244">BO30+CA19</f>
        <v>156316</v>
      </c>
      <c r="CB30" s="601">
        <f t="shared" ref="CB30" si="245">BP30+CB19</f>
        <v>159690</v>
      </c>
      <c r="CC30" s="601">
        <f t="shared" ref="CC30" si="246">BQ30+CC19</f>
        <v>160682</v>
      </c>
      <c r="CD30" s="601">
        <f t="shared" ref="CD30" si="247">BR30+CD19</f>
        <v>161383</v>
      </c>
      <c r="CE30" s="601">
        <f t="shared" ref="CE30" si="248">BS30+CE19</f>
        <v>161639</v>
      </c>
      <c r="CF30" s="601">
        <f t="shared" ref="CF30" si="249">BT30+CF19</f>
        <v>159094</v>
      </c>
      <c r="CG30" s="601">
        <f t="shared" ref="CG30" si="250">BU30+CG19</f>
        <v>161080</v>
      </c>
      <c r="CH30" s="601">
        <f t="shared" ref="CH30" si="251">BV30+CH19</f>
        <v>158689</v>
      </c>
    </row>
    <row r="31" spans="1:86" x14ac:dyDescent="0.2">
      <c r="A31" s="585">
        <v>19</v>
      </c>
      <c r="B31" s="211" t="s">
        <v>587</v>
      </c>
      <c r="C31" s="45">
        <f t="shared" ref="C31:N31" si="252">C30*C29</f>
        <v>153578.61582713109</v>
      </c>
      <c r="D31" s="45">
        <f t="shared" si="252"/>
        <v>154438.75233150131</v>
      </c>
      <c r="E31" s="45">
        <f t="shared" si="252"/>
        <v>156010.62666849868</v>
      </c>
      <c r="F31" s="45">
        <f t="shared" si="252"/>
        <v>329031.91156893404</v>
      </c>
      <c r="G31" s="45">
        <f t="shared" si="252"/>
        <v>870246.08107198833</v>
      </c>
      <c r="H31" s="45">
        <f t="shared" si="252"/>
        <v>1517193.0294277633</v>
      </c>
      <c r="I31" s="45">
        <f t="shared" si="252"/>
        <v>1911616.9784697692</v>
      </c>
      <c r="J31" s="45">
        <f t="shared" si="252"/>
        <v>1996539.3162704208</v>
      </c>
      <c r="K31" s="45">
        <f t="shared" si="252"/>
        <v>1415818.291700616</v>
      </c>
      <c r="L31" s="45">
        <f t="shared" si="252"/>
        <v>877744.16306059004</v>
      </c>
      <c r="M31" s="45">
        <f t="shared" si="252"/>
        <v>408055.84209952562</v>
      </c>
      <c r="N31" s="45">
        <f t="shared" si="252"/>
        <v>200720.25058860172</v>
      </c>
      <c r="O31" s="466">
        <f>O30*O29</f>
        <v>153876.92906564099</v>
      </c>
      <c r="P31" s="466">
        <f t="shared" ref="P31:Z31" si="253">P30*P29</f>
        <v>154737.06557001124</v>
      </c>
      <c r="Q31" s="466">
        <f t="shared" si="253"/>
        <v>156316.70990700857</v>
      </c>
      <c r="R31" s="466">
        <f t="shared" si="253"/>
        <v>329676.12480744399</v>
      </c>
      <c r="S31" s="466">
        <f t="shared" si="253"/>
        <v>871951.18591049837</v>
      </c>
      <c r="T31" s="466">
        <f t="shared" si="253"/>
        <v>1520107.4206662732</v>
      </c>
      <c r="U31" s="466">
        <f t="shared" si="253"/>
        <v>1915258.3181082793</v>
      </c>
      <c r="V31" s="466">
        <f t="shared" si="253"/>
        <v>2000324.5861089306</v>
      </c>
      <c r="W31" s="466">
        <f t="shared" si="253"/>
        <v>1418507.6527391258</v>
      </c>
      <c r="X31" s="466">
        <f t="shared" si="253"/>
        <v>879434.00569909997</v>
      </c>
      <c r="Y31" s="466">
        <f t="shared" si="253"/>
        <v>408824.40533803555</v>
      </c>
      <c r="Z31" s="466">
        <f t="shared" si="253"/>
        <v>201104.06382711162</v>
      </c>
      <c r="AA31" s="466">
        <f>AA30*AA29</f>
        <v>154175.24230415092</v>
      </c>
      <c r="AB31" s="466">
        <f t="shared" ref="AB31:AL31" si="254">AB30*AB29</f>
        <v>155035.37880852114</v>
      </c>
      <c r="AC31" s="466">
        <f t="shared" si="254"/>
        <v>156622.79314551849</v>
      </c>
      <c r="AD31" s="466">
        <f t="shared" si="254"/>
        <v>330320.33804595389</v>
      </c>
      <c r="AE31" s="466">
        <f t="shared" si="254"/>
        <v>873656.35074900824</v>
      </c>
      <c r="AF31" s="466">
        <f t="shared" si="254"/>
        <v>1523006.0829047831</v>
      </c>
      <c r="AG31" s="466">
        <f t="shared" si="254"/>
        <v>1918899.7777467889</v>
      </c>
      <c r="AH31" s="466">
        <f t="shared" si="254"/>
        <v>2004125.9942474405</v>
      </c>
      <c r="AI31" s="466">
        <f t="shared" si="254"/>
        <v>1421181.0898776357</v>
      </c>
      <c r="AJ31" s="466">
        <f t="shared" si="254"/>
        <v>881123.90833760984</v>
      </c>
      <c r="AK31" s="466">
        <f t="shared" si="254"/>
        <v>409608.95657654549</v>
      </c>
      <c r="AL31" s="466">
        <f t="shared" si="254"/>
        <v>201487.87706562155</v>
      </c>
      <c r="AM31" s="466">
        <f>AM30*AM29</f>
        <v>154473.55554266082</v>
      </c>
      <c r="AN31" s="466">
        <f t="shared" ref="AN31:AX31" si="255">AN30*AN29</f>
        <v>155333.69204703104</v>
      </c>
      <c r="AO31" s="466">
        <f t="shared" si="255"/>
        <v>156928.87638402838</v>
      </c>
      <c r="AP31" s="466">
        <f t="shared" si="255"/>
        <v>330964.55128446379</v>
      </c>
      <c r="AQ31" s="466">
        <f t="shared" si="255"/>
        <v>875361.57558751805</v>
      </c>
      <c r="AR31" s="466">
        <f t="shared" si="255"/>
        <v>1525920.684143293</v>
      </c>
      <c r="AS31" s="466">
        <f t="shared" si="255"/>
        <v>1922541.3573852992</v>
      </c>
      <c r="AT31" s="466">
        <f t="shared" si="255"/>
        <v>2007911.5340859506</v>
      </c>
      <c r="AU31" s="466">
        <f t="shared" si="255"/>
        <v>1423870.6609161454</v>
      </c>
      <c r="AV31" s="466">
        <f t="shared" si="255"/>
        <v>882813.87097611977</v>
      </c>
      <c r="AW31" s="466">
        <f t="shared" si="255"/>
        <v>410377.54981505539</v>
      </c>
      <c r="AX31" s="466">
        <f t="shared" si="255"/>
        <v>201871.69030413145</v>
      </c>
      <c r="AY31" s="466">
        <f>AY30*AY29</f>
        <v>154771.86878117072</v>
      </c>
      <c r="AZ31" s="466">
        <f t="shared" ref="AZ31:BJ31" si="256">AZ30*AZ29</f>
        <v>155632.00528554094</v>
      </c>
      <c r="BA31" s="466">
        <f t="shared" si="256"/>
        <v>157234.9596225383</v>
      </c>
      <c r="BB31" s="466">
        <f t="shared" si="256"/>
        <v>331608.76452297368</v>
      </c>
      <c r="BC31" s="466">
        <f t="shared" si="256"/>
        <v>877066.86042602791</v>
      </c>
      <c r="BD31" s="466">
        <f t="shared" si="256"/>
        <v>1528835.4053818029</v>
      </c>
      <c r="BE31" s="466">
        <f t="shared" si="256"/>
        <v>1926199.0652238089</v>
      </c>
      <c r="BF31" s="466">
        <f t="shared" si="256"/>
        <v>2011697.1939244603</v>
      </c>
      <c r="BG31" s="466">
        <f t="shared" si="256"/>
        <v>1426544.2480546553</v>
      </c>
      <c r="BH31" s="466">
        <f t="shared" si="256"/>
        <v>884503.89361462963</v>
      </c>
      <c r="BI31" s="466">
        <f t="shared" si="256"/>
        <v>411146.14305356529</v>
      </c>
      <c r="BJ31" s="466">
        <f t="shared" si="256"/>
        <v>202255.50354264135</v>
      </c>
      <c r="BK31" s="466">
        <f>BK30*BK29</f>
        <v>155070.18201968062</v>
      </c>
      <c r="BL31" s="466">
        <f t="shared" ref="BL31:BV31" si="257">BL30*BL29</f>
        <v>155930.31852405085</v>
      </c>
      <c r="BM31" s="466">
        <f t="shared" si="257"/>
        <v>157541.04286104819</v>
      </c>
      <c r="BN31" s="466">
        <f t="shared" si="257"/>
        <v>332268.45026148361</v>
      </c>
      <c r="BO31" s="466">
        <f t="shared" si="257"/>
        <v>878772.20526453794</v>
      </c>
      <c r="BP31" s="466">
        <f t="shared" si="257"/>
        <v>1531734.3076203128</v>
      </c>
      <c r="BQ31" s="466">
        <f t="shared" si="257"/>
        <v>1929840.9148623187</v>
      </c>
      <c r="BR31" s="466">
        <f t="shared" si="257"/>
        <v>2015482.9737629702</v>
      </c>
      <c r="BS31" s="466">
        <f t="shared" si="257"/>
        <v>1429234.0290931654</v>
      </c>
      <c r="BT31" s="466">
        <f t="shared" si="257"/>
        <v>886193.97625313967</v>
      </c>
      <c r="BU31" s="466">
        <f t="shared" si="257"/>
        <v>411930.81429207523</v>
      </c>
      <c r="BV31" s="466">
        <f t="shared" si="257"/>
        <v>202639.31678115125</v>
      </c>
      <c r="BW31" s="466">
        <f>BW30*BW29</f>
        <v>155368.49525819052</v>
      </c>
      <c r="BX31" s="466">
        <f t="shared" ref="BX31:CH31" si="258">BX30*BX29</f>
        <v>156228.63176256075</v>
      </c>
      <c r="BY31" s="466">
        <f t="shared" si="258"/>
        <v>157847.12609955811</v>
      </c>
      <c r="BZ31" s="466">
        <f t="shared" si="258"/>
        <v>332912.69349999353</v>
      </c>
      <c r="CA31" s="466">
        <f t="shared" si="258"/>
        <v>880477.6101030478</v>
      </c>
      <c r="CB31" s="466">
        <f t="shared" si="258"/>
        <v>1534649.2388588227</v>
      </c>
      <c r="CC31" s="466">
        <f t="shared" si="258"/>
        <v>1933482.8845008288</v>
      </c>
      <c r="CD31" s="466">
        <f t="shared" si="258"/>
        <v>2019285.0119014804</v>
      </c>
      <c r="CE31" s="466">
        <f t="shared" si="258"/>
        <v>1431923.9301316752</v>
      </c>
      <c r="CF31" s="466">
        <f t="shared" si="258"/>
        <v>887884.11889164953</v>
      </c>
      <c r="CG31" s="466">
        <f t="shared" si="258"/>
        <v>412699.43753058516</v>
      </c>
      <c r="CH31" s="466">
        <f t="shared" si="258"/>
        <v>203023.13001966116</v>
      </c>
    </row>
    <row r="32" spans="1:86" x14ac:dyDescent="0.2">
      <c r="A32" s="585">
        <v>20</v>
      </c>
      <c r="B32" s="211" t="s">
        <v>588</v>
      </c>
      <c r="C32" s="602">
        <f>'Bill Frequency'!C$17</f>
        <v>170126.5</v>
      </c>
      <c r="D32" s="603">
        <f>'Bill Frequency'!D$17</f>
        <v>140915.80000000002</v>
      </c>
      <c r="E32" s="603">
        <f>'Bill Frequency'!E$17</f>
        <v>165573.21000000002</v>
      </c>
      <c r="F32" s="603">
        <f>'Bill Frequency'!F$17</f>
        <v>192345.52000000002</v>
      </c>
      <c r="G32" s="603">
        <f>'Bill Frequency'!G$17</f>
        <v>405260.11000000004</v>
      </c>
      <c r="H32" s="603">
        <f>'Bill Frequency'!H$17</f>
        <v>1413308.2</v>
      </c>
      <c r="I32" s="603">
        <f>'Bill Frequency'!I$17</f>
        <v>1939310.81</v>
      </c>
      <c r="J32" s="603">
        <f>'Bill Frequency'!J$17</f>
        <v>1422158.06</v>
      </c>
      <c r="K32" s="603">
        <f>'Bill Frequency'!K$17</f>
        <v>1037179.4299999999</v>
      </c>
      <c r="L32" s="603">
        <f>'Bill Frequency'!L$17</f>
        <v>766770.13</v>
      </c>
      <c r="M32" s="603">
        <f>'Bill Frequency'!M$17</f>
        <v>307282.36</v>
      </c>
      <c r="N32" s="604">
        <f>'Bill Frequency'!N$17</f>
        <v>198936.30000000002</v>
      </c>
      <c r="O32" s="577" t="s">
        <v>598</v>
      </c>
      <c r="P32" s="577" t="s">
        <v>598</v>
      </c>
      <c r="Q32" s="577" t="s">
        <v>598</v>
      </c>
      <c r="R32" s="577" t="s">
        <v>598</v>
      </c>
      <c r="S32" s="577" t="s">
        <v>598</v>
      </c>
      <c r="T32" s="577" t="s">
        <v>598</v>
      </c>
      <c r="U32" s="577" t="s">
        <v>598</v>
      </c>
      <c r="V32" s="577" t="s">
        <v>598</v>
      </c>
      <c r="W32" s="577" t="s">
        <v>598</v>
      </c>
      <c r="X32" s="577" t="s">
        <v>598</v>
      </c>
      <c r="Y32" s="577" t="s">
        <v>598</v>
      </c>
      <c r="Z32" s="577" t="s">
        <v>598</v>
      </c>
      <c r="AA32" s="577" t="s">
        <v>598</v>
      </c>
      <c r="AB32" s="577" t="s">
        <v>598</v>
      </c>
      <c r="AC32" s="577" t="s">
        <v>598</v>
      </c>
      <c r="AD32" s="577" t="s">
        <v>598</v>
      </c>
      <c r="AE32" s="577" t="s">
        <v>598</v>
      </c>
      <c r="AF32" s="577" t="s">
        <v>598</v>
      </c>
      <c r="AG32" s="577" t="s">
        <v>598</v>
      </c>
      <c r="AH32" s="577" t="s">
        <v>598</v>
      </c>
      <c r="AI32" s="577" t="s">
        <v>598</v>
      </c>
      <c r="AJ32" s="577" t="s">
        <v>598</v>
      </c>
      <c r="AK32" s="577" t="s">
        <v>598</v>
      </c>
      <c r="AL32" s="577" t="s">
        <v>598</v>
      </c>
      <c r="AM32" s="577" t="s">
        <v>598</v>
      </c>
      <c r="AN32" s="577" t="s">
        <v>598</v>
      </c>
      <c r="AO32" s="577" t="s">
        <v>598</v>
      </c>
      <c r="AP32" s="577" t="s">
        <v>598</v>
      </c>
      <c r="AQ32" s="577" t="s">
        <v>598</v>
      </c>
      <c r="AR32" s="577" t="s">
        <v>598</v>
      </c>
      <c r="AS32" s="577" t="s">
        <v>598</v>
      </c>
      <c r="AT32" s="577" t="s">
        <v>598</v>
      </c>
      <c r="AU32" s="577" t="s">
        <v>598</v>
      </c>
      <c r="AV32" s="577" t="s">
        <v>598</v>
      </c>
      <c r="AW32" s="577" t="s">
        <v>598</v>
      </c>
      <c r="AX32" s="577" t="s">
        <v>598</v>
      </c>
      <c r="AY32" s="577" t="s">
        <v>598</v>
      </c>
      <c r="AZ32" s="577" t="s">
        <v>598</v>
      </c>
      <c r="BA32" s="577" t="s">
        <v>598</v>
      </c>
      <c r="BB32" s="577" t="s">
        <v>598</v>
      </c>
      <c r="BC32" s="577" t="s">
        <v>598</v>
      </c>
      <c r="BD32" s="577" t="s">
        <v>598</v>
      </c>
      <c r="BE32" s="577" t="s">
        <v>598</v>
      </c>
      <c r="BF32" s="577" t="s">
        <v>598</v>
      </c>
      <c r="BG32" s="577" t="s">
        <v>598</v>
      </c>
      <c r="BH32" s="577" t="s">
        <v>598</v>
      </c>
      <c r="BI32" s="577" t="s">
        <v>598</v>
      </c>
      <c r="BJ32" s="577" t="s">
        <v>598</v>
      </c>
      <c r="BK32" s="577" t="s">
        <v>598</v>
      </c>
      <c r="BL32" s="577" t="s">
        <v>598</v>
      </c>
      <c r="BM32" s="577" t="s">
        <v>598</v>
      </c>
      <c r="BN32" s="577" t="s">
        <v>598</v>
      </c>
      <c r="BO32" s="577" t="s">
        <v>598</v>
      </c>
      <c r="BP32" s="577" t="s">
        <v>598</v>
      </c>
      <c r="BQ32" s="577" t="s">
        <v>598</v>
      </c>
      <c r="BR32" s="577" t="s">
        <v>598</v>
      </c>
      <c r="BS32" s="577" t="s">
        <v>598</v>
      </c>
      <c r="BT32" s="577" t="s">
        <v>598</v>
      </c>
      <c r="BU32" s="577" t="s">
        <v>598</v>
      </c>
      <c r="BV32" s="577" t="s">
        <v>598</v>
      </c>
      <c r="BW32" s="577" t="s">
        <v>598</v>
      </c>
      <c r="BX32" s="577" t="s">
        <v>598</v>
      </c>
      <c r="BY32" s="577" t="s">
        <v>598</v>
      </c>
      <c r="BZ32" s="577" t="s">
        <v>598</v>
      </c>
      <c r="CA32" s="577" t="s">
        <v>598</v>
      </c>
      <c r="CB32" s="577" t="s">
        <v>598</v>
      </c>
      <c r="CC32" s="577" t="s">
        <v>598</v>
      </c>
      <c r="CD32" s="577" t="s">
        <v>598</v>
      </c>
      <c r="CE32" s="577" t="s">
        <v>598</v>
      </c>
      <c r="CF32" s="577" t="s">
        <v>598</v>
      </c>
      <c r="CG32" s="577" t="s">
        <v>598</v>
      </c>
      <c r="CH32" s="577" t="s">
        <v>598</v>
      </c>
    </row>
    <row r="33" spans="1:86" x14ac:dyDescent="0.2">
      <c r="A33" s="585">
        <v>21</v>
      </c>
      <c r="B33" s="211" t="s">
        <v>603</v>
      </c>
      <c r="C33" s="46">
        <f>C30*(C26*C$15+C28)</f>
        <v>153578.61582713109</v>
      </c>
      <c r="D33" s="46">
        <f t="shared" ref="D33:BO33" si="259">D30*(D26*D$15+D28)</f>
        <v>154438.75233150131</v>
      </c>
      <c r="E33" s="46">
        <f t="shared" si="259"/>
        <v>199591.55648684019</v>
      </c>
      <c r="F33" s="46">
        <f t="shared" si="259"/>
        <v>575161.70227773895</v>
      </c>
      <c r="G33" s="46">
        <f t="shared" si="259"/>
        <v>1154493.4947684822</v>
      </c>
      <c r="H33" s="46">
        <f t="shared" si="259"/>
        <v>1809686.5438559938</v>
      </c>
      <c r="I33" s="46">
        <f t="shared" si="259"/>
        <v>1998066.2405092055</v>
      </c>
      <c r="J33" s="46">
        <f t="shared" si="259"/>
        <v>1663704.5101417587</v>
      </c>
      <c r="K33" s="46">
        <f t="shared" si="259"/>
        <v>1233607.5735559375</v>
      </c>
      <c r="L33" s="46">
        <f t="shared" si="259"/>
        <v>588397.85425398394</v>
      </c>
      <c r="M33" s="46">
        <f t="shared" si="259"/>
        <v>280125.52794287051</v>
      </c>
      <c r="N33" s="46">
        <f t="shared" si="259"/>
        <v>160071.75317427889</v>
      </c>
      <c r="O33" s="46">
        <f t="shared" si="259"/>
        <v>153876.92906564099</v>
      </c>
      <c r="P33" s="46">
        <f t="shared" si="259"/>
        <v>154737.06557001124</v>
      </c>
      <c r="Q33" s="46">
        <f t="shared" si="259"/>
        <v>199983.96961013039</v>
      </c>
      <c r="R33" s="46">
        <f t="shared" si="259"/>
        <v>576295.1670800366</v>
      </c>
      <c r="S33" s="46">
        <f t="shared" si="259"/>
        <v>1156752.4028284166</v>
      </c>
      <c r="T33" s="46">
        <f t="shared" si="259"/>
        <v>1813153.791312295</v>
      </c>
      <c r="U33" s="46">
        <f t="shared" si="259"/>
        <v>2001870.9749268459</v>
      </c>
      <c r="V33" s="46">
        <f t="shared" si="259"/>
        <v>1666858.2788643856</v>
      </c>
      <c r="W33" s="46">
        <f t="shared" si="259"/>
        <v>1235941.6054001418</v>
      </c>
      <c r="X33" s="46">
        <f t="shared" si="259"/>
        <v>589527.59211949073</v>
      </c>
      <c r="Y33" s="46">
        <f t="shared" si="259"/>
        <v>280655.2545704635</v>
      </c>
      <c r="Z33" s="46">
        <f t="shared" si="259"/>
        <v>160377.90985921625</v>
      </c>
      <c r="AA33" s="46">
        <f t="shared" si="259"/>
        <v>154175.24230415092</v>
      </c>
      <c r="AB33" s="46">
        <f t="shared" si="259"/>
        <v>155035.37880852114</v>
      </c>
      <c r="AC33" s="46">
        <f t="shared" si="259"/>
        <v>200376.48489805672</v>
      </c>
      <c r="AD33" s="46">
        <f t="shared" si="259"/>
        <v>577429.5403950701</v>
      </c>
      <c r="AE33" s="46">
        <f t="shared" si="259"/>
        <v>1159013.4608798963</v>
      </c>
      <c r="AF33" s="46">
        <f t="shared" si="259"/>
        <v>1816624.586356845</v>
      </c>
      <c r="AG33" s="46">
        <f t="shared" si="259"/>
        <v>2005679.6583356319</v>
      </c>
      <c r="AH33" s="46">
        <f t="shared" si="259"/>
        <v>1670015.2770232849</v>
      </c>
      <c r="AI33" s="46">
        <f t="shared" si="259"/>
        <v>1238277.9431160786</v>
      </c>
      <c r="AJ33" s="46">
        <f t="shared" si="259"/>
        <v>590658.25739513419</v>
      </c>
      <c r="AK33" s="46">
        <f t="shared" si="259"/>
        <v>281185.24244432634</v>
      </c>
      <c r="AL33" s="46">
        <f t="shared" si="259"/>
        <v>160684.07527155627</v>
      </c>
      <c r="AM33" s="46">
        <f t="shared" si="259"/>
        <v>154473.55554266082</v>
      </c>
      <c r="AN33" s="46">
        <f t="shared" si="259"/>
        <v>155333.69204703104</v>
      </c>
      <c r="AO33" s="46">
        <f t="shared" si="259"/>
        <v>200769.00449501729</v>
      </c>
      <c r="AP33" s="46">
        <f t="shared" si="259"/>
        <v>578563.95196522458</v>
      </c>
      <c r="AQ33" s="46">
        <f t="shared" si="259"/>
        <v>1161274.6088518281</v>
      </c>
      <c r="AR33" s="46">
        <f t="shared" si="259"/>
        <v>1820095.5272183781</v>
      </c>
      <c r="AS33" s="46">
        <f t="shared" si="259"/>
        <v>2009488.5032459779</v>
      </c>
      <c r="AT33" s="46">
        <f t="shared" si="259"/>
        <v>1673172.4067903922</v>
      </c>
      <c r="AU33" s="46">
        <f t="shared" si="259"/>
        <v>1240614.3746817354</v>
      </c>
      <c r="AV33" s="46">
        <f t="shared" si="259"/>
        <v>591788.9609062589</v>
      </c>
      <c r="AW33" s="46">
        <f t="shared" si="259"/>
        <v>281715.24098092393</v>
      </c>
      <c r="AX33" s="46">
        <f t="shared" si="259"/>
        <v>160990.24104445818</v>
      </c>
      <c r="AY33" s="46">
        <f t="shared" si="259"/>
        <v>154771.86878117072</v>
      </c>
      <c r="AZ33" s="46">
        <f t="shared" si="259"/>
        <v>155632.00528554094</v>
      </c>
      <c r="BA33" s="46">
        <f t="shared" si="259"/>
        <v>201161.52707058907</v>
      </c>
      <c r="BB33" s="46">
        <f t="shared" si="259"/>
        <v>579698.38995878841</v>
      </c>
      <c r="BC33" s="46">
        <f t="shared" si="259"/>
        <v>1163535.8187373516</v>
      </c>
      <c r="BD33" s="46">
        <f t="shared" si="259"/>
        <v>1823566.5676542278</v>
      </c>
      <c r="BE33" s="46">
        <f t="shared" si="259"/>
        <v>2013297.4581733856</v>
      </c>
      <c r="BF33" s="46">
        <f t="shared" si="259"/>
        <v>1676329.6260568493</v>
      </c>
      <c r="BG33" s="46">
        <f t="shared" si="259"/>
        <v>1242950.8700292625</v>
      </c>
      <c r="BH33" s="46">
        <f t="shared" si="259"/>
        <v>592919.69056547445</v>
      </c>
      <c r="BI33" s="46">
        <f t="shared" si="259"/>
        <v>282245.24677403772</v>
      </c>
      <c r="BJ33" s="46">
        <f t="shared" si="259"/>
        <v>161296.40706418216</v>
      </c>
      <c r="BK33" s="46">
        <f t="shared" si="259"/>
        <v>155070.18201968062</v>
      </c>
      <c r="BL33" s="46">
        <f t="shared" si="259"/>
        <v>155930.31852405085</v>
      </c>
      <c r="BM33" s="46">
        <f t="shared" si="259"/>
        <v>201554.05272845356</v>
      </c>
      <c r="BN33" s="46">
        <f t="shared" si="259"/>
        <v>580832.85529788025</v>
      </c>
      <c r="BO33" s="46">
        <f t="shared" si="259"/>
        <v>1165797.0927197842</v>
      </c>
      <c r="BP33" s="46">
        <f t="shared" ref="BP33:CH33" si="260">BP30*(BP26*BP$15+BP28)</f>
        <v>1827037.7112716953</v>
      </c>
      <c r="BQ33" s="46">
        <f t="shared" si="260"/>
        <v>2017106.527134819</v>
      </c>
      <c r="BR33" s="46">
        <f t="shared" si="260"/>
        <v>1679486.9381085408</v>
      </c>
      <c r="BS33" s="46">
        <f t="shared" si="260"/>
        <v>1245287.4315050594</v>
      </c>
      <c r="BT33" s="46">
        <f t="shared" si="260"/>
        <v>594050.44731558673</v>
      </c>
      <c r="BU33" s="46">
        <f t="shared" si="260"/>
        <v>282775.26008945034</v>
      </c>
      <c r="BV33" s="46">
        <f t="shared" si="260"/>
        <v>161602.57333959927</v>
      </c>
      <c r="BW33" s="46">
        <f t="shared" si="260"/>
        <v>155368.49525819052</v>
      </c>
      <c r="BX33" s="46">
        <f t="shared" si="260"/>
        <v>156228.63176256075</v>
      </c>
      <c r="BY33" s="46">
        <f t="shared" si="260"/>
        <v>201946.67418712116</v>
      </c>
      <c r="BZ33" s="46">
        <f t="shared" si="260"/>
        <v>581968.17253476963</v>
      </c>
      <c r="CA33" s="46">
        <f t="shared" si="260"/>
        <v>1168060.3824871967</v>
      </c>
      <c r="CB33" s="46">
        <f t="shared" si="260"/>
        <v>1830512.1800769018</v>
      </c>
      <c r="CC33" s="46">
        <f t="shared" si="260"/>
        <v>2020919.297218977</v>
      </c>
      <c r="CD33" s="46">
        <f t="shared" si="260"/>
        <v>1682647.2767190507</v>
      </c>
      <c r="CE33" s="46">
        <f t="shared" si="260"/>
        <v>1247626.1539496444</v>
      </c>
      <c r="CF33" s="46">
        <f t="shared" si="260"/>
        <v>595182.07337918959</v>
      </c>
      <c r="CG33" s="46">
        <f t="shared" si="260"/>
        <v>283305.51824535645</v>
      </c>
      <c r="CH33" s="46">
        <f t="shared" si="260"/>
        <v>161908.7477959783</v>
      </c>
    </row>
    <row r="34" spans="1:86" x14ac:dyDescent="0.2">
      <c r="A34" s="585">
        <v>22</v>
      </c>
      <c r="B34" s="211" t="s">
        <v>605</v>
      </c>
      <c r="C34" s="46">
        <f>C33/SUM(C33:N33)*SUM(C31:N31)</f>
        <v>153887.74283711103</v>
      </c>
      <c r="D34" s="46">
        <f>D33/SUM(C33:N33)*SUM(C31:N31)</f>
        <v>154749.6106464832</v>
      </c>
      <c r="E34" s="46">
        <f>E33/SUM(C33:N33)*SUM(C31:N31)</f>
        <v>199993.29953382449</v>
      </c>
      <c r="F34" s="46">
        <f>F33/SUM(C33:N33)*SUM(C31:N31)</f>
        <v>576319.40262763808</v>
      </c>
      <c r="G34" s="46">
        <f>G33/SUM(C33:N33)*SUM(C31:N31)</f>
        <v>1156817.2891337133</v>
      </c>
      <c r="H34" s="46">
        <f>H33/SUM(C33:N33)*SUM(C31:N31)</f>
        <v>1813329.1277358539</v>
      </c>
      <c r="I34" s="46">
        <f>I33/SUM(C33:N33)*SUM(C31:N31)</f>
        <v>2002087.9999146017</v>
      </c>
      <c r="J34" s="46">
        <f>J33/SUM(C33:N33)*SUM(C31:N31)</f>
        <v>1667053.2576085881</v>
      </c>
      <c r="K34" s="46">
        <f>K33/SUM(C33:N33)*SUM(C31:N31)</f>
        <v>1236090.6107850997</v>
      </c>
      <c r="L34" s="46">
        <f>L33/SUM(C33:N33)*SUM(C31:N31)</f>
        <v>589582.19667291082</v>
      </c>
      <c r="M34" s="46">
        <f>M33/SUM(C33:N33)*SUM(C31:N31)</f>
        <v>280689.37185047223</v>
      </c>
      <c r="N34" s="46">
        <f>N33/SUM(C33:N33)*SUM(C31:N31)</f>
        <v>160393.94973904485</v>
      </c>
      <c r="O34" s="46">
        <f>O33/SUM(O33:Z33)*SUM(O31:Z31)</f>
        <v>154186.33820708914</v>
      </c>
      <c r="P34" s="46">
        <f>P33/SUM(O33:Z33)*SUM(O31:Z31)</f>
        <v>155048.20423711967</v>
      </c>
      <c r="Q34" s="46">
        <f>Q33/SUM(O33:Z33)*SUM(O31:Z31)</f>
        <v>200386.0888148493</v>
      </c>
      <c r="R34" s="46">
        <f>R33/SUM(O33:Z33)*SUM(O31:Z31)</f>
        <v>577453.95673063386</v>
      </c>
      <c r="S34" s="46">
        <f>S33/SUM(O33:Z33)*SUM(O31:Z31)</f>
        <v>1159078.35103911</v>
      </c>
      <c r="T34" s="46">
        <f>T33/SUM(O33:Z33)*SUM(O31:Z31)</f>
        <v>1816799.6033342136</v>
      </c>
      <c r="U34" s="46">
        <f>U33/SUM(O33:Z33)*SUM(O31:Z31)</f>
        <v>2005896.2513825379</v>
      </c>
      <c r="V34" s="46">
        <f>V33/SUM(O33:Z33)*SUM(O31:Z31)</f>
        <v>1670209.926132828</v>
      </c>
      <c r="W34" s="46">
        <f>W33/SUM(O33:Z33)*SUM(O31:Z31)</f>
        <v>1238426.7838692532</v>
      </c>
      <c r="X34" s="46">
        <f>X33/SUM(O33:Z33)*SUM(O31:Z31)</f>
        <v>590712.98896387336</v>
      </c>
      <c r="Y34" s="46">
        <f>Y33/SUM(O33:Z33)*SUM(O31:Z31)</f>
        <v>281219.58414141898</v>
      </c>
      <c r="Z34" s="46">
        <f>Z33/SUM(O33:Z33)*SUM(O31:Z31)</f>
        <v>160700.3908945352</v>
      </c>
      <c r="AA34" s="46">
        <f>AA33/SUM(AA33:AL33)*SUM(AA31:AL31)</f>
        <v>154484.67614666146</v>
      </c>
      <c r="AB34" s="46">
        <f>AB33/SUM(AA33:AL33)*SUM(AA31:AL31)</f>
        <v>155346.53896804375</v>
      </c>
      <c r="AC34" s="46">
        <f>AC33/SUM(AA33:AL33)*SUM(AA31:AL31)</f>
        <v>200778.64587243964</v>
      </c>
      <c r="AD34" s="46">
        <f>AD33/SUM(AA33:AL33)*SUM(AA31:AL31)</f>
        <v>578588.45695516898</v>
      </c>
      <c r="AE34" s="46">
        <f>AE33/SUM(AA33:AL33)*SUM(AA31:AL31)</f>
        <v>1161339.6319522529</v>
      </c>
      <c r="AF34" s="46">
        <f>AF33/SUM(AA33:AL33)*SUM(AA31:AL31)</f>
        <v>1820270.6005790674</v>
      </c>
      <c r="AG34" s="46">
        <f>AG33/SUM(AA33:AL33)*SUM(AA31:AL31)</f>
        <v>2009705.1111531451</v>
      </c>
      <c r="AH34" s="46">
        <f>AH33/SUM(AA33:AL33)*SUM(AA31:AL31)</f>
        <v>1673367.0424332018</v>
      </c>
      <c r="AI34" s="46">
        <f>AI33/SUM(AA33:AL33)*SUM(AA31:AL31)</f>
        <v>1240763.2001282165</v>
      </c>
      <c r="AJ34" s="46">
        <f>AJ33/SUM(AA33:AL33)*SUM(AA31:AL31)</f>
        <v>591843.72434472258</v>
      </c>
      <c r="AK34" s="46">
        <f>AK33/SUM(AA33:AL33)*SUM(AA31:AL31)</f>
        <v>281749.58876041748</v>
      </c>
      <c r="AL34" s="46">
        <f>AL33/SUM(AA33:AL33)*SUM(AA31:AL31)</f>
        <v>161006.57251623998</v>
      </c>
      <c r="AM34" s="46">
        <f>AM33/SUM(AM33:AX33)*SUM(AM31:AX31)</f>
        <v>154783.01052554126</v>
      </c>
      <c r="AN34" s="46">
        <f>AN33/SUM(AM33:AX33)*SUM(AM31:AX31)</f>
        <v>155644.87013084162</v>
      </c>
      <c r="AO34" s="46">
        <f>AO33/SUM(AM33:AX33)*SUM(AM31:AX31)</f>
        <v>201171.20258407321</v>
      </c>
      <c r="AP34" s="46">
        <f>AP33/SUM(AM33:AX33)*SUM(AM31:AX31)</f>
        <v>579722.98204789264</v>
      </c>
      <c r="AQ34" s="46">
        <f>AQ33/SUM(AM33:AX33)*SUM(AM31:AX31)</f>
        <v>1163600.9760603728</v>
      </c>
      <c r="AR34" s="46">
        <f>AR33/SUM(AM33:AX33)*SUM(AM31:AX31)</f>
        <v>1823741.702307943</v>
      </c>
      <c r="AS34" s="46">
        <f>AS33/SUM(AM33:AX33)*SUM(AM31:AX31)</f>
        <v>2013514.0869660259</v>
      </c>
      <c r="AT34" s="46">
        <f>AT33/SUM(AM33:AX33)*SUM(AM31:AX31)</f>
        <v>1676524.2525913157</v>
      </c>
      <c r="AU34" s="46">
        <f>AU33/SUM(AM33:AX33)*SUM(AM31:AX31)</f>
        <v>1243099.6822719551</v>
      </c>
      <c r="AV34" s="46">
        <f>AV33/SUM(AM33:AX33)*SUM(AM31:AX31)</f>
        <v>592974.48448744894</v>
      </c>
      <c r="AW34" s="46">
        <f>AW33/SUM(AM33:AX33)*SUM(AM31:AX31)</f>
        <v>282279.59767465485</v>
      </c>
      <c r="AX34" s="46">
        <f>AX33/SUM(AM33:AX33)*SUM(AM31:AX31)</f>
        <v>161312.75082363249</v>
      </c>
      <c r="AY34" s="46">
        <f>AY33/SUM(AY33:BJ33)*SUM(AY31:BJ31)</f>
        <v>155081.34511521042</v>
      </c>
      <c r="AZ34" s="46">
        <f>AZ33/SUM(AY33:BJ33)*SUM(AY31:BJ31)</f>
        <v>155943.20151799789</v>
      </c>
      <c r="BA34" s="46">
        <f>BA33/SUM(AY33:BJ33)*SUM(AY31:BJ31)</f>
        <v>201563.76251839942</v>
      </c>
      <c r="BB34" s="46">
        <f>BB33/SUM(AY33:BJ33)*SUM(AY31:BJ31)</f>
        <v>580857.53427865717</v>
      </c>
      <c r="BC34" s="46">
        <f>BC33/SUM(AY33:BJ33)*SUM(AY31:BJ31)</f>
        <v>1165862.3836521674</v>
      </c>
      <c r="BD34" s="46">
        <f>BD33/SUM(AY33:BJ33)*SUM(AY31:BJ31)</f>
        <v>1827212.9066218925</v>
      </c>
      <c r="BE34" s="46">
        <f>BE33/SUM(AY33:BJ33)*SUM(AY31:BJ31)</f>
        <v>2017323.1762938274</v>
      </c>
      <c r="BF34" s="46">
        <f>BF33/SUM(AY33:BJ33)*SUM(AY31:BJ31)</f>
        <v>1679681.5552633626</v>
      </c>
      <c r="BG34" s="46">
        <f>BG33/SUM(AY33:BJ33)*SUM(AY31:BJ31)</f>
        <v>1245436.2304612156</v>
      </c>
      <c r="BH34" s="46">
        <f>BH33/SUM(AY33:BJ33)*SUM(AY31:BJ31)</f>
        <v>594105.27172864822</v>
      </c>
      <c r="BI34" s="46">
        <f>BI33/SUM(AY33:BJ33)*SUM(AY31:BJ31)</f>
        <v>282809.61434909923</v>
      </c>
      <c r="BJ34" s="46">
        <f>BJ33/SUM(AY33:BJ33)*SUM(AY31:BJ31)</f>
        <v>161618.92963333571</v>
      </c>
      <c r="BK34" s="46">
        <f>BK33/SUM(BK33:BV33)*SUM(BK31:BV31)</f>
        <v>155379.92307922678</v>
      </c>
      <c r="BL34" s="46">
        <f>BL33/SUM(BK33:BV33)*SUM(BK31:BV31)</f>
        <v>156241.77764176103</v>
      </c>
      <c r="BM34" s="46">
        <f>BM33/SUM(BK33:BV33)*SUM(BK31:BV31)</f>
        <v>201956.64183381756</v>
      </c>
      <c r="BN34" s="46">
        <f>BN33/SUM(BK33:BV33)*SUM(BK31:BV31)</f>
        <v>581993.02536846383</v>
      </c>
      <c r="BO34" s="46">
        <f>BO33/SUM(BK33:BV33)*SUM(BK31:BV31)</f>
        <v>1168125.6849869231</v>
      </c>
      <c r="BP34" s="46">
        <f>BP33/SUM(BK33:BV33)*SUM(BK31:BV31)</f>
        <v>1830687.082086571</v>
      </c>
      <c r="BQ34" s="46">
        <f>BQ33/SUM(BK33:BV33)*SUM(BK31:BV31)</f>
        <v>2021135.5461557219</v>
      </c>
      <c r="BR34" s="46">
        <f>BR33/SUM(BK33:BV33)*SUM(BK31:BV31)</f>
        <v>1682841.587319165</v>
      </c>
      <c r="BS34" s="46">
        <f>BS33/SUM(BK33:BV33)*SUM(BK31:BV31)</f>
        <v>1247774.7997627747</v>
      </c>
      <c r="BT34" s="46">
        <f>BT33/SUM(BK33:BV33)*SUM(BK31:BV31)</f>
        <v>595237.01853501075</v>
      </c>
      <c r="BU34" s="46">
        <f>BU33/SUM(BK33:BV33)*SUM(BK31:BV31)</f>
        <v>283340.08246556926</v>
      </c>
      <c r="BV34" s="46">
        <f>BV33/SUM(BK33:BV33)*SUM(BK31:BV31)</f>
        <v>161925.36236092926</v>
      </c>
      <c r="BW34" s="46">
        <f>BW33/SUM(BW33:CH33)*SUM(BW31:CH31)</f>
        <v>155678.26725274359</v>
      </c>
      <c r="BX34" s="46">
        <f>BX33/SUM(BW33:CH33)*SUM(BW31:CH31)</f>
        <v>156540.11868780231</v>
      </c>
      <c r="BY34" s="46">
        <f>BY33/SUM(BW33:CH33)*SUM(BW31:CH31)</f>
        <v>202349.31324179145</v>
      </c>
      <c r="BZ34" s="46">
        <f>BZ33/SUM(BW33:CH33)*SUM(BW31:CH31)</f>
        <v>583128.4942671319</v>
      </c>
      <c r="CA34" s="46">
        <f>CA33/SUM(BW33:CH33)*SUM(BW31:CH31)</f>
        <v>1170389.2484123006</v>
      </c>
      <c r="CB34" s="46">
        <f>CB33/SUM(BW33:CH33)*SUM(BW31:CH31)</f>
        <v>1834161.8350995227</v>
      </c>
      <c r="CC34" s="46">
        <f>CC33/SUM(BW33:CH33)*SUM(BW31:CH31)</f>
        <v>2024948.583854533</v>
      </c>
      <c r="CD34" s="46">
        <f>CD33/SUM(BW33:CH33)*SUM(BW31:CH31)</f>
        <v>1686002.1203260017</v>
      </c>
      <c r="CE34" s="46">
        <f>CE33/SUM(BW33:CH33)*SUM(BW31:CH31)</f>
        <v>1250113.6572335199</v>
      </c>
      <c r="CF34" s="46">
        <f>CF33/SUM(BW33:CH33)*SUM(BW31:CH31)</f>
        <v>596368.7408415121</v>
      </c>
      <c r="CG34" s="46">
        <f>CG33/SUM(BW33:CH33)*SUM(BW31:CH31)</f>
        <v>283870.36966719019</v>
      </c>
      <c r="CH34" s="46">
        <f>CH33/SUM(BW33:CH33)*SUM(BW31:CH31)</f>
        <v>162231.55967400415</v>
      </c>
    </row>
    <row r="35" spans="1:86" x14ac:dyDescent="0.2">
      <c r="A35" s="585">
        <v>23</v>
      </c>
      <c r="C35" s="605"/>
      <c r="D35" s="605"/>
      <c r="E35" s="605"/>
      <c r="F35" s="605"/>
      <c r="G35" s="605"/>
      <c r="H35" s="605"/>
      <c r="I35" s="605"/>
      <c r="J35" s="605"/>
      <c r="K35" s="605"/>
      <c r="L35" s="605"/>
      <c r="M35" s="605"/>
      <c r="N35" s="605"/>
    </row>
    <row r="36" spans="1:86" x14ac:dyDescent="0.2">
      <c r="A36" s="585">
        <v>24</v>
      </c>
      <c r="B36" s="42" t="s">
        <v>589</v>
      </c>
      <c r="C36" s="606">
        <f>ROUND(C31-C32,0)</f>
        <v>-16548</v>
      </c>
      <c r="D36" s="606">
        <f t="shared" ref="D36:N36" si="261">ROUND(D31-D32,0)</f>
        <v>13523</v>
      </c>
      <c r="E36" s="606">
        <f t="shared" si="261"/>
        <v>-9563</v>
      </c>
      <c r="F36" s="606">
        <f t="shared" si="261"/>
        <v>136686</v>
      </c>
      <c r="G36" s="606">
        <f t="shared" si="261"/>
        <v>464986</v>
      </c>
      <c r="H36" s="606">
        <f t="shared" si="261"/>
        <v>103885</v>
      </c>
      <c r="I36" s="606">
        <f t="shared" si="261"/>
        <v>-27694</v>
      </c>
      <c r="J36" s="606">
        <f t="shared" si="261"/>
        <v>574381</v>
      </c>
      <c r="K36" s="606">
        <f t="shared" si="261"/>
        <v>378639</v>
      </c>
      <c r="L36" s="606">
        <f t="shared" si="261"/>
        <v>110974</v>
      </c>
      <c r="M36" s="606">
        <f t="shared" si="261"/>
        <v>100773</v>
      </c>
      <c r="N36" s="606">
        <f t="shared" si="261"/>
        <v>1784</v>
      </c>
      <c r="O36" s="606"/>
      <c r="P36" s="606"/>
      <c r="Q36" s="606"/>
      <c r="R36" s="606"/>
      <c r="S36" s="606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  <c r="AD36" s="606"/>
      <c r="AE36" s="606"/>
      <c r="AF36" s="606"/>
      <c r="AG36" s="606"/>
      <c r="AH36" s="606"/>
      <c r="AI36" s="606"/>
      <c r="AJ36" s="606"/>
      <c r="AK36" s="606"/>
      <c r="AL36" s="606"/>
      <c r="AM36" s="606"/>
      <c r="AN36" s="606"/>
      <c r="AO36" s="606"/>
      <c r="AP36" s="606"/>
      <c r="AQ36" s="606"/>
      <c r="AR36" s="606"/>
      <c r="AS36" s="606"/>
      <c r="AT36" s="606"/>
      <c r="AU36" s="606"/>
      <c r="AV36" s="606"/>
      <c r="AW36" s="606"/>
      <c r="AX36" s="606"/>
      <c r="AY36" s="606"/>
      <c r="AZ36" s="606"/>
      <c r="BA36" s="606"/>
      <c r="BB36" s="606"/>
      <c r="BC36" s="606"/>
      <c r="BD36" s="606"/>
      <c r="BE36" s="606"/>
      <c r="BF36" s="606"/>
      <c r="BG36" s="606"/>
      <c r="BH36" s="606"/>
      <c r="BI36" s="606"/>
      <c r="BJ36" s="606"/>
      <c r="BK36" s="606"/>
      <c r="BL36" s="606"/>
      <c r="BM36" s="606"/>
      <c r="BN36" s="606"/>
      <c r="BO36" s="606"/>
      <c r="BP36" s="606"/>
      <c r="BQ36" s="606"/>
      <c r="BR36" s="606"/>
      <c r="BS36" s="606"/>
      <c r="BT36" s="606"/>
      <c r="BU36" s="606"/>
      <c r="BV36" s="606"/>
      <c r="BW36" s="606"/>
      <c r="BX36" s="606"/>
      <c r="BY36" s="606"/>
      <c r="BZ36" s="606"/>
      <c r="CA36" s="606"/>
      <c r="CB36" s="606"/>
      <c r="CC36" s="606"/>
      <c r="CD36" s="606"/>
      <c r="CE36" s="606"/>
      <c r="CF36" s="606"/>
      <c r="CG36" s="606"/>
      <c r="CH36" s="606"/>
    </row>
    <row r="37" spans="1:86" x14ac:dyDescent="0.2">
      <c r="A37" s="585">
        <v>25</v>
      </c>
      <c r="B37" s="42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</row>
    <row r="38" spans="1:86" x14ac:dyDescent="0.2">
      <c r="A38" s="585">
        <v>26</v>
      </c>
      <c r="B38" s="42" t="s">
        <v>592</v>
      </c>
      <c r="C38" s="158">
        <f>C36</f>
        <v>-16548</v>
      </c>
      <c r="D38" s="158">
        <f t="shared" ref="D38:Z38" si="262">D36</f>
        <v>13523</v>
      </c>
      <c r="E38" s="158">
        <f t="shared" si="262"/>
        <v>-9563</v>
      </c>
      <c r="F38" s="158">
        <f t="shared" si="262"/>
        <v>136686</v>
      </c>
      <c r="G38" s="158">
        <f t="shared" si="262"/>
        <v>464986</v>
      </c>
      <c r="H38" s="158">
        <f t="shared" si="262"/>
        <v>103885</v>
      </c>
      <c r="I38" s="158">
        <f t="shared" si="262"/>
        <v>-27694</v>
      </c>
      <c r="J38" s="158">
        <f t="shared" si="262"/>
        <v>574381</v>
      </c>
      <c r="K38" s="158">
        <f t="shared" si="262"/>
        <v>378639</v>
      </c>
      <c r="L38" s="158">
        <f t="shared" si="262"/>
        <v>110974</v>
      </c>
      <c r="M38" s="158">
        <f t="shared" si="262"/>
        <v>100773</v>
      </c>
      <c r="N38" s="158">
        <f t="shared" si="262"/>
        <v>1784</v>
      </c>
      <c r="O38" s="158">
        <f>O36</f>
        <v>0</v>
      </c>
      <c r="P38" s="158">
        <f t="shared" si="262"/>
        <v>0</v>
      </c>
      <c r="Q38" s="158">
        <f t="shared" si="262"/>
        <v>0</v>
      </c>
      <c r="R38" s="158">
        <f t="shared" si="262"/>
        <v>0</v>
      </c>
      <c r="S38" s="158">
        <f t="shared" si="262"/>
        <v>0</v>
      </c>
      <c r="T38" s="158">
        <f t="shared" si="262"/>
        <v>0</v>
      </c>
      <c r="U38" s="158">
        <f t="shared" si="262"/>
        <v>0</v>
      </c>
      <c r="V38" s="158">
        <f t="shared" si="262"/>
        <v>0</v>
      </c>
      <c r="W38" s="158">
        <f t="shared" si="262"/>
        <v>0</v>
      </c>
      <c r="X38" s="158">
        <f t="shared" si="262"/>
        <v>0</v>
      </c>
      <c r="Y38" s="158">
        <f t="shared" si="262"/>
        <v>0</v>
      </c>
      <c r="Z38" s="158">
        <f t="shared" si="262"/>
        <v>0</v>
      </c>
      <c r="AA38" s="158">
        <f>AA36</f>
        <v>0</v>
      </c>
      <c r="AB38" s="158">
        <f t="shared" ref="AB38:AL38" si="263">AB36</f>
        <v>0</v>
      </c>
      <c r="AC38" s="158">
        <f t="shared" si="263"/>
        <v>0</v>
      </c>
      <c r="AD38" s="158">
        <f t="shared" si="263"/>
        <v>0</v>
      </c>
      <c r="AE38" s="158">
        <f t="shared" si="263"/>
        <v>0</v>
      </c>
      <c r="AF38" s="158">
        <f t="shared" si="263"/>
        <v>0</v>
      </c>
      <c r="AG38" s="158">
        <f t="shared" si="263"/>
        <v>0</v>
      </c>
      <c r="AH38" s="158">
        <f t="shared" si="263"/>
        <v>0</v>
      </c>
      <c r="AI38" s="158">
        <f t="shared" si="263"/>
        <v>0</v>
      </c>
      <c r="AJ38" s="158">
        <f t="shared" si="263"/>
        <v>0</v>
      </c>
      <c r="AK38" s="158">
        <f t="shared" si="263"/>
        <v>0</v>
      </c>
      <c r="AL38" s="158">
        <f t="shared" si="263"/>
        <v>0</v>
      </c>
      <c r="AM38" s="158">
        <f>AM36</f>
        <v>0</v>
      </c>
      <c r="AN38" s="158">
        <f t="shared" ref="AN38:AX38" si="264">AN36</f>
        <v>0</v>
      </c>
      <c r="AO38" s="158">
        <f t="shared" si="264"/>
        <v>0</v>
      </c>
      <c r="AP38" s="158">
        <f t="shared" si="264"/>
        <v>0</v>
      </c>
      <c r="AQ38" s="158">
        <f t="shared" si="264"/>
        <v>0</v>
      </c>
      <c r="AR38" s="158">
        <f t="shared" si="264"/>
        <v>0</v>
      </c>
      <c r="AS38" s="158">
        <f t="shared" si="264"/>
        <v>0</v>
      </c>
      <c r="AT38" s="158">
        <f t="shared" si="264"/>
        <v>0</v>
      </c>
      <c r="AU38" s="158">
        <f t="shared" si="264"/>
        <v>0</v>
      </c>
      <c r="AV38" s="158">
        <f t="shared" si="264"/>
        <v>0</v>
      </c>
      <c r="AW38" s="158">
        <f t="shared" si="264"/>
        <v>0</v>
      </c>
      <c r="AX38" s="158">
        <f t="shared" si="264"/>
        <v>0</v>
      </c>
      <c r="AY38" s="158">
        <f>AY36</f>
        <v>0</v>
      </c>
      <c r="AZ38" s="158">
        <f t="shared" ref="AZ38:BJ38" si="265">AZ36</f>
        <v>0</v>
      </c>
      <c r="BA38" s="158">
        <f t="shared" si="265"/>
        <v>0</v>
      </c>
      <c r="BB38" s="158">
        <f t="shared" si="265"/>
        <v>0</v>
      </c>
      <c r="BC38" s="158">
        <f t="shared" si="265"/>
        <v>0</v>
      </c>
      <c r="BD38" s="158">
        <f t="shared" si="265"/>
        <v>0</v>
      </c>
      <c r="BE38" s="158">
        <f t="shared" si="265"/>
        <v>0</v>
      </c>
      <c r="BF38" s="158">
        <f t="shared" si="265"/>
        <v>0</v>
      </c>
      <c r="BG38" s="158">
        <f t="shared" si="265"/>
        <v>0</v>
      </c>
      <c r="BH38" s="158">
        <f t="shared" si="265"/>
        <v>0</v>
      </c>
      <c r="BI38" s="158">
        <f t="shared" si="265"/>
        <v>0</v>
      </c>
      <c r="BJ38" s="158">
        <f t="shared" si="265"/>
        <v>0</v>
      </c>
      <c r="BK38" s="158">
        <f>BK36</f>
        <v>0</v>
      </c>
      <c r="BL38" s="158">
        <f t="shared" ref="BL38:BV38" si="266">BL36</f>
        <v>0</v>
      </c>
      <c r="BM38" s="158">
        <f t="shared" si="266"/>
        <v>0</v>
      </c>
      <c r="BN38" s="158">
        <f t="shared" si="266"/>
        <v>0</v>
      </c>
      <c r="BO38" s="158">
        <f t="shared" si="266"/>
        <v>0</v>
      </c>
      <c r="BP38" s="158">
        <f t="shared" si="266"/>
        <v>0</v>
      </c>
      <c r="BQ38" s="158">
        <f t="shared" si="266"/>
        <v>0</v>
      </c>
      <c r="BR38" s="158">
        <f t="shared" si="266"/>
        <v>0</v>
      </c>
      <c r="BS38" s="158">
        <f t="shared" si="266"/>
        <v>0</v>
      </c>
      <c r="BT38" s="158">
        <f t="shared" si="266"/>
        <v>0</v>
      </c>
      <c r="BU38" s="158">
        <f t="shared" si="266"/>
        <v>0</v>
      </c>
      <c r="BV38" s="158">
        <f t="shared" si="266"/>
        <v>0</v>
      </c>
      <c r="BW38" s="158">
        <f>BW36</f>
        <v>0</v>
      </c>
      <c r="BX38" s="158">
        <f t="shared" ref="BX38:CH38" si="267">BX36</f>
        <v>0</v>
      </c>
      <c r="BY38" s="158">
        <f t="shared" si="267"/>
        <v>0</v>
      </c>
      <c r="BZ38" s="158">
        <f t="shared" si="267"/>
        <v>0</v>
      </c>
      <c r="CA38" s="158">
        <f t="shared" si="267"/>
        <v>0</v>
      </c>
      <c r="CB38" s="158">
        <f t="shared" si="267"/>
        <v>0</v>
      </c>
      <c r="CC38" s="158">
        <f t="shared" si="267"/>
        <v>0</v>
      </c>
      <c r="CD38" s="158">
        <f t="shared" si="267"/>
        <v>0</v>
      </c>
      <c r="CE38" s="158">
        <f t="shared" si="267"/>
        <v>0</v>
      </c>
      <c r="CF38" s="158">
        <f t="shared" si="267"/>
        <v>0</v>
      </c>
      <c r="CG38" s="158">
        <f t="shared" si="267"/>
        <v>0</v>
      </c>
      <c r="CH38" s="158">
        <f t="shared" si="267"/>
        <v>0</v>
      </c>
    </row>
    <row r="39" spans="1:86" x14ac:dyDescent="0.2">
      <c r="A39" s="585">
        <v>27</v>
      </c>
      <c r="B39" s="42" t="s">
        <v>593</v>
      </c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</row>
    <row r="40" spans="1:86" x14ac:dyDescent="0.2">
      <c r="A40" s="585">
        <v>28</v>
      </c>
      <c r="B40" s="42" t="s">
        <v>594</v>
      </c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</row>
    <row r="41" spans="1:86" ht="13.5" thickBot="1" x14ac:dyDescent="0.25">
      <c r="A41" s="585">
        <v>29</v>
      </c>
      <c r="B41" s="42" t="s">
        <v>19</v>
      </c>
      <c r="C41" s="607">
        <f>SUM(C38:C40)</f>
        <v>-16548</v>
      </c>
      <c r="D41" s="607">
        <f t="shared" ref="D41:Z41" si="268">SUM(D38:D40)</f>
        <v>13523</v>
      </c>
      <c r="E41" s="607">
        <f t="shared" si="268"/>
        <v>-9563</v>
      </c>
      <c r="F41" s="607">
        <f t="shared" si="268"/>
        <v>136686</v>
      </c>
      <c r="G41" s="607">
        <f t="shared" si="268"/>
        <v>464986</v>
      </c>
      <c r="H41" s="607">
        <f t="shared" si="268"/>
        <v>103885</v>
      </c>
      <c r="I41" s="607">
        <f t="shared" si="268"/>
        <v>-27694</v>
      </c>
      <c r="J41" s="607">
        <f t="shared" si="268"/>
        <v>574381</v>
      </c>
      <c r="K41" s="607">
        <f t="shared" si="268"/>
        <v>378639</v>
      </c>
      <c r="L41" s="607">
        <f t="shared" si="268"/>
        <v>110974</v>
      </c>
      <c r="M41" s="607">
        <f t="shared" si="268"/>
        <v>100773</v>
      </c>
      <c r="N41" s="607">
        <f t="shared" si="268"/>
        <v>1784</v>
      </c>
      <c r="O41" s="607">
        <f>SUM(O38:O40)</f>
        <v>0</v>
      </c>
      <c r="P41" s="607">
        <f t="shared" si="268"/>
        <v>0</v>
      </c>
      <c r="Q41" s="607">
        <f t="shared" si="268"/>
        <v>0</v>
      </c>
      <c r="R41" s="607">
        <f t="shared" si="268"/>
        <v>0</v>
      </c>
      <c r="S41" s="607">
        <f t="shared" si="268"/>
        <v>0</v>
      </c>
      <c r="T41" s="607">
        <f t="shared" si="268"/>
        <v>0</v>
      </c>
      <c r="U41" s="607">
        <f t="shared" si="268"/>
        <v>0</v>
      </c>
      <c r="V41" s="607">
        <f t="shared" si="268"/>
        <v>0</v>
      </c>
      <c r="W41" s="607">
        <f t="shared" si="268"/>
        <v>0</v>
      </c>
      <c r="X41" s="607">
        <f t="shared" si="268"/>
        <v>0</v>
      </c>
      <c r="Y41" s="607">
        <f t="shared" si="268"/>
        <v>0</v>
      </c>
      <c r="Z41" s="607">
        <f t="shared" si="268"/>
        <v>0</v>
      </c>
      <c r="AA41" s="607">
        <f>SUM(AA38:AA40)</f>
        <v>0</v>
      </c>
      <c r="AB41" s="607">
        <f t="shared" ref="AB41:AL41" si="269">SUM(AB38:AB40)</f>
        <v>0</v>
      </c>
      <c r="AC41" s="607">
        <f t="shared" si="269"/>
        <v>0</v>
      </c>
      <c r="AD41" s="607">
        <f t="shared" si="269"/>
        <v>0</v>
      </c>
      <c r="AE41" s="607">
        <f t="shared" si="269"/>
        <v>0</v>
      </c>
      <c r="AF41" s="607">
        <f t="shared" si="269"/>
        <v>0</v>
      </c>
      <c r="AG41" s="607">
        <f t="shared" si="269"/>
        <v>0</v>
      </c>
      <c r="AH41" s="607">
        <f t="shared" si="269"/>
        <v>0</v>
      </c>
      <c r="AI41" s="607">
        <f t="shared" si="269"/>
        <v>0</v>
      </c>
      <c r="AJ41" s="607">
        <f t="shared" si="269"/>
        <v>0</v>
      </c>
      <c r="AK41" s="607">
        <f t="shared" si="269"/>
        <v>0</v>
      </c>
      <c r="AL41" s="607">
        <f t="shared" si="269"/>
        <v>0</v>
      </c>
      <c r="AM41" s="607">
        <f>SUM(AM38:AM40)</f>
        <v>0</v>
      </c>
      <c r="AN41" s="607">
        <f t="shared" ref="AN41:AX41" si="270">SUM(AN38:AN40)</f>
        <v>0</v>
      </c>
      <c r="AO41" s="607">
        <f t="shared" si="270"/>
        <v>0</v>
      </c>
      <c r="AP41" s="607">
        <f t="shared" si="270"/>
        <v>0</v>
      </c>
      <c r="AQ41" s="607">
        <f t="shared" si="270"/>
        <v>0</v>
      </c>
      <c r="AR41" s="607">
        <f t="shared" si="270"/>
        <v>0</v>
      </c>
      <c r="AS41" s="607">
        <f t="shared" si="270"/>
        <v>0</v>
      </c>
      <c r="AT41" s="607">
        <f t="shared" si="270"/>
        <v>0</v>
      </c>
      <c r="AU41" s="607">
        <f t="shared" si="270"/>
        <v>0</v>
      </c>
      <c r="AV41" s="607">
        <f t="shared" si="270"/>
        <v>0</v>
      </c>
      <c r="AW41" s="607">
        <f t="shared" si="270"/>
        <v>0</v>
      </c>
      <c r="AX41" s="607">
        <f t="shared" si="270"/>
        <v>0</v>
      </c>
      <c r="AY41" s="607">
        <f>SUM(AY38:AY40)</f>
        <v>0</v>
      </c>
      <c r="AZ41" s="607">
        <f t="shared" ref="AZ41:BJ41" si="271">SUM(AZ38:AZ40)</f>
        <v>0</v>
      </c>
      <c r="BA41" s="607">
        <f t="shared" si="271"/>
        <v>0</v>
      </c>
      <c r="BB41" s="607">
        <f t="shared" si="271"/>
        <v>0</v>
      </c>
      <c r="BC41" s="607">
        <f t="shared" si="271"/>
        <v>0</v>
      </c>
      <c r="BD41" s="607">
        <f t="shared" si="271"/>
        <v>0</v>
      </c>
      <c r="BE41" s="607">
        <f t="shared" si="271"/>
        <v>0</v>
      </c>
      <c r="BF41" s="607">
        <f t="shared" si="271"/>
        <v>0</v>
      </c>
      <c r="BG41" s="607">
        <f t="shared" si="271"/>
        <v>0</v>
      </c>
      <c r="BH41" s="607">
        <f t="shared" si="271"/>
        <v>0</v>
      </c>
      <c r="BI41" s="607">
        <f t="shared" si="271"/>
        <v>0</v>
      </c>
      <c r="BJ41" s="607">
        <f t="shared" si="271"/>
        <v>0</v>
      </c>
      <c r="BK41" s="607">
        <f>SUM(BK38:BK40)</f>
        <v>0</v>
      </c>
      <c r="BL41" s="607">
        <f t="shared" ref="BL41:BV41" si="272">SUM(BL38:BL40)</f>
        <v>0</v>
      </c>
      <c r="BM41" s="607">
        <f t="shared" si="272"/>
        <v>0</v>
      </c>
      <c r="BN41" s="607">
        <f t="shared" si="272"/>
        <v>0</v>
      </c>
      <c r="BO41" s="607">
        <f t="shared" si="272"/>
        <v>0</v>
      </c>
      <c r="BP41" s="607">
        <f t="shared" si="272"/>
        <v>0</v>
      </c>
      <c r="BQ41" s="607">
        <f t="shared" si="272"/>
        <v>0</v>
      </c>
      <c r="BR41" s="607">
        <f t="shared" si="272"/>
        <v>0</v>
      </c>
      <c r="BS41" s="607">
        <f t="shared" si="272"/>
        <v>0</v>
      </c>
      <c r="BT41" s="607">
        <f t="shared" si="272"/>
        <v>0</v>
      </c>
      <c r="BU41" s="607">
        <f t="shared" si="272"/>
        <v>0</v>
      </c>
      <c r="BV41" s="607">
        <f t="shared" si="272"/>
        <v>0</v>
      </c>
      <c r="BW41" s="607">
        <f>SUM(BW38:BW40)</f>
        <v>0</v>
      </c>
      <c r="BX41" s="607">
        <f t="shared" ref="BX41:CH41" si="273">SUM(BX38:BX40)</f>
        <v>0</v>
      </c>
      <c r="BY41" s="607">
        <f t="shared" si="273"/>
        <v>0</v>
      </c>
      <c r="BZ41" s="607">
        <f t="shared" si="273"/>
        <v>0</v>
      </c>
      <c r="CA41" s="607">
        <f t="shared" si="273"/>
        <v>0</v>
      </c>
      <c r="CB41" s="607">
        <f t="shared" si="273"/>
        <v>0</v>
      </c>
      <c r="CC41" s="607">
        <f t="shared" si="273"/>
        <v>0</v>
      </c>
      <c r="CD41" s="607">
        <f t="shared" si="273"/>
        <v>0</v>
      </c>
      <c r="CE41" s="607">
        <f t="shared" si="273"/>
        <v>0</v>
      </c>
      <c r="CF41" s="607">
        <f t="shared" si="273"/>
        <v>0</v>
      </c>
      <c r="CG41" s="607">
        <f t="shared" si="273"/>
        <v>0</v>
      </c>
      <c r="CH41" s="607">
        <f t="shared" si="273"/>
        <v>0</v>
      </c>
    </row>
    <row r="42" spans="1:86" ht="13.5" thickTop="1" x14ac:dyDescent="0.2">
      <c r="A42" s="585">
        <v>30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</row>
    <row r="43" spans="1:86" x14ac:dyDescent="0.2">
      <c r="A43" s="585">
        <v>31</v>
      </c>
      <c r="C43" s="498"/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210"/>
      <c r="Z43" s="498"/>
      <c r="AA43" s="608"/>
    </row>
    <row r="44" spans="1:86" x14ac:dyDescent="0.2">
      <c r="A44" s="585">
        <v>32</v>
      </c>
      <c r="B44" s="36" t="s">
        <v>31</v>
      </c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98"/>
      <c r="AA44" s="466"/>
    </row>
    <row r="45" spans="1:86" x14ac:dyDescent="0.2">
      <c r="A45" s="585">
        <v>33</v>
      </c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46"/>
    </row>
    <row r="46" spans="1:86" x14ac:dyDescent="0.2">
      <c r="A46" s="585">
        <v>34</v>
      </c>
      <c r="B46" s="211" t="s">
        <v>599</v>
      </c>
      <c r="C46" s="577"/>
      <c r="D46" s="577"/>
      <c r="E46" s="577"/>
      <c r="F46" s="577"/>
      <c r="G46" s="577"/>
      <c r="H46" s="577"/>
      <c r="I46" s="577"/>
      <c r="J46" s="577"/>
      <c r="K46" s="577"/>
      <c r="L46" s="577"/>
      <c r="M46" s="577"/>
      <c r="N46" s="577"/>
      <c r="O46" s="589">
        <v>0</v>
      </c>
      <c r="P46" s="590">
        <f>O46</f>
        <v>0</v>
      </c>
      <c r="Q46" s="590">
        <f t="shared" ref="Q46:Q48" si="274">P46</f>
        <v>0</v>
      </c>
      <c r="R46" s="590">
        <f t="shared" ref="R46:R48" si="275">Q46</f>
        <v>0</v>
      </c>
      <c r="S46" s="590">
        <f t="shared" ref="S46:S48" si="276">R46</f>
        <v>0</v>
      </c>
      <c r="T46" s="590">
        <f t="shared" ref="T46:T48" si="277">S46</f>
        <v>0</v>
      </c>
      <c r="U46" s="590">
        <f t="shared" ref="U46:U48" si="278">T46</f>
        <v>0</v>
      </c>
      <c r="V46" s="590">
        <f t="shared" ref="V46:V48" si="279">U46</f>
        <v>0</v>
      </c>
      <c r="W46" s="590">
        <f t="shared" ref="W46:W48" si="280">V46</f>
        <v>0</v>
      </c>
      <c r="X46" s="590">
        <f t="shared" ref="X46:X48" si="281">W46</f>
        <v>0</v>
      </c>
      <c r="Y46" s="590">
        <f t="shared" ref="Y46:Y48" si="282">X46</f>
        <v>0</v>
      </c>
      <c r="Z46" s="590">
        <f t="shared" ref="Z46:Z48" si="283">Y46</f>
        <v>0</v>
      </c>
      <c r="AA46" s="590">
        <f t="shared" ref="AA46:AA48" si="284">Z46</f>
        <v>0</v>
      </c>
      <c r="AB46" s="590">
        <f t="shared" ref="AB46:AB48" si="285">AA46</f>
        <v>0</v>
      </c>
      <c r="AC46" s="590">
        <f t="shared" ref="AC46:AC48" si="286">AB46</f>
        <v>0</v>
      </c>
      <c r="AD46" s="590">
        <f t="shared" ref="AD46:AD48" si="287">AC46</f>
        <v>0</v>
      </c>
      <c r="AE46" s="590">
        <f t="shared" ref="AE46:AE48" si="288">AD46</f>
        <v>0</v>
      </c>
      <c r="AF46" s="590">
        <f t="shared" ref="AF46:AF48" si="289">AE46</f>
        <v>0</v>
      </c>
      <c r="AG46" s="590">
        <f t="shared" ref="AG46:AG48" si="290">AF46</f>
        <v>0</v>
      </c>
      <c r="AH46" s="590">
        <f t="shared" ref="AH46:AH48" si="291">AG46</f>
        <v>0</v>
      </c>
      <c r="AI46" s="590">
        <f t="shared" ref="AI46:AI48" si="292">AH46</f>
        <v>0</v>
      </c>
      <c r="AJ46" s="590">
        <f t="shared" ref="AJ46:AJ48" si="293">AI46</f>
        <v>0</v>
      </c>
      <c r="AK46" s="590">
        <f t="shared" ref="AK46:AK48" si="294">AJ46</f>
        <v>0</v>
      </c>
      <c r="AL46" s="590">
        <f t="shared" ref="AL46:AL48" si="295">AK46</f>
        <v>0</v>
      </c>
      <c r="AM46" s="590">
        <f t="shared" ref="AM46:AM48" si="296">AL46</f>
        <v>0</v>
      </c>
      <c r="AN46" s="590">
        <f t="shared" ref="AN46:AN48" si="297">AM46</f>
        <v>0</v>
      </c>
      <c r="AO46" s="590">
        <f t="shared" ref="AO46:AO48" si="298">AN46</f>
        <v>0</v>
      </c>
      <c r="AP46" s="590">
        <f t="shared" ref="AP46:AP48" si="299">AO46</f>
        <v>0</v>
      </c>
      <c r="AQ46" s="590">
        <f t="shared" ref="AQ46:AQ48" si="300">AP46</f>
        <v>0</v>
      </c>
      <c r="AR46" s="590">
        <f t="shared" ref="AR46:AR48" si="301">AQ46</f>
        <v>0</v>
      </c>
      <c r="AS46" s="590">
        <f t="shared" ref="AS46:AS48" si="302">AR46</f>
        <v>0</v>
      </c>
      <c r="AT46" s="590">
        <f t="shared" ref="AT46:AT48" si="303">AS46</f>
        <v>0</v>
      </c>
      <c r="AU46" s="590">
        <f t="shared" ref="AU46:AU48" si="304">AT46</f>
        <v>0</v>
      </c>
      <c r="AV46" s="590">
        <f t="shared" ref="AV46:AV48" si="305">AU46</f>
        <v>0</v>
      </c>
      <c r="AW46" s="590">
        <f t="shared" ref="AW46:AW48" si="306">AV46</f>
        <v>0</v>
      </c>
      <c r="AX46" s="590">
        <f t="shared" ref="AX46:AX48" si="307">AW46</f>
        <v>0</v>
      </c>
      <c r="AY46" s="590">
        <f t="shared" ref="AY46:AY48" si="308">AX46</f>
        <v>0</v>
      </c>
      <c r="AZ46" s="590">
        <f t="shared" ref="AZ46:AZ48" si="309">AY46</f>
        <v>0</v>
      </c>
      <c r="BA46" s="590">
        <f t="shared" ref="BA46:BA48" si="310">AZ46</f>
        <v>0</v>
      </c>
      <c r="BB46" s="590">
        <f t="shared" ref="BB46:BB48" si="311">BA46</f>
        <v>0</v>
      </c>
      <c r="BC46" s="590">
        <f t="shared" ref="BC46:BC48" si="312">BB46</f>
        <v>0</v>
      </c>
      <c r="BD46" s="590">
        <f t="shared" ref="BD46:BD48" si="313">BC46</f>
        <v>0</v>
      </c>
      <c r="BE46" s="590">
        <f t="shared" ref="BE46:BE48" si="314">BD46</f>
        <v>0</v>
      </c>
      <c r="BF46" s="590">
        <f t="shared" ref="BF46:BF48" si="315">BE46</f>
        <v>0</v>
      </c>
      <c r="BG46" s="590">
        <f t="shared" ref="BG46:BG48" si="316">BF46</f>
        <v>0</v>
      </c>
      <c r="BH46" s="590">
        <f t="shared" ref="BH46:BH48" si="317">BG46</f>
        <v>0</v>
      </c>
      <c r="BI46" s="590">
        <f t="shared" ref="BI46:BI48" si="318">BH46</f>
        <v>0</v>
      </c>
      <c r="BJ46" s="590">
        <f t="shared" ref="BJ46:BJ48" si="319">BI46</f>
        <v>0</v>
      </c>
      <c r="BK46" s="590">
        <f t="shared" ref="BK46:BK48" si="320">BJ46</f>
        <v>0</v>
      </c>
      <c r="BL46" s="590">
        <f t="shared" ref="BL46:BL48" si="321">BK46</f>
        <v>0</v>
      </c>
      <c r="BM46" s="590">
        <f t="shared" ref="BM46:BM48" si="322">BL46</f>
        <v>0</v>
      </c>
      <c r="BN46" s="590">
        <f t="shared" ref="BN46:BN48" si="323">BM46</f>
        <v>0</v>
      </c>
      <c r="BO46" s="590">
        <f t="shared" ref="BO46:BO48" si="324">BN46</f>
        <v>0</v>
      </c>
      <c r="BP46" s="590">
        <f t="shared" ref="BP46:BP48" si="325">BO46</f>
        <v>0</v>
      </c>
      <c r="BQ46" s="590">
        <f t="shared" ref="BQ46:BQ48" si="326">BP46</f>
        <v>0</v>
      </c>
      <c r="BR46" s="590">
        <f t="shared" ref="BR46:BR48" si="327">BQ46</f>
        <v>0</v>
      </c>
      <c r="BS46" s="590">
        <f t="shared" ref="BS46:BS48" si="328">BR46</f>
        <v>0</v>
      </c>
      <c r="BT46" s="590">
        <f t="shared" ref="BT46:BT48" si="329">BS46</f>
        <v>0</v>
      </c>
      <c r="BU46" s="590">
        <f t="shared" ref="BU46:BU48" si="330">BT46</f>
        <v>0</v>
      </c>
      <c r="BV46" s="590">
        <f t="shared" ref="BV46:BV48" si="331">BU46</f>
        <v>0</v>
      </c>
      <c r="BW46" s="590">
        <f t="shared" ref="BW46:BW48" si="332">BV46</f>
        <v>0</v>
      </c>
      <c r="BX46" s="590">
        <f t="shared" ref="BX46:BX48" si="333">BW46</f>
        <v>0</v>
      </c>
      <c r="BY46" s="590">
        <f t="shared" ref="BY46:BY48" si="334">BX46</f>
        <v>0</v>
      </c>
      <c r="BZ46" s="590">
        <f t="shared" ref="BZ46:BZ48" si="335">BY46</f>
        <v>0</v>
      </c>
      <c r="CA46" s="590">
        <f t="shared" ref="CA46:CA48" si="336">BZ46</f>
        <v>0</v>
      </c>
      <c r="CB46" s="590">
        <f t="shared" ref="CB46:CB48" si="337">CA46</f>
        <v>0</v>
      </c>
      <c r="CC46" s="590">
        <f t="shared" ref="CC46:CC48" si="338">CB46</f>
        <v>0</v>
      </c>
      <c r="CD46" s="590">
        <f t="shared" ref="CD46:CD48" si="339">CC46</f>
        <v>0</v>
      </c>
      <c r="CE46" s="590">
        <f t="shared" ref="CE46:CE48" si="340">CD46</f>
        <v>0</v>
      </c>
      <c r="CF46" s="590">
        <f t="shared" ref="CF46:CF48" si="341">CE46</f>
        <v>0</v>
      </c>
      <c r="CG46" s="590">
        <f t="shared" ref="CG46:CG48" si="342">CF46</f>
        <v>0</v>
      </c>
      <c r="CH46" s="590">
        <f t="shared" ref="CH46:CH48" si="343">CG46</f>
        <v>0</v>
      </c>
    </row>
    <row r="47" spans="1:86" x14ac:dyDescent="0.2">
      <c r="A47" s="585">
        <v>35</v>
      </c>
      <c r="B47" s="211" t="s">
        <v>600</v>
      </c>
      <c r="C47" s="577"/>
      <c r="D47" s="577"/>
      <c r="E47" s="577"/>
      <c r="F47" s="577"/>
      <c r="G47" s="577"/>
      <c r="H47" s="577"/>
      <c r="I47" s="577"/>
      <c r="J47" s="577"/>
      <c r="K47" s="577"/>
      <c r="L47" s="577"/>
      <c r="M47" s="577"/>
      <c r="N47" s="577"/>
      <c r="O47" s="589">
        <v>0</v>
      </c>
      <c r="P47" s="590">
        <f t="shared" ref="P47:P48" si="344">O47</f>
        <v>0</v>
      </c>
      <c r="Q47" s="590">
        <f t="shared" si="274"/>
        <v>0</v>
      </c>
      <c r="R47" s="590">
        <f t="shared" si="275"/>
        <v>0</v>
      </c>
      <c r="S47" s="590">
        <f t="shared" si="276"/>
        <v>0</v>
      </c>
      <c r="T47" s="590">
        <f t="shared" si="277"/>
        <v>0</v>
      </c>
      <c r="U47" s="590">
        <f t="shared" si="278"/>
        <v>0</v>
      </c>
      <c r="V47" s="590">
        <f t="shared" si="279"/>
        <v>0</v>
      </c>
      <c r="W47" s="590">
        <f t="shared" si="280"/>
        <v>0</v>
      </c>
      <c r="X47" s="590">
        <f t="shared" si="281"/>
        <v>0</v>
      </c>
      <c r="Y47" s="590">
        <f t="shared" si="282"/>
        <v>0</v>
      </c>
      <c r="Z47" s="590">
        <f t="shared" si="283"/>
        <v>0</v>
      </c>
      <c r="AA47" s="590">
        <f t="shared" si="284"/>
        <v>0</v>
      </c>
      <c r="AB47" s="590">
        <f t="shared" si="285"/>
        <v>0</v>
      </c>
      <c r="AC47" s="590">
        <f t="shared" si="286"/>
        <v>0</v>
      </c>
      <c r="AD47" s="590">
        <f t="shared" si="287"/>
        <v>0</v>
      </c>
      <c r="AE47" s="590">
        <f t="shared" si="288"/>
        <v>0</v>
      </c>
      <c r="AF47" s="590">
        <f t="shared" si="289"/>
        <v>0</v>
      </c>
      <c r="AG47" s="590">
        <f t="shared" si="290"/>
        <v>0</v>
      </c>
      <c r="AH47" s="590">
        <f t="shared" si="291"/>
        <v>0</v>
      </c>
      <c r="AI47" s="590">
        <f t="shared" si="292"/>
        <v>0</v>
      </c>
      <c r="AJ47" s="590">
        <f t="shared" si="293"/>
        <v>0</v>
      </c>
      <c r="AK47" s="590">
        <f t="shared" si="294"/>
        <v>0</v>
      </c>
      <c r="AL47" s="590">
        <f t="shared" si="295"/>
        <v>0</v>
      </c>
      <c r="AM47" s="590">
        <f t="shared" si="296"/>
        <v>0</v>
      </c>
      <c r="AN47" s="590">
        <f t="shared" si="297"/>
        <v>0</v>
      </c>
      <c r="AO47" s="590">
        <f t="shared" si="298"/>
        <v>0</v>
      </c>
      <c r="AP47" s="590">
        <f t="shared" si="299"/>
        <v>0</v>
      </c>
      <c r="AQ47" s="590">
        <f t="shared" si="300"/>
        <v>0</v>
      </c>
      <c r="AR47" s="590">
        <f t="shared" si="301"/>
        <v>0</v>
      </c>
      <c r="AS47" s="590">
        <f t="shared" si="302"/>
        <v>0</v>
      </c>
      <c r="AT47" s="590">
        <f t="shared" si="303"/>
        <v>0</v>
      </c>
      <c r="AU47" s="590">
        <f t="shared" si="304"/>
        <v>0</v>
      </c>
      <c r="AV47" s="590">
        <f t="shared" si="305"/>
        <v>0</v>
      </c>
      <c r="AW47" s="590">
        <f t="shared" si="306"/>
        <v>0</v>
      </c>
      <c r="AX47" s="590">
        <f t="shared" si="307"/>
        <v>0</v>
      </c>
      <c r="AY47" s="590">
        <f t="shared" si="308"/>
        <v>0</v>
      </c>
      <c r="AZ47" s="590">
        <f t="shared" si="309"/>
        <v>0</v>
      </c>
      <c r="BA47" s="590">
        <f t="shared" si="310"/>
        <v>0</v>
      </c>
      <c r="BB47" s="590">
        <f t="shared" si="311"/>
        <v>0</v>
      </c>
      <c r="BC47" s="590">
        <f t="shared" si="312"/>
        <v>0</v>
      </c>
      <c r="BD47" s="590">
        <f t="shared" si="313"/>
        <v>0</v>
      </c>
      <c r="BE47" s="590">
        <f t="shared" si="314"/>
        <v>0</v>
      </c>
      <c r="BF47" s="590">
        <f t="shared" si="315"/>
        <v>0</v>
      </c>
      <c r="BG47" s="590">
        <f t="shared" si="316"/>
        <v>0</v>
      </c>
      <c r="BH47" s="590">
        <f t="shared" si="317"/>
        <v>0</v>
      </c>
      <c r="BI47" s="590">
        <f t="shared" si="318"/>
        <v>0</v>
      </c>
      <c r="BJ47" s="590">
        <f t="shared" si="319"/>
        <v>0</v>
      </c>
      <c r="BK47" s="590">
        <f t="shared" si="320"/>
        <v>0</v>
      </c>
      <c r="BL47" s="590">
        <f t="shared" si="321"/>
        <v>0</v>
      </c>
      <c r="BM47" s="590">
        <f t="shared" si="322"/>
        <v>0</v>
      </c>
      <c r="BN47" s="590">
        <f t="shared" si="323"/>
        <v>0</v>
      </c>
      <c r="BO47" s="590">
        <f t="shared" si="324"/>
        <v>0</v>
      </c>
      <c r="BP47" s="590">
        <f t="shared" si="325"/>
        <v>0</v>
      </c>
      <c r="BQ47" s="590">
        <f t="shared" si="326"/>
        <v>0</v>
      </c>
      <c r="BR47" s="590">
        <f t="shared" si="327"/>
        <v>0</v>
      </c>
      <c r="BS47" s="590">
        <f t="shared" si="328"/>
        <v>0</v>
      </c>
      <c r="BT47" s="590">
        <f t="shared" si="329"/>
        <v>0</v>
      </c>
      <c r="BU47" s="590">
        <f t="shared" si="330"/>
        <v>0</v>
      </c>
      <c r="BV47" s="590">
        <f t="shared" si="331"/>
        <v>0</v>
      </c>
      <c r="BW47" s="590">
        <f t="shared" si="332"/>
        <v>0</v>
      </c>
      <c r="BX47" s="590">
        <f t="shared" si="333"/>
        <v>0</v>
      </c>
      <c r="BY47" s="590">
        <f t="shared" si="334"/>
        <v>0</v>
      </c>
      <c r="BZ47" s="590">
        <f t="shared" si="335"/>
        <v>0</v>
      </c>
      <c r="CA47" s="590">
        <f t="shared" si="336"/>
        <v>0</v>
      </c>
      <c r="CB47" s="590">
        <f t="shared" si="337"/>
        <v>0</v>
      </c>
      <c r="CC47" s="590">
        <f t="shared" si="338"/>
        <v>0</v>
      </c>
      <c r="CD47" s="590">
        <f t="shared" si="339"/>
        <v>0</v>
      </c>
      <c r="CE47" s="590">
        <f t="shared" si="340"/>
        <v>0</v>
      </c>
      <c r="CF47" s="590">
        <f t="shared" si="341"/>
        <v>0</v>
      </c>
      <c r="CG47" s="590">
        <f t="shared" si="342"/>
        <v>0</v>
      </c>
      <c r="CH47" s="590">
        <f t="shared" si="343"/>
        <v>0</v>
      </c>
    </row>
    <row r="48" spans="1:86" x14ac:dyDescent="0.2">
      <c r="A48" s="585">
        <v>36</v>
      </c>
      <c r="B48" s="211" t="s">
        <v>601</v>
      </c>
      <c r="C48" s="577"/>
      <c r="D48" s="577"/>
      <c r="E48" s="577"/>
      <c r="F48" s="577"/>
      <c r="G48" s="577"/>
      <c r="H48" s="577"/>
      <c r="I48" s="577"/>
      <c r="J48" s="577"/>
      <c r="K48" s="577"/>
      <c r="L48" s="577"/>
      <c r="M48" s="577"/>
      <c r="N48" s="577"/>
      <c r="O48" s="589">
        <v>0</v>
      </c>
      <c r="P48" s="590">
        <f t="shared" si="344"/>
        <v>0</v>
      </c>
      <c r="Q48" s="590">
        <f t="shared" si="274"/>
        <v>0</v>
      </c>
      <c r="R48" s="590">
        <f t="shared" si="275"/>
        <v>0</v>
      </c>
      <c r="S48" s="590">
        <f t="shared" si="276"/>
        <v>0</v>
      </c>
      <c r="T48" s="590">
        <f t="shared" si="277"/>
        <v>0</v>
      </c>
      <c r="U48" s="590">
        <f t="shared" si="278"/>
        <v>0</v>
      </c>
      <c r="V48" s="590">
        <f t="shared" si="279"/>
        <v>0</v>
      </c>
      <c r="W48" s="590">
        <f t="shared" si="280"/>
        <v>0</v>
      </c>
      <c r="X48" s="590">
        <f t="shared" si="281"/>
        <v>0</v>
      </c>
      <c r="Y48" s="590">
        <f t="shared" si="282"/>
        <v>0</v>
      </c>
      <c r="Z48" s="590">
        <f t="shared" si="283"/>
        <v>0</v>
      </c>
      <c r="AA48" s="590">
        <f t="shared" si="284"/>
        <v>0</v>
      </c>
      <c r="AB48" s="590">
        <f t="shared" si="285"/>
        <v>0</v>
      </c>
      <c r="AC48" s="590">
        <f t="shared" si="286"/>
        <v>0</v>
      </c>
      <c r="AD48" s="590">
        <f t="shared" si="287"/>
        <v>0</v>
      </c>
      <c r="AE48" s="590">
        <f t="shared" si="288"/>
        <v>0</v>
      </c>
      <c r="AF48" s="590">
        <f t="shared" si="289"/>
        <v>0</v>
      </c>
      <c r="AG48" s="590">
        <f t="shared" si="290"/>
        <v>0</v>
      </c>
      <c r="AH48" s="590">
        <f t="shared" si="291"/>
        <v>0</v>
      </c>
      <c r="AI48" s="590">
        <f t="shared" si="292"/>
        <v>0</v>
      </c>
      <c r="AJ48" s="590">
        <f t="shared" si="293"/>
        <v>0</v>
      </c>
      <c r="AK48" s="590">
        <f t="shared" si="294"/>
        <v>0</v>
      </c>
      <c r="AL48" s="590">
        <f t="shared" si="295"/>
        <v>0</v>
      </c>
      <c r="AM48" s="590">
        <f t="shared" si="296"/>
        <v>0</v>
      </c>
      <c r="AN48" s="590">
        <f t="shared" si="297"/>
        <v>0</v>
      </c>
      <c r="AO48" s="590">
        <f t="shared" si="298"/>
        <v>0</v>
      </c>
      <c r="AP48" s="590">
        <f t="shared" si="299"/>
        <v>0</v>
      </c>
      <c r="AQ48" s="590">
        <f t="shared" si="300"/>
        <v>0</v>
      </c>
      <c r="AR48" s="590">
        <f t="shared" si="301"/>
        <v>0</v>
      </c>
      <c r="AS48" s="590">
        <f t="shared" si="302"/>
        <v>0</v>
      </c>
      <c r="AT48" s="590">
        <f t="shared" si="303"/>
        <v>0</v>
      </c>
      <c r="AU48" s="590">
        <f t="shared" si="304"/>
        <v>0</v>
      </c>
      <c r="AV48" s="590">
        <f t="shared" si="305"/>
        <v>0</v>
      </c>
      <c r="AW48" s="590">
        <f t="shared" si="306"/>
        <v>0</v>
      </c>
      <c r="AX48" s="590">
        <f t="shared" si="307"/>
        <v>0</v>
      </c>
      <c r="AY48" s="590">
        <f t="shared" si="308"/>
        <v>0</v>
      </c>
      <c r="AZ48" s="590">
        <f t="shared" si="309"/>
        <v>0</v>
      </c>
      <c r="BA48" s="590">
        <f t="shared" si="310"/>
        <v>0</v>
      </c>
      <c r="BB48" s="590">
        <f t="shared" si="311"/>
        <v>0</v>
      </c>
      <c r="BC48" s="590">
        <f t="shared" si="312"/>
        <v>0</v>
      </c>
      <c r="BD48" s="590">
        <f t="shared" si="313"/>
        <v>0</v>
      </c>
      <c r="BE48" s="590">
        <f t="shared" si="314"/>
        <v>0</v>
      </c>
      <c r="BF48" s="590">
        <f t="shared" si="315"/>
        <v>0</v>
      </c>
      <c r="BG48" s="590">
        <f t="shared" si="316"/>
        <v>0</v>
      </c>
      <c r="BH48" s="590">
        <f t="shared" si="317"/>
        <v>0</v>
      </c>
      <c r="BI48" s="590">
        <f t="shared" si="318"/>
        <v>0</v>
      </c>
      <c r="BJ48" s="590">
        <f t="shared" si="319"/>
        <v>0</v>
      </c>
      <c r="BK48" s="590">
        <f t="shared" si="320"/>
        <v>0</v>
      </c>
      <c r="BL48" s="590">
        <f t="shared" si="321"/>
        <v>0</v>
      </c>
      <c r="BM48" s="590">
        <f t="shared" si="322"/>
        <v>0</v>
      </c>
      <c r="BN48" s="590">
        <f t="shared" si="323"/>
        <v>0</v>
      </c>
      <c r="BO48" s="590">
        <f t="shared" si="324"/>
        <v>0</v>
      </c>
      <c r="BP48" s="590">
        <f t="shared" si="325"/>
        <v>0</v>
      </c>
      <c r="BQ48" s="590">
        <f t="shared" si="326"/>
        <v>0</v>
      </c>
      <c r="BR48" s="590">
        <f t="shared" si="327"/>
        <v>0</v>
      </c>
      <c r="BS48" s="590">
        <f t="shared" si="328"/>
        <v>0</v>
      </c>
      <c r="BT48" s="590">
        <f t="shared" si="329"/>
        <v>0</v>
      </c>
      <c r="BU48" s="590">
        <f t="shared" si="330"/>
        <v>0</v>
      </c>
      <c r="BV48" s="590">
        <f t="shared" si="331"/>
        <v>0</v>
      </c>
      <c r="BW48" s="590">
        <f t="shared" si="332"/>
        <v>0</v>
      </c>
      <c r="BX48" s="590">
        <f t="shared" si="333"/>
        <v>0</v>
      </c>
      <c r="BY48" s="590">
        <f t="shared" si="334"/>
        <v>0</v>
      </c>
      <c r="BZ48" s="590">
        <f t="shared" si="335"/>
        <v>0</v>
      </c>
      <c r="CA48" s="590">
        <f t="shared" si="336"/>
        <v>0</v>
      </c>
      <c r="CB48" s="590">
        <f t="shared" si="337"/>
        <v>0</v>
      </c>
      <c r="CC48" s="590">
        <f t="shared" si="338"/>
        <v>0</v>
      </c>
      <c r="CD48" s="590">
        <f t="shared" si="339"/>
        <v>0</v>
      </c>
      <c r="CE48" s="590">
        <f t="shared" si="340"/>
        <v>0</v>
      </c>
      <c r="CF48" s="590">
        <f t="shared" si="341"/>
        <v>0</v>
      </c>
      <c r="CG48" s="590">
        <f t="shared" si="342"/>
        <v>0</v>
      </c>
      <c r="CH48" s="590">
        <f t="shared" si="343"/>
        <v>0</v>
      </c>
    </row>
    <row r="49" spans="1:86" x14ac:dyDescent="0.2">
      <c r="A49" s="585">
        <v>37</v>
      </c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</row>
    <row r="50" spans="1:86" x14ac:dyDescent="0.2">
      <c r="A50" s="585">
        <v>38</v>
      </c>
      <c r="B50" s="211" t="s">
        <v>595</v>
      </c>
      <c r="C50" s="45">
        <f t="shared" ref="C50:BN50" si="345">C55*C57</f>
        <v>158332.22715851973</v>
      </c>
      <c r="D50" s="45">
        <f t="shared" si="345"/>
        <v>159494.79344110988</v>
      </c>
      <c r="E50" s="45">
        <f t="shared" si="345"/>
        <v>156918.54655889008</v>
      </c>
      <c r="F50" s="45">
        <f t="shared" si="345"/>
        <v>156044.29671438228</v>
      </c>
      <c r="G50" s="45">
        <f t="shared" si="345"/>
        <v>159969.12048440668</v>
      </c>
      <c r="H50" s="45">
        <f t="shared" si="345"/>
        <v>163084.79812174832</v>
      </c>
      <c r="I50" s="45">
        <f t="shared" si="345"/>
        <v>166237.67788013283</v>
      </c>
      <c r="J50" s="45">
        <f t="shared" si="345"/>
        <v>166386.48636430438</v>
      </c>
      <c r="K50" s="45">
        <f t="shared" si="345"/>
        <v>166832.91181681902</v>
      </c>
      <c r="L50" s="45">
        <f t="shared" si="345"/>
        <v>163391.71562035213</v>
      </c>
      <c r="M50" s="45">
        <f t="shared" si="345"/>
        <v>165726.14871579318</v>
      </c>
      <c r="N50" s="45">
        <f t="shared" si="345"/>
        <v>161308.39684195054</v>
      </c>
      <c r="O50" s="45">
        <f t="shared" si="345"/>
        <v>158332.22715851973</v>
      </c>
      <c r="P50" s="45">
        <f t="shared" si="345"/>
        <v>159494.79344110988</v>
      </c>
      <c r="Q50" s="45">
        <f>Q55*Q57</f>
        <v>156918.54655889008</v>
      </c>
      <c r="R50" s="45">
        <f t="shared" si="345"/>
        <v>156044.29671438228</v>
      </c>
      <c r="S50" s="45">
        <f t="shared" si="345"/>
        <v>159969.12048440668</v>
      </c>
      <c r="T50" s="45">
        <f t="shared" si="345"/>
        <v>163084.79812174832</v>
      </c>
      <c r="U50" s="45">
        <f t="shared" si="345"/>
        <v>166237.67788013283</v>
      </c>
      <c r="V50" s="45">
        <f t="shared" si="345"/>
        <v>166386.48636430438</v>
      </c>
      <c r="W50" s="45">
        <f t="shared" si="345"/>
        <v>166832.91181681902</v>
      </c>
      <c r="X50" s="45">
        <f t="shared" si="345"/>
        <v>163391.71562035213</v>
      </c>
      <c r="Y50" s="45">
        <f t="shared" si="345"/>
        <v>165726.14871579318</v>
      </c>
      <c r="Z50" s="45">
        <f t="shared" si="345"/>
        <v>161308.39684195054</v>
      </c>
      <c r="AA50" s="45">
        <f t="shared" si="345"/>
        <v>158332.22715851973</v>
      </c>
      <c r="AB50" s="45">
        <f t="shared" si="345"/>
        <v>159494.79344110988</v>
      </c>
      <c r="AC50" s="45">
        <f t="shared" si="345"/>
        <v>156918.54655889008</v>
      </c>
      <c r="AD50" s="45">
        <f t="shared" si="345"/>
        <v>156044.29671438228</v>
      </c>
      <c r="AE50" s="45">
        <f t="shared" si="345"/>
        <v>159969.12048440668</v>
      </c>
      <c r="AF50" s="45">
        <f t="shared" si="345"/>
        <v>163084.79812174832</v>
      </c>
      <c r="AG50" s="45">
        <f t="shared" si="345"/>
        <v>166237.67788013283</v>
      </c>
      <c r="AH50" s="45">
        <f t="shared" si="345"/>
        <v>166386.48636430438</v>
      </c>
      <c r="AI50" s="45">
        <f t="shared" si="345"/>
        <v>166832.91181681902</v>
      </c>
      <c r="AJ50" s="45">
        <f t="shared" si="345"/>
        <v>163391.71562035213</v>
      </c>
      <c r="AK50" s="45">
        <f t="shared" si="345"/>
        <v>165726.14871579318</v>
      </c>
      <c r="AL50" s="45">
        <f t="shared" si="345"/>
        <v>161308.39684195054</v>
      </c>
      <c r="AM50" s="45">
        <f t="shared" si="345"/>
        <v>158332.22715851973</v>
      </c>
      <c r="AN50" s="45">
        <f t="shared" si="345"/>
        <v>159494.79344110988</v>
      </c>
      <c r="AO50" s="45">
        <f t="shared" si="345"/>
        <v>156918.54655889008</v>
      </c>
      <c r="AP50" s="45">
        <f t="shared" si="345"/>
        <v>156044.29671438228</v>
      </c>
      <c r="AQ50" s="45">
        <f t="shared" si="345"/>
        <v>159969.12048440668</v>
      </c>
      <c r="AR50" s="45">
        <f t="shared" si="345"/>
        <v>163084.79812174832</v>
      </c>
      <c r="AS50" s="45">
        <f t="shared" si="345"/>
        <v>166237.67788013283</v>
      </c>
      <c r="AT50" s="45">
        <f t="shared" si="345"/>
        <v>166386.48636430438</v>
      </c>
      <c r="AU50" s="45">
        <f t="shared" si="345"/>
        <v>166832.91181681902</v>
      </c>
      <c r="AV50" s="45">
        <f t="shared" si="345"/>
        <v>163391.71562035213</v>
      </c>
      <c r="AW50" s="45">
        <f t="shared" si="345"/>
        <v>165726.14871579318</v>
      </c>
      <c r="AX50" s="45">
        <f t="shared" si="345"/>
        <v>161308.39684195054</v>
      </c>
      <c r="AY50" s="45">
        <f t="shared" si="345"/>
        <v>158332.22715851973</v>
      </c>
      <c r="AZ50" s="45">
        <f t="shared" si="345"/>
        <v>159494.79344110988</v>
      </c>
      <c r="BA50" s="45">
        <f t="shared" si="345"/>
        <v>156918.54655889008</v>
      </c>
      <c r="BB50" s="45">
        <f t="shared" si="345"/>
        <v>156044.29671438228</v>
      </c>
      <c r="BC50" s="45">
        <f t="shared" si="345"/>
        <v>159969.12048440668</v>
      </c>
      <c r="BD50" s="45">
        <f t="shared" si="345"/>
        <v>163084.79812174832</v>
      </c>
      <c r="BE50" s="45">
        <f t="shared" si="345"/>
        <v>166237.67788013283</v>
      </c>
      <c r="BF50" s="45">
        <f t="shared" si="345"/>
        <v>166386.48636430438</v>
      </c>
      <c r="BG50" s="45">
        <f t="shared" si="345"/>
        <v>166832.91181681902</v>
      </c>
      <c r="BH50" s="45">
        <f t="shared" si="345"/>
        <v>163391.71562035213</v>
      </c>
      <c r="BI50" s="45">
        <f t="shared" si="345"/>
        <v>165726.14871579318</v>
      </c>
      <c r="BJ50" s="45">
        <f t="shared" si="345"/>
        <v>161308.39684195054</v>
      </c>
      <c r="BK50" s="45">
        <f t="shared" si="345"/>
        <v>158332.22715851973</v>
      </c>
      <c r="BL50" s="45">
        <f t="shared" si="345"/>
        <v>159494.79344110988</v>
      </c>
      <c r="BM50" s="45">
        <f t="shared" si="345"/>
        <v>156918.54655889008</v>
      </c>
      <c r="BN50" s="45">
        <f t="shared" si="345"/>
        <v>156044.29671438228</v>
      </c>
      <c r="BO50" s="45">
        <f t="shared" ref="BO50:CH50" si="346">BO55*BO57</f>
        <v>159969.12048440668</v>
      </c>
      <c r="BP50" s="45">
        <f t="shared" si="346"/>
        <v>163084.79812174832</v>
      </c>
      <c r="BQ50" s="45">
        <f t="shared" si="346"/>
        <v>166237.67788013283</v>
      </c>
      <c r="BR50" s="45">
        <f t="shared" si="346"/>
        <v>166386.48636430438</v>
      </c>
      <c r="BS50" s="45">
        <f t="shared" si="346"/>
        <v>166832.91181681902</v>
      </c>
      <c r="BT50" s="45">
        <f t="shared" si="346"/>
        <v>163391.71562035213</v>
      </c>
      <c r="BU50" s="45">
        <f t="shared" si="346"/>
        <v>165726.14871579318</v>
      </c>
      <c r="BV50" s="45">
        <f t="shared" si="346"/>
        <v>161308.39684195054</v>
      </c>
      <c r="BW50" s="45">
        <f t="shared" si="346"/>
        <v>158332.22715851973</v>
      </c>
      <c r="BX50" s="45">
        <f t="shared" si="346"/>
        <v>159494.79344110988</v>
      </c>
      <c r="BY50" s="45">
        <f t="shared" si="346"/>
        <v>156918.54655889008</v>
      </c>
      <c r="BZ50" s="45">
        <f t="shared" si="346"/>
        <v>156044.29671438228</v>
      </c>
      <c r="CA50" s="45">
        <f t="shared" si="346"/>
        <v>159969.12048440668</v>
      </c>
      <c r="CB50" s="45">
        <f t="shared" si="346"/>
        <v>163084.79812174832</v>
      </c>
      <c r="CC50" s="45">
        <f t="shared" si="346"/>
        <v>166237.67788013283</v>
      </c>
      <c r="CD50" s="45">
        <f t="shared" si="346"/>
        <v>166386.48636430438</v>
      </c>
      <c r="CE50" s="45">
        <f t="shared" si="346"/>
        <v>166832.91181681902</v>
      </c>
      <c r="CF50" s="45">
        <f t="shared" si="346"/>
        <v>163391.71562035213</v>
      </c>
      <c r="CG50" s="45">
        <f t="shared" si="346"/>
        <v>165726.14871579318</v>
      </c>
      <c r="CH50" s="45">
        <f t="shared" si="346"/>
        <v>161308.39684195054</v>
      </c>
    </row>
    <row r="51" spans="1:86" x14ac:dyDescent="0.2">
      <c r="A51" s="585">
        <v>39</v>
      </c>
      <c r="B51" s="211" t="s">
        <v>596</v>
      </c>
      <c r="C51" s="45">
        <f t="shared" ref="C51:N51" si="347">C59-C50</f>
        <v>6203.9728414802812</v>
      </c>
      <c r="D51" s="45">
        <f t="shared" si="347"/>
        <v>-20365.753441109875</v>
      </c>
      <c r="E51" s="45">
        <f t="shared" si="347"/>
        <v>20365.753441109904</v>
      </c>
      <c r="F51" s="45">
        <f t="shared" si="347"/>
        <v>55531.643285617727</v>
      </c>
      <c r="G51" s="45">
        <f t="shared" si="347"/>
        <v>42322.459515593306</v>
      </c>
      <c r="H51" s="45">
        <f t="shared" si="347"/>
        <v>438620.87187825172</v>
      </c>
      <c r="I51" s="45">
        <f t="shared" si="347"/>
        <v>720974.92211986717</v>
      </c>
      <c r="J51" s="45">
        <f t="shared" si="347"/>
        <v>481620.89363569563</v>
      </c>
      <c r="K51" s="45">
        <f t="shared" si="347"/>
        <v>319384.70818318101</v>
      </c>
      <c r="L51" s="45">
        <f t="shared" si="347"/>
        <v>188757.88437964785</v>
      </c>
      <c r="M51" s="45">
        <f t="shared" si="347"/>
        <v>34805.391284206824</v>
      </c>
      <c r="N51" s="45">
        <f t="shared" si="347"/>
        <v>-8246.5268419505446</v>
      </c>
      <c r="O51" s="46">
        <f>O53*O57*O$14</f>
        <v>0</v>
      </c>
      <c r="P51" s="46">
        <f t="shared" ref="P51:Z51" si="348">P53*P57*P$14</f>
        <v>0</v>
      </c>
      <c r="Q51" s="46">
        <f t="shared" si="348"/>
        <v>1415.5867934379833</v>
      </c>
      <c r="R51" s="46">
        <f t="shared" si="348"/>
        <v>62642.652163552659</v>
      </c>
      <c r="S51" s="46">
        <f t="shared" si="348"/>
        <v>258316.0632786192</v>
      </c>
      <c r="T51" s="46">
        <f t="shared" si="348"/>
        <v>489178.49369522877</v>
      </c>
      <c r="U51" s="46">
        <f t="shared" si="348"/>
        <v>638853.51442377188</v>
      </c>
      <c r="V51" s="46">
        <f t="shared" si="348"/>
        <v>667193.86071788496</v>
      </c>
      <c r="W51" s="46">
        <f t="shared" si="348"/>
        <v>456775.34114862379</v>
      </c>
      <c r="X51" s="46">
        <f t="shared" si="348"/>
        <v>260894.86103129285</v>
      </c>
      <c r="Y51" s="46">
        <f t="shared" si="348"/>
        <v>90450.013920840516</v>
      </c>
      <c r="Z51" s="46">
        <f t="shared" si="348"/>
        <v>16007.071526746809</v>
      </c>
      <c r="AA51" s="46">
        <f>AA53*AA57*AA$14</f>
        <v>0</v>
      </c>
      <c r="AB51" s="46">
        <f t="shared" ref="AB51:AL51" si="349">AB53*AB57*AB$14</f>
        <v>0</v>
      </c>
      <c r="AC51" s="46">
        <f t="shared" si="349"/>
        <v>1415.5867934379833</v>
      </c>
      <c r="AD51" s="46">
        <f t="shared" si="349"/>
        <v>62642.652163552659</v>
      </c>
      <c r="AE51" s="46">
        <f t="shared" si="349"/>
        <v>258316.0632786192</v>
      </c>
      <c r="AF51" s="46">
        <f t="shared" si="349"/>
        <v>489178.49369522877</v>
      </c>
      <c r="AG51" s="46">
        <f t="shared" si="349"/>
        <v>638853.51442377188</v>
      </c>
      <c r="AH51" s="46">
        <f t="shared" si="349"/>
        <v>667193.86071788496</v>
      </c>
      <c r="AI51" s="46">
        <f t="shared" si="349"/>
        <v>456775.34114862379</v>
      </c>
      <c r="AJ51" s="46">
        <f t="shared" si="349"/>
        <v>260894.86103129285</v>
      </c>
      <c r="AK51" s="46">
        <f t="shared" si="349"/>
        <v>90450.013920840516</v>
      </c>
      <c r="AL51" s="46">
        <f t="shared" si="349"/>
        <v>16007.071526746809</v>
      </c>
      <c r="AM51" s="46">
        <f>AM53*AM57*AM$14</f>
        <v>0</v>
      </c>
      <c r="AN51" s="46">
        <f t="shared" ref="AN51:AX51" si="350">AN53*AN57*AN$14</f>
        <v>0</v>
      </c>
      <c r="AO51" s="46">
        <f t="shared" si="350"/>
        <v>1415.5867934379833</v>
      </c>
      <c r="AP51" s="46">
        <f t="shared" si="350"/>
        <v>62642.652163552659</v>
      </c>
      <c r="AQ51" s="46">
        <f t="shared" si="350"/>
        <v>258316.0632786192</v>
      </c>
      <c r="AR51" s="46">
        <f t="shared" si="350"/>
        <v>489178.49369522877</v>
      </c>
      <c r="AS51" s="46">
        <f t="shared" si="350"/>
        <v>638853.51442377188</v>
      </c>
      <c r="AT51" s="46">
        <f t="shared" si="350"/>
        <v>667193.86071788496</v>
      </c>
      <c r="AU51" s="46">
        <f t="shared" si="350"/>
        <v>456775.34114862379</v>
      </c>
      <c r="AV51" s="46">
        <f t="shared" si="350"/>
        <v>260894.86103129285</v>
      </c>
      <c r="AW51" s="46">
        <f t="shared" si="350"/>
        <v>90450.013920840516</v>
      </c>
      <c r="AX51" s="46">
        <f t="shared" si="350"/>
        <v>16007.071526746809</v>
      </c>
      <c r="AY51" s="46">
        <f>AY53*AY57*AY$14</f>
        <v>0</v>
      </c>
      <c r="AZ51" s="46">
        <f t="shared" ref="AZ51:BJ51" si="351">AZ53*AZ57*AZ$14</f>
        <v>0</v>
      </c>
      <c r="BA51" s="46">
        <f t="shared" si="351"/>
        <v>1415.5867934379833</v>
      </c>
      <c r="BB51" s="46">
        <f t="shared" si="351"/>
        <v>62642.652163552659</v>
      </c>
      <c r="BC51" s="46">
        <f t="shared" si="351"/>
        <v>258316.0632786192</v>
      </c>
      <c r="BD51" s="46">
        <f t="shared" si="351"/>
        <v>489178.49369522877</v>
      </c>
      <c r="BE51" s="46">
        <f t="shared" si="351"/>
        <v>638853.51442377188</v>
      </c>
      <c r="BF51" s="46">
        <f t="shared" si="351"/>
        <v>667193.86071788496</v>
      </c>
      <c r="BG51" s="46">
        <f t="shared" si="351"/>
        <v>456775.34114862379</v>
      </c>
      <c r="BH51" s="46">
        <f t="shared" si="351"/>
        <v>260894.86103129285</v>
      </c>
      <c r="BI51" s="46">
        <f t="shared" si="351"/>
        <v>90450.013920840516</v>
      </c>
      <c r="BJ51" s="46">
        <f t="shared" si="351"/>
        <v>16007.071526746809</v>
      </c>
      <c r="BK51" s="46">
        <f>BK53*BK57*BK$14</f>
        <v>0</v>
      </c>
      <c r="BL51" s="46">
        <f t="shared" ref="BL51:BV51" si="352">BL53*BL57*BL$14</f>
        <v>0</v>
      </c>
      <c r="BM51" s="46">
        <f t="shared" si="352"/>
        <v>1415.5867934379833</v>
      </c>
      <c r="BN51" s="46">
        <f t="shared" si="352"/>
        <v>62642.652163552659</v>
      </c>
      <c r="BO51" s="46">
        <f t="shared" si="352"/>
        <v>258316.0632786192</v>
      </c>
      <c r="BP51" s="46">
        <f t="shared" si="352"/>
        <v>489178.49369522877</v>
      </c>
      <c r="BQ51" s="46">
        <f t="shared" si="352"/>
        <v>638853.51442377188</v>
      </c>
      <c r="BR51" s="46">
        <f t="shared" si="352"/>
        <v>667193.86071788496</v>
      </c>
      <c r="BS51" s="46">
        <f t="shared" si="352"/>
        <v>456775.34114862379</v>
      </c>
      <c r="BT51" s="46">
        <f t="shared" si="352"/>
        <v>260894.86103129285</v>
      </c>
      <c r="BU51" s="46">
        <f t="shared" si="352"/>
        <v>90450.013920840516</v>
      </c>
      <c r="BV51" s="46">
        <f t="shared" si="352"/>
        <v>16007.071526746809</v>
      </c>
      <c r="BW51" s="46">
        <f>BW53*BW57*BW$14</f>
        <v>0</v>
      </c>
      <c r="BX51" s="46">
        <f t="shared" ref="BX51:CH51" si="353">BX53*BX57*BX$14</f>
        <v>0</v>
      </c>
      <c r="BY51" s="46">
        <f t="shared" si="353"/>
        <v>1415.5867934379833</v>
      </c>
      <c r="BZ51" s="46">
        <f t="shared" si="353"/>
        <v>62642.652163552659</v>
      </c>
      <c r="CA51" s="46">
        <f t="shared" si="353"/>
        <v>258316.0632786192</v>
      </c>
      <c r="CB51" s="46">
        <f t="shared" si="353"/>
        <v>489178.49369522877</v>
      </c>
      <c r="CC51" s="46">
        <f t="shared" si="353"/>
        <v>638853.51442377188</v>
      </c>
      <c r="CD51" s="46">
        <f t="shared" si="353"/>
        <v>667193.86071788496</v>
      </c>
      <c r="CE51" s="46">
        <f t="shared" si="353"/>
        <v>456775.34114862379</v>
      </c>
      <c r="CF51" s="46">
        <f t="shared" si="353"/>
        <v>260894.86103129285</v>
      </c>
      <c r="CG51" s="46">
        <f t="shared" si="353"/>
        <v>90450.013920840516</v>
      </c>
      <c r="CH51" s="46">
        <f t="shared" si="353"/>
        <v>16007.071526746809</v>
      </c>
    </row>
    <row r="52" spans="1:86" x14ac:dyDescent="0.2">
      <c r="A52" s="585">
        <v>40</v>
      </c>
      <c r="B52" s="211" t="s">
        <v>597</v>
      </c>
      <c r="C52" s="591">
        <f t="shared" ref="C52:N52" si="354">C51/C57</f>
        <v>0.36442509642153909</v>
      </c>
      <c r="D52" s="591">
        <f t="shared" si="354"/>
        <v>-1.1875767357344378</v>
      </c>
      <c r="E52" s="591">
        <f t="shared" si="354"/>
        <v>1.2070740541198379</v>
      </c>
      <c r="F52" s="591">
        <f t="shared" si="354"/>
        <v>3.30978920524602</v>
      </c>
      <c r="G52" s="591">
        <f t="shared" si="354"/>
        <v>2.460608111371704</v>
      </c>
      <c r="H52" s="591">
        <f t="shared" si="354"/>
        <v>25.014021778058268</v>
      </c>
      <c r="I52" s="591">
        <f t="shared" si="354"/>
        <v>40.33651796575289</v>
      </c>
      <c r="J52" s="591">
        <f t="shared" si="354"/>
        <v>26.921234971251852</v>
      </c>
      <c r="K52" s="591">
        <f t="shared" si="354"/>
        <v>17.804922967063273</v>
      </c>
      <c r="L52" s="591">
        <f t="shared" si="354"/>
        <v>10.744415094469936</v>
      </c>
      <c r="M52" s="591">
        <f t="shared" si="354"/>
        <v>1.9532741054047267</v>
      </c>
      <c r="N52" s="591">
        <f t="shared" si="354"/>
        <v>-0.47546856791689024</v>
      </c>
      <c r="O52" s="592">
        <f>O51/O57</f>
        <v>0</v>
      </c>
      <c r="P52" s="592">
        <f t="shared" ref="P52:Z52" si="355">P51/P57</f>
        <v>0</v>
      </c>
      <c r="Q52" s="592">
        <f t="shared" si="355"/>
        <v>8.3901540625769516E-2</v>
      </c>
      <c r="R52" s="592">
        <f t="shared" si="355"/>
        <v>3.7336185578467433</v>
      </c>
      <c r="S52" s="592">
        <f t="shared" si="355"/>
        <v>15.018375772012744</v>
      </c>
      <c r="T52" s="592">
        <f t="shared" si="355"/>
        <v>27.897262258068363</v>
      </c>
      <c r="U52" s="592">
        <f t="shared" si="355"/>
        <v>35.742056306577815</v>
      </c>
      <c r="V52" s="592">
        <f t="shared" si="355"/>
        <v>37.294234808154556</v>
      </c>
      <c r="W52" s="592">
        <f t="shared" si="355"/>
        <v>25.464117579921048</v>
      </c>
      <c r="X52" s="592">
        <f t="shared" si="355"/>
        <v>14.850572690761204</v>
      </c>
      <c r="Y52" s="592">
        <f t="shared" si="355"/>
        <v>5.0760432078590556</v>
      </c>
      <c r="Z52" s="592">
        <f t="shared" si="355"/>
        <v>0.9229169468834646</v>
      </c>
      <c r="AA52" s="592">
        <f>AA51/AA57</f>
        <v>0</v>
      </c>
      <c r="AB52" s="592">
        <f t="shared" ref="AB52:AL52" si="356">AB51/AB57</f>
        <v>0</v>
      </c>
      <c r="AC52" s="592">
        <f t="shared" si="356"/>
        <v>8.3901540625769516E-2</v>
      </c>
      <c r="AD52" s="592">
        <f t="shared" si="356"/>
        <v>3.7336185578467433</v>
      </c>
      <c r="AE52" s="592">
        <f t="shared" si="356"/>
        <v>15.018375772012744</v>
      </c>
      <c r="AF52" s="592">
        <f t="shared" si="356"/>
        <v>27.897262258068363</v>
      </c>
      <c r="AG52" s="592">
        <f t="shared" si="356"/>
        <v>35.742056306577815</v>
      </c>
      <c r="AH52" s="592">
        <f t="shared" si="356"/>
        <v>37.294234808154556</v>
      </c>
      <c r="AI52" s="592">
        <f t="shared" si="356"/>
        <v>25.464117579921048</v>
      </c>
      <c r="AJ52" s="592">
        <f t="shared" si="356"/>
        <v>14.850572690761204</v>
      </c>
      <c r="AK52" s="592">
        <f t="shared" si="356"/>
        <v>5.0760432078590556</v>
      </c>
      <c r="AL52" s="592">
        <f t="shared" si="356"/>
        <v>0.9229169468834646</v>
      </c>
      <c r="AM52" s="592">
        <f>AM51/AM57</f>
        <v>0</v>
      </c>
      <c r="AN52" s="592">
        <f t="shared" ref="AN52:AX52" si="357">AN51/AN57</f>
        <v>0</v>
      </c>
      <c r="AO52" s="592">
        <f t="shared" si="357"/>
        <v>8.3901540625769516E-2</v>
      </c>
      <c r="AP52" s="592">
        <f t="shared" si="357"/>
        <v>3.7336185578467433</v>
      </c>
      <c r="AQ52" s="592">
        <f t="shared" si="357"/>
        <v>15.018375772012744</v>
      </c>
      <c r="AR52" s="592">
        <f t="shared" si="357"/>
        <v>27.897262258068363</v>
      </c>
      <c r="AS52" s="592">
        <f t="shared" si="357"/>
        <v>35.742056306577815</v>
      </c>
      <c r="AT52" s="592">
        <f t="shared" si="357"/>
        <v>37.294234808154556</v>
      </c>
      <c r="AU52" s="592">
        <f t="shared" si="357"/>
        <v>25.464117579921048</v>
      </c>
      <c r="AV52" s="592">
        <f t="shared" si="357"/>
        <v>14.850572690761204</v>
      </c>
      <c r="AW52" s="592">
        <f t="shared" si="357"/>
        <v>5.0760432078590556</v>
      </c>
      <c r="AX52" s="592">
        <f t="shared" si="357"/>
        <v>0.9229169468834646</v>
      </c>
      <c r="AY52" s="592">
        <f>AY51/AY57</f>
        <v>0</v>
      </c>
      <c r="AZ52" s="592">
        <f t="shared" ref="AZ52:BJ52" si="358">AZ51/AZ57</f>
        <v>0</v>
      </c>
      <c r="BA52" s="592">
        <f t="shared" si="358"/>
        <v>8.3901540625769516E-2</v>
      </c>
      <c r="BB52" s="592">
        <f t="shared" si="358"/>
        <v>3.7336185578467433</v>
      </c>
      <c r="BC52" s="592">
        <f t="shared" si="358"/>
        <v>15.018375772012744</v>
      </c>
      <c r="BD52" s="592">
        <f t="shared" si="358"/>
        <v>27.897262258068363</v>
      </c>
      <c r="BE52" s="592">
        <f t="shared" si="358"/>
        <v>35.742056306577815</v>
      </c>
      <c r="BF52" s="592">
        <f t="shared" si="358"/>
        <v>37.294234808154556</v>
      </c>
      <c r="BG52" s="592">
        <f t="shared" si="358"/>
        <v>25.464117579921048</v>
      </c>
      <c r="BH52" s="592">
        <f t="shared" si="358"/>
        <v>14.850572690761204</v>
      </c>
      <c r="BI52" s="592">
        <f t="shared" si="358"/>
        <v>5.0760432078590556</v>
      </c>
      <c r="BJ52" s="592">
        <f t="shared" si="358"/>
        <v>0.9229169468834646</v>
      </c>
      <c r="BK52" s="592">
        <f>BK51/BK57</f>
        <v>0</v>
      </c>
      <c r="BL52" s="592">
        <f t="shared" ref="BL52:BV52" si="359">BL51/BL57</f>
        <v>0</v>
      </c>
      <c r="BM52" s="592">
        <f t="shared" si="359"/>
        <v>8.3901540625769516E-2</v>
      </c>
      <c r="BN52" s="592">
        <f t="shared" si="359"/>
        <v>3.7336185578467433</v>
      </c>
      <c r="BO52" s="592">
        <f t="shared" si="359"/>
        <v>15.018375772012744</v>
      </c>
      <c r="BP52" s="592">
        <f t="shared" si="359"/>
        <v>27.897262258068363</v>
      </c>
      <c r="BQ52" s="592">
        <f t="shared" si="359"/>
        <v>35.742056306577815</v>
      </c>
      <c r="BR52" s="592">
        <f t="shared" si="359"/>
        <v>37.294234808154556</v>
      </c>
      <c r="BS52" s="592">
        <f t="shared" si="359"/>
        <v>25.464117579921048</v>
      </c>
      <c r="BT52" s="592">
        <f t="shared" si="359"/>
        <v>14.850572690761204</v>
      </c>
      <c r="BU52" s="592">
        <f t="shared" si="359"/>
        <v>5.0760432078590556</v>
      </c>
      <c r="BV52" s="592">
        <f t="shared" si="359"/>
        <v>0.9229169468834646</v>
      </c>
      <c r="BW52" s="592">
        <f>BW51/BW57</f>
        <v>0</v>
      </c>
      <c r="BX52" s="592">
        <f t="shared" ref="BX52:CH52" si="360">BX51/BX57</f>
        <v>0</v>
      </c>
      <c r="BY52" s="592">
        <f t="shared" si="360"/>
        <v>8.3901540625769516E-2</v>
      </c>
      <c r="BZ52" s="592">
        <f t="shared" si="360"/>
        <v>3.7336185578467433</v>
      </c>
      <c r="CA52" s="592">
        <f t="shared" si="360"/>
        <v>15.018375772012744</v>
      </c>
      <c r="CB52" s="592">
        <f t="shared" si="360"/>
        <v>27.897262258068363</v>
      </c>
      <c r="CC52" s="592">
        <f t="shared" si="360"/>
        <v>35.742056306577815</v>
      </c>
      <c r="CD52" s="592">
        <f t="shared" si="360"/>
        <v>37.294234808154556</v>
      </c>
      <c r="CE52" s="592">
        <f t="shared" si="360"/>
        <v>25.464117579921048</v>
      </c>
      <c r="CF52" s="592">
        <f t="shared" si="360"/>
        <v>14.850572690761204</v>
      </c>
      <c r="CG52" s="592">
        <f t="shared" si="360"/>
        <v>5.0760432078590556</v>
      </c>
      <c r="CH52" s="592">
        <f t="shared" si="360"/>
        <v>0.9229169468834646</v>
      </c>
    </row>
    <row r="53" spans="1:86" x14ac:dyDescent="0.2">
      <c r="A53" s="585">
        <v>41</v>
      </c>
      <c r="B53" s="211" t="s">
        <v>590</v>
      </c>
      <c r="C53" s="593">
        <f>SUM(C52:N52)/SUM(C$13:N$13)</f>
        <v>4.1950763568095593E-2</v>
      </c>
      <c r="D53" s="593">
        <f>C53</f>
        <v>4.1950763568095593E-2</v>
      </c>
      <c r="E53" s="593">
        <f t="shared" ref="E53" si="361">D53</f>
        <v>4.1950763568095593E-2</v>
      </c>
      <c r="F53" s="593">
        <f t="shared" ref="F53" si="362">E53</f>
        <v>4.1950763568095593E-2</v>
      </c>
      <c r="G53" s="593">
        <f t="shared" ref="G53" si="363">F53</f>
        <v>4.1950763568095593E-2</v>
      </c>
      <c r="H53" s="593">
        <f t="shared" ref="H53" si="364">G53</f>
        <v>4.1950763568095593E-2</v>
      </c>
      <c r="I53" s="593">
        <f t="shared" ref="I53" si="365">H53</f>
        <v>4.1950763568095593E-2</v>
      </c>
      <c r="J53" s="593">
        <f t="shared" ref="J53" si="366">I53</f>
        <v>4.1950763568095593E-2</v>
      </c>
      <c r="K53" s="593">
        <f t="shared" ref="K53" si="367">J53</f>
        <v>4.1950763568095593E-2</v>
      </c>
      <c r="L53" s="593">
        <f t="shared" ref="L53" si="368">K53</f>
        <v>4.1950763568095593E-2</v>
      </c>
      <c r="M53" s="593">
        <f t="shared" ref="M53" si="369">L53</f>
        <v>4.1950763568095593E-2</v>
      </c>
      <c r="N53" s="593">
        <f t="shared" ref="N53" si="370">M53</f>
        <v>4.1950763568095593E-2</v>
      </c>
      <c r="O53" s="594">
        <f>((SUM(C58:N58)/AVERAGE(C57:N57)+O48)*AVERAGE(O57:Z57)-SUM(O50:Z50))/(O57*O$14+P57*P$14+Q57*Q$14+R57*R$14+S57*S$14+T57*T$14+U57*U$14+V57*V$14+W57*W$14+X57*X$14+Y57*Y$14+Z57*Z$14)</f>
        <v>4.1950770312884758E-2</v>
      </c>
      <c r="P53" s="595">
        <f>O53</f>
        <v>4.1950770312884758E-2</v>
      </c>
      <c r="Q53" s="595">
        <f t="shared" ref="Q53" si="371">P53</f>
        <v>4.1950770312884758E-2</v>
      </c>
      <c r="R53" s="595">
        <f t="shared" ref="R53" si="372">Q53</f>
        <v>4.1950770312884758E-2</v>
      </c>
      <c r="S53" s="595">
        <f t="shared" ref="S53" si="373">R53</f>
        <v>4.1950770312884758E-2</v>
      </c>
      <c r="T53" s="595">
        <f t="shared" ref="T53" si="374">S53</f>
        <v>4.1950770312884758E-2</v>
      </c>
      <c r="U53" s="595">
        <f t="shared" ref="U53" si="375">T53</f>
        <v>4.1950770312884758E-2</v>
      </c>
      <c r="V53" s="595">
        <f t="shared" ref="V53" si="376">U53</f>
        <v>4.1950770312884758E-2</v>
      </c>
      <c r="W53" s="595">
        <f t="shared" ref="W53" si="377">V53</f>
        <v>4.1950770312884758E-2</v>
      </c>
      <c r="X53" s="595">
        <f t="shared" ref="X53" si="378">W53</f>
        <v>4.1950770312884758E-2</v>
      </c>
      <c r="Y53" s="595">
        <f t="shared" ref="Y53" si="379">X53</f>
        <v>4.1950770312884758E-2</v>
      </c>
      <c r="Z53" s="595">
        <f t="shared" ref="Z53" si="380">Y53</f>
        <v>4.1950770312884758E-2</v>
      </c>
      <c r="AA53" s="594">
        <f>((SUM(O58:Z58)/AVERAGE(O57:Z57)+AA48)*AVERAGE(AA57:AL57)-SUM(AA50:AL50))/(AA57*AA$14+AB57*AB$14+AC57*AC$14+AD57*AD$14+AE57*AE$14+AF57*AF$14+AG57*AG$14+AH57*AH$14+AI57*AI$14+AJ57*AJ$14+AK57*AK$14+AL57*AL$14)</f>
        <v>4.1950770312884758E-2</v>
      </c>
      <c r="AB53" s="595">
        <f>AA53</f>
        <v>4.1950770312884758E-2</v>
      </c>
      <c r="AC53" s="595">
        <f t="shared" ref="AC53" si="381">AB53</f>
        <v>4.1950770312884758E-2</v>
      </c>
      <c r="AD53" s="595">
        <f t="shared" ref="AD53" si="382">AC53</f>
        <v>4.1950770312884758E-2</v>
      </c>
      <c r="AE53" s="595">
        <f t="shared" ref="AE53" si="383">AD53</f>
        <v>4.1950770312884758E-2</v>
      </c>
      <c r="AF53" s="595">
        <f t="shared" ref="AF53" si="384">AE53</f>
        <v>4.1950770312884758E-2</v>
      </c>
      <c r="AG53" s="595">
        <f t="shared" ref="AG53" si="385">AF53</f>
        <v>4.1950770312884758E-2</v>
      </c>
      <c r="AH53" s="595">
        <f t="shared" ref="AH53" si="386">AG53</f>
        <v>4.1950770312884758E-2</v>
      </c>
      <c r="AI53" s="595">
        <f t="shared" ref="AI53" si="387">AH53</f>
        <v>4.1950770312884758E-2</v>
      </c>
      <c r="AJ53" s="595">
        <f t="shared" ref="AJ53" si="388">AI53</f>
        <v>4.1950770312884758E-2</v>
      </c>
      <c r="AK53" s="595">
        <f t="shared" ref="AK53" si="389">AJ53</f>
        <v>4.1950770312884758E-2</v>
      </c>
      <c r="AL53" s="595">
        <f t="shared" ref="AL53" si="390">AK53</f>
        <v>4.1950770312884758E-2</v>
      </c>
      <c r="AM53" s="594">
        <f>((SUM(AA58:AL58)/AVERAGE(AA57:AL57)+AM48)*AVERAGE(AM57:AX57)-SUM(AM50:AX50))/(AM57*AM$14+AN57*AN$14+AO57*AO$14+AP57*AP$14+AQ57*AQ$14+AR57*AR$14+AS57*AS$14+AT57*AT$14+AU57*AU$14+AV57*AV$14+AW57*AW$14+AX57*AX$14)</f>
        <v>4.1950770312884758E-2</v>
      </c>
      <c r="AN53" s="595">
        <f>AM53</f>
        <v>4.1950770312884758E-2</v>
      </c>
      <c r="AO53" s="595">
        <f t="shared" ref="AO53" si="391">AN53</f>
        <v>4.1950770312884758E-2</v>
      </c>
      <c r="AP53" s="595">
        <f t="shared" ref="AP53" si="392">AO53</f>
        <v>4.1950770312884758E-2</v>
      </c>
      <c r="AQ53" s="595">
        <f t="shared" ref="AQ53" si="393">AP53</f>
        <v>4.1950770312884758E-2</v>
      </c>
      <c r="AR53" s="595">
        <f t="shared" ref="AR53" si="394">AQ53</f>
        <v>4.1950770312884758E-2</v>
      </c>
      <c r="AS53" s="595">
        <f t="shared" ref="AS53" si="395">AR53</f>
        <v>4.1950770312884758E-2</v>
      </c>
      <c r="AT53" s="595">
        <f t="shared" ref="AT53" si="396">AS53</f>
        <v>4.1950770312884758E-2</v>
      </c>
      <c r="AU53" s="595">
        <f t="shared" ref="AU53" si="397">AT53</f>
        <v>4.1950770312884758E-2</v>
      </c>
      <c r="AV53" s="595">
        <f t="shared" ref="AV53" si="398">AU53</f>
        <v>4.1950770312884758E-2</v>
      </c>
      <c r="AW53" s="595">
        <f t="shared" ref="AW53" si="399">AV53</f>
        <v>4.1950770312884758E-2</v>
      </c>
      <c r="AX53" s="595">
        <f t="shared" ref="AX53" si="400">AW53</f>
        <v>4.1950770312884758E-2</v>
      </c>
      <c r="AY53" s="594">
        <f>((SUM(AM58:AX58)/AVERAGE(AM57:AX57)+AY48)*AVERAGE(AY57:BJ57)-SUM(AY50:BJ50))/(AY57*AY$14+AZ57*AZ$14+BA57*BA$14+BB57*BB$14+BC57*BC$14+BD57*BD$14+BE57*BE$14+BF57*BF$14+BG57*BG$14+BH57*BH$14+BI57*BI$14+BJ57*BJ$14)</f>
        <v>4.1950770312884758E-2</v>
      </c>
      <c r="AZ53" s="595">
        <f>AY53</f>
        <v>4.1950770312884758E-2</v>
      </c>
      <c r="BA53" s="595">
        <f t="shared" ref="BA53" si="401">AZ53</f>
        <v>4.1950770312884758E-2</v>
      </c>
      <c r="BB53" s="595">
        <f t="shared" ref="BB53" si="402">BA53</f>
        <v>4.1950770312884758E-2</v>
      </c>
      <c r="BC53" s="595">
        <f t="shared" ref="BC53" si="403">BB53</f>
        <v>4.1950770312884758E-2</v>
      </c>
      <c r="BD53" s="595">
        <f t="shared" ref="BD53" si="404">BC53</f>
        <v>4.1950770312884758E-2</v>
      </c>
      <c r="BE53" s="595">
        <f t="shared" ref="BE53" si="405">BD53</f>
        <v>4.1950770312884758E-2</v>
      </c>
      <c r="BF53" s="595">
        <f t="shared" ref="BF53" si="406">BE53</f>
        <v>4.1950770312884758E-2</v>
      </c>
      <c r="BG53" s="595">
        <f t="shared" ref="BG53" si="407">BF53</f>
        <v>4.1950770312884758E-2</v>
      </c>
      <c r="BH53" s="595">
        <f t="shared" ref="BH53" si="408">BG53</f>
        <v>4.1950770312884758E-2</v>
      </c>
      <c r="BI53" s="595">
        <f t="shared" ref="BI53" si="409">BH53</f>
        <v>4.1950770312884758E-2</v>
      </c>
      <c r="BJ53" s="595">
        <f t="shared" ref="BJ53" si="410">BI53</f>
        <v>4.1950770312884758E-2</v>
      </c>
      <c r="BK53" s="594">
        <f>((SUM(AY58:BJ58)/AVERAGE(AY57:BJ57)+BK48)*AVERAGE(BK57:BV57)-SUM(BK50:BV50))/(BK57*BK$14+BL57*BL$14+BM57*BM$14+BN57*BN$14+BO57*BO$14+BP57*BP$14+BQ57*BQ$14+BR57*BR$14+BS57*BS$14+BT57*BT$14+BU57*BU$14+BV57*BV$14)</f>
        <v>4.1950770312884758E-2</v>
      </c>
      <c r="BL53" s="595">
        <f>BK53</f>
        <v>4.1950770312884758E-2</v>
      </c>
      <c r="BM53" s="595">
        <f t="shared" ref="BM53" si="411">BL53</f>
        <v>4.1950770312884758E-2</v>
      </c>
      <c r="BN53" s="595">
        <f t="shared" ref="BN53" si="412">BM53</f>
        <v>4.1950770312884758E-2</v>
      </c>
      <c r="BO53" s="595">
        <f t="shared" ref="BO53" si="413">BN53</f>
        <v>4.1950770312884758E-2</v>
      </c>
      <c r="BP53" s="595">
        <f t="shared" ref="BP53" si="414">BO53</f>
        <v>4.1950770312884758E-2</v>
      </c>
      <c r="BQ53" s="595">
        <f t="shared" ref="BQ53" si="415">BP53</f>
        <v>4.1950770312884758E-2</v>
      </c>
      <c r="BR53" s="595">
        <f t="shared" ref="BR53" si="416">BQ53</f>
        <v>4.1950770312884758E-2</v>
      </c>
      <c r="BS53" s="595">
        <f t="shared" ref="BS53" si="417">BR53</f>
        <v>4.1950770312884758E-2</v>
      </c>
      <c r="BT53" s="595">
        <f t="shared" ref="BT53" si="418">BS53</f>
        <v>4.1950770312884758E-2</v>
      </c>
      <c r="BU53" s="595">
        <f t="shared" ref="BU53" si="419">BT53</f>
        <v>4.1950770312884758E-2</v>
      </c>
      <c r="BV53" s="595">
        <f t="shared" ref="BV53" si="420">BU53</f>
        <v>4.1950770312884758E-2</v>
      </c>
      <c r="BW53" s="594">
        <f>((SUM(BK58:BV58)/AVERAGE(BK57:BV57)+BW48)*AVERAGE(BW57:CH57)-SUM(BW50:CH50))/(BW57*BW$14+BX57*BX$14+BY57*BY$14+BZ57*BZ$14+CA57*CA$14+CB57*CB$14+CC57*CC$14+CD57*CD$14+CE57*CE$14+CF57*CF$14+CG57*CG$14+CH57*CH$14)</f>
        <v>4.1950770312884758E-2</v>
      </c>
      <c r="BX53" s="595">
        <f>BW53</f>
        <v>4.1950770312884758E-2</v>
      </c>
      <c r="BY53" s="595">
        <f t="shared" ref="BY53" si="421">BX53</f>
        <v>4.1950770312884758E-2</v>
      </c>
      <c r="BZ53" s="595">
        <f t="shared" ref="BZ53" si="422">BY53</f>
        <v>4.1950770312884758E-2</v>
      </c>
      <c r="CA53" s="595">
        <f t="shared" ref="CA53" si="423">BZ53</f>
        <v>4.1950770312884758E-2</v>
      </c>
      <c r="CB53" s="595">
        <f t="shared" ref="CB53" si="424">CA53</f>
        <v>4.1950770312884758E-2</v>
      </c>
      <c r="CC53" s="595">
        <f t="shared" ref="CC53" si="425">CB53</f>
        <v>4.1950770312884758E-2</v>
      </c>
      <c r="CD53" s="595">
        <f t="shared" ref="CD53" si="426">CC53</f>
        <v>4.1950770312884758E-2</v>
      </c>
      <c r="CE53" s="595">
        <f t="shared" ref="CE53" si="427">CD53</f>
        <v>4.1950770312884758E-2</v>
      </c>
      <c r="CF53" s="595">
        <f t="shared" ref="CF53" si="428">CE53</f>
        <v>4.1950770312884758E-2</v>
      </c>
      <c r="CG53" s="595">
        <f t="shared" ref="CG53" si="429">CF53</f>
        <v>4.1950770312884758E-2</v>
      </c>
      <c r="CH53" s="595">
        <f t="shared" ref="CH53" si="430">CG53</f>
        <v>4.1950770312884758E-2</v>
      </c>
    </row>
    <row r="54" spans="1:86" x14ac:dyDescent="0.2">
      <c r="A54" s="585">
        <v>42</v>
      </c>
      <c r="B54" s="211" t="s">
        <v>104</v>
      </c>
      <c r="C54" s="42">
        <f>ROUND(C53*C$14,4)</f>
        <v>0</v>
      </c>
      <c r="D54" s="42">
        <f t="shared" ref="D54:BO54" si="431">ROUND(D53*D$14,4)</f>
        <v>0</v>
      </c>
      <c r="E54" s="42">
        <f t="shared" si="431"/>
        <v>8.3900000000000002E-2</v>
      </c>
      <c r="F54" s="42">
        <f t="shared" si="431"/>
        <v>3.7336</v>
      </c>
      <c r="G54" s="42">
        <f t="shared" si="431"/>
        <v>15.0184</v>
      </c>
      <c r="H54" s="42">
        <f t="shared" si="431"/>
        <v>27.897300000000001</v>
      </c>
      <c r="I54" s="42">
        <f t="shared" si="431"/>
        <v>35.742100000000001</v>
      </c>
      <c r="J54" s="42">
        <f t="shared" si="431"/>
        <v>37.294199999999996</v>
      </c>
      <c r="K54" s="42">
        <f t="shared" si="431"/>
        <v>25.464099999999998</v>
      </c>
      <c r="L54" s="42">
        <f t="shared" si="431"/>
        <v>14.8506</v>
      </c>
      <c r="M54" s="42">
        <f t="shared" si="431"/>
        <v>5.0759999999999996</v>
      </c>
      <c r="N54" s="42">
        <f t="shared" si="431"/>
        <v>0.92290000000000005</v>
      </c>
      <c r="O54" s="42">
        <f t="shared" si="431"/>
        <v>0</v>
      </c>
      <c r="P54" s="42">
        <f t="shared" si="431"/>
        <v>0</v>
      </c>
      <c r="Q54" s="42">
        <f t="shared" si="431"/>
        <v>8.3900000000000002E-2</v>
      </c>
      <c r="R54" s="42">
        <f t="shared" si="431"/>
        <v>3.7336</v>
      </c>
      <c r="S54" s="42">
        <f t="shared" si="431"/>
        <v>15.0184</v>
      </c>
      <c r="T54" s="42">
        <f t="shared" si="431"/>
        <v>27.897300000000001</v>
      </c>
      <c r="U54" s="42">
        <f t="shared" si="431"/>
        <v>35.742100000000001</v>
      </c>
      <c r="V54" s="42">
        <f t="shared" si="431"/>
        <v>37.294199999999996</v>
      </c>
      <c r="W54" s="42">
        <f t="shared" si="431"/>
        <v>25.464099999999998</v>
      </c>
      <c r="X54" s="42">
        <f t="shared" si="431"/>
        <v>14.8506</v>
      </c>
      <c r="Y54" s="42">
        <f t="shared" si="431"/>
        <v>5.0759999999999996</v>
      </c>
      <c r="Z54" s="42">
        <f t="shared" si="431"/>
        <v>0.92290000000000005</v>
      </c>
      <c r="AA54" s="42">
        <f t="shared" si="431"/>
        <v>0</v>
      </c>
      <c r="AB54" s="42">
        <f t="shared" si="431"/>
        <v>0</v>
      </c>
      <c r="AC54" s="42">
        <f t="shared" si="431"/>
        <v>8.3900000000000002E-2</v>
      </c>
      <c r="AD54" s="42">
        <f t="shared" si="431"/>
        <v>3.7336</v>
      </c>
      <c r="AE54" s="42">
        <f t="shared" si="431"/>
        <v>15.0184</v>
      </c>
      <c r="AF54" s="42">
        <f t="shared" si="431"/>
        <v>27.897300000000001</v>
      </c>
      <c r="AG54" s="42">
        <f t="shared" si="431"/>
        <v>35.742100000000001</v>
      </c>
      <c r="AH54" s="42">
        <f t="shared" si="431"/>
        <v>37.294199999999996</v>
      </c>
      <c r="AI54" s="42">
        <f t="shared" si="431"/>
        <v>25.464099999999998</v>
      </c>
      <c r="AJ54" s="42">
        <f t="shared" si="431"/>
        <v>14.8506</v>
      </c>
      <c r="AK54" s="42">
        <f t="shared" si="431"/>
        <v>5.0759999999999996</v>
      </c>
      <c r="AL54" s="42">
        <f t="shared" si="431"/>
        <v>0.92290000000000005</v>
      </c>
      <c r="AM54" s="42">
        <f t="shared" si="431"/>
        <v>0</v>
      </c>
      <c r="AN54" s="42">
        <f t="shared" si="431"/>
        <v>0</v>
      </c>
      <c r="AO54" s="42">
        <f t="shared" si="431"/>
        <v>8.3900000000000002E-2</v>
      </c>
      <c r="AP54" s="42">
        <f t="shared" si="431"/>
        <v>3.7336</v>
      </c>
      <c r="AQ54" s="42">
        <f t="shared" si="431"/>
        <v>15.0184</v>
      </c>
      <c r="AR54" s="42">
        <f t="shared" si="431"/>
        <v>27.897300000000001</v>
      </c>
      <c r="AS54" s="42">
        <f t="shared" si="431"/>
        <v>35.742100000000001</v>
      </c>
      <c r="AT54" s="42">
        <f t="shared" si="431"/>
        <v>37.294199999999996</v>
      </c>
      <c r="AU54" s="42">
        <f t="shared" si="431"/>
        <v>25.464099999999998</v>
      </c>
      <c r="AV54" s="42">
        <f t="shared" si="431"/>
        <v>14.8506</v>
      </c>
      <c r="AW54" s="42">
        <f t="shared" si="431"/>
        <v>5.0759999999999996</v>
      </c>
      <c r="AX54" s="42">
        <f t="shared" si="431"/>
        <v>0.92290000000000005</v>
      </c>
      <c r="AY54" s="42">
        <f t="shared" si="431"/>
        <v>0</v>
      </c>
      <c r="AZ54" s="42">
        <f t="shared" si="431"/>
        <v>0</v>
      </c>
      <c r="BA54" s="42">
        <f t="shared" si="431"/>
        <v>8.3900000000000002E-2</v>
      </c>
      <c r="BB54" s="42">
        <f t="shared" si="431"/>
        <v>3.7336</v>
      </c>
      <c r="BC54" s="42">
        <f t="shared" si="431"/>
        <v>15.0184</v>
      </c>
      <c r="BD54" s="42">
        <f t="shared" si="431"/>
        <v>27.897300000000001</v>
      </c>
      <c r="BE54" s="42">
        <f t="shared" si="431"/>
        <v>35.742100000000001</v>
      </c>
      <c r="BF54" s="42">
        <f t="shared" si="431"/>
        <v>37.294199999999996</v>
      </c>
      <c r="BG54" s="42">
        <f t="shared" si="431"/>
        <v>25.464099999999998</v>
      </c>
      <c r="BH54" s="42">
        <f t="shared" si="431"/>
        <v>14.8506</v>
      </c>
      <c r="BI54" s="42">
        <f t="shared" si="431"/>
        <v>5.0759999999999996</v>
      </c>
      <c r="BJ54" s="42">
        <f t="shared" si="431"/>
        <v>0.92290000000000005</v>
      </c>
      <c r="BK54" s="42">
        <f t="shared" si="431"/>
        <v>0</v>
      </c>
      <c r="BL54" s="42">
        <f t="shared" si="431"/>
        <v>0</v>
      </c>
      <c r="BM54" s="42">
        <f t="shared" si="431"/>
        <v>8.3900000000000002E-2</v>
      </c>
      <c r="BN54" s="42">
        <f t="shared" si="431"/>
        <v>3.7336</v>
      </c>
      <c r="BO54" s="42">
        <f t="shared" si="431"/>
        <v>15.0184</v>
      </c>
      <c r="BP54" s="42">
        <f t="shared" ref="BP54:CH54" si="432">ROUND(BP53*BP$14,4)</f>
        <v>27.897300000000001</v>
      </c>
      <c r="BQ54" s="42">
        <f t="shared" si="432"/>
        <v>35.742100000000001</v>
      </c>
      <c r="BR54" s="42">
        <f t="shared" si="432"/>
        <v>37.294199999999996</v>
      </c>
      <c r="BS54" s="42">
        <f t="shared" si="432"/>
        <v>25.464099999999998</v>
      </c>
      <c r="BT54" s="42">
        <f t="shared" si="432"/>
        <v>14.8506</v>
      </c>
      <c r="BU54" s="42">
        <f t="shared" si="432"/>
        <v>5.0759999999999996</v>
      </c>
      <c r="BV54" s="42">
        <f t="shared" si="432"/>
        <v>0.92290000000000005</v>
      </c>
      <c r="BW54" s="42">
        <f t="shared" si="432"/>
        <v>0</v>
      </c>
      <c r="BX54" s="42">
        <f t="shared" si="432"/>
        <v>0</v>
      </c>
      <c r="BY54" s="42">
        <f t="shared" si="432"/>
        <v>8.3900000000000002E-2</v>
      </c>
      <c r="BZ54" s="42">
        <f t="shared" si="432"/>
        <v>3.7336</v>
      </c>
      <c r="CA54" s="42">
        <f t="shared" si="432"/>
        <v>15.0184</v>
      </c>
      <c r="CB54" s="42">
        <f t="shared" si="432"/>
        <v>27.897300000000001</v>
      </c>
      <c r="CC54" s="42">
        <f t="shared" si="432"/>
        <v>35.742100000000001</v>
      </c>
      <c r="CD54" s="42">
        <f t="shared" si="432"/>
        <v>37.294199999999996</v>
      </c>
      <c r="CE54" s="42">
        <f t="shared" si="432"/>
        <v>25.464099999999998</v>
      </c>
      <c r="CF54" s="42">
        <f t="shared" si="432"/>
        <v>14.8506</v>
      </c>
      <c r="CG54" s="42">
        <f t="shared" si="432"/>
        <v>5.0759999999999996</v>
      </c>
      <c r="CH54" s="42">
        <f t="shared" si="432"/>
        <v>0.92290000000000005</v>
      </c>
    </row>
    <row r="55" spans="1:86" x14ac:dyDescent="0.2">
      <c r="A55" s="585">
        <v>43</v>
      </c>
      <c r="B55" s="211" t="s">
        <v>591</v>
      </c>
      <c r="C55" s="706">
        <f>(D59+E59)/(D57+E57)</f>
        <v>9.3005302607213185</v>
      </c>
      <c r="D55" s="596">
        <f t="shared" ref="D55" si="433">C55</f>
        <v>9.3005302607213185</v>
      </c>
      <c r="E55" s="596">
        <f t="shared" ref="E55" si="434">D55</f>
        <v>9.3005302607213185</v>
      </c>
      <c r="F55" s="596">
        <f t="shared" ref="F55" si="435">E55</f>
        <v>9.3005302607213185</v>
      </c>
      <c r="G55" s="596">
        <f t="shared" ref="G55" si="436">F55</f>
        <v>9.3005302607213185</v>
      </c>
      <c r="H55" s="596">
        <f t="shared" ref="H55" si="437">G55</f>
        <v>9.3005302607213185</v>
      </c>
      <c r="I55" s="596">
        <f t="shared" ref="I55" si="438">H55</f>
        <v>9.3005302607213185</v>
      </c>
      <c r="J55" s="596">
        <f t="shared" ref="J55" si="439">I55</f>
        <v>9.3005302607213185</v>
      </c>
      <c r="K55" s="596">
        <f t="shared" ref="K55" si="440">J55</f>
        <v>9.3005302607213185</v>
      </c>
      <c r="L55" s="596">
        <f t="shared" ref="L55" si="441">K55</f>
        <v>9.3005302607213185</v>
      </c>
      <c r="M55" s="596">
        <f t="shared" ref="M55" si="442">L55</f>
        <v>9.3005302607213185</v>
      </c>
      <c r="N55" s="596">
        <f t="shared" ref="N55" si="443">M55</f>
        <v>9.3005302607213185</v>
      </c>
      <c r="O55" s="597">
        <f>C55+O47</f>
        <v>9.3005302607213185</v>
      </c>
      <c r="P55" s="597">
        <f t="shared" ref="P55" si="444">D55+P47</f>
        <v>9.3005302607213185</v>
      </c>
      <c r="Q55" s="597">
        <f t="shared" ref="Q55" si="445">E55+Q47</f>
        <v>9.3005302607213185</v>
      </c>
      <c r="R55" s="597">
        <f t="shared" ref="R55" si="446">F55+R47</f>
        <v>9.3005302607213185</v>
      </c>
      <c r="S55" s="597">
        <f t="shared" ref="S55" si="447">G55+S47</f>
        <v>9.3005302607213185</v>
      </c>
      <c r="T55" s="597">
        <f t="shared" ref="T55" si="448">H55+T47</f>
        <v>9.3005302607213185</v>
      </c>
      <c r="U55" s="597">
        <f t="shared" ref="U55" si="449">I55+U47</f>
        <v>9.3005302607213185</v>
      </c>
      <c r="V55" s="597">
        <f t="shared" ref="V55" si="450">J55+V47</f>
        <v>9.3005302607213185</v>
      </c>
      <c r="W55" s="597">
        <f t="shared" ref="W55" si="451">K55+W47</f>
        <v>9.3005302607213185</v>
      </c>
      <c r="X55" s="597">
        <f t="shared" ref="X55" si="452">L55+X47</f>
        <v>9.3005302607213185</v>
      </c>
      <c r="Y55" s="597">
        <f t="shared" ref="Y55" si="453">M55+Y47</f>
        <v>9.3005302607213185</v>
      </c>
      <c r="Z55" s="597">
        <f t="shared" ref="Z55" si="454">N55+Z47</f>
        <v>9.3005302607213185</v>
      </c>
      <c r="AA55" s="597">
        <f>O55+AA47</f>
        <v>9.3005302607213185</v>
      </c>
      <c r="AB55" s="597">
        <f t="shared" ref="AB55" si="455">P55+AB47</f>
        <v>9.3005302607213185</v>
      </c>
      <c r="AC55" s="597">
        <f t="shared" ref="AC55" si="456">Q55+AC47</f>
        <v>9.3005302607213185</v>
      </c>
      <c r="AD55" s="597">
        <f t="shared" ref="AD55" si="457">R55+AD47</f>
        <v>9.3005302607213185</v>
      </c>
      <c r="AE55" s="597">
        <f t="shared" ref="AE55" si="458">S55+AE47</f>
        <v>9.3005302607213185</v>
      </c>
      <c r="AF55" s="597">
        <f t="shared" ref="AF55" si="459">T55+AF47</f>
        <v>9.3005302607213185</v>
      </c>
      <c r="AG55" s="597">
        <f t="shared" ref="AG55" si="460">U55+AG47</f>
        <v>9.3005302607213185</v>
      </c>
      <c r="AH55" s="597">
        <f t="shared" ref="AH55" si="461">V55+AH47</f>
        <v>9.3005302607213185</v>
      </c>
      <c r="AI55" s="597">
        <f t="shared" ref="AI55" si="462">W55+AI47</f>
        <v>9.3005302607213185</v>
      </c>
      <c r="AJ55" s="597">
        <f t="shared" ref="AJ55" si="463">X55+AJ47</f>
        <v>9.3005302607213185</v>
      </c>
      <c r="AK55" s="597">
        <f t="shared" ref="AK55" si="464">Y55+AK47</f>
        <v>9.3005302607213185</v>
      </c>
      <c r="AL55" s="597">
        <f t="shared" ref="AL55" si="465">Z55+AL47</f>
        <v>9.3005302607213185</v>
      </c>
      <c r="AM55" s="597">
        <f>AA55+AM47</f>
        <v>9.3005302607213185</v>
      </c>
      <c r="AN55" s="597">
        <f t="shared" ref="AN55" si="466">AB55+AN47</f>
        <v>9.3005302607213185</v>
      </c>
      <c r="AO55" s="597">
        <f t="shared" ref="AO55" si="467">AC55+AO47</f>
        <v>9.3005302607213185</v>
      </c>
      <c r="AP55" s="597">
        <f t="shared" ref="AP55" si="468">AD55+AP47</f>
        <v>9.3005302607213185</v>
      </c>
      <c r="AQ55" s="597">
        <f t="shared" ref="AQ55" si="469">AE55+AQ47</f>
        <v>9.3005302607213185</v>
      </c>
      <c r="AR55" s="597">
        <f t="shared" ref="AR55" si="470">AF55+AR47</f>
        <v>9.3005302607213185</v>
      </c>
      <c r="AS55" s="597">
        <f t="shared" ref="AS55" si="471">AG55+AS47</f>
        <v>9.3005302607213185</v>
      </c>
      <c r="AT55" s="597">
        <f t="shared" ref="AT55" si="472">AH55+AT47</f>
        <v>9.3005302607213185</v>
      </c>
      <c r="AU55" s="597">
        <f t="shared" ref="AU55" si="473">AI55+AU47</f>
        <v>9.3005302607213185</v>
      </c>
      <c r="AV55" s="597">
        <f t="shared" ref="AV55" si="474">AJ55+AV47</f>
        <v>9.3005302607213185</v>
      </c>
      <c r="AW55" s="597">
        <f t="shared" ref="AW55" si="475">AK55+AW47</f>
        <v>9.3005302607213185</v>
      </c>
      <c r="AX55" s="597">
        <f t="shared" ref="AX55" si="476">AL55+AX47</f>
        <v>9.3005302607213185</v>
      </c>
      <c r="AY55" s="597">
        <f>AM55+AY47</f>
        <v>9.3005302607213185</v>
      </c>
      <c r="AZ55" s="597">
        <f t="shared" ref="AZ55" si="477">AN55+AZ47</f>
        <v>9.3005302607213185</v>
      </c>
      <c r="BA55" s="597">
        <f t="shared" ref="BA55" si="478">AO55+BA47</f>
        <v>9.3005302607213185</v>
      </c>
      <c r="BB55" s="597">
        <f t="shared" ref="BB55" si="479">AP55+BB47</f>
        <v>9.3005302607213185</v>
      </c>
      <c r="BC55" s="597">
        <f t="shared" ref="BC55" si="480">AQ55+BC47</f>
        <v>9.3005302607213185</v>
      </c>
      <c r="BD55" s="597">
        <f t="shared" ref="BD55" si="481">AR55+BD47</f>
        <v>9.3005302607213185</v>
      </c>
      <c r="BE55" s="597">
        <f t="shared" ref="BE55" si="482">AS55+BE47</f>
        <v>9.3005302607213185</v>
      </c>
      <c r="BF55" s="597">
        <f t="shared" ref="BF55" si="483">AT55+BF47</f>
        <v>9.3005302607213185</v>
      </c>
      <c r="BG55" s="597">
        <f t="shared" ref="BG55" si="484">AU55+BG47</f>
        <v>9.3005302607213185</v>
      </c>
      <c r="BH55" s="597">
        <f t="shared" ref="BH55" si="485">AV55+BH47</f>
        <v>9.3005302607213185</v>
      </c>
      <c r="BI55" s="597">
        <f t="shared" ref="BI55" si="486">AW55+BI47</f>
        <v>9.3005302607213185</v>
      </c>
      <c r="BJ55" s="597">
        <f t="shared" ref="BJ55" si="487">AX55+BJ47</f>
        <v>9.3005302607213185</v>
      </c>
      <c r="BK55" s="597">
        <f>AY55+BK47</f>
        <v>9.3005302607213185</v>
      </c>
      <c r="BL55" s="597">
        <f t="shared" ref="BL55" si="488">AZ55+BL47</f>
        <v>9.3005302607213185</v>
      </c>
      <c r="BM55" s="597">
        <f t="shared" ref="BM55" si="489">BA55+BM47</f>
        <v>9.3005302607213185</v>
      </c>
      <c r="BN55" s="597">
        <f t="shared" ref="BN55" si="490">BB55+BN47</f>
        <v>9.3005302607213185</v>
      </c>
      <c r="BO55" s="597">
        <f t="shared" ref="BO55" si="491">BC55+BO47</f>
        <v>9.3005302607213185</v>
      </c>
      <c r="BP55" s="597">
        <f t="shared" ref="BP55" si="492">BD55+BP47</f>
        <v>9.3005302607213185</v>
      </c>
      <c r="BQ55" s="597">
        <f t="shared" ref="BQ55" si="493">BE55+BQ47</f>
        <v>9.3005302607213185</v>
      </c>
      <c r="BR55" s="597">
        <f t="shared" ref="BR55" si="494">BF55+BR47</f>
        <v>9.3005302607213185</v>
      </c>
      <c r="BS55" s="597">
        <f t="shared" ref="BS55" si="495">BG55+BS47</f>
        <v>9.3005302607213185</v>
      </c>
      <c r="BT55" s="597">
        <f t="shared" ref="BT55" si="496">BH55+BT47</f>
        <v>9.3005302607213185</v>
      </c>
      <c r="BU55" s="597">
        <f t="shared" ref="BU55" si="497">BI55+BU47</f>
        <v>9.3005302607213185</v>
      </c>
      <c r="BV55" s="597">
        <f t="shared" ref="BV55" si="498">BJ55+BV47</f>
        <v>9.3005302607213185</v>
      </c>
      <c r="BW55" s="597">
        <f>BK55+BW47</f>
        <v>9.3005302607213185</v>
      </c>
      <c r="BX55" s="597">
        <f t="shared" ref="BX55" si="499">BL55+BX47</f>
        <v>9.3005302607213185</v>
      </c>
      <c r="BY55" s="597">
        <f t="shared" ref="BY55" si="500">BM55+BY47</f>
        <v>9.3005302607213185</v>
      </c>
      <c r="BZ55" s="597">
        <f t="shared" ref="BZ55" si="501">BN55+BZ47</f>
        <v>9.3005302607213185</v>
      </c>
      <c r="CA55" s="597">
        <f t="shared" ref="CA55" si="502">BO55+CA47</f>
        <v>9.3005302607213185</v>
      </c>
      <c r="CB55" s="597">
        <f t="shared" ref="CB55" si="503">BP55+CB47</f>
        <v>9.3005302607213185</v>
      </c>
      <c r="CC55" s="597">
        <f t="shared" ref="CC55" si="504">BQ55+CC47</f>
        <v>9.3005302607213185</v>
      </c>
      <c r="CD55" s="597">
        <f t="shared" ref="CD55" si="505">BR55+CD47</f>
        <v>9.3005302607213185</v>
      </c>
      <c r="CE55" s="597">
        <f t="shared" ref="CE55" si="506">BS55+CE47</f>
        <v>9.3005302607213185</v>
      </c>
      <c r="CF55" s="597">
        <f t="shared" ref="CF55" si="507">BT55+CF47</f>
        <v>9.3005302607213185</v>
      </c>
      <c r="CG55" s="597">
        <f t="shared" ref="CG55" si="508">BU55+CG47</f>
        <v>9.3005302607213185</v>
      </c>
      <c r="CH55" s="597">
        <f t="shared" ref="CH55" si="509">BV55+CH47</f>
        <v>9.3005302607213185</v>
      </c>
    </row>
    <row r="56" spans="1:86" x14ac:dyDescent="0.2">
      <c r="A56" s="585">
        <v>44</v>
      </c>
      <c r="B56" s="211" t="s">
        <v>604</v>
      </c>
      <c r="C56" s="596">
        <f t="shared" ref="C56:BN56" si="510">C55+C54</f>
        <v>9.3005302607213185</v>
      </c>
      <c r="D56" s="596">
        <f t="shared" si="510"/>
        <v>9.3005302607213185</v>
      </c>
      <c r="E56" s="596">
        <f t="shared" si="510"/>
        <v>9.3844302607213184</v>
      </c>
      <c r="F56" s="596">
        <f t="shared" si="510"/>
        <v>13.034130260721319</v>
      </c>
      <c r="G56" s="596">
        <f t="shared" si="510"/>
        <v>24.318930260721316</v>
      </c>
      <c r="H56" s="596">
        <f t="shared" si="510"/>
        <v>37.197830260721318</v>
      </c>
      <c r="I56" s="596">
        <f t="shared" si="510"/>
        <v>45.042630260721317</v>
      </c>
      <c r="J56" s="596">
        <f t="shared" si="510"/>
        <v>46.594730260721313</v>
      </c>
      <c r="K56" s="596">
        <f t="shared" si="510"/>
        <v>34.764630260721319</v>
      </c>
      <c r="L56" s="596">
        <f t="shared" si="510"/>
        <v>24.151130260721317</v>
      </c>
      <c r="M56" s="596">
        <f t="shared" si="510"/>
        <v>14.376530260721317</v>
      </c>
      <c r="N56" s="596">
        <f t="shared" si="510"/>
        <v>10.223430260721319</v>
      </c>
      <c r="O56" s="596">
        <f t="shared" si="510"/>
        <v>9.3005302607213185</v>
      </c>
      <c r="P56" s="596">
        <f t="shared" si="510"/>
        <v>9.3005302607213185</v>
      </c>
      <c r="Q56" s="596">
        <f t="shared" si="510"/>
        <v>9.3844302607213184</v>
      </c>
      <c r="R56" s="596">
        <f t="shared" si="510"/>
        <v>13.034130260721319</v>
      </c>
      <c r="S56" s="596">
        <f t="shared" si="510"/>
        <v>24.318930260721316</v>
      </c>
      <c r="T56" s="596">
        <f t="shared" si="510"/>
        <v>37.197830260721318</v>
      </c>
      <c r="U56" s="596">
        <f t="shared" si="510"/>
        <v>45.042630260721317</v>
      </c>
      <c r="V56" s="596">
        <f t="shared" si="510"/>
        <v>46.594730260721313</v>
      </c>
      <c r="W56" s="596">
        <f t="shared" si="510"/>
        <v>34.764630260721319</v>
      </c>
      <c r="X56" s="596">
        <f t="shared" si="510"/>
        <v>24.151130260721317</v>
      </c>
      <c r="Y56" s="596">
        <f t="shared" si="510"/>
        <v>14.376530260721317</v>
      </c>
      <c r="Z56" s="596">
        <f t="shared" si="510"/>
        <v>10.223430260721319</v>
      </c>
      <c r="AA56" s="596">
        <f t="shared" si="510"/>
        <v>9.3005302607213185</v>
      </c>
      <c r="AB56" s="596">
        <f t="shared" si="510"/>
        <v>9.3005302607213185</v>
      </c>
      <c r="AC56" s="596">
        <f t="shared" si="510"/>
        <v>9.3844302607213184</v>
      </c>
      <c r="AD56" s="596">
        <f t="shared" si="510"/>
        <v>13.034130260721319</v>
      </c>
      <c r="AE56" s="596">
        <f t="shared" si="510"/>
        <v>24.318930260721316</v>
      </c>
      <c r="AF56" s="596">
        <f t="shared" si="510"/>
        <v>37.197830260721318</v>
      </c>
      <c r="AG56" s="596">
        <f t="shared" si="510"/>
        <v>45.042630260721317</v>
      </c>
      <c r="AH56" s="596">
        <f t="shared" si="510"/>
        <v>46.594730260721313</v>
      </c>
      <c r="AI56" s="596">
        <f t="shared" si="510"/>
        <v>34.764630260721319</v>
      </c>
      <c r="AJ56" s="596">
        <f t="shared" si="510"/>
        <v>24.151130260721317</v>
      </c>
      <c r="AK56" s="596">
        <f t="shared" si="510"/>
        <v>14.376530260721317</v>
      </c>
      <c r="AL56" s="596">
        <f t="shared" si="510"/>
        <v>10.223430260721319</v>
      </c>
      <c r="AM56" s="596">
        <f t="shared" si="510"/>
        <v>9.3005302607213185</v>
      </c>
      <c r="AN56" s="596">
        <f t="shared" si="510"/>
        <v>9.3005302607213185</v>
      </c>
      <c r="AO56" s="596">
        <f t="shared" si="510"/>
        <v>9.3844302607213184</v>
      </c>
      <c r="AP56" s="596">
        <f t="shared" si="510"/>
        <v>13.034130260721319</v>
      </c>
      <c r="AQ56" s="596">
        <f t="shared" si="510"/>
        <v>24.318930260721316</v>
      </c>
      <c r="AR56" s="596">
        <f t="shared" si="510"/>
        <v>37.197830260721318</v>
      </c>
      <c r="AS56" s="596">
        <f t="shared" si="510"/>
        <v>45.042630260721317</v>
      </c>
      <c r="AT56" s="596">
        <f t="shared" si="510"/>
        <v>46.594730260721313</v>
      </c>
      <c r="AU56" s="596">
        <f t="shared" si="510"/>
        <v>34.764630260721319</v>
      </c>
      <c r="AV56" s="596">
        <f t="shared" si="510"/>
        <v>24.151130260721317</v>
      </c>
      <c r="AW56" s="596">
        <f t="shared" si="510"/>
        <v>14.376530260721317</v>
      </c>
      <c r="AX56" s="596">
        <f t="shared" si="510"/>
        <v>10.223430260721319</v>
      </c>
      <c r="AY56" s="596">
        <f t="shared" si="510"/>
        <v>9.3005302607213185</v>
      </c>
      <c r="AZ56" s="596">
        <f t="shared" si="510"/>
        <v>9.3005302607213185</v>
      </c>
      <c r="BA56" s="596">
        <f t="shared" si="510"/>
        <v>9.3844302607213184</v>
      </c>
      <c r="BB56" s="596">
        <f t="shared" si="510"/>
        <v>13.034130260721319</v>
      </c>
      <c r="BC56" s="596">
        <f t="shared" si="510"/>
        <v>24.318930260721316</v>
      </c>
      <c r="BD56" s="596">
        <f t="shared" si="510"/>
        <v>37.197830260721318</v>
      </c>
      <c r="BE56" s="596">
        <f t="shared" si="510"/>
        <v>45.042630260721317</v>
      </c>
      <c r="BF56" s="596">
        <f t="shared" si="510"/>
        <v>46.594730260721313</v>
      </c>
      <c r="BG56" s="596">
        <f t="shared" si="510"/>
        <v>34.764630260721319</v>
      </c>
      <c r="BH56" s="596">
        <f t="shared" si="510"/>
        <v>24.151130260721317</v>
      </c>
      <c r="BI56" s="596">
        <f t="shared" si="510"/>
        <v>14.376530260721317</v>
      </c>
      <c r="BJ56" s="596">
        <f t="shared" si="510"/>
        <v>10.223430260721319</v>
      </c>
      <c r="BK56" s="596">
        <f t="shared" si="510"/>
        <v>9.3005302607213185</v>
      </c>
      <c r="BL56" s="596">
        <f t="shared" si="510"/>
        <v>9.3005302607213185</v>
      </c>
      <c r="BM56" s="596">
        <f t="shared" si="510"/>
        <v>9.3844302607213184</v>
      </c>
      <c r="BN56" s="596">
        <f t="shared" si="510"/>
        <v>13.034130260721319</v>
      </c>
      <c r="BO56" s="596">
        <f t="shared" ref="BO56:CH56" si="511">BO55+BO54</f>
        <v>24.318930260721316</v>
      </c>
      <c r="BP56" s="596">
        <f t="shared" si="511"/>
        <v>37.197830260721318</v>
      </c>
      <c r="BQ56" s="596">
        <f t="shared" si="511"/>
        <v>45.042630260721317</v>
      </c>
      <c r="BR56" s="596">
        <f t="shared" si="511"/>
        <v>46.594730260721313</v>
      </c>
      <c r="BS56" s="596">
        <f t="shared" si="511"/>
        <v>34.764630260721319</v>
      </c>
      <c r="BT56" s="596">
        <f t="shared" si="511"/>
        <v>24.151130260721317</v>
      </c>
      <c r="BU56" s="596">
        <f t="shared" si="511"/>
        <v>14.376530260721317</v>
      </c>
      <c r="BV56" s="596">
        <f t="shared" si="511"/>
        <v>10.223430260721319</v>
      </c>
      <c r="BW56" s="596">
        <f t="shared" si="511"/>
        <v>9.3005302607213185</v>
      </c>
      <c r="BX56" s="596">
        <f t="shared" si="511"/>
        <v>9.3005302607213185</v>
      </c>
      <c r="BY56" s="596">
        <f t="shared" si="511"/>
        <v>9.3844302607213184</v>
      </c>
      <c r="BZ56" s="596">
        <f t="shared" si="511"/>
        <v>13.034130260721319</v>
      </c>
      <c r="CA56" s="596">
        <f t="shared" si="511"/>
        <v>24.318930260721316</v>
      </c>
      <c r="CB56" s="596">
        <f t="shared" si="511"/>
        <v>37.197830260721318</v>
      </c>
      <c r="CC56" s="596">
        <f t="shared" si="511"/>
        <v>45.042630260721317</v>
      </c>
      <c r="CD56" s="596">
        <f t="shared" si="511"/>
        <v>46.594730260721313</v>
      </c>
      <c r="CE56" s="596">
        <f t="shared" si="511"/>
        <v>34.764630260721319</v>
      </c>
      <c r="CF56" s="596">
        <f t="shared" si="511"/>
        <v>24.151130260721317</v>
      </c>
      <c r="CG56" s="596">
        <f t="shared" si="511"/>
        <v>14.376530260721317</v>
      </c>
      <c r="CH56" s="596">
        <f t="shared" si="511"/>
        <v>10.223430260721319</v>
      </c>
    </row>
    <row r="57" spans="1:86" x14ac:dyDescent="0.2">
      <c r="A57" s="585">
        <v>45</v>
      </c>
      <c r="B57" s="211" t="s">
        <v>586</v>
      </c>
      <c r="C57" s="598">
        <f>'Bill Frequency'!C$20</f>
        <v>17024</v>
      </c>
      <c r="D57" s="599">
        <f>'Bill Frequency'!D$20</f>
        <v>17149</v>
      </c>
      <c r="E57" s="599">
        <f>'Bill Frequency'!E$20</f>
        <v>16872</v>
      </c>
      <c r="F57" s="599">
        <f>'Bill Frequency'!F$20</f>
        <v>16778</v>
      </c>
      <c r="G57" s="599">
        <f>'Bill Frequency'!G$20</f>
        <v>17200</v>
      </c>
      <c r="H57" s="599">
        <f>'Bill Frequency'!H$20</f>
        <v>17535</v>
      </c>
      <c r="I57" s="599">
        <f>'Bill Frequency'!I$20</f>
        <v>17874</v>
      </c>
      <c r="J57" s="599">
        <f>'Bill Frequency'!J$20</f>
        <v>17890</v>
      </c>
      <c r="K57" s="599">
        <f>'Bill Frequency'!K$20</f>
        <v>17938</v>
      </c>
      <c r="L57" s="599">
        <f>'Bill Frequency'!L$20</f>
        <v>17568</v>
      </c>
      <c r="M57" s="599">
        <f>'Bill Frequency'!M$20</f>
        <v>17819</v>
      </c>
      <c r="N57" s="600">
        <f>'Bill Frequency'!N$20</f>
        <v>17344</v>
      </c>
      <c r="O57" s="601">
        <f>C57+O46</f>
        <v>17024</v>
      </c>
      <c r="P57" s="601">
        <f t="shared" ref="P57" si="512">D57+P46</f>
        <v>17149</v>
      </c>
      <c r="Q57" s="601">
        <f t="shared" ref="Q57" si="513">E57+Q46</f>
        <v>16872</v>
      </c>
      <c r="R57" s="601">
        <f t="shared" ref="R57" si="514">F57+R46</f>
        <v>16778</v>
      </c>
      <c r="S57" s="601">
        <f t="shared" ref="S57" si="515">G57+S46</f>
        <v>17200</v>
      </c>
      <c r="T57" s="601">
        <f t="shared" ref="T57" si="516">H57+T46</f>
        <v>17535</v>
      </c>
      <c r="U57" s="601">
        <f t="shared" ref="U57" si="517">I57+U46</f>
        <v>17874</v>
      </c>
      <c r="V57" s="601">
        <f t="shared" ref="V57" si="518">J57+V46</f>
        <v>17890</v>
      </c>
      <c r="W57" s="601">
        <f t="shared" ref="W57" si="519">K57+W46</f>
        <v>17938</v>
      </c>
      <c r="X57" s="601">
        <f t="shared" ref="X57" si="520">L57+X46</f>
        <v>17568</v>
      </c>
      <c r="Y57" s="601">
        <f t="shared" ref="Y57" si="521">M57+Y46</f>
        <v>17819</v>
      </c>
      <c r="Z57" s="601">
        <f t="shared" ref="Z57" si="522">N57+Z46</f>
        <v>17344</v>
      </c>
      <c r="AA57" s="601">
        <f>O57+AA46</f>
        <v>17024</v>
      </c>
      <c r="AB57" s="601">
        <f t="shared" ref="AB57" si="523">P57+AB46</f>
        <v>17149</v>
      </c>
      <c r="AC57" s="601">
        <f t="shared" ref="AC57" si="524">Q57+AC46</f>
        <v>16872</v>
      </c>
      <c r="AD57" s="601">
        <f t="shared" ref="AD57" si="525">R57+AD46</f>
        <v>16778</v>
      </c>
      <c r="AE57" s="601">
        <f t="shared" ref="AE57" si="526">S57+AE46</f>
        <v>17200</v>
      </c>
      <c r="AF57" s="601">
        <f t="shared" ref="AF57" si="527">T57+AF46</f>
        <v>17535</v>
      </c>
      <c r="AG57" s="601">
        <f t="shared" ref="AG57" si="528">U57+AG46</f>
        <v>17874</v>
      </c>
      <c r="AH57" s="601">
        <f t="shared" ref="AH57" si="529">V57+AH46</f>
        <v>17890</v>
      </c>
      <c r="AI57" s="601">
        <f t="shared" ref="AI57" si="530">W57+AI46</f>
        <v>17938</v>
      </c>
      <c r="AJ57" s="601">
        <f t="shared" ref="AJ57" si="531">X57+AJ46</f>
        <v>17568</v>
      </c>
      <c r="AK57" s="601">
        <f t="shared" ref="AK57" si="532">Y57+AK46</f>
        <v>17819</v>
      </c>
      <c r="AL57" s="601">
        <f t="shared" ref="AL57" si="533">Z57+AL46</f>
        <v>17344</v>
      </c>
      <c r="AM57" s="601">
        <f>AA57+AM46</f>
        <v>17024</v>
      </c>
      <c r="AN57" s="601">
        <f t="shared" ref="AN57" si="534">AB57+AN46</f>
        <v>17149</v>
      </c>
      <c r="AO57" s="601">
        <f t="shared" ref="AO57" si="535">AC57+AO46</f>
        <v>16872</v>
      </c>
      <c r="AP57" s="601">
        <f t="shared" ref="AP57" si="536">AD57+AP46</f>
        <v>16778</v>
      </c>
      <c r="AQ57" s="601">
        <f t="shared" ref="AQ57" si="537">AE57+AQ46</f>
        <v>17200</v>
      </c>
      <c r="AR57" s="601">
        <f t="shared" ref="AR57" si="538">AF57+AR46</f>
        <v>17535</v>
      </c>
      <c r="AS57" s="601">
        <f t="shared" ref="AS57" si="539">AG57+AS46</f>
        <v>17874</v>
      </c>
      <c r="AT57" s="601">
        <f t="shared" ref="AT57" si="540">AH57+AT46</f>
        <v>17890</v>
      </c>
      <c r="AU57" s="601">
        <f t="shared" ref="AU57" si="541">AI57+AU46</f>
        <v>17938</v>
      </c>
      <c r="AV57" s="601">
        <f t="shared" ref="AV57" si="542">AJ57+AV46</f>
        <v>17568</v>
      </c>
      <c r="AW57" s="601">
        <f t="shared" ref="AW57" si="543">AK57+AW46</f>
        <v>17819</v>
      </c>
      <c r="AX57" s="601">
        <f t="shared" ref="AX57" si="544">AL57+AX46</f>
        <v>17344</v>
      </c>
      <c r="AY57" s="601">
        <f>AM57+AY46</f>
        <v>17024</v>
      </c>
      <c r="AZ57" s="601">
        <f t="shared" ref="AZ57" si="545">AN57+AZ46</f>
        <v>17149</v>
      </c>
      <c r="BA57" s="601">
        <f t="shared" ref="BA57" si="546">AO57+BA46</f>
        <v>16872</v>
      </c>
      <c r="BB57" s="601">
        <f t="shared" ref="BB57" si="547">AP57+BB46</f>
        <v>16778</v>
      </c>
      <c r="BC57" s="601">
        <f t="shared" ref="BC57" si="548">AQ57+BC46</f>
        <v>17200</v>
      </c>
      <c r="BD57" s="601">
        <f t="shared" ref="BD57" si="549">AR57+BD46</f>
        <v>17535</v>
      </c>
      <c r="BE57" s="601">
        <f t="shared" ref="BE57" si="550">AS57+BE46</f>
        <v>17874</v>
      </c>
      <c r="BF57" s="601">
        <f t="shared" ref="BF57" si="551">AT57+BF46</f>
        <v>17890</v>
      </c>
      <c r="BG57" s="601">
        <f t="shared" ref="BG57" si="552">AU57+BG46</f>
        <v>17938</v>
      </c>
      <c r="BH57" s="601">
        <f t="shared" ref="BH57" si="553">AV57+BH46</f>
        <v>17568</v>
      </c>
      <c r="BI57" s="601">
        <f t="shared" ref="BI57" si="554">AW57+BI46</f>
        <v>17819</v>
      </c>
      <c r="BJ57" s="601">
        <f t="shared" ref="BJ57" si="555">AX57+BJ46</f>
        <v>17344</v>
      </c>
      <c r="BK57" s="601">
        <f>AY57+BK46</f>
        <v>17024</v>
      </c>
      <c r="BL57" s="601">
        <f t="shared" ref="BL57" si="556">AZ57+BL46</f>
        <v>17149</v>
      </c>
      <c r="BM57" s="601">
        <f t="shared" ref="BM57" si="557">BA57+BM46</f>
        <v>16872</v>
      </c>
      <c r="BN57" s="601">
        <f t="shared" ref="BN57" si="558">BB57+BN46</f>
        <v>16778</v>
      </c>
      <c r="BO57" s="601">
        <f t="shared" ref="BO57" si="559">BC57+BO46</f>
        <v>17200</v>
      </c>
      <c r="BP57" s="601">
        <f t="shared" ref="BP57" si="560">BD57+BP46</f>
        <v>17535</v>
      </c>
      <c r="BQ57" s="601">
        <f t="shared" ref="BQ57" si="561">BE57+BQ46</f>
        <v>17874</v>
      </c>
      <c r="BR57" s="601">
        <f t="shared" ref="BR57" si="562">BF57+BR46</f>
        <v>17890</v>
      </c>
      <c r="BS57" s="601">
        <f t="shared" ref="BS57" si="563">BG57+BS46</f>
        <v>17938</v>
      </c>
      <c r="BT57" s="601">
        <f t="shared" ref="BT57" si="564">BH57+BT46</f>
        <v>17568</v>
      </c>
      <c r="BU57" s="601">
        <f t="shared" ref="BU57" si="565">BI57+BU46</f>
        <v>17819</v>
      </c>
      <c r="BV57" s="601">
        <f t="shared" ref="BV57" si="566">BJ57+BV46</f>
        <v>17344</v>
      </c>
      <c r="BW57" s="601">
        <f>BK57+BW46</f>
        <v>17024</v>
      </c>
      <c r="BX57" s="601">
        <f t="shared" ref="BX57" si="567">BL57+BX46</f>
        <v>17149</v>
      </c>
      <c r="BY57" s="601">
        <f t="shared" ref="BY57" si="568">BM57+BY46</f>
        <v>16872</v>
      </c>
      <c r="BZ57" s="601">
        <f t="shared" ref="BZ57" si="569">BN57+BZ46</f>
        <v>16778</v>
      </c>
      <c r="CA57" s="601">
        <f t="shared" ref="CA57" si="570">BO57+CA46</f>
        <v>17200</v>
      </c>
      <c r="CB57" s="601">
        <f t="shared" ref="CB57" si="571">BP57+CB46</f>
        <v>17535</v>
      </c>
      <c r="CC57" s="601">
        <f t="shared" ref="CC57" si="572">BQ57+CC46</f>
        <v>17874</v>
      </c>
      <c r="CD57" s="601">
        <f t="shared" ref="CD57" si="573">BR57+CD46</f>
        <v>17890</v>
      </c>
      <c r="CE57" s="601">
        <f t="shared" ref="CE57" si="574">BS57+CE46</f>
        <v>17938</v>
      </c>
      <c r="CF57" s="601">
        <f t="shared" ref="CF57" si="575">BT57+CF46</f>
        <v>17568</v>
      </c>
      <c r="CG57" s="601">
        <f t="shared" ref="CG57" si="576">BU57+CG46</f>
        <v>17819</v>
      </c>
      <c r="CH57" s="601">
        <f t="shared" ref="CH57" si="577">BV57+CH46</f>
        <v>17344</v>
      </c>
    </row>
    <row r="58" spans="1:86" x14ac:dyDescent="0.2">
      <c r="A58" s="585">
        <v>46</v>
      </c>
      <c r="B58" s="211" t="s">
        <v>587</v>
      </c>
      <c r="C58" s="45">
        <f t="shared" ref="C58:N58" si="578">C57*C56</f>
        <v>158332.22715851973</v>
      </c>
      <c r="D58" s="45">
        <f t="shared" si="578"/>
        <v>159494.79344110988</v>
      </c>
      <c r="E58" s="45">
        <f t="shared" si="578"/>
        <v>158334.10735889009</v>
      </c>
      <c r="F58" s="45">
        <f t="shared" si="578"/>
        <v>218686.63751438231</v>
      </c>
      <c r="G58" s="45">
        <f t="shared" si="578"/>
        <v>418285.60048440663</v>
      </c>
      <c r="H58" s="45">
        <f t="shared" si="578"/>
        <v>652263.95362174837</v>
      </c>
      <c r="I58" s="45">
        <f t="shared" si="578"/>
        <v>805091.97328013286</v>
      </c>
      <c r="J58" s="45">
        <f t="shared" si="578"/>
        <v>833579.72436430433</v>
      </c>
      <c r="K58" s="45">
        <f t="shared" si="578"/>
        <v>623607.93761681905</v>
      </c>
      <c r="L58" s="45">
        <f t="shared" si="578"/>
        <v>424287.05642035208</v>
      </c>
      <c r="M58" s="45">
        <f t="shared" si="578"/>
        <v>256175.39271579316</v>
      </c>
      <c r="N58" s="45">
        <f t="shared" si="578"/>
        <v>177315.17444195054</v>
      </c>
      <c r="O58" s="466">
        <f>O57*O56</f>
        <v>158332.22715851973</v>
      </c>
      <c r="P58" s="466">
        <f t="shared" ref="P58:Z58" si="579">P57*P56</f>
        <v>159494.79344110988</v>
      </c>
      <c r="Q58" s="466">
        <f t="shared" si="579"/>
        <v>158334.10735889009</v>
      </c>
      <c r="R58" s="466">
        <f t="shared" si="579"/>
        <v>218686.63751438231</v>
      </c>
      <c r="S58" s="466">
        <f t="shared" si="579"/>
        <v>418285.60048440663</v>
      </c>
      <c r="T58" s="466">
        <f t="shared" si="579"/>
        <v>652263.95362174837</v>
      </c>
      <c r="U58" s="466">
        <f t="shared" si="579"/>
        <v>805091.97328013286</v>
      </c>
      <c r="V58" s="466">
        <f t="shared" si="579"/>
        <v>833579.72436430433</v>
      </c>
      <c r="W58" s="466">
        <f t="shared" si="579"/>
        <v>623607.93761681905</v>
      </c>
      <c r="X58" s="466">
        <f t="shared" si="579"/>
        <v>424287.05642035208</v>
      </c>
      <c r="Y58" s="466">
        <f t="shared" si="579"/>
        <v>256175.39271579316</v>
      </c>
      <c r="Z58" s="466">
        <f t="shared" si="579"/>
        <v>177315.17444195054</v>
      </c>
      <c r="AA58" s="466">
        <f>AA57*AA56</f>
        <v>158332.22715851973</v>
      </c>
      <c r="AB58" s="466">
        <f t="shared" ref="AB58:AL58" si="580">AB57*AB56</f>
        <v>159494.79344110988</v>
      </c>
      <c r="AC58" s="466">
        <f t="shared" si="580"/>
        <v>158334.10735889009</v>
      </c>
      <c r="AD58" s="466">
        <f t="shared" si="580"/>
        <v>218686.63751438231</v>
      </c>
      <c r="AE58" s="466">
        <f t="shared" si="580"/>
        <v>418285.60048440663</v>
      </c>
      <c r="AF58" s="466">
        <f t="shared" si="580"/>
        <v>652263.95362174837</v>
      </c>
      <c r="AG58" s="466">
        <f t="shared" si="580"/>
        <v>805091.97328013286</v>
      </c>
      <c r="AH58" s="466">
        <f t="shared" si="580"/>
        <v>833579.72436430433</v>
      </c>
      <c r="AI58" s="466">
        <f t="shared" si="580"/>
        <v>623607.93761681905</v>
      </c>
      <c r="AJ58" s="466">
        <f t="shared" si="580"/>
        <v>424287.05642035208</v>
      </c>
      <c r="AK58" s="466">
        <f t="shared" si="580"/>
        <v>256175.39271579316</v>
      </c>
      <c r="AL58" s="466">
        <f t="shared" si="580"/>
        <v>177315.17444195054</v>
      </c>
      <c r="AM58" s="466">
        <f>AM57*AM56</f>
        <v>158332.22715851973</v>
      </c>
      <c r="AN58" s="466">
        <f t="shared" ref="AN58:AX58" si="581">AN57*AN56</f>
        <v>159494.79344110988</v>
      </c>
      <c r="AO58" s="466">
        <f t="shared" si="581"/>
        <v>158334.10735889009</v>
      </c>
      <c r="AP58" s="466">
        <f t="shared" si="581"/>
        <v>218686.63751438231</v>
      </c>
      <c r="AQ58" s="466">
        <f t="shared" si="581"/>
        <v>418285.60048440663</v>
      </c>
      <c r="AR58" s="466">
        <f t="shared" si="581"/>
        <v>652263.95362174837</v>
      </c>
      <c r="AS58" s="466">
        <f t="shared" si="581"/>
        <v>805091.97328013286</v>
      </c>
      <c r="AT58" s="466">
        <f t="shared" si="581"/>
        <v>833579.72436430433</v>
      </c>
      <c r="AU58" s="466">
        <f t="shared" si="581"/>
        <v>623607.93761681905</v>
      </c>
      <c r="AV58" s="466">
        <f t="shared" si="581"/>
        <v>424287.05642035208</v>
      </c>
      <c r="AW58" s="466">
        <f t="shared" si="581"/>
        <v>256175.39271579316</v>
      </c>
      <c r="AX58" s="466">
        <f t="shared" si="581"/>
        <v>177315.17444195054</v>
      </c>
      <c r="AY58" s="466">
        <f>AY57*AY56</f>
        <v>158332.22715851973</v>
      </c>
      <c r="AZ58" s="466">
        <f t="shared" ref="AZ58:BJ58" si="582">AZ57*AZ56</f>
        <v>159494.79344110988</v>
      </c>
      <c r="BA58" s="466">
        <f t="shared" si="582"/>
        <v>158334.10735889009</v>
      </c>
      <c r="BB58" s="466">
        <f t="shared" si="582"/>
        <v>218686.63751438231</v>
      </c>
      <c r="BC58" s="466">
        <f t="shared" si="582"/>
        <v>418285.60048440663</v>
      </c>
      <c r="BD58" s="466">
        <f t="shared" si="582"/>
        <v>652263.95362174837</v>
      </c>
      <c r="BE58" s="466">
        <f t="shared" si="582"/>
        <v>805091.97328013286</v>
      </c>
      <c r="BF58" s="466">
        <f t="shared" si="582"/>
        <v>833579.72436430433</v>
      </c>
      <c r="BG58" s="466">
        <f t="shared" si="582"/>
        <v>623607.93761681905</v>
      </c>
      <c r="BH58" s="466">
        <f t="shared" si="582"/>
        <v>424287.05642035208</v>
      </c>
      <c r="BI58" s="466">
        <f t="shared" si="582"/>
        <v>256175.39271579316</v>
      </c>
      <c r="BJ58" s="466">
        <f t="shared" si="582"/>
        <v>177315.17444195054</v>
      </c>
      <c r="BK58" s="466">
        <f>BK57*BK56</f>
        <v>158332.22715851973</v>
      </c>
      <c r="BL58" s="466">
        <f t="shared" ref="BL58:BV58" si="583">BL57*BL56</f>
        <v>159494.79344110988</v>
      </c>
      <c r="BM58" s="466">
        <f t="shared" si="583"/>
        <v>158334.10735889009</v>
      </c>
      <c r="BN58" s="466">
        <f t="shared" si="583"/>
        <v>218686.63751438231</v>
      </c>
      <c r="BO58" s="466">
        <f t="shared" si="583"/>
        <v>418285.60048440663</v>
      </c>
      <c r="BP58" s="466">
        <f t="shared" si="583"/>
        <v>652263.95362174837</v>
      </c>
      <c r="BQ58" s="466">
        <f t="shared" si="583"/>
        <v>805091.97328013286</v>
      </c>
      <c r="BR58" s="466">
        <f t="shared" si="583"/>
        <v>833579.72436430433</v>
      </c>
      <c r="BS58" s="466">
        <f t="shared" si="583"/>
        <v>623607.93761681905</v>
      </c>
      <c r="BT58" s="466">
        <f t="shared" si="583"/>
        <v>424287.05642035208</v>
      </c>
      <c r="BU58" s="466">
        <f t="shared" si="583"/>
        <v>256175.39271579316</v>
      </c>
      <c r="BV58" s="466">
        <f t="shared" si="583"/>
        <v>177315.17444195054</v>
      </c>
      <c r="BW58" s="466">
        <f>BW57*BW56</f>
        <v>158332.22715851973</v>
      </c>
      <c r="BX58" s="466">
        <f t="shared" ref="BX58:CH58" si="584">BX57*BX56</f>
        <v>159494.79344110988</v>
      </c>
      <c r="BY58" s="466">
        <f t="shared" si="584"/>
        <v>158334.10735889009</v>
      </c>
      <c r="BZ58" s="466">
        <f t="shared" si="584"/>
        <v>218686.63751438231</v>
      </c>
      <c r="CA58" s="466">
        <f t="shared" si="584"/>
        <v>418285.60048440663</v>
      </c>
      <c r="CB58" s="466">
        <f t="shared" si="584"/>
        <v>652263.95362174837</v>
      </c>
      <c r="CC58" s="466">
        <f t="shared" si="584"/>
        <v>805091.97328013286</v>
      </c>
      <c r="CD58" s="466">
        <f t="shared" si="584"/>
        <v>833579.72436430433</v>
      </c>
      <c r="CE58" s="466">
        <f t="shared" si="584"/>
        <v>623607.93761681905</v>
      </c>
      <c r="CF58" s="466">
        <f t="shared" si="584"/>
        <v>424287.05642035208</v>
      </c>
      <c r="CG58" s="466">
        <f t="shared" si="584"/>
        <v>256175.39271579316</v>
      </c>
      <c r="CH58" s="466">
        <f t="shared" si="584"/>
        <v>177315.17444195054</v>
      </c>
    </row>
    <row r="59" spans="1:86" x14ac:dyDescent="0.2">
      <c r="A59" s="585">
        <v>47</v>
      </c>
      <c r="B59" s="211" t="s">
        <v>588</v>
      </c>
      <c r="C59" s="602">
        <f>'Bill Frequency'!C$24+'Contract &amp; Vol Adj'!C24</f>
        <v>164536.20000000001</v>
      </c>
      <c r="D59" s="603">
        <f>'Bill Frequency'!D$24+'Contract &amp; Vol Adj'!D24</f>
        <v>139129.04</v>
      </c>
      <c r="E59" s="603">
        <f>'Bill Frequency'!E$24+'Contract &amp; Vol Adj'!E24</f>
        <v>177284.3</v>
      </c>
      <c r="F59" s="603">
        <f>'Bill Frequency'!F$24+'Contract &amp; Vol Adj'!F24</f>
        <v>211575.94</v>
      </c>
      <c r="G59" s="603">
        <f>'Bill Frequency'!G$24+'Contract &amp; Vol Adj'!G24</f>
        <v>202291.58</v>
      </c>
      <c r="H59" s="603">
        <f>'Bill Frequency'!H$24+'Contract &amp; Vol Adj'!H24</f>
        <v>601705.67000000004</v>
      </c>
      <c r="I59" s="603">
        <f>'Bill Frequency'!I$24+'Contract &amp; Vol Adj'!I24</f>
        <v>887212.6</v>
      </c>
      <c r="J59" s="603">
        <f>'Bill Frequency'!J$24+'Contract &amp; Vol Adj'!J24</f>
        <v>648007.38</v>
      </c>
      <c r="K59" s="603">
        <f>'Bill Frequency'!K$24+'Contract &amp; Vol Adj'!K24</f>
        <v>486217.62</v>
      </c>
      <c r="L59" s="603">
        <f>'Bill Frequency'!L$24+'Contract &amp; Vol Adj'!L24</f>
        <v>352149.6</v>
      </c>
      <c r="M59" s="603">
        <f>'Bill Frequency'!M$24+'Contract &amp; Vol Adj'!M24</f>
        <v>200531.54</v>
      </c>
      <c r="N59" s="604">
        <f>'Bill Frequency'!N$24+'Contract &amp; Vol Adj'!N24</f>
        <v>153061.87</v>
      </c>
      <c r="O59" s="577" t="s">
        <v>598</v>
      </c>
      <c r="P59" s="577" t="s">
        <v>598</v>
      </c>
      <c r="Q59" s="577" t="s">
        <v>598</v>
      </c>
      <c r="R59" s="577" t="s">
        <v>598</v>
      </c>
      <c r="S59" s="577" t="s">
        <v>598</v>
      </c>
      <c r="T59" s="577" t="s">
        <v>598</v>
      </c>
      <c r="U59" s="577" t="s">
        <v>598</v>
      </c>
      <c r="V59" s="577" t="s">
        <v>598</v>
      </c>
      <c r="W59" s="577" t="s">
        <v>598</v>
      </c>
      <c r="X59" s="577" t="s">
        <v>598</v>
      </c>
      <c r="Y59" s="577" t="s">
        <v>598</v>
      </c>
      <c r="Z59" s="577" t="s">
        <v>598</v>
      </c>
      <c r="AA59" s="577" t="s">
        <v>598</v>
      </c>
      <c r="AB59" s="577" t="s">
        <v>598</v>
      </c>
      <c r="AC59" s="577" t="s">
        <v>598</v>
      </c>
      <c r="AD59" s="577" t="s">
        <v>598</v>
      </c>
      <c r="AE59" s="577" t="s">
        <v>598</v>
      </c>
      <c r="AF59" s="577" t="s">
        <v>598</v>
      </c>
      <c r="AG59" s="577" t="s">
        <v>598</v>
      </c>
      <c r="AH59" s="577" t="s">
        <v>598</v>
      </c>
      <c r="AI59" s="577" t="s">
        <v>598</v>
      </c>
      <c r="AJ59" s="577" t="s">
        <v>598</v>
      </c>
      <c r="AK59" s="577" t="s">
        <v>598</v>
      </c>
      <c r="AL59" s="577" t="s">
        <v>598</v>
      </c>
      <c r="AM59" s="577" t="s">
        <v>598</v>
      </c>
      <c r="AN59" s="577" t="s">
        <v>598</v>
      </c>
      <c r="AO59" s="577" t="s">
        <v>598</v>
      </c>
      <c r="AP59" s="577" t="s">
        <v>598</v>
      </c>
      <c r="AQ59" s="577" t="s">
        <v>598</v>
      </c>
      <c r="AR59" s="577" t="s">
        <v>598</v>
      </c>
      <c r="AS59" s="577" t="s">
        <v>598</v>
      </c>
      <c r="AT59" s="577" t="s">
        <v>598</v>
      </c>
      <c r="AU59" s="577" t="s">
        <v>598</v>
      </c>
      <c r="AV59" s="577" t="s">
        <v>598</v>
      </c>
      <c r="AW59" s="577" t="s">
        <v>598</v>
      </c>
      <c r="AX59" s="577" t="s">
        <v>598</v>
      </c>
      <c r="AY59" s="577" t="s">
        <v>598</v>
      </c>
      <c r="AZ59" s="577" t="s">
        <v>598</v>
      </c>
      <c r="BA59" s="577" t="s">
        <v>598</v>
      </c>
      <c r="BB59" s="577" t="s">
        <v>598</v>
      </c>
      <c r="BC59" s="577" t="s">
        <v>598</v>
      </c>
      <c r="BD59" s="577" t="s">
        <v>598</v>
      </c>
      <c r="BE59" s="577" t="s">
        <v>598</v>
      </c>
      <c r="BF59" s="577" t="s">
        <v>598</v>
      </c>
      <c r="BG59" s="577" t="s">
        <v>598</v>
      </c>
      <c r="BH59" s="577" t="s">
        <v>598</v>
      </c>
      <c r="BI59" s="577" t="s">
        <v>598</v>
      </c>
      <c r="BJ59" s="577" t="s">
        <v>598</v>
      </c>
      <c r="BK59" s="577" t="s">
        <v>598</v>
      </c>
      <c r="BL59" s="577" t="s">
        <v>598</v>
      </c>
      <c r="BM59" s="577" t="s">
        <v>598</v>
      </c>
      <c r="BN59" s="577" t="s">
        <v>598</v>
      </c>
      <c r="BO59" s="577" t="s">
        <v>598</v>
      </c>
      <c r="BP59" s="577" t="s">
        <v>598</v>
      </c>
      <c r="BQ59" s="577" t="s">
        <v>598</v>
      </c>
      <c r="BR59" s="577" t="s">
        <v>598</v>
      </c>
      <c r="BS59" s="577" t="s">
        <v>598</v>
      </c>
      <c r="BT59" s="577" t="s">
        <v>598</v>
      </c>
      <c r="BU59" s="577" t="s">
        <v>598</v>
      </c>
      <c r="BV59" s="577" t="s">
        <v>598</v>
      </c>
      <c r="BW59" s="577" t="s">
        <v>598</v>
      </c>
      <c r="BX59" s="577" t="s">
        <v>598</v>
      </c>
      <c r="BY59" s="577" t="s">
        <v>598</v>
      </c>
      <c r="BZ59" s="577" t="s">
        <v>598</v>
      </c>
      <c r="CA59" s="577" t="s">
        <v>598</v>
      </c>
      <c r="CB59" s="577" t="s">
        <v>598</v>
      </c>
      <c r="CC59" s="577" t="s">
        <v>598</v>
      </c>
      <c r="CD59" s="577" t="s">
        <v>598</v>
      </c>
      <c r="CE59" s="577" t="s">
        <v>598</v>
      </c>
      <c r="CF59" s="577" t="s">
        <v>598</v>
      </c>
      <c r="CG59" s="577" t="s">
        <v>598</v>
      </c>
      <c r="CH59" s="577" t="s">
        <v>598</v>
      </c>
    </row>
    <row r="60" spans="1:86" x14ac:dyDescent="0.2">
      <c r="A60" s="585">
        <v>48</v>
      </c>
      <c r="B60" s="211" t="s">
        <v>603</v>
      </c>
      <c r="C60" s="46">
        <f>C57*(C53*C$15+C55)</f>
        <v>158332.22715851973</v>
      </c>
      <c r="D60" s="46">
        <f t="shared" ref="D60:BO60" si="585">D57*(D53*D$15+D55)</f>
        <v>159494.79344110988</v>
      </c>
      <c r="E60" s="46">
        <f t="shared" si="585"/>
        <v>173905.58534899188</v>
      </c>
      <c r="F60" s="46">
        <f t="shared" si="585"/>
        <v>305964.32778837543</v>
      </c>
      <c r="G60" s="46">
        <f t="shared" si="585"/>
        <v>520745.68717002874</v>
      </c>
      <c r="H60" s="46">
        <f t="shared" si="585"/>
        <v>757454.96256832569</v>
      </c>
      <c r="I60" s="46">
        <f t="shared" si="585"/>
        <v>836583.8634065626</v>
      </c>
      <c r="J60" s="46">
        <f t="shared" si="585"/>
        <v>712749.87501409603</v>
      </c>
      <c r="K60" s="46">
        <f t="shared" si="585"/>
        <v>557387.0533998739</v>
      </c>
      <c r="L60" s="46">
        <f t="shared" si="585"/>
        <v>319633.8106655844</v>
      </c>
      <c r="M60" s="46">
        <f t="shared" si="585"/>
        <v>209829.867420967</v>
      </c>
      <c r="N60" s="46">
        <f t="shared" si="585"/>
        <v>162763.58492860064</v>
      </c>
      <c r="O60" s="46">
        <f t="shared" si="585"/>
        <v>158332.22715851973</v>
      </c>
      <c r="P60" s="46">
        <f t="shared" si="585"/>
        <v>159494.79344110988</v>
      </c>
      <c r="Q60" s="46">
        <f t="shared" si="585"/>
        <v>173905.58808014588</v>
      </c>
      <c r="R60" s="46">
        <f t="shared" si="585"/>
        <v>305964.35189232294</v>
      </c>
      <c r="S60" s="46">
        <f t="shared" si="585"/>
        <v>520745.74517521553</v>
      </c>
      <c r="T60" s="46">
        <f t="shared" si="585"/>
        <v>757455.05813038722</v>
      </c>
      <c r="U60" s="46">
        <f t="shared" si="585"/>
        <v>836583.97118394973</v>
      </c>
      <c r="V60" s="46">
        <f t="shared" si="585"/>
        <v>712749.96285769041</v>
      </c>
      <c r="W60" s="46">
        <f t="shared" si="585"/>
        <v>557387.11619266041</v>
      </c>
      <c r="X60" s="46">
        <f t="shared" si="585"/>
        <v>319633.83578598517</v>
      </c>
      <c r="Y60" s="46">
        <f t="shared" si="585"/>
        <v>209829.87451190548</v>
      </c>
      <c r="Z60" s="46">
        <f t="shared" si="585"/>
        <v>162763.58516256389</v>
      </c>
      <c r="AA60" s="46">
        <f t="shared" si="585"/>
        <v>158332.22715851973</v>
      </c>
      <c r="AB60" s="46">
        <f t="shared" si="585"/>
        <v>159494.79344110988</v>
      </c>
      <c r="AC60" s="46">
        <f t="shared" si="585"/>
        <v>173905.58808014588</v>
      </c>
      <c r="AD60" s="46">
        <f t="shared" si="585"/>
        <v>305964.35189232294</v>
      </c>
      <c r="AE60" s="46">
        <f t="shared" si="585"/>
        <v>520745.74517521553</v>
      </c>
      <c r="AF60" s="46">
        <f t="shared" si="585"/>
        <v>757455.05813038722</v>
      </c>
      <c r="AG60" s="46">
        <f t="shared" si="585"/>
        <v>836583.97118394973</v>
      </c>
      <c r="AH60" s="46">
        <f t="shared" si="585"/>
        <v>712749.96285769041</v>
      </c>
      <c r="AI60" s="46">
        <f t="shared" si="585"/>
        <v>557387.11619266041</v>
      </c>
      <c r="AJ60" s="46">
        <f t="shared" si="585"/>
        <v>319633.83578598517</v>
      </c>
      <c r="AK60" s="46">
        <f t="shared" si="585"/>
        <v>209829.87451190548</v>
      </c>
      <c r="AL60" s="46">
        <f t="shared" si="585"/>
        <v>162763.58516256389</v>
      </c>
      <c r="AM60" s="46">
        <f t="shared" si="585"/>
        <v>158332.22715851973</v>
      </c>
      <c r="AN60" s="46">
        <f t="shared" si="585"/>
        <v>159494.79344110988</v>
      </c>
      <c r="AO60" s="46">
        <f t="shared" si="585"/>
        <v>173905.58808014588</v>
      </c>
      <c r="AP60" s="46">
        <f t="shared" si="585"/>
        <v>305964.35189232294</v>
      </c>
      <c r="AQ60" s="46">
        <f t="shared" si="585"/>
        <v>520745.74517521553</v>
      </c>
      <c r="AR60" s="46">
        <f t="shared" si="585"/>
        <v>757455.05813038722</v>
      </c>
      <c r="AS60" s="46">
        <f t="shared" si="585"/>
        <v>836583.97118394973</v>
      </c>
      <c r="AT60" s="46">
        <f t="shared" si="585"/>
        <v>712749.96285769041</v>
      </c>
      <c r="AU60" s="46">
        <f t="shared" si="585"/>
        <v>557387.11619266041</v>
      </c>
      <c r="AV60" s="46">
        <f t="shared" si="585"/>
        <v>319633.83578598517</v>
      </c>
      <c r="AW60" s="46">
        <f t="shared" si="585"/>
        <v>209829.87451190548</v>
      </c>
      <c r="AX60" s="46">
        <f t="shared" si="585"/>
        <v>162763.58516256389</v>
      </c>
      <c r="AY60" s="46">
        <f t="shared" si="585"/>
        <v>158332.22715851973</v>
      </c>
      <c r="AZ60" s="46">
        <f t="shared" si="585"/>
        <v>159494.79344110988</v>
      </c>
      <c r="BA60" s="46">
        <f t="shared" si="585"/>
        <v>173905.58808014588</v>
      </c>
      <c r="BB60" s="46">
        <f t="shared" si="585"/>
        <v>305964.35189232294</v>
      </c>
      <c r="BC60" s="46">
        <f t="shared" si="585"/>
        <v>520745.74517521553</v>
      </c>
      <c r="BD60" s="46">
        <f t="shared" si="585"/>
        <v>757455.05813038722</v>
      </c>
      <c r="BE60" s="46">
        <f t="shared" si="585"/>
        <v>836583.97118394973</v>
      </c>
      <c r="BF60" s="46">
        <f t="shared" si="585"/>
        <v>712749.96285769041</v>
      </c>
      <c r="BG60" s="46">
        <f t="shared" si="585"/>
        <v>557387.11619266041</v>
      </c>
      <c r="BH60" s="46">
        <f t="shared" si="585"/>
        <v>319633.83578598517</v>
      </c>
      <c r="BI60" s="46">
        <f t="shared" si="585"/>
        <v>209829.87451190548</v>
      </c>
      <c r="BJ60" s="46">
        <f t="shared" si="585"/>
        <v>162763.58516256389</v>
      </c>
      <c r="BK60" s="46">
        <f t="shared" si="585"/>
        <v>158332.22715851973</v>
      </c>
      <c r="BL60" s="46">
        <f t="shared" si="585"/>
        <v>159494.79344110988</v>
      </c>
      <c r="BM60" s="46">
        <f t="shared" si="585"/>
        <v>173905.58808014588</v>
      </c>
      <c r="BN60" s="46">
        <f t="shared" si="585"/>
        <v>305964.35189232294</v>
      </c>
      <c r="BO60" s="46">
        <f t="shared" si="585"/>
        <v>520745.74517521553</v>
      </c>
      <c r="BP60" s="46">
        <f t="shared" ref="BP60:CH60" si="586">BP57*(BP53*BP$15+BP55)</f>
        <v>757455.05813038722</v>
      </c>
      <c r="BQ60" s="46">
        <f t="shared" si="586"/>
        <v>836583.97118394973</v>
      </c>
      <c r="BR60" s="46">
        <f t="shared" si="586"/>
        <v>712749.96285769041</v>
      </c>
      <c r="BS60" s="46">
        <f t="shared" si="586"/>
        <v>557387.11619266041</v>
      </c>
      <c r="BT60" s="46">
        <f t="shared" si="586"/>
        <v>319633.83578598517</v>
      </c>
      <c r="BU60" s="46">
        <f t="shared" si="586"/>
        <v>209829.87451190548</v>
      </c>
      <c r="BV60" s="46">
        <f t="shared" si="586"/>
        <v>162763.58516256389</v>
      </c>
      <c r="BW60" s="46">
        <f t="shared" si="586"/>
        <v>158332.22715851973</v>
      </c>
      <c r="BX60" s="46">
        <f t="shared" si="586"/>
        <v>159494.79344110988</v>
      </c>
      <c r="BY60" s="46">
        <f t="shared" si="586"/>
        <v>173905.58808014588</v>
      </c>
      <c r="BZ60" s="46">
        <f t="shared" si="586"/>
        <v>305964.35189232294</v>
      </c>
      <c r="CA60" s="46">
        <f t="shared" si="586"/>
        <v>520745.74517521553</v>
      </c>
      <c r="CB60" s="46">
        <f t="shared" si="586"/>
        <v>757455.05813038722</v>
      </c>
      <c r="CC60" s="46">
        <f t="shared" si="586"/>
        <v>836583.97118394973</v>
      </c>
      <c r="CD60" s="46">
        <f t="shared" si="586"/>
        <v>712749.96285769041</v>
      </c>
      <c r="CE60" s="46">
        <f t="shared" si="586"/>
        <v>557387.11619266041</v>
      </c>
      <c r="CF60" s="46">
        <f t="shared" si="586"/>
        <v>319633.83578598517</v>
      </c>
      <c r="CG60" s="46">
        <f t="shared" si="586"/>
        <v>209829.87451190548</v>
      </c>
      <c r="CH60" s="46">
        <f t="shared" si="586"/>
        <v>162763.58516256389</v>
      </c>
    </row>
    <row r="61" spans="1:86" x14ac:dyDescent="0.2">
      <c r="A61" s="585">
        <v>49</v>
      </c>
      <c r="B61" s="211" t="s">
        <v>605</v>
      </c>
      <c r="C61" s="46">
        <f>C60/SUM(C60:N60)*SUM(C58:N58)</f>
        <v>158676.79952852274</v>
      </c>
      <c r="D61" s="46">
        <f>D60/SUM(C60:N60)*SUM(C58:N58)</f>
        <v>159841.89585964731</v>
      </c>
      <c r="E61" s="46">
        <f>E60/SUM(C60:N60)*SUM(C58:N58)</f>
        <v>174284.04942276803</v>
      </c>
      <c r="F61" s="46">
        <f>F60/SUM(C60:N60)*SUM(C58:N58)</f>
        <v>306630.18625228037</v>
      </c>
      <c r="G61" s="46">
        <f>G60/SUM(C60:N60)*SUM(C58:N58)</f>
        <v>521878.96609130217</v>
      </c>
      <c r="H61" s="46">
        <f>H60/SUM(C60:N60)*SUM(C58:N58)</f>
        <v>759103.38283188583</v>
      </c>
      <c r="I61" s="46">
        <f>I60/SUM(C60:N60)*SUM(C58:N58)</f>
        <v>838404.48887045926</v>
      </c>
      <c r="J61" s="46">
        <f>J60/SUM(C60:N60)*SUM(C58:N58)</f>
        <v>714301.00530551211</v>
      </c>
      <c r="K61" s="46">
        <f>K60/SUM(C60:N60)*SUM(C58:N58)</f>
        <v>558600.07352499792</v>
      </c>
      <c r="L61" s="46">
        <f>L60/SUM(C60:N60)*SUM(C58:N58)</f>
        <v>320329.41750223847</v>
      </c>
      <c r="M61" s="46">
        <f>M60/SUM(C60:N60)*SUM(C58:N58)</f>
        <v>210286.51213576834</v>
      </c>
      <c r="N61" s="46">
        <f>N60/SUM(C60:N60)*SUM(C58:N58)</f>
        <v>163117.80109302612</v>
      </c>
      <c r="O61" s="46">
        <f>O60/SUM(O60:Z60)*SUM(O58:Z58)</f>
        <v>158676.78418890951</v>
      </c>
      <c r="P61" s="46">
        <f>P60/SUM(O60:Z60)*SUM(O58:Z58)</f>
        <v>159841.88040740183</v>
      </c>
      <c r="Q61" s="46">
        <f>Q60/SUM(O60:Z60)*SUM(O58:Z58)</f>
        <v>174284.03531146719</v>
      </c>
      <c r="R61" s="46">
        <f>R60/SUM(O60:Z60)*SUM(O58:Z58)</f>
        <v>306630.18076610996</v>
      </c>
      <c r="S61" s="46">
        <f>S60/SUM(O60:Z60)*SUM(O58:Z58)</f>
        <v>521878.97377160256</v>
      </c>
      <c r="T61" s="46">
        <f>T60/SUM(O60:Z60)*SUM(O58:Z58)</f>
        <v>759103.40521781764</v>
      </c>
      <c r="U61" s="46">
        <f>U60/SUM(O60:Z60)*SUM(O58:Z58)</f>
        <v>838404.51583209785</v>
      </c>
      <c r="V61" s="46">
        <f>V60/SUM(O60:Z60)*SUM(O58:Z58)</f>
        <v>714301.02428731835</v>
      </c>
      <c r="W61" s="46">
        <f>W60/SUM(O60:Z60)*SUM(O58:Z58)</f>
        <v>558600.08245341154</v>
      </c>
      <c r="X61" s="46">
        <f>X60/SUM(O60:Z60)*SUM(O58:Z58)</f>
        <v>320329.41171040043</v>
      </c>
      <c r="Y61" s="46">
        <f>Y60/SUM(O60:Z60)*SUM(O58:Z58)</f>
        <v>210286.49891330732</v>
      </c>
      <c r="Z61" s="46">
        <f>Z60/SUM(O60:Z60)*SUM(O58:Z58)</f>
        <v>163117.78555856447</v>
      </c>
      <c r="AA61" s="46">
        <f>AA60/SUM(AA60:AL60)*SUM(AA58:AL58)</f>
        <v>158676.78418890951</v>
      </c>
      <c r="AB61" s="46">
        <f>AB60/SUM(AA60:AL60)*SUM(AA58:AL58)</f>
        <v>159841.88040740183</v>
      </c>
      <c r="AC61" s="46">
        <f>AC60/SUM(AA60:AL60)*SUM(AA58:AL58)</f>
        <v>174284.03531146719</v>
      </c>
      <c r="AD61" s="46">
        <f>AD60/SUM(AA60:AL60)*SUM(AA58:AL58)</f>
        <v>306630.18076610996</v>
      </c>
      <c r="AE61" s="46">
        <f>AE60/SUM(AA60:AL60)*SUM(AA58:AL58)</f>
        <v>521878.97377160256</v>
      </c>
      <c r="AF61" s="46">
        <f>AF60/SUM(AA60:AL60)*SUM(AA58:AL58)</f>
        <v>759103.40521781764</v>
      </c>
      <c r="AG61" s="46">
        <f>AG60/SUM(AA60:AL60)*SUM(AA58:AL58)</f>
        <v>838404.51583209785</v>
      </c>
      <c r="AH61" s="46">
        <f>AH60/SUM(AA60:AL60)*SUM(AA58:AL58)</f>
        <v>714301.02428731835</v>
      </c>
      <c r="AI61" s="46">
        <f>AI60/SUM(AA60:AL60)*SUM(AA58:AL58)</f>
        <v>558600.08245341154</v>
      </c>
      <c r="AJ61" s="46">
        <f>AJ60/SUM(AA60:AL60)*SUM(AA58:AL58)</f>
        <v>320329.41171040043</v>
      </c>
      <c r="AK61" s="46">
        <f>AK60/SUM(AA60:AL60)*SUM(AA58:AL58)</f>
        <v>210286.49891330732</v>
      </c>
      <c r="AL61" s="46">
        <f>AL60/SUM(AA60:AL60)*SUM(AA58:AL58)</f>
        <v>163117.78555856447</v>
      </c>
      <c r="AM61" s="46">
        <f>AM60/SUM(AM60:AX60)*SUM(AM58:AX58)</f>
        <v>158676.78418890951</v>
      </c>
      <c r="AN61" s="46">
        <f>AN60/SUM(AM60:AX60)*SUM(AM58:AX58)</f>
        <v>159841.88040740183</v>
      </c>
      <c r="AO61" s="46">
        <f>AO60/SUM(AM60:AX60)*SUM(AM58:AX58)</f>
        <v>174284.03531146719</v>
      </c>
      <c r="AP61" s="46">
        <f>AP60/SUM(AM60:AX60)*SUM(AM58:AX58)</f>
        <v>306630.18076610996</v>
      </c>
      <c r="AQ61" s="46">
        <f>AQ60/SUM(AM60:AX60)*SUM(AM58:AX58)</f>
        <v>521878.97377160256</v>
      </c>
      <c r="AR61" s="46">
        <f>AR60/SUM(AM60:AX60)*SUM(AM58:AX58)</f>
        <v>759103.40521781764</v>
      </c>
      <c r="AS61" s="46">
        <f>AS60/SUM(AM60:AX60)*SUM(AM58:AX58)</f>
        <v>838404.51583209785</v>
      </c>
      <c r="AT61" s="46">
        <f>AT60/SUM(AM60:AX60)*SUM(AM58:AX58)</f>
        <v>714301.02428731835</v>
      </c>
      <c r="AU61" s="46">
        <f>AU60/SUM(AM60:AX60)*SUM(AM58:AX58)</f>
        <v>558600.08245341154</v>
      </c>
      <c r="AV61" s="46">
        <f>AV60/SUM(AM60:AX60)*SUM(AM58:AX58)</f>
        <v>320329.41171040043</v>
      </c>
      <c r="AW61" s="46">
        <f>AW60/SUM(AM60:AX60)*SUM(AM58:AX58)</f>
        <v>210286.49891330732</v>
      </c>
      <c r="AX61" s="46">
        <f>AX60/SUM(AM60:AX60)*SUM(AM58:AX58)</f>
        <v>163117.78555856447</v>
      </c>
      <c r="AY61" s="46">
        <f>AY60/SUM(AY60:BJ60)*SUM(AY58:BJ58)</f>
        <v>158676.78418890951</v>
      </c>
      <c r="AZ61" s="46">
        <f>AZ60/SUM(AY60:BJ60)*SUM(AY58:BJ58)</f>
        <v>159841.88040740183</v>
      </c>
      <c r="BA61" s="46">
        <f>BA60/SUM(AY60:BJ60)*SUM(AY58:BJ58)</f>
        <v>174284.03531146719</v>
      </c>
      <c r="BB61" s="46">
        <f>BB60/SUM(AY60:BJ60)*SUM(AY58:BJ58)</f>
        <v>306630.18076610996</v>
      </c>
      <c r="BC61" s="46">
        <f>BC60/SUM(AY60:BJ60)*SUM(AY58:BJ58)</f>
        <v>521878.97377160256</v>
      </c>
      <c r="BD61" s="46">
        <f>BD60/SUM(AY60:BJ60)*SUM(AY58:BJ58)</f>
        <v>759103.40521781764</v>
      </c>
      <c r="BE61" s="46">
        <f>BE60/SUM(AY60:BJ60)*SUM(AY58:BJ58)</f>
        <v>838404.51583209785</v>
      </c>
      <c r="BF61" s="46">
        <f>BF60/SUM(AY60:BJ60)*SUM(AY58:BJ58)</f>
        <v>714301.02428731835</v>
      </c>
      <c r="BG61" s="46">
        <f>BG60/SUM(AY60:BJ60)*SUM(AY58:BJ58)</f>
        <v>558600.08245341154</v>
      </c>
      <c r="BH61" s="46">
        <f>BH60/SUM(AY60:BJ60)*SUM(AY58:BJ58)</f>
        <v>320329.41171040043</v>
      </c>
      <c r="BI61" s="46">
        <f>BI60/SUM(AY60:BJ60)*SUM(AY58:BJ58)</f>
        <v>210286.49891330732</v>
      </c>
      <c r="BJ61" s="46">
        <f>BJ60/SUM(AY60:BJ60)*SUM(AY58:BJ58)</f>
        <v>163117.78555856447</v>
      </c>
      <c r="BK61" s="46">
        <f>BK60/SUM(BK60:BV60)*SUM(BK58:BV58)</f>
        <v>158676.78418890951</v>
      </c>
      <c r="BL61" s="46">
        <f>BL60/SUM(BK60:BV60)*SUM(BK58:BV58)</f>
        <v>159841.88040740183</v>
      </c>
      <c r="BM61" s="46">
        <f>BM60/SUM(BK60:BV60)*SUM(BK58:BV58)</f>
        <v>174284.03531146719</v>
      </c>
      <c r="BN61" s="46">
        <f>BN60/SUM(BK60:BV60)*SUM(BK58:BV58)</f>
        <v>306630.18076610996</v>
      </c>
      <c r="BO61" s="46">
        <f>BO60/SUM(BK60:BV60)*SUM(BK58:BV58)</f>
        <v>521878.97377160256</v>
      </c>
      <c r="BP61" s="46">
        <f>BP60/SUM(BK60:BV60)*SUM(BK58:BV58)</f>
        <v>759103.40521781764</v>
      </c>
      <c r="BQ61" s="46">
        <f>BQ60/SUM(BK60:BV60)*SUM(BK58:BV58)</f>
        <v>838404.51583209785</v>
      </c>
      <c r="BR61" s="46">
        <f>BR60/SUM(BK60:BV60)*SUM(BK58:BV58)</f>
        <v>714301.02428731835</v>
      </c>
      <c r="BS61" s="46">
        <f>BS60/SUM(BK60:BV60)*SUM(BK58:BV58)</f>
        <v>558600.08245341154</v>
      </c>
      <c r="BT61" s="46">
        <f>BT60/SUM(BK60:BV60)*SUM(BK58:BV58)</f>
        <v>320329.41171040043</v>
      </c>
      <c r="BU61" s="46">
        <f>BU60/SUM(BK60:BV60)*SUM(BK58:BV58)</f>
        <v>210286.49891330732</v>
      </c>
      <c r="BV61" s="46">
        <f>BV60/SUM(BK60:BV60)*SUM(BK58:BV58)</f>
        <v>163117.78555856447</v>
      </c>
      <c r="BW61" s="46">
        <f>BW60/SUM(BW60:CH60)*SUM(BW58:CH58)</f>
        <v>158676.78418890951</v>
      </c>
      <c r="BX61" s="46">
        <f>BX60/SUM(BW60:CH60)*SUM(BW58:CH58)</f>
        <v>159841.88040740183</v>
      </c>
      <c r="BY61" s="46">
        <f>BY60/SUM(BW60:CH60)*SUM(BW58:CH58)</f>
        <v>174284.03531146719</v>
      </c>
      <c r="BZ61" s="46">
        <f>BZ60/SUM(BW60:CH60)*SUM(BW58:CH58)</f>
        <v>306630.18076610996</v>
      </c>
      <c r="CA61" s="46">
        <f>CA60/SUM(BW60:CH60)*SUM(BW58:CH58)</f>
        <v>521878.97377160256</v>
      </c>
      <c r="CB61" s="46">
        <f>CB60/SUM(BW60:CH60)*SUM(BW58:CH58)</f>
        <v>759103.40521781764</v>
      </c>
      <c r="CC61" s="46">
        <f>CC60/SUM(BW60:CH60)*SUM(BW58:CH58)</f>
        <v>838404.51583209785</v>
      </c>
      <c r="CD61" s="46">
        <f>CD60/SUM(BW60:CH60)*SUM(BW58:CH58)</f>
        <v>714301.02428731835</v>
      </c>
      <c r="CE61" s="46">
        <f>CE60/SUM(BW60:CH60)*SUM(BW58:CH58)</f>
        <v>558600.08245341154</v>
      </c>
      <c r="CF61" s="46">
        <f>CF60/SUM(BW60:CH60)*SUM(BW58:CH58)</f>
        <v>320329.41171040043</v>
      </c>
      <c r="CG61" s="46">
        <f>CG60/SUM(BW60:CH60)*SUM(BW58:CH58)</f>
        <v>210286.49891330732</v>
      </c>
      <c r="CH61" s="46">
        <f>CH60/SUM(BW60:CH60)*SUM(BW58:CH58)</f>
        <v>163117.78555856447</v>
      </c>
    </row>
    <row r="62" spans="1:86" x14ac:dyDescent="0.2">
      <c r="A62" s="585">
        <v>50</v>
      </c>
      <c r="C62" s="605"/>
      <c r="D62" s="605"/>
      <c r="E62" s="605"/>
      <c r="F62" s="605"/>
      <c r="G62" s="605"/>
      <c r="H62" s="605"/>
      <c r="I62" s="605"/>
      <c r="J62" s="605"/>
      <c r="K62" s="605"/>
      <c r="L62" s="605"/>
      <c r="M62" s="605"/>
      <c r="N62" s="605"/>
    </row>
    <row r="63" spans="1:86" x14ac:dyDescent="0.2">
      <c r="A63" s="585">
        <v>51</v>
      </c>
      <c r="B63" s="42" t="s">
        <v>589</v>
      </c>
      <c r="C63" s="606">
        <f>ROUND(C58-C59,0)</f>
        <v>-6204</v>
      </c>
      <c r="D63" s="606">
        <f t="shared" ref="D63:N63" si="587">ROUND(D58-D59,0)</f>
        <v>20366</v>
      </c>
      <c r="E63" s="606">
        <f t="shared" si="587"/>
        <v>-18950</v>
      </c>
      <c r="F63" s="606">
        <f t="shared" si="587"/>
        <v>7111</v>
      </c>
      <c r="G63" s="606">
        <f t="shared" si="587"/>
        <v>215994</v>
      </c>
      <c r="H63" s="606">
        <f t="shared" si="587"/>
        <v>50558</v>
      </c>
      <c r="I63" s="606">
        <f t="shared" si="587"/>
        <v>-82121</v>
      </c>
      <c r="J63" s="606">
        <f t="shared" si="587"/>
        <v>185572</v>
      </c>
      <c r="K63" s="606">
        <f t="shared" si="587"/>
        <v>137390</v>
      </c>
      <c r="L63" s="606">
        <f t="shared" si="587"/>
        <v>72137</v>
      </c>
      <c r="M63" s="606">
        <f t="shared" si="587"/>
        <v>55644</v>
      </c>
      <c r="N63" s="606">
        <f t="shared" si="587"/>
        <v>24253</v>
      </c>
      <c r="O63" s="580"/>
      <c r="P63" s="580"/>
      <c r="Q63" s="580"/>
      <c r="R63" s="580"/>
      <c r="S63" s="580"/>
      <c r="T63" s="580"/>
      <c r="U63" s="580"/>
      <c r="V63" s="580"/>
      <c r="W63" s="580"/>
      <c r="X63" s="580"/>
      <c r="Y63" s="580"/>
      <c r="Z63" s="580"/>
      <c r="AA63" s="580"/>
      <c r="AB63" s="580"/>
      <c r="AC63" s="580"/>
      <c r="AD63" s="580"/>
      <c r="AE63" s="580"/>
      <c r="AF63" s="580"/>
      <c r="AG63" s="580"/>
      <c r="AH63" s="580"/>
      <c r="AI63" s="580"/>
      <c r="AJ63" s="580"/>
      <c r="AK63" s="580"/>
      <c r="AL63" s="580"/>
      <c r="AM63" s="580"/>
      <c r="AN63" s="580"/>
      <c r="AO63" s="580"/>
      <c r="AP63" s="580"/>
      <c r="AQ63" s="580"/>
      <c r="AR63" s="580"/>
      <c r="AS63" s="580"/>
      <c r="AT63" s="580"/>
      <c r="AU63" s="580"/>
      <c r="AV63" s="580"/>
      <c r="AW63" s="580"/>
      <c r="AX63" s="580"/>
      <c r="AY63" s="580"/>
      <c r="AZ63" s="580"/>
      <c r="BA63" s="580"/>
      <c r="BB63" s="580"/>
      <c r="BC63" s="580"/>
      <c r="BD63" s="580"/>
      <c r="BE63" s="580"/>
      <c r="BF63" s="580"/>
      <c r="BG63" s="580"/>
      <c r="BH63" s="580"/>
      <c r="BI63" s="580"/>
      <c r="BJ63" s="580"/>
      <c r="BK63" s="580"/>
      <c r="BL63" s="580"/>
      <c r="BM63" s="580"/>
      <c r="BN63" s="580"/>
      <c r="BO63" s="580"/>
      <c r="BP63" s="580"/>
      <c r="BQ63" s="580"/>
      <c r="BR63" s="580"/>
      <c r="BS63" s="580"/>
      <c r="BT63" s="580"/>
      <c r="BU63" s="580"/>
      <c r="BV63" s="580"/>
      <c r="BW63" s="580"/>
      <c r="BX63" s="580"/>
      <c r="BY63" s="580"/>
      <c r="BZ63" s="580"/>
      <c r="CA63" s="580"/>
      <c r="CB63" s="580"/>
      <c r="CC63" s="580"/>
      <c r="CD63" s="580"/>
      <c r="CE63" s="580"/>
      <c r="CF63" s="580"/>
      <c r="CG63" s="580"/>
      <c r="CH63" s="580"/>
    </row>
    <row r="64" spans="1:86" x14ac:dyDescent="0.2">
      <c r="A64" s="585">
        <v>52</v>
      </c>
      <c r="B64" s="42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580"/>
      <c r="P64" s="580"/>
      <c r="Q64" s="580"/>
      <c r="R64" s="580"/>
      <c r="S64" s="580"/>
      <c r="T64" s="580"/>
      <c r="U64" s="580"/>
      <c r="V64" s="580"/>
      <c r="W64" s="580"/>
      <c r="X64" s="580"/>
      <c r="Y64" s="580"/>
      <c r="Z64" s="580"/>
      <c r="AA64" s="580"/>
      <c r="AB64" s="580"/>
      <c r="AC64" s="580"/>
      <c r="AD64" s="580"/>
      <c r="AE64" s="580"/>
      <c r="AF64" s="580"/>
      <c r="AG64" s="580"/>
      <c r="AH64" s="580"/>
      <c r="AI64" s="580"/>
      <c r="AJ64" s="580"/>
      <c r="AK64" s="580"/>
      <c r="AL64" s="580"/>
      <c r="AM64" s="580"/>
      <c r="AN64" s="580"/>
      <c r="AO64" s="580"/>
      <c r="AP64" s="580"/>
      <c r="AQ64" s="580"/>
      <c r="AR64" s="580"/>
      <c r="AS64" s="580"/>
      <c r="AT64" s="580"/>
      <c r="AU64" s="580"/>
      <c r="AV64" s="580"/>
      <c r="AW64" s="580"/>
      <c r="AX64" s="580"/>
      <c r="AY64" s="580"/>
      <c r="AZ64" s="580"/>
      <c r="BA64" s="580"/>
      <c r="BB64" s="580"/>
      <c r="BC64" s="580"/>
      <c r="BD64" s="580"/>
      <c r="BE64" s="580"/>
      <c r="BF64" s="580"/>
      <c r="BG64" s="580"/>
      <c r="BH64" s="580"/>
      <c r="BI64" s="580"/>
      <c r="BJ64" s="580"/>
      <c r="BK64" s="580"/>
      <c r="BL64" s="580"/>
      <c r="BM64" s="580"/>
      <c r="BN64" s="580"/>
      <c r="BO64" s="580"/>
      <c r="BP64" s="580"/>
      <c r="BQ64" s="580"/>
      <c r="BR64" s="580"/>
      <c r="BS64" s="580"/>
      <c r="BT64" s="580"/>
      <c r="BU64" s="580"/>
      <c r="BV64" s="580"/>
      <c r="BW64" s="580"/>
      <c r="BX64" s="580"/>
      <c r="BY64" s="580"/>
      <c r="BZ64" s="580"/>
      <c r="CA64" s="580"/>
      <c r="CB64" s="580"/>
      <c r="CC64" s="580"/>
      <c r="CD64" s="580"/>
      <c r="CE64" s="580"/>
      <c r="CF64" s="580"/>
      <c r="CG64" s="580"/>
      <c r="CH64" s="580"/>
    </row>
    <row r="65" spans="1:86" x14ac:dyDescent="0.2">
      <c r="A65" s="585">
        <v>53</v>
      </c>
      <c r="B65" s="42" t="s">
        <v>592</v>
      </c>
      <c r="C65" s="158">
        <f>C$63*('Bill Frequency'!C21+'Contract &amp; Vol Adj'!C21)/'Bill Frequency'!C$24</f>
        <v>-5266.402899787402</v>
      </c>
      <c r="D65" s="158">
        <f>D$63*('Bill Frequency'!D21+'Contract &amp; Vol Adj'!D21)/'Bill Frequency'!D$24</f>
        <v>17094.445134674974</v>
      </c>
      <c r="E65" s="158">
        <f>E$63*('Bill Frequency'!E21+'Contract &amp; Vol Adj'!E21)/'Bill Frequency'!E$24</f>
        <v>-16237.832069732065</v>
      </c>
      <c r="F65" s="158">
        <f>F$63*('Bill Frequency'!F21+'Contract &amp; Vol Adj'!F21)/'Bill Frequency'!F$24</f>
        <v>5191.5500694927787</v>
      </c>
      <c r="G65" s="158">
        <f>G$63*('Bill Frequency'!G21+'Contract &amp; Vol Adj'!G21)/'Bill Frequency'!G$24</f>
        <v>211931.65962864098</v>
      </c>
      <c r="H65" s="158">
        <f>H$63*('Bill Frequency'!H21+'Contract &amp; Vol Adj'!H21)/'Bill Frequency'!H$24</f>
        <v>45849.713192298826</v>
      </c>
      <c r="I65" s="158">
        <f>I$63*('Bill Frequency'!I21+'Contract &amp; Vol Adj'!I21)/'Bill Frequency'!I$24</f>
        <v>-70124.72790736967</v>
      </c>
      <c r="J65" s="158">
        <f>J$63*('Bill Frequency'!J21+'Contract &amp; Vol Adj'!J21)/'Bill Frequency'!J$24</f>
        <v>165460.88931709388</v>
      </c>
      <c r="K65" s="158">
        <f>K$63*('Bill Frequency'!K21+'Contract &amp; Vol Adj'!K21)/'Bill Frequency'!K$24</f>
        <v>123353.91040188959</v>
      </c>
      <c r="L65" s="158">
        <f>L$63*('Bill Frequency'!L21+'Contract &amp; Vol Adj'!L21)/'Bill Frequency'!L$24</f>
        <v>65693.602765330405</v>
      </c>
      <c r="M65" s="158">
        <f>M$63*('Bill Frequency'!M21+'Contract &amp; Vol Adj'!M21)/'Bill Frequency'!M$24</f>
        <v>48897.628180783933</v>
      </c>
      <c r="N65" s="158">
        <f>N$63*('Bill Frequency'!N21+'Contract &amp; Vol Adj'!N21)/'Bill Frequency'!N$24</f>
        <v>22791.380848541834</v>
      </c>
      <c r="O65" s="580"/>
      <c r="P65" s="580"/>
      <c r="Q65" s="580"/>
      <c r="R65" s="580"/>
      <c r="S65" s="580"/>
      <c r="T65" s="580"/>
      <c r="U65" s="580"/>
      <c r="V65" s="580"/>
      <c r="W65" s="580"/>
      <c r="X65" s="580"/>
      <c r="Y65" s="580"/>
      <c r="Z65" s="580"/>
      <c r="AA65" s="580"/>
      <c r="AB65" s="580"/>
      <c r="AC65" s="580"/>
      <c r="AD65" s="580"/>
      <c r="AE65" s="580"/>
      <c r="AF65" s="580"/>
      <c r="AG65" s="580"/>
      <c r="AH65" s="580"/>
      <c r="AI65" s="580"/>
      <c r="AJ65" s="580"/>
      <c r="AK65" s="580"/>
      <c r="AL65" s="580"/>
      <c r="AM65" s="580"/>
      <c r="AN65" s="580"/>
      <c r="AO65" s="580"/>
      <c r="AP65" s="580"/>
      <c r="AQ65" s="580"/>
      <c r="AR65" s="580"/>
      <c r="AS65" s="580"/>
      <c r="AT65" s="580"/>
      <c r="AU65" s="580"/>
      <c r="AV65" s="580"/>
      <c r="AW65" s="580"/>
      <c r="AX65" s="580"/>
      <c r="AY65" s="580"/>
      <c r="AZ65" s="580"/>
      <c r="BA65" s="580"/>
      <c r="BB65" s="580"/>
      <c r="BC65" s="580"/>
      <c r="BD65" s="580"/>
      <c r="BE65" s="580"/>
      <c r="BF65" s="580"/>
      <c r="BG65" s="580"/>
      <c r="BH65" s="580"/>
      <c r="BI65" s="580"/>
      <c r="BJ65" s="580"/>
      <c r="BK65" s="580"/>
      <c r="BL65" s="580"/>
      <c r="BM65" s="580"/>
      <c r="BN65" s="580"/>
      <c r="BO65" s="580"/>
      <c r="BP65" s="580"/>
      <c r="BQ65" s="580"/>
      <c r="BR65" s="580"/>
      <c r="BS65" s="580"/>
      <c r="BT65" s="580"/>
      <c r="BU65" s="580"/>
      <c r="BV65" s="580"/>
      <c r="BW65" s="580"/>
      <c r="BX65" s="580"/>
      <c r="BY65" s="580"/>
      <c r="BZ65" s="580"/>
      <c r="CA65" s="580"/>
      <c r="CB65" s="580"/>
      <c r="CC65" s="580"/>
      <c r="CD65" s="580"/>
      <c r="CE65" s="580"/>
      <c r="CF65" s="580"/>
      <c r="CG65" s="580"/>
      <c r="CH65" s="580"/>
    </row>
    <row r="66" spans="1:86" x14ac:dyDescent="0.2">
      <c r="A66" s="585">
        <v>54</v>
      </c>
      <c r="B66" s="42" t="s">
        <v>593</v>
      </c>
      <c r="C66" s="158">
        <f>C$63*('Bill Frequency'!C22+'Contract &amp; Vol Adj'!C22)/'Bill Frequency'!C$24</f>
        <v>-937.59710021259752</v>
      </c>
      <c r="D66" s="158">
        <f>D$63*('Bill Frequency'!D22+'Contract &amp; Vol Adj'!D22)/'Bill Frequency'!D$24</f>
        <v>3271.5548653250248</v>
      </c>
      <c r="E66" s="158">
        <f>E$63*('Bill Frequency'!E22+'Contract &amp; Vol Adj'!E22)/'Bill Frequency'!E$24</f>
        <v>-2712.1679302679372</v>
      </c>
      <c r="F66" s="158">
        <f>F$63*('Bill Frequency'!F22+'Contract &amp; Vol Adj'!F22)/'Bill Frequency'!F$24</f>
        <v>1919.4499305072211</v>
      </c>
      <c r="G66" s="158">
        <f>G$63*('Bill Frequency'!G22+'Contract &amp; Vol Adj'!G22)/'Bill Frequency'!G$24</f>
        <v>4062.340371359006</v>
      </c>
      <c r="H66" s="158">
        <f>H$63*('Bill Frequency'!H22+'Contract &amp; Vol Adj'!H22)/'Bill Frequency'!H$24</f>
        <v>4708.2868077011799</v>
      </c>
      <c r="I66" s="158">
        <f>I$63*('Bill Frequency'!I22+'Contract &amp; Vol Adj'!I22)/'Bill Frequency'!I$24</f>
        <v>-11996.272092630335</v>
      </c>
      <c r="J66" s="158">
        <f>J$63*('Bill Frequency'!J22+'Contract &amp; Vol Adj'!J22)/'Bill Frequency'!J$24</f>
        <v>20111.110682906114</v>
      </c>
      <c r="K66" s="158">
        <f>K$63*('Bill Frequency'!K22+'Contract &amp; Vol Adj'!K22)/'Bill Frequency'!K$24</f>
        <v>14036.089598110409</v>
      </c>
      <c r="L66" s="158">
        <f>L$63*('Bill Frequency'!L22+'Contract &amp; Vol Adj'!L22)/'Bill Frequency'!L$24</f>
        <v>6443.3972346695837</v>
      </c>
      <c r="M66" s="158">
        <f>M$63*('Bill Frequency'!M22+'Contract &amp; Vol Adj'!M22)/'Bill Frequency'!M$24</f>
        <v>6746.3718192160686</v>
      </c>
      <c r="N66" s="158">
        <f>N$63*('Bill Frequency'!N22+'Contract &amp; Vol Adj'!N22)/'Bill Frequency'!N$24</f>
        <v>1461.6191514581653</v>
      </c>
      <c r="O66" s="580"/>
      <c r="P66" s="580"/>
      <c r="Q66" s="580"/>
      <c r="R66" s="580"/>
      <c r="S66" s="580"/>
      <c r="T66" s="580"/>
      <c r="U66" s="580"/>
      <c r="V66" s="580"/>
      <c r="W66" s="580"/>
      <c r="X66" s="580"/>
      <c r="Y66" s="580"/>
      <c r="Z66" s="580"/>
      <c r="AA66" s="580"/>
      <c r="AB66" s="580"/>
      <c r="AC66" s="580"/>
      <c r="AD66" s="580"/>
      <c r="AE66" s="580"/>
      <c r="AF66" s="580"/>
      <c r="AG66" s="580"/>
      <c r="AH66" s="580"/>
      <c r="AI66" s="580"/>
      <c r="AJ66" s="580"/>
      <c r="AK66" s="580"/>
      <c r="AL66" s="580"/>
      <c r="AM66" s="580"/>
      <c r="AN66" s="580"/>
      <c r="AO66" s="580"/>
      <c r="AP66" s="580"/>
      <c r="AQ66" s="580"/>
      <c r="AR66" s="580"/>
      <c r="AS66" s="580"/>
      <c r="AT66" s="580"/>
      <c r="AU66" s="580"/>
      <c r="AV66" s="580"/>
      <c r="AW66" s="580"/>
      <c r="AX66" s="580"/>
      <c r="AY66" s="580"/>
      <c r="AZ66" s="580"/>
      <c r="BA66" s="580"/>
      <c r="BB66" s="580"/>
      <c r="BC66" s="580"/>
      <c r="BD66" s="580"/>
      <c r="BE66" s="580"/>
      <c r="BF66" s="580"/>
      <c r="BG66" s="580"/>
      <c r="BH66" s="580"/>
      <c r="BI66" s="580"/>
      <c r="BJ66" s="580"/>
      <c r="BK66" s="580"/>
      <c r="BL66" s="580"/>
      <c r="BM66" s="580"/>
      <c r="BN66" s="580"/>
      <c r="BO66" s="580"/>
      <c r="BP66" s="580"/>
      <c r="BQ66" s="580"/>
      <c r="BR66" s="580"/>
      <c r="BS66" s="580"/>
      <c r="BT66" s="580"/>
      <c r="BU66" s="580"/>
      <c r="BV66" s="580"/>
      <c r="BW66" s="580"/>
      <c r="BX66" s="580"/>
      <c r="BY66" s="580"/>
      <c r="BZ66" s="580"/>
      <c r="CA66" s="580"/>
      <c r="CB66" s="580"/>
      <c r="CC66" s="580"/>
      <c r="CD66" s="580"/>
      <c r="CE66" s="580"/>
      <c r="CF66" s="580"/>
      <c r="CG66" s="580"/>
      <c r="CH66" s="580"/>
    </row>
    <row r="67" spans="1:86" x14ac:dyDescent="0.2">
      <c r="A67" s="585">
        <v>55</v>
      </c>
      <c r="B67" s="42" t="s">
        <v>594</v>
      </c>
      <c r="C67" s="158">
        <f>C$63*('Bill Frequency'!C23+'Contract &amp; Vol Adj'!C23)/'Bill Frequency'!C$24</f>
        <v>0</v>
      </c>
      <c r="D67" s="158">
        <f>D$63*('Bill Frequency'!D23+'Contract &amp; Vol Adj'!D23)/'Bill Frequency'!D$24</f>
        <v>0</v>
      </c>
      <c r="E67" s="158">
        <f>E$63*('Bill Frequency'!E23+'Contract &amp; Vol Adj'!E23)/'Bill Frequency'!E$24</f>
        <v>0</v>
      </c>
      <c r="F67" s="158">
        <f>F$63*('Bill Frequency'!F23+'Contract &amp; Vol Adj'!F23)/'Bill Frequency'!F$24</f>
        <v>0</v>
      </c>
      <c r="G67" s="158">
        <f>G$63*('Bill Frequency'!G23+'Contract &amp; Vol Adj'!G23)/'Bill Frequency'!G$24</f>
        <v>0</v>
      </c>
      <c r="H67" s="158">
        <f>H$63*('Bill Frequency'!H23+'Contract &amp; Vol Adj'!H23)/'Bill Frequency'!H$24</f>
        <v>0</v>
      </c>
      <c r="I67" s="158">
        <f>I$63*('Bill Frequency'!I23+'Contract &amp; Vol Adj'!I23)/'Bill Frequency'!I$24</f>
        <v>0</v>
      </c>
      <c r="J67" s="158">
        <f>J$63*('Bill Frequency'!J23+'Contract &amp; Vol Adj'!J23)/'Bill Frequency'!J$24</f>
        <v>0</v>
      </c>
      <c r="K67" s="158">
        <f>K$63*('Bill Frequency'!K23+'Contract &amp; Vol Adj'!K23)/'Bill Frequency'!K$24</f>
        <v>0</v>
      </c>
      <c r="L67" s="158">
        <f>L$63*('Bill Frequency'!L23+'Contract &amp; Vol Adj'!L23)/'Bill Frequency'!L$24</f>
        <v>0</v>
      </c>
      <c r="M67" s="158">
        <f>M$63*('Bill Frequency'!M23+'Contract &amp; Vol Adj'!M23)/'Bill Frequency'!M$24</f>
        <v>0</v>
      </c>
      <c r="N67" s="158">
        <f>N$63*('Bill Frequency'!N23+'Contract &amp; Vol Adj'!N23)/'Bill Frequency'!N$24</f>
        <v>0</v>
      </c>
      <c r="O67" s="580"/>
      <c r="P67" s="580"/>
      <c r="Q67" s="580"/>
      <c r="R67" s="580"/>
      <c r="S67" s="580"/>
      <c r="T67" s="580"/>
      <c r="U67" s="580"/>
      <c r="V67" s="580"/>
      <c r="W67" s="580"/>
      <c r="X67" s="580"/>
      <c r="Y67" s="580"/>
      <c r="Z67" s="580"/>
      <c r="AA67" s="580"/>
      <c r="AB67" s="580"/>
      <c r="AC67" s="580"/>
      <c r="AD67" s="580"/>
      <c r="AE67" s="580"/>
      <c r="AF67" s="580"/>
      <c r="AG67" s="580"/>
      <c r="AH67" s="580"/>
      <c r="AI67" s="580"/>
      <c r="AJ67" s="580"/>
      <c r="AK67" s="580"/>
      <c r="AL67" s="580"/>
      <c r="AM67" s="580"/>
      <c r="AN67" s="580"/>
      <c r="AO67" s="580"/>
      <c r="AP67" s="580"/>
      <c r="AQ67" s="580"/>
      <c r="AR67" s="580"/>
      <c r="AS67" s="580"/>
      <c r="AT67" s="580"/>
      <c r="AU67" s="580"/>
      <c r="AV67" s="580"/>
      <c r="AW67" s="580"/>
      <c r="AX67" s="580"/>
      <c r="AY67" s="580"/>
      <c r="AZ67" s="580"/>
      <c r="BA67" s="580"/>
      <c r="BB67" s="580"/>
      <c r="BC67" s="580"/>
      <c r="BD67" s="580"/>
      <c r="BE67" s="580"/>
      <c r="BF67" s="580"/>
      <c r="BG67" s="580"/>
      <c r="BH67" s="580"/>
      <c r="BI67" s="580"/>
      <c r="BJ67" s="580"/>
      <c r="BK67" s="580"/>
      <c r="BL67" s="580"/>
      <c r="BM67" s="580"/>
      <c r="BN67" s="580"/>
      <c r="BO67" s="580"/>
      <c r="BP67" s="580"/>
      <c r="BQ67" s="580"/>
      <c r="BR67" s="580"/>
      <c r="BS67" s="580"/>
      <c r="BT67" s="580"/>
      <c r="BU67" s="580"/>
      <c r="BV67" s="580"/>
      <c r="BW67" s="580"/>
      <c r="BX67" s="580"/>
      <c r="BY67" s="580"/>
      <c r="BZ67" s="580"/>
      <c r="CA67" s="580"/>
      <c r="CB67" s="580"/>
      <c r="CC67" s="580"/>
      <c r="CD67" s="580"/>
      <c r="CE67" s="580"/>
      <c r="CF67" s="580"/>
      <c r="CG67" s="580"/>
      <c r="CH67" s="580"/>
    </row>
    <row r="68" spans="1:86" ht="13.5" thickBot="1" x14ac:dyDescent="0.25">
      <c r="A68" s="585">
        <v>56</v>
      </c>
      <c r="B68" s="42" t="s">
        <v>19</v>
      </c>
      <c r="C68" s="607">
        <f>SUM(C65:C67)</f>
        <v>-6204</v>
      </c>
      <c r="D68" s="607">
        <f t="shared" ref="D68:N68" si="588">SUM(D65:D67)</f>
        <v>20366</v>
      </c>
      <c r="E68" s="607">
        <f t="shared" si="588"/>
        <v>-18950.000000000004</v>
      </c>
      <c r="F68" s="607">
        <f t="shared" si="588"/>
        <v>7111</v>
      </c>
      <c r="G68" s="607">
        <f t="shared" si="588"/>
        <v>215993.99999999997</v>
      </c>
      <c r="H68" s="607">
        <f t="shared" si="588"/>
        <v>50558.000000000007</v>
      </c>
      <c r="I68" s="607">
        <f t="shared" si="588"/>
        <v>-82121</v>
      </c>
      <c r="J68" s="607">
        <f t="shared" si="588"/>
        <v>185572</v>
      </c>
      <c r="K68" s="607">
        <f t="shared" si="588"/>
        <v>137390</v>
      </c>
      <c r="L68" s="607">
        <f t="shared" si="588"/>
        <v>72136.999999999985</v>
      </c>
      <c r="M68" s="607">
        <f t="shared" si="588"/>
        <v>55644</v>
      </c>
      <c r="N68" s="607">
        <f t="shared" si="588"/>
        <v>24253</v>
      </c>
      <c r="O68" s="580"/>
      <c r="P68" s="580"/>
      <c r="Q68" s="580"/>
      <c r="R68" s="580"/>
      <c r="S68" s="580"/>
      <c r="T68" s="580"/>
      <c r="U68" s="580"/>
      <c r="V68" s="580"/>
      <c r="W68" s="580"/>
      <c r="X68" s="580"/>
      <c r="Y68" s="580"/>
      <c r="Z68" s="580"/>
      <c r="AA68" s="580"/>
      <c r="AB68" s="580"/>
      <c r="AC68" s="580"/>
      <c r="AD68" s="580"/>
      <c r="AE68" s="580"/>
      <c r="AF68" s="580"/>
      <c r="AG68" s="580"/>
      <c r="AH68" s="580"/>
      <c r="AI68" s="580"/>
      <c r="AJ68" s="580"/>
      <c r="AK68" s="580"/>
      <c r="AL68" s="580"/>
      <c r="AM68" s="580"/>
      <c r="AN68" s="580"/>
      <c r="AO68" s="580"/>
      <c r="AP68" s="580"/>
      <c r="AQ68" s="580"/>
      <c r="AR68" s="580"/>
      <c r="AS68" s="580"/>
      <c r="AT68" s="580"/>
      <c r="AU68" s="580"/>
      <c r="AV68" s="580"/>
      <c r="AW68" s="580"/>
      <c r="AX68" s="580"/>
      <c r="AY68" s="580"/>
      <c r="AZ68" s="580"/>
      <c r="BA68" s="580"/>
      <c r="BB68" s="580"/>
      <c r="BC68" s="580"/>
      <c r="BD68" s="580"/>
      <c r="BE68" s="580"/>
      <c r="BF68" s="580"/>
      <c r="BG68" s="580"/>
      <c r="BH68" s="580"/>
      <c r="BI68" s="580"/>
      <c r="BJ68" s="580"/>
      <c r="BK68" s="580"/>
      <c r="BL68" s="580"/>
      <c r="BM68" s="580"/>
      <c r="BN68" s="580"/>
      <c r="BO68" s="580"/>
      <c r="BP68" s="580"/>
      <c r="BQ68" s="580"/>
      <c r="BR68" s="580"/>
      <c r="BS68" s="580"/>
      <c r="BT68" s="580"/>
      <c r="BU68" s="580"/>
      <c r="BV68" s="580"/>
      <c r="BW68" s="580"/>
      <c r="BX68" s="580"/>
      <c r="BY68" s="580"/>
      <c r="BZ68" s="580"/>
      <c r="CA68" s="580"/>
      <c r="CB68" s="580"/>
      <c r="CC68" s="580"/>
      <c r="CD68" s="580"/>
      <c r="CE68" s="580"/>
      <c r="CF68" s="580"/>
      <c r="CG68" s="580"/>
      <c r="CH68" s="580"/>
    </row>
    <row r="69" spans="1:86" ht="13.5" thickTop="1" x14ac:dyDescent="0.2">
      <c r="A69" s="585">
        <v>57</v>
      </c>
    </row>
    <row r="70" spans="1:86" x14ac:dyDescent="0.2">
      <c r="A70" s="585">
        <v>58</v>
      </c>
      <c r="C70" s="210"/>
    </row>
    <row r="71" spans="1:86" x14ac:dyDescent="0.2">
      <c r="A71" s="585">
        <v>59</v>
      </c>
      <c r="B71" s="36" t="s">
        <v>82</v>
      </c>
      <c r="C71" s="210"/>
      <c r="D71" s="210"/>
      <c r="E71" s="210"/>
      <c r="F71" s="210"/>
      <c r="G71" s="210"/>
      <c r="H71" s="210"/>
      <c r="I71" s="210"/>
      <c r="J71" s="210"/>
      <c r="K71" s="210"/>
      <c r="L71" s="210"/>
      <c r="M71" s="210"/>
      <c r="N71" s="210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6"/>
    </row>
    <row r="72" spans="1:86" x14ac:dyDescent="0.2">
      <c r="A72" s="585">
        <v>60</v>
      </c>
      <c r="C72" s="210"/>
      <c r="D72" s="210"/>
      <c r="E72" s="210"/>
      <c r="F72" s="210"/>
      <c r="G72" s="210"/>
      <c r="H72" s="210"/>
      <c r="I72" s="210"/>
      <c r="J72" s="210"/>
      <c r="K72" s="210"/>
      <c r="L72" s="210"/>
      <c r="M72" s="210"/>
      <c r="N72" s="210"/>
      <c r="O72" s="46"/>
    </row>
    <row r="73" spans="1:86" x14ac:dyDescent="0.2">
      <c r="A73" s="585">
        <v>61</v>
      </c>
      <c r="B73" s="211" t="s">
        <v>599</v>
      </c>
      <c r="C73" s="577"/>
      <c r="D73" s="577"/>
      <c r="E73" s="577"/>
      <c r="F73" s="577"/>
      <c r="G73" s="577"/>
      <c r="H73" s="577"/>
      <c r="I73" s="577"/>
      <c r="J73" s="577"/>
      <c r="K73" s="577"/>
      <c r="L73" s="577"/>
      <c r="M73" s="577"/>
      <c r="N73" s="577"/>
      <c r="O73" s="589">
        <v>0</v>
      </c>
      <c r="P73" s="590">
        <f>O73</f>
        <v>0</v>
      </c>
      <c r="Q73" s="590">
        <f t="shared" ref="Q73:Q75" si="589">P73</f>
        <v>0</v>
      </c>
      <c r="R73" s="590">
        <f t="shared" ref="R73:R75" si="590">Q73</f>
        <v>0</v>
      </c>
      <c r="S73" s="590">
        <f t="shared" ref="S73:S75" si="591">R73</f>
        <v>0</v>
      </c>
      <c r="T73" s="590">
        <f t="shared" ref="T73:T75" si="592">S73</f>
        <v>0</v>
      </c>
      <c r="U73" s="590">
        <f t="shared" ref="U73:U75" si="593">T73</f>
        <v>0</v>
      </c>
      <c r="V73" s="590">
        <f t="shared" ref="V73:V75" si="594">U73</f>
        <v>0</v>
      </c>
      <c r="W73" s="590">
        <f t="shared" ref="W73:W75" si="595">V73</f>
        <v>0</v>
      </c>
      <c r="X73" s="590">
        <f t="shared" ref="X73:X75" si="596">W73</f>
        <v>0</v>
      </c>
      <c r="Y73" s="590">
        <f t="shared" ref="Y73:Y75" si="597">X73</f>
        <v>0</v>
      </c>
      <c r="Z73" s="590">
        <f t="shared" ref="Z73:Z75" si="598">Y73</f>
        <v>0</v>
      </c>
      <c r="AA73" s="590">
        <f t="shared" ref="AA73:AA75" si="599">Z73</f>
        <v>0</v>
      </c>
      <c r="AB73" s="590">
        <f t="shared" ref="AB73:AB75" si="600">AA73</f>
        <v>0</v>
      </c>
      <c r="AC73" s="590">
        <f t="shared" ref="AC73:AC75" si="601">AB73</f>
        <v>0</v>
      </c>
      <c r="AD73" s="590">
        <f t="shared" ref="AD73:AD75" si="602">AC73</f>
        <v>0</v>
      </c>
      <c r="AE73" s="590">
        <f t="shared" ref="AE73:AE75" si="603">AD73</f>
        <v>0</v>
      </c>
      <c r="AF73" s="590">
        <f t="shared" ref="AF73:AF75" si="604">AE73</f>
        <v>0</v>
      </c>
      <c r="AG73" s="590">
        <f t="shared" ref="AG73:AG75" si="605">AF73</f>
        <v>0</v>
      </c>
      <c r="AH73" s="590">
        <f t="shared" ref="AH73:AH75" si="606">AG73</f>
        <v>0</v>
      </c>
      <c r="AI73" s="590">
        <f t="shared" ref="AI73:AI75" si="607">AH73</f>
        <v>0</v>
      </c>
      <c r="AJ73" s="590">
        <f t="shared" ref="AJ73:AJ75" si="608">AI73</f>
        <v>0</v>
      </c>
      <c r="AK73" s="590">
        <f t="shared" ref="AK73:AK75" si="609">AJ73</f>
        <v>0</v>
      </c>
      <c r="AL73" s="590">
        <f t="shared" ref="AL73:AL75" si="610">AK73</f>
        <v>0</v>
      </c>
      <c r="AM73" s="590">
        <f t="shared" ref="AM73:AM75" si="611">AL73</f>
        <v>0</v>
      </c>
      <c r="AN73" s="590">
        <f t="shared" ref="AN73:AN75" si="612">AM73</f>
        <v>0</v>
      </c>
      <c r="AO73" s="590">
        <f t="shared" ref="AO73:AO75" si="613">AN73</f>
        <v>0</v>
      </c>
      <c r="AP73" s="590">
        <f t="shared" ref="AP73:AP75" si="614">AO73</f>
        <v>0</v>
      </c>
      <c r="AQ73" s="590">
        <f t="shared" ref="AQ73:AQ75" si="615">AP73</f>
        <v>0</v>
      </c>
      <c r="AR73" s="590">
        <f t="shared" ref="AR73:AR75" si="616">AQ73</f>
        <v>0</v>
      </c>
      <c r="AS73" s="590">
        <f t="shared" ref="AS73:AS75" si="617">AR73</f>
        <v>0</v>
      </c>
      <c r="AT73" s="590">
        <f t="shared" ref="AT73:AT75" si="618">AS73</f>
        <v>0</v>
      </c>
      <c r="AU73" s="590">
        <f t="shared" ref="AU73:AU75" si="619">AT73</f>
        <v>0</v>
      </c>
      <c r="AV73" s="590">
        <f t="shared" ref="AV73:AV75" si="620">AU73</f>
        <v>0</v>
      </c>
      <c r="AW73" s="590">
        <f t="shared" ref="AW73:AW75" si="621">AV73</f>
        <v>0</v>
      </c>
      <c r="AX73" s="590">
        <f t="shared" ref="AX73:AX75" si="622">AW73</f>
        <v>0</v>
      </c>
      <c r="AY73" s="590">
        <f t="shared" ref="AY73:AY75" si="623">AX73</f>
        <v>0</v>
      </c>
      <c r="AZ73" s="590">
        <f t="shared" ref="AZ73:AZ75" si="624">AY73</f>
        <v>0</v>
      </c>
      <c r="BA73" s="590">
        <f t="shared" ref="BA73:BA75" si="625">AZ73</f>
        <v>0</v>
      </c>
      <c r="BB73" s="590">
        <f t="shared" ref="BB73:BB75" si="626">BA73</f>
        <v>0</v>
      </c>
      <c r="BC73" s="590">
        <f t="shared" ref="BC73:BC75" si="627">BB73</f>
        <v>0</v>
      </c>
      <c r="BD73" s="590">
        <f t="shared" ref="BD73:BD75" si="628">BC73</f>
        <v>0</v>
      </c>
      <c r="BE73" s="590">
        <f t="shared" ref="BE73:BE75" si="629">BD73</f>
        <v>0</v>
      </c>
      <c r="BF73" s="590">
        <f t="shared" ref="BF73:BF75" si="630">BE73</f>
        <v>0</v>
      </c>
      <c r="BG73" s="590">
        <f t="shared" ref="BG73:BG75" si="631">BF73</f>
        <v>0</v>
      </c>
      <c r="BH73" s="590">
        <f t="shared" ref="BH73:BH75" si="632">BG73</f>
        <v>0</v>
      </c>
      <c r="BI73" s="590">
        <f t="shared" ref="BI73:BI75" si="633">BH73</f>
        <v>0</v>
      </c>
      <c r="BJ73" s="590">
        <f t="shared" ref="BJ73:BJ75" si="634">BI73</f>
        <v>0</v>
      </c>
      <c r="BK73" s="590">
        <f t="shared" ref="BK73:BK75" si="635">BJ73</f>
        <v>0</v>
      </c>
      <c r="BL73" s="590">
        <f t="shared" ref="BL73:BL75" si="636">BK73</f>
        <v>0</v>
      </c>
      <c r="BM73" s="590">
        <f t="shared" ref="BM73:BM75" si="637">BL73</f>
        <v>0</v>
      </c>
      <c r="BN73" s="590">
        <f t="shared" ref="BN73:BN75" si="638">BM73</f>
        <v>0</v>
      </c>
      <c r="BO73" s="590">
        <f t="shared" ref="BO73:BO75" si="639">BN73</f>
        <v>0</v>
      </c>
      <c r="BP73" s="590">
        <f t="shared" ref="BP73:BP75" si="640">BO73</f>
        <v>0</v>
      </c>
      <c r="BQ73" s="590">
        <f t="shared" ref="BQ73:BQ75" si="641">BP73</f>
        <v>0</v>
      </c>
      <c r="BR73" s="590">
        <f t="shared" ref="BR73:BR75" si="642">BQ73</f>
        <v>0</v>
      </c>
      <c r="BS73" s="590">
        <f t="shared" ref="BS73:BS75" si="643">BR73</f>
        <v>0</v>
      </c>
      <c r="BT73" s="590">
        <f t="shared" ref="BT73:BT75" si="644">BS73</f>
        <v>0</v>
      </c>
      <c r="BU73" s="590">
        <f t="shared" ref="BU73:BU75" si="645">BT73</f>
        <v>0</v>
      </c>
      <c r="BV73" s="590">
        <f t="shared" ref="BV73:BV75" si="646">BU73</f>
        <v>0</v>
      </c>
      <c r="BW73" s="590">
        <f t="shared" ref="BW73:BW75" si="647">BV73</f>
        <v>0</v>
      </c>
      <c r="BX73" s="590">
        <f t="shared" ref="BX73:BX75" si="648">BW73</f>
        <v>0</v>
      </c>
      <c r="BY73" s="590">
        <f t="shared" ref="BY73:BY75" si="649">BX73</f>
        <v>0</v>
      </c>
      <c r="BZ73" s="590">
        <f t="shared" ref="BZ73:BZ75" si="650">BY73</f>
        <v>0</v>
      </c>
      <c r="CA73" s="590">
        <f t="shared" ref="CA73:CA75" si="651">BZ73</f>
        <v>0</v>
      </c>
      <c r="CB73" s="590">
        <f t="shared" ref="CB73:CB75" si="652">CA73</f>
        <v>0</v>
      </c>
      <c r="CC73" s="590">
        <f t="shared" ref="CC73:CC75" si="653">CB73</f>
        <v>0</v>
      </c>
      <c r="CD73" s="590">
        <f t="shared" ref="CD73:CD75" si="654">CC73</f>
        <v>0</v>
      </c>
      <c r="CE73" s="590">
        <f t="shared" ref="CE73:CE75" si="655">CD73</f>
        <v>0</v>
      </c>
      <c r="CF73" s="590">
        <f t="shared" ref="CF73:CF75" si="656">CE73</f>
        <v>0</v>
      </c>
      <c r="CG73" s="590">
        <f t="shared" ref="CG73:CG75" si="657">CF73</f>
        <v>0</v>
      </c>
      <c r="CH73" s="590">
        <f t="shared" ref="CH73:CH75" si="658">CG73</f>
        <v>0</v>
      </c>
    </row>
    <row r="74" spans="1:86" x14ac:dyDescent="0.2">
      <c r="A74" s="585">
        <v>62</v>
      </c>
      <c r="B74" s="211" t="s">
        <v>600</v>
      </c>
      <c r="C74" s="577"/>
      <c r="D74" s="577"/>
      <c r="E74" s="577"/>
      <c r="F74" s="577"/>
      <c r="G74" s="577"/>
      <c r="H74" s="577"/>
      <c r="I74" s="577"/>
      <c r="J74" s="577"/>
      <c r="K74" s="577"/>
      <c r="L74" s="577"/>
      <c r="M74" s="577"/>
      <c r="N74" s="577"/>
      <c r="O74" s="589">
        <v>0</v>
      </c>
      <c r="P74" s="590">
        <f t="shared" ref="P74:P75" si="659">O74</f>
        <v>0</v>
      </c>
      <c r="Q74" s="590">
        <f t="shared" si="589"/>
        <v>0</v>
      </c>
      <c r="R74" s="590">
        <f t="shared" si="590"/>
        <v>0</v>
      </c>
      <c r="S74" s="590">
        <f t="shared" si="591"/>
        <v>0</v>
      </c>
      <c r="T74" s="590">
        <f t="shared" si="592"/>
        <v>0</v>
      </c>
      <c r="U74" s="590">
        <f t="shared" si="593"/>
        <v>0</v>
      </c>
      <c r="V74" s="590">
        <f t="shared" si="594"/>
        <v>0</v>
      </c>
      <c r="W74" s="590">
        <f t="shared" si="595"/>
        <v>0</v>
      </c>
      <c r="X74" s="590">
        <f t="shared" si="596"/>
        <v>0</v>
      </c>
      <c r="Y74" s="590">
        <f t="shared" si="597"/>
        <v>0</v>
      </c>
      <c r="Z74" s="590">
        <f t="shared" si="598"/>
        <v>0</v>
      </c>
      <c r="AA74" s="590">
        <f t="shared" si="599"/>
        <v>0</v>
      </c>
      <c r="AB74" s="590">
        <f t="shared" si="600"/>
        <v>0</v>
      </c>
      <c r="AC74" s="590">
        <f t="shared" si="601"/>
        <v>0</v>
      </c>
      <c r="AD74" s="590">
        <f t="shared" si="602"/>
        <v>0</v>
      </c>
      <c r="AE74" s="590">
        <f t="shared" si="603"/>
        <v>0</v>
      </c>
      <c r="AF74" s="590">
        <f t="shared" si="604"/>
        <v>0</v>
      </c>
      <c r="AG74" s="590">
        <f t="shared" si="605"/>
        <v>0</v>
      </c>
      <c r="AH74" s="590">
        <f t="shared" si="606"/>
        <v>0</v>
      </c>
      <c r="AI74" s="590">
        <f t="shared" si="607"/>
        <v>0</v>
      </c>
      <c r="AJ74" s="590">
        <f t="shared" si="608"/>
        <v>0</v>
      </c>
      <c r="AK74" s="590">
        <f t="shared" si="609"/>
        <v>0</v>
      </c>
      <c r="AL74" s="590">
        <f t="shared" si="610"/>
        <v>0</v>
      </c>
      <c r="AM74" s="590">
        <f t="shared" si="611"/>
        <v>0</v>
      </c>
      <c r="AN74" s="590">
        <f t="shared" si="612"/>
        <v>0</v>
      </c>
      <c r="AO74" s="590">
        <f t="shared" si="613"/>
        <v>0</v>
      </c>
      <c r="AP74" s="590">
        <f t="shared" si="614"/>
        <v>0</v>
      </c>
      <c r="AQ74" s="590">
        <f t="shared" si="615"/>
        <v>0</v>
      </c>
      <c r="AR74" s="590">
        <f t="shared" si="616"/>
        <v>0</v>
      </c>
      <c r="AS74" s="590">
        <f t="shared" si="617"/>
        <v>0</v>
      </c>
      <c r="AT74" s="590">
        <f t="shared" si="618"/>
        <v>0</v>
      </c>
      <c r="AU74" s="590">
        <f t="shared" si="619"/>
        <v>0</v>
      </c>
      <c r="AV74" s="590">
        <f t="shared" si="620"/>
        <v>0</v>
      </c>
      <c r="AW74" s="590">
        <f t="shared" si="621"/>
        <v>0</v>
      </c>
      <c r="AX74" s="590">
        <f t="shared" si="622"/>
        <v>0</v>
      </c>
      <c r="AY74" s="590">
        <f t="shared" si="623"/>
        <v>0</v>
      </c>
      <c r="AZ74" s="590">
        <f t="shared" si="624"/>
        <v>0</v>
      </c>
      <c r="BA74" s="590">
        <f t="shared" si="625"/>
        <v>0</v>
      </c>
      <c r="BB74" s="590">
        <f t="shared" si="626"/>
        <v>0</v>
      </c>
      <c r="BC74" s="590">
        <f t="shared" si="627"/>
        <v>0</v>
      </c>
      <c r="BD74" s="590">
        <f t="shared" si="628"/>
        <v>0</v>
      </c>
      <c r="BE74" s="590">
        <f t="shared" si="629"/>
        <v>0</v>
      </c>
      <c r="BF74" s="590">
        <f t="shared" si="630"/>
        <v>0</v>
      </c>
      <c r="BG74" s="590">
        <f t="shared" si="631"/>
        <v>0</v>
      </c>
      <c r="BH74" s="590">
        <f t="shared" si="632"/>
        <v>0</v>
      </c>
      <c r="BI74" s="590">
        <f t="shared" si="633"/>
        <v>0</v>
      </c>
      <c r="BJ74" s="590">
        <f t="shared" si="634"/>
        <v>0</v>
      </c>
      <c r="BK74" s="590">
        <f t="shared" si="635"/>
        <v>0</v>
      </c>
      <c r="BL74" s="590">
        <f t="shared" si="636"/>
        <v>0</v>
      </c>
      <c r="BM74" s="590">
        <f t="shared" si="637"/>
        <v>0</v>
      </c>
      <c r="BN74" s="590">
        <f t="shared" si="638"/>
        <v>0</v>
      </c>
      <c r="BO74" s="590">
        <f t="shared" si="639"/>
        <v>0</v>
      </c>
      <c r="BP74" s="590">
        <f t="shared" si="640"/>
        <v>0</v>
      </c>
      <c r="BQ74" s="590">
        <f t="shared" si="641"/>
        <v>0</v>
      </c>
      <c r="BR74" s="590">
        <f t="shared" si="642"/>
        <v>0</v>
      </c>
      <c r="BS74" s="590">
        <f t="shared" si="643"/>
        <v>0</v>
      </c>
      <c r="BT74" s="590">
        <f t="shared" si="644"/>
        <v>0</v>
      </c>
      <c r="BU74" s="590">
        <f t="shared" si="645"/>
        <v>0</v>
      </c>
      <c r="BV74" s="590">
        <f t="shared" si="646"/>
        <v>0</v>
      </c>
      <c r="BW74" s="590">
        <f t="shared" si="647"/>
        <v>0</v>
      </c>
      <c r="BX74" s="590">
        <f t="shared" si="648"/>
        <v>0</v>
      </c>
      <c r="BY74" s="590">
        <f t="shared" si="649"/>
        <v>0</v>
      </c>
      <c r="BZ74" s="590">
        <f t="shared" si="650"/>
        <v>0</v>
      </c>
      <c r="CA74" s="590">
        <f t="shared" si="651"/>
        <v>0</v>
      </c>
      <c r="CB74" s="590">
        <f t="shared" si="652"/>
        <v>0</v>
      </c>
      <c r="CC74" s="590">
        <f t="shared" si="653"/>
        <v>0</v>
      </c>
      <c r="CD74" s="590">
        <f t="shared" si="654"/>
        <v>0</v>
      </c>
      <c r="CE74" s="590">
        <f t="shared" si="655"/>
        <v>0</v>
      </c>
      <c r="CF74" s="590">
        <f t="shared" si="656"/>
        <v>0</v>
      </c>
      <c r="CG74" s="590">
        <f t="shared" si="657"/>
        <v>0</v>
      </c>
      <c r="CH74" s="590">
        <f t="shared" si="658"/>
        <v>0</v>
      </c>
    </row>
    <row r="75" spans="1:86" x14ac:dyDescent="0.2">
      <c r="A75" s="585">
        <v>63</v>
      </c>
      <c r="B75" s="211" t="s">
        <v>601</v>
      </c>
      <c r="C75" s="577"/>
      <c r="D75" s="577"/>
      <c r="E75" s="577"/>
      <c r="F75" s="577"/>
      <c r="G75" s="577"/>
      <c r="H75" s="577"/>
      <c r="I75" s="577"/>
      <c r="J75" s="577"/>
      <c r="K75" s="577"/>
      <c r="L75" s="577"/>
      <c r="M75" s="577"/>
      <c r="N75" s="577"/>
      <c r="O75" s="589">
        <v>0</v>
      </c>
      <c r="P75" s="590">
        <f t="shared" si="659"/>
        <v>0</v>
      </c>
      <c r="Q75" s="590">
        <f t="shared" si="589"/>
        <v>0</v>
      </c>
      <c r="R75" s="590">
        <f t="shared" si="590"/>
        <v>0</v>
      </c>
      <c r="S75" s="590">
        <f t="shared" si="591"/>
        <v>0</v>
      </c>
      <c r="T75" s="590">
        <f t="shared" si="592"/>
        <v>0</v>
      </c>
      <c r="U75" s="590">
        <f t="shared" si="593"/>
        <v>0</v>
      </c>
      <c r="V75" s="590">
        <f t="shared" si="594"/>
        <v>0</v>
      </c>
      <c r="W75" s="590">
        <f t="shared" si="595"/>
        <v>0</v>
      </c>
      <c r="X75" s="590">
        <f t="shared" si="596"/>
        <v>0</v>
      </c>
      <c r="Y75" s="590">
        <f t="shared" si="597"/>
        <v>0</v>
      </c>
      <c r="Z75" s="590">
        <f t="shared" si="598"/>
        <v>0</v>
      </c>
      <c r="AA75" s="590">
        <f t="shared" si="599"/>
        <v>0</v>
      </c>
      <c r="AB75" s="590">
        <f t="shared" si="600"/>
        <v>0</v>
      </c>
      <c r="AC75" s="590">
        <f t="shared" si="601"/>
        <v>0</v>
      </c>
      <c r="AD75" s="590">
        <f t="shared" si="602"/>
        <v>0</v>
      </c>
      <c r="AE75" s="590">
        <f t="shared" si="603"/>
        <v>0</v>
      </c>
      <c r="AF75" s="590">
        <f t="shared" si="604"/>
        <v>0</v>
      </c>
      <c r="AG75" s="590">
        <f t="shared" si="605"/>
        <v>0</v>
      </c>
      <c r="AH75" s="590">
        <f t="shared" si="606"/>
        <v>0</v>
      </c>
      <c r="AI75" s="590">
        <f t="shared" si="607"/>
        <v>0</v>
      </c>
      <c r="AJ75" s="590">
        <f t="shared" si="608"/>
        <v>0</v>
      </c>
      <c r="AK75" s="590">
        <f t="shared" si="609"/>
        <v>0</v>
      </c>
      <c r="AL75" s="590">
        <f t="shared" si="610"/>
        <v>0</v>
      </c>
      <c r="AM75" s="590">
        <f t="shared" si="611"/>
        <v>0</v>
      </c>
      <c r="AN75" s="590">
        <f t="shared" si="612"/>
        <v>0</v>
      </c>
      <c r="AO75" s="590">
        <f t="shared" si="613"/>
        <v>0</v>
      </c>
      <c r="AP75" s="590">
        <f t="shared" si="614"/>
        <v>0</v>
      </c>
      <c r="AQ75" s="590">
        <f t="shared" si="615"/>
        <v>0</v>
      </c>
      <c r="AR75" s="590">
        <f t="shared" si="616"/>
        <v>0</v>
      </c>
      <c r="AS75" s="590">
        <f t="shared" si="617"/>
        <v>0</v>
      </c>
      <c r="AT75" s="590">
        <f t="shared" si="618"/>
        <v>0</v>
      </c>
      <c r="AU75" s="590">
        <f t="shared" si="619"/>
        <v>0</v>
      </c>
      <c r="AV75" s="590">
        <f t="shared" si="620"/>
        <v>0</v>
      </c>
      <c r="AW75" s="590">
        <f t="shared" si="621"/>
        <v>0</v>
      </c>
      <c r="AX75" s="590">
        <f t="shared" si="622"/>
        <v>0</v>
      </c>
      <c r="AY75" s="590">
        <f t="shared" si="623"/>
        <v>0</v>
      </c>
      <c r="AZ75" s="590">
        <f t="shared" si="624"/>
        <v>0</v>
      </c>
      <c r="BA75" s="590">
        <f t="shared" si="625"/>
        <v>0</v>
      </c>
      <c r="BB75" s="590">
        <f t="shared" si="626"/>
        <v>0</v>
      </c>
      <c r="BC75" s="590">
        <f t="shared" si="627"/>
        <v>0</v>
      </c>
      <c r="BD75" s="590">
        <f t="shared" si="628"/>
        <v>0</v>
      </c>
      <c r="BE75" s="590">
        <f t="shared" si="629"/>
        <v>0</v>
      </c>
      <c r="BF75" s="590">
        <f t="shared" si="630"/>
        <v>0</v>
      </c>
      <c r="BG75" s="590">
        <f t="shared" si="631"/>
        <v>0</v>
      </c>
      <c r="BH75" s="590">
        <f t="shared" si="632"/>
        <v>0</v>
      </c>
      <c r="BI75" s="590">
        <f t="shared" si="633"/>
        <v>0</v>
      </c>
      <c r="BJ75" s="590">
        <f t="shared" si="634"/>
        <v>0</v>
      </c>
      <c r="BK75" s="590">
        <f t="shared" si="635"/>
        <v>0</v>
      </c>
      <c r="BL75" s="590">
        <f t="shared" si="636"/>
        <v>0</v>
      </c>
      <c r="BM75" s="590">
        <f t="shared" si="637"/>
        <v>0</v>
      </c>
      <c r="BN75" s="590">
        <f t="shared" si="638"/>
        <v>0</v>
      </c>
      <c r="BO75" s="590">
        <f t="shared" si="639"/>
        <v>0</v>
      </c>
      <c r="BP75" s="590">
        <f t="shared" si="640"/>
        <v>0</v>
      </c>
      <c r="BQ75" s="590">
        <f t="shared" si="641"/>
        <v>0</v>
      </c>
      <c r="BR75" s="590">
        <f t="shared" si="642"/>
        <v>0</v>
      </c>
      <c r="BS75" s="590">
        <f t="shared" si="643"/>
        <v>0</v>
      </c>
      <c r="BT75" s="590">
        <f t="shared" si="644"/>
        <v>0</v>
      </c>
      <c r="BU75" s="590">
        <f t="shared" si="645"/>
        <v>0</v>
      </c>
      <c r="BV75" s="590">
        <f t="shared" si="646"/>
        <v>0</v>
      </c>
      <c r="BW75" s="590">
        <f t="shared" si="647"/>
        <v>0</v>
      </c>
      <c r="BX75" s="590">
        <f t="shared" si="648"/>
        <v>0</v>
      </c>
      <c r="BY75" s="590">
        <f t="shared" si="649"/>
        <v>0</v>
      </c>
      <c r="BZ75" s="590">
        <f t="shared" si="650"/>
        <v>0</v>
      </c>
      <c r="CA75" s="590">
        <f t="shared" si="651"/>
        <v>0</v>
      </c>
      <c r="CB75" s="590">
        <f t="shared" si="652"/>
        <v>0</v>
      </c>
      <c r="CC75" s="590">
        <f t="shared" si="653"/>
        <v>0</v>
      </c>
      <c r="CD75" s="590">
        <f t="shared" si="654"/>
        <v>0</v>
      </c>
      <c r="CE75" s="590">
        <f t="shared" si="655"/>
        <v>0</v>
      </c>
      <c r="CF75" s="590">
        <f t="shared" si="656"/>
        <v>0</v>
      </c>
      <c r="CG75" s="590">
        <f t="shared" si="657"/>
        <v>0</v>
      </c>
      <c r="CH75" s="590">
        <f t="shared" si="658"/>
        <v>0</v>
      </c>
    </row>
    <row r="76" spans="1:86" x14ac:dyDescent="0.2">
      <c r="A76" s="585">
        <v>64</v>
      </c>
      <c r="C76" s="210"/>
      <c r="D76" s="210"/>
      <c r="E76" s="210"/>
      <c r="F76" s="210"/>
      <c r="G76" s="210"/>
      <c r="H76" s="210"/>
      <c r="I76" s="210"/>
      <c r="J76" s="210"/>
      <c r="K76" s="210"/>
      <c r="L76" s="210"/>
      <c r="M76" s="210"/>
      <c r="N76" s="210"/>
    </row>
    <row r="77" spans="1:86" x14ac:dyDescent="0.2">
      <c r="A77" s="585">
        <v>65</v>
      </c>
      <c r="B77" s="211" t="s">
        <v>595</v>
      </c>
      <c r="C77" s="45">
        <f t="shared" ref="C77:BN77" si="660">C82*C84</f>
        <v>25965.023291626563</v>
      </c>
      <c r="D77" s="45">
        <f t="shared" si="660"/>
        <v>27212.02769971126</v>
      </c>
      <c r="E77" s="45">
        <f t="shared" si="660"/>
        <v>26033.352300288741</v>
      </c>
      <c r="F77" s="45">
        <f t="shared" si="660"/>
        <v>26545.819865255053</v>
      </c>
      <c r="G77" s="45">
        <f t="shared" si="660"/>
        <v>26579.984369586142</v>
      </c>
      <c r="H77" s="45">
        <f t="shared" si="660"/>
        <v>26494.573108758421</v>
      </c>
      <c r="I77" s="45">
        <f t="shared" si="660"/>
        <v>26511.655360923967</v>
      </c>
      <c r="J77" s="45">
        <f t="shared" si="660"/>
        <v>26409.161847930704</v>
      </c>
      <c r="K77" s="45">
        <f t="shared" si="660"/>
        <v>26750.80689124158</v>
      </c>
      <c r="L77" s="45">
        <f t="shared" si="660"/>
        <v>25777.118517805582</v>
      </c>
      <c r="M77" s="45">
        <f t="shared" si="660"/>
        <v>26921.629412897018</v>
      </c>
      <c r="N77" s="45">
        <f t="shared" si="660"/>
        <v>26238.339326275265</v>
      </c>
      <c r="O77" s="45">
        <f t="shared" si="660"/>
        <v>25965.023291626563</v>
      </c>
      <c r="P77" s="45">
        <f t="shared" si="660"/>
        <v>27212.02769971126</v>
      </c>
      <c r="Q77" s="45">
        <f t="shared" si="660"/>
        <v>26033.352300288741</v>
      </c>
      <c r="R77" s="45">
        <f t="shared" si="660"/>
        <v>26545.819865255053</v>
      </c>
      <c r="S77" s="45">
        <f t="shared" si="660"/>
        <v>26579.984369586142</v>
      </c>
      <c r="T77" s="45">
        <f t="shared" si="660"/>
        <v>26494.573108758421</v>
      </c>
      <c r="U77" s="45">
        <f t="shared" si="660"/>
        <v>26511.655360923967</v>
      </c>
      <c r="V77" s="45">
        <f t="shared" si="660"/>
        <v>26409.161847930704</v>
      </c>
      <c r="W77" s="45">
        <f t="shared" si="660"/>
        <v>26750.80689124158</v>
      </c>
      <c r="X77" s="45">
        <f t="shared" si="660"/>
        <v>25777.118517805582</v>
      </c>
      <c r="Y77" s="45">
        <f t="shared" si="660"/>
        <v>26921.629412897018</v>
      </c>
      <c r="Z77" s="45">
        <f t="shared" si="660"/>
        <v>26238.339326275265</v>
      </c>
      <c r="AA77" s="45">
        <f t="shared" si="660"/>
        <v>25965.023291626563</v>
      </c>
      <c r="AB77" s="45">
        <f t="shared" si="660"/>
        <v>27212.02769971126</v>
      </c>
      <c r="AC77" s="45">
        <f t="shared" si="660"/>
        <v>26033.352300288741</v>
      </c>
      <c r="AD77" s="45">
        <f t="shared" si="660"/>
        <v>26545.819865255053</v>
      </c>
      <c r="AE77" s="45">
        <f t="shared" si="660"/>
        <v>26579.984369586142</v>
      </c>
      <c r="AF77" s="45">
        <f t="shared" si="660"/>
        <v>26494.573108758421</v>
      </c>
      <c r="AG77" s="45">
        <f t="shared" si="660"/>
        <v>26511.655360923967</v>
      </c>
      <c r="AH77" s="45">
        <f t="shared" si="660"/>
        <v>26409.161847930704</v>
      </c>
      <c r="AI77" s="45">
        <f t="shared" si="660"/>
        <v>26750.80689124158</v>
      </c>
      <c r="AJ77" s="45">
        <f t="shared" si="660"/>
        <v>25777.118517805582</v>
      </c>
      <c r="AK77" s="45">
        <f t="shared" si="660"/>
        <v>26921.629412897018</v>
      </c>
      <c r="AL77" s="45">
        <f t="shared" si="660"/>
        <v>26238.339326275265</v>
      </c>
      <c r="AM77" s="45">
        <f t="shared" si="660"/>
        <v>25965.023291626563</v>
      </c>
      <c r="AN77" s="45">
        <f t="shared" si="660"/>
        <v>27212.02769971126</v>
      </c>
      <c r="AO77" s="45">
        <f t="shared" si="660"/>
        <v>26033.352300288741</v>
      </c>
      <c r="AP77" s="45">
        <f t="shared" si="660"/>
        <v>26545.819865255053</v>
      </c>
      <c r="AQ77" s="45">
        <f t="shared" si="660"/>
        <v>26579.984369586142</v>
      </c>
      <c r="AR77" s="45">
        <f t="shared" si="660"/>
        <v>26494.573108758421</v>
      </c>
      <c r="AS77" s="45">
        <f t="shared" si="660"/>
        <v>26511.655360923967</v>
      </c>
      <c r="AT77" s="45">
        <f t="shared" si="660"/>
        <v>26409.161847930704</v>
      </c>
      <c r="AU77" s="45">
        <f t="shared" si="660"/>
        <v>26750.80689124158</v>
      </c>
      <c r="AV77" s="45">
        <f t="shared" si="660"/>
        <v>25777.118517805582</v>
      </c>
      <c r="AW77" s="45">
        <f t="shared" si="660"/>
        <v>26921.629412897018</v>
      </c>
      <c r="AX77" s="45">
        <f t="shared" si="660"/>
        <v>26238.339326275265</v>
      </c>
      <c r="AY77" s="45">
        <f t="shared" si="660"/>
        <v>25965.023291626563</v>
      </c>
      <c r="AZ77" s="45">
        <f t="shared" si="660"/>
        <v>27212.02769971126</v>
      </c>
      <c r="BA77" s="45">
        <f t="shared" si="660"/>
        <v>26033.352300288741</v>
      </c>
      <c r="BB77" s="45">
        <f t="shared" si="660"/>
        <v>26545.819865255053</v>
      </c>
      <c r="BC77" s="45">
        <f t="shared" si="660"/>
        <v>26579.984369586142</v>
      </c>
      <c r="BD77" s="45">
        <f t="shared" si="660"/>
        <v>26494.573108758421</v>
      </c>
      <c r="BE77" s="45">
        <f t="shared" si="660"/>
        <v>26511.655360923967</v>
      </c>
      <c r="BF77" s="45">
        <f t="shared" si="660"/>
        <v>26409.161847930704</v>
      </c>
      <c r="BG77" s="45">
        <f t="shared" si="660"/>
        <v>26750.80689124158</v>
      </c>
      <c r="BH77" s="45">
        <f t="shared" si="660"/>
        <v>25777.118517805582</v>
      </c>
      <c r="BI77" s="45">
        <f t="shared" si="660"/>
        <v>26921.629412897018</v>
      </c>
      <c r="BJ77" s="45">
        <f t="shared" si="660"/>
        <v>26238.339326275265</v>
      </c>
      <c r="BK77" s="45">
        <f t="shared" si="660"/>
        <v>25965.023291626563</v>
      </c>
      <c r="BL77" s="45">
        <f t="shared" si="660"/>
        <v>27212.02769971126</v>
      </c>
      <c r="BM77" s="45">
        <f t="shared" si="660"/>
        <v>26033.352300288741</v>
      </c>
      <c r="BN77" s="45">
        <f t="shared" si="660"/>
        <v>26545.819865255053</v>
      </c>
      <c r="BO77" s="45">
        <f t="shared" ref="BO77:CH77" si="661">BO82*BO84</f>
        <v>26579.984369586142</v>
      </c>
      <c r="BP77" s="45">
        <f t="shared" si="661"/>
        <v>26494.573108758421</v>
      </c>
      <c r="BQ77" s="45">
        <f t="shared" si="661"/>
        <v>26511.655360923967</v>
      </c>
      <c r="BR77" s="45">
        <f t="shared" si="661"/>
        <v>26409.161847930704</v>
      </c>
      <c r="BS77" s="45">
        <f t="shared" si="661"/>
        <v>26750.80689124158</v>
      </c>
      <c r="BT77" s="45">
        <f t="shared" si="661"/>
        <v>25777.118517805582</v>
      </c>
      <c r="BU77" s="45">
        <f t="shared" si="661"/>
        <v>26921.629412897018</v>
      </c>
      <c r="BV77" s="45">
        <f t="shared" si="661"/>
        <v>26238.339326275265</v>
      </c>
      <c r="BW77" s="45">
        <f t="shared" si="661"/>
        <v>25965.023291626563</v>
      </c>
      <c r="BX77" s="45">
        <f t="shared" si="661"/>
        <v>27212.02769971126</v>
      </c>
      <c r="BY77" s="45">
        <f t="shared" si="661"/>
        <v>26033.352300288741</v>
      </c>
      <c r="BZ77" s="45">
        <f t="shared" si="661"/>
        <v>26545.819865255053</v>
      </c>
      <c r="CA77" s="45">
        <f t="shared" si="661"/>
        <v>26579.984369586142</v>
      </c>
      <c r="CB77" s="45">
        <f t="shared" si="661"/>
        <v>26494.573108758421</v>
      </c>
      <c r="CC77" s="45">
        <f t="shared" si="661"/>
        <v>26511.655360923967</v>
      </c>
      <c r="CD77" s="45">
        <f t="shared" si="661"/>
        <v>26409.161847930704</v>
      </c>
      <c r="CE77" s="45">
        <f t="shared" si="661"/>
        <v>26750.80689124158</v>
      </c>
      <c r="CF77" s="45">
        <f t="shared" si="661"/>
        <v>25777.118517805582</v>
      </c>
      <c r="CG77" s="45">
        <f t="shared" si="661"/>
        <v>26921.629412897018</v>
      </c>
      <c r="CH77" s="45">
        <f t="shared" si="661"/>
        <v>26238.339326275265</v>
      </c>
    </row>
    <row r="78" spans="1:86" x14ac:dyDescent="0.2">
      <c r="A78" s="585">
        <v>66</v>
      </c>
      <c r="B78" s="211" t="s">
        <v>596</v>
      </c>
      <c r="C78" s="45">
        <f t="shared" ref="C78:N78" si="662">C86-C77</f>
        <v>-3195.0932916265629</v>
      </c>
      <c r="D78" s="45">
        <f t="shared" si="662"/>
        <v>-4906.4676997112583</v>
      </c>
      <c r="E78" s="45">
        <f t="shared" si="662"/>
        <v>4906.4676997112583</v>
      </c>
      <c r="F78" s="45">
        <f t="shared" si="662"/>
        <v>3717.4201347449525</v>
      </c>
      <c r="G78" s="45">
        <f t="shared" si="662"/>
        <v>20688.195630413858</v>
      </c>
      <c r="H78" s="45">
        <f t="shared" si="662"/>
        <v>98986.796891241567</v>
      </c>
      <c r="I78" s="45">
        <f t="shared" si="662"/>
        <v>143071.95463907602</v>
      </c>
      <c r="J78" s="45">
        <f t="shared" si="662"/>
        <v>99863.878152069301</v>
      </c>
      <c r="K78" s="45">
        <f t="shared" si="662"/>
        <v>72502.78310875842</v>
      </c>
      <c r="L78" s="45">
        <f t="shared" si="662"/>
        <v>49523.251482194413</v>
      </c>
      <c r="M78" s="45">
        <f t="shared" si="662"/>
        <v>12601.510587102981</v>
      </c>
      <c r="N78" s="45">
        <f t="shared" si="662"/>
        <v>1191.4806737247345</v>
      </c>
      <c r="O78" s="46">
        <f>O80*O84*O$14</f>
        <v>0</v>
      </c>
      <c r="P78" s="46">
        <f t="shared" ref="P78:Z78" si="663">P80*P84*P$14</f>
        <v>0</v>
      </c>
      <c r="Q78" s="46">
        <f t="shared" si="663"/>
        <v>320.74229336203507</v>
      </c>
      <c r="R78" s="46">
        <f t="shared" si="663"/>
        <v>14553.997252535966</v>
      </c>
      <c r="S78" s="46">
        <f t="shared" si="663"/>
        <v>58618.39010260332</v>
      </c>
      <c r="T78" s="46">
        <f t="shared" si="663"/>
        <v>108536.22457611661</v>
      </c>
      <c r="U78" s="46">
        <f t="shared" si="663"/>
        <v>139146.59366200538</v>
      </c>
      <c r="V78" s="46">
        <f t="shared" si="663"/>
        <v>144628.04578183097</v>
      </c>
      <c r="W78" s="46">
        <f t="shared" si="663"/>
        <v>100028.03013871484</v>
      </c>
      <c r="X78" s="46">
        <f t="shared" si="663"/>
        <v>56212.612441565638</v>
      </c>
      <c r="Y78" s="46">
        <f t="shared" si="663"/>
        <v>20067.018495723962</v>
      </c>
      <c r="Z78" s="46">
        <f t="shared" si="663"/>
        <v>3555.9460555413025</v>
      </c>
      <c r="AA78" s="46">
        <f>AA80*AA84*AA$14</f>
        <v>0</v>
      </c>
      <c r="AB78" s="46">
        <f t="shared" ref="AB78:AL78" si="664">AB80*AB84*AB$14</f>
        <v>0</v>
      </c>
      <c r="AC78" s="46">
        <f t="shared" si="664"/>
        <v>320.74237115476171</v>
      </c>
      <c r="AD78" s="46">
        <f t="shared" si="664"/>
        <v>14554.000782457506</v>
      </c>
      <c r="AE78" s="46">
        <f t="shared" si="664"/>
        <v>58618.404319887704</v>
      </c>
      <c r="AF78" s="46">
        <f t="shared" si="664"/>
        <v>108536.25090045556</v>
      </c>
      <c r="AG78" s="46">
        <f t="shared" si="664"/>
        <v>139146.62741057287</v>
      </c>
      <c r="AH78" s="46">
        <f t="shared" si="664"/>
        <v>144628.08085986797</v>
      </c>
      <c r="AI78" s="46">
        <f t="shared" si="664"/>
        <v>100028.05439947921</v>
      </c>
      <c r="AJ78" s="46">
        <f t="shared" si="664"/>
        <v>56212.626075353524</v>
      </c>
      <c r="AK78" s="46">
        <f t="shared" si="664"/>
        <v>20067.023362771801</v>
      </c>
      <c r="AL78" s="46">
        <f t="shared" si="664"/>
        <v>3555.9469179992479</v>
      </c>
      <c r="AM78" s="46">
        <f>AM80*AM84*AM$14</f>
        <v>0</v>
      </c>
      <c r="AN78" s="46">
        <f t="shared" ref="AN78:AX78" si="665">AN80*AN84*AN$14</f>
        <v>0</v>
      </c>
      <c r="AO78" s="46">
        <f t="shared" si="665"/>
        <v>320.74244795396686</v>
      </c>
      <c r="AP78" s="46">
        <f t="shared" si="665"/>
        <v>14554.004267297027</v>
      </c>
      <c r="AQ78" s="46">
        <f t="shared" si="665"/>
        <v>58618.418355597547</v>
      </c>
      <c r="AR78" s="46">
        <f t="shared" si="665"/>
        <v>108536.27688859604</v>
      </c>
      <c r="AS78" s="46">
        <f t="shared" si="665"/>
        <v>139146.66072812409</v>
      </c>
      <c r="AT78" s="46">
        <f t="shared" si="665"/>
        <v>144628.11548990954</v>
      </c>
      <c r="AU78" s="46">
        <f t="shared" si="665"/>
        <v>100028.07835039981</v>
      </c>
      <c r="AV78" s="46">
        <f t="shared" si="665"/>
        <v>56212.639535018941</v>
      </c>
      <c r="AW78" s="46">
        <f t="shared" si="665"/>
        <v>20067.02816766065</v>
      </c>
      <c r="AX78" s="46">
        <f t="shared" si="665"/>
        <v>3555.947769442404</v>
      </c>
      <c r="AY78" s="46">
        <f>AY80*AY84*AY$14</f>
        <v>0</v>
      </c>
      <c r="AZ78" s="46">
        <f t="shared" ref="AZ78:BJ78" si="666">AZ80*AZ84*AZ$14</f>
        <v>0</v>
      </c>
      <c r="BA78" s="46">
        <f t="shared" si="666"/>
        <v>320.74260209881402</v>
      </c>
      <c r="BB78" s="46">
        <f t="shared" si="666"/>
        <v>14554.011261771186</v>
      </c>
      <c r="BC78" s="46">
        <f t="shared" si="666"/>
        <v>58618.446526883257</v>
      </c>
      <c r="BD78" s="46">
        <f t="shared" si="666"/>
        <v>108536.32904978619</v>
      </c>
      <c r="BE78" s="46">
        <f t="shared" si="666"/>
        <v>139146.72760028549</v>
      </c>
      <c r="BF78" s="46">
        <f t="shared" si="666"/>
        <v>144628.18499639022</v>
      </c>
      <c r="BG78" s="46">
        <f t="shared" si="666"/>
        <v>100028.12642265514</v>
      </c>
      <c r="BH78" s="46">
        <f t="shared" si="666"/>
        <v>56212.666550117145</v>
      </c>
      <c r="BI78" s="46">
        <f t="shared" si="666"/>
        <v>20067.037811625803</v>
      </c>
      <c r="BJ78" s="46">
        <f t="shared" si="666"/>
        <v>3555.9494783868518</v>
      </c>
      <c r="BK78" s="46">
        <f>BK80*BK84*BK$14</f>
        <v>0</v>
      </c>
      <c r="BL78" s="46">
        <f t="shared" ref="BL78:BV78" si="667">BL80*BL84*BL$14</f>
        <v>0</v>
      </c>
      <c r="BM78" s="46">
        <f t="shared" si="667"/>
        <v>320.74260209881402</v>
      </c>
      <c r="BN78" s="46">
        <f t="shared" si="667"/>
        <v>14554.011261771186</v>
      </c>
      <c r="BO78" s="46">
        <f t="shared" si="667"/>
        <v>58618.446526883257</v>
      </c>
      <c r="BP78" s="46">
        <f t="shared" si="667"/>
        <v>108536.32904978619</v>
      </c>
      <c r="BQ78" s="46">
        <f t="shared" si="667"/>
        <v>139146.72760028549</v>
      </c>
      <c r="BR78" s="46">
        <f t="shared" si="667"/>
        <v>144628.18499639022</v>
      </c>
      <c r="BS78" s="46">
        <f t="shared" si="667"/>
        <v>100028.12642265514</v>
      </c>
      <c r="BT78" s="46">
        <f t="shared" si="667"/>
        <v>56212.666550117145</v>
      </c>
      <c r="BU78" s="46">
        <f t="shared" si="667"/>
        <v>20067.037811625803</v>
      </c>
      <c r="BV78" s="46">
        <f t="shared" si="667"/>
        <v>3555.9494783868518</v>
      </c>
      <c r="BW78" s="46">
        <f>BW80*BW84*BW$14</f>
        <v>0</v>
      </c>
      <c r="BX78" s="46">
        <f t="shared" ref="BX78:CH78" si="668">BX80*BX84*BX$14</f>
        <v>0</v>
      </c>
      <c r="BY78" s="46">
        <f t="shared" si="668"/>
        <v>320.74260209881402</v>
      </c>
      <c r="BZ78" s="46">
        <f t="shared" si="668"/>
        <v>14554.011261771186</v>
      </c>
      <c r="CA78" s="46">
        <f t="shared" si="668"/>
        <v>58618.446526883257</v>
      </c>
      <c r="CB78" s="46">
        <f t="shared" si="668"/>
        <v>108536.32904978619</v>
      </c>
      <c r="CC78" s="46">
        <f t="shared" si="668"/>
        <v>139146.72760028549</v>
      </c>
      <c r="CD78" s="46">
        <f t="shared" si="668"/>
        <v>144628.18499639022</v>
      </c>
      <c r="CE78" s="46">
        <f t="shared" si="668"/>
        <v>100028.12642265514</v>
      </c>
      <c r="CF78" s="46">
        <f t="shared" si="668"/>
        <v>56212.666550117145</v>
      </c>
      <c r="CG78" s="46">
        <f t="shared" si="668"/>
        <v>20067.037811625803</v>
      </c>
      <c r="CH78" s="46">
        <f t="shared" si="668"/>
        <v>3555.9494783868518</v>
      </c>
    </row>
    <row r="79" spans="1:86" x14ac:dyDescent="0.2">
      <c r="A79" s="585">
        <v>67</v>
      </c>
      <c r="B79" s="211" t="s">
        <v>597</v>
      </c>
      <c r="C79" s="591">
        <f t="shared" ref="C79:N79" si="669">C78/C84</f>
        <v>-2.1020350602806332</v>
      </c>
      <c r="D79" s="591">
        <f t="shared" si="669"/>
        <v>-3.0800173883937592</v>
      </c>
      <c r="E79" s="591">
        <f t="shared" si="669"/>
        <v>3.2194669945611931</v>
      </c>
      <c r="F79" s="591">
        <f t="shared" si="669"/>
        <v>2.3921622488706258</v>
      </c>
      <c r="G79" s="591">
        <f t="shared" si="669"/>
        <v>13.295755546538469</v>
      </c>
      <c r="H79" s="591">
        <f t="shared" si="669"/>
        <v>63.821274591387215</v>
      </c>
      <c r="I79" s="591">
        <f t="shared" si="669"/>
        <v>92.185537782909805</v>
      </c>
      <c r="J79" s="591">
        <f t="shared" si="669"/>
        <v>64.595005273007317</v>
      </c>
      <c r="K79" s="591">
        <f t="shared" si="669"/>
        <v>46.298073504954289</v>
      </c>
      <c r="L79" s="591">
        <f t="shared" si="669"/>
        <v>32.818589451421083</v>
      </c>
      <c r="M79" s="591">
        <f t="shared" si="669"/>
        <v>7.9958823522227034</v>
      </c>
      <c r="N79" s="591">
        <f t="shared" si="669"/>
        <v>0.77570356362287407</v>
      </c>
      <c r="O79" s="592">
        <f>O78/O84</f>
        <v>0</v>
      </c>
      <c r="P79" s="592">
        <f t="shared" ref="P79:Z79" si="670">P78/P84</f>
        <v>0</v>
      </c>
      <c r="Q79" s="592">
        <f t="shared" si="670"/>
        <v>0.21046082241603351</v>
      </c>
      <c r="R79" s="592">
        <f t="shared" si="670"/>
        <v>9.365506597513491</v>
      </c>
      <c r="S79" s="592">
        <f t="shared" si="670"/>
        <v>37.672487212470003</v>
      </c>
      <c r="T79" s="592">
        <f t="shared" si="670"/>
        <v>69.978223453331154</v>
      </c>
      <c r="U79" s="592">
        <f t="shared" si="670"/>
        <v>89.656310349230267</v>
      </c>
      <c r="V79" s="592">
        <f t="shared" si="670"/>
        <v>93.549835563926891</v>
      </c>
      <c r="W79" s="592">
        <f t="shared" si="670"/>
        <v>63.874859603266181</v>
      </c>
      <c r="X79" s="592">
        <f t="shared" si="670"/>
        <v>37.251565567637932</v>
      </c>
      <c r="Y79" s="592">
        <f t="shared" si="670"/>
        <v>12.732879756170027</v>
      </c>
      <c r="Z79" s="592">
        <f t="shared" si="670"/>
        <v>2.3150690465763688</v>
      </c>
      <c r="AA79" s="592">
        <f>AA78/AA84</f>
        <v>0</v>
      </c>
      <c r="AB79" s="592">
        <f t="shared" ref="AB79:AL79" si="671">AB78/AB84</f>
        <v>0</v>
      </c>
      <c r="AC79" s="592">
        <f t="shared" si="671"/>
        <v>0.21046087346112974</v>
      </c>
      <c r="AD79" s="592">
        <f t="shared" si="671"/>
        <v>9.3655088690202746</v>
      </c>
      <c r="AE79" s="592">
        <f t="shared" si="671"/>
        <v>37.672496349542229</v>
      </c>
      <c r="AF79" s="592">
        <f t="shared" si="671"/>
        <v>69.978240425825632</v>
      </c>
      <c r="AG79" s="592">
        <f t="shared" si="671"/>
        <v>89.656332094441282</v>
      </c>
      <c r="AH79" s="592">
        <f t="shared" si="671"/>
        <v>93.549858253472166</v>
      </c>
      <c r="AI79" s="592">
        <f t="shared" si="671"/>
        <v>63.874875095452879</v>
      </c>
      <c r="AJ79" s="592">
        <f t="shared" si="671"/>
        <v>37.251574602619961</v>
      </c>
      <c r="AK79" s="592">
        <f t="shared" si="671"/>
        <v>12.73288284439835</v>
      </c>
      <c r="AL79" s="592">
        <f t="shared" si="671"/>
        <v>2.3150696080724269</v>
      </c>
      <c r="AM79" s="592">
        <f>AM78/AM84</f>
        <v>0</v>
      </c>
      <c r="AN79" s="592">
        <f t="shared" ref="AN79:AX79" si="672">AN78/AN84</f>
        <v>0</v>
      </c>
      <c r="AO79" s="592">
        <f t="shared" si="672"/>
        <v>0.21046092385430895</v>
      </c>
      <c r="AP79" s="592">
        <f t="shared" si="672"/>
        <v>9.3655111115167475</v>
      </c>
      <c r="AQ79" s="592">
        <f t="shared" si="672"/>
        <v>37.672505369921303</v>
      </c>
      <c r="AR79" s="592">
        <f t="shared" si="672"/>
        <v>69.978257181557737</v>
      </c>
      <c r="AS79" s="592">
        <f t="shared" si="672"/>
        <v>89.656353561935617</v>
      </c>
      <c r="AT79" s="592">
        <f t="shared" si="672"/>
        <v>93.549880653240322</v>
      </c>
      <c r="AU79" s="592">
        <f t="shared" si="672"/>
        <v>63.874890389782763</v>
      </c>
      <c r="AV79" s="592">
        <f t="shared" si="672"/>
        <v>37.251583522212684</v>
      </c>
      <c r="AW79" s="592">
        <f t="shared" si="672"/>
        <v>12.732885893185692</v>
      </c>
      <c r="AX79" s="592">
        <f t="shared" si="672"/>
        <v>2.3150701623973986</v>
      </c>
      <c r="AY79" s="592">
        <f>AY78/AY84</f>
        <v>0</v>
      </c>
      <c r="AZ79" s="592">
        <f t="shared" ref="AZ79:BJ79" si="673">AZ78/AZ84</f>
        <v>0</v>
      </c>
      <c r="BA79" s="592">
        <f t="shared" si="673"/>
        <v>0.21046102499922179</v>
      </c>
      <c r="BB79" s="592">
        <f t="shared" si="673"/>
        <v>9.3655156124653711</v>
      </c>
      <c r="BC79" s="592">
        <f t="shared" si="673"/>
        <v>37.672523474860704</v>
      </c>
      <c r="BD79" s="592">
        <f t="shared" si="673"/>
        <v>69.978290812241255</v>
      </c>
      <c r="BE79" s="592">
        <f t="shared" si="673"/>
        <v>89.656396649668494</v>
      </c>
      <c r="BF79" s="592">
        <f t="shared" si="673"/>
        <v>93.549925612154084</v>
      </c>
      <c r="BG79" s="592">
        <f t="shared" si="673"/>
        <v>63.874921087263822</v>
      </c>
      <c r="BH79" s="592">
        <f t="shared" si="673"/>
        <v>37.251601424862258</v>
      </c>
      <c r="BI79" s="592">
        <f t="shared" si="673"/>
        <v>12.73289201245292</v>
      </c>
      <c r="BJ79" s="592">
        <f t="shared" si="673"/>
        <v>2.3150712749914399</v>
      </c>
      <c r="BK79" s="592">
        <f>BK78/BK84</f>
        <v>0</v>
      </c>
      <c r="BL79" s="592">
        <f t="shared" ref="BL79:BV79" si="674">BL78/BL84</f>
        <v>0</v>
      </c>
      <c r="BM79" s="592">
        <f t="shared" si="674"/>
        <v>0.21046102499922179</v>
      </c>
      <c r="BN79" s="592">
        <f t="shared" si="674"/>
        <v>9.3655156124653711</v>
      </c>
      <c r="BO79" s="592">
        <f t="shared" si="674"/>
        <v>37.672523474860704</v>
      </c>
      <c r="BP79" s="592">
        <f t="shared" si="674"/>
        <v>69.978290812241255</v>
      </c>
      <c r="BQ79" s="592">
        <f t="shared" si="674"/>
        <v>89.656396649668494</v>
      </c>
      <c r="BR79" s="592">
        <f t="shared" si="674"/>
        <v>93.549925612154084</v>
      </c>
      <c r="BS79" s="592">
        <f t="shared" si="674"/>
        <v>63.874921087263822</v>
      </c>
      <c r="BT79" s="592">
        <f t="shared" si="674"/>
        <v>37.251601424862258</v>
      </c>
      <c r="BU79" s="592">
        <f t="shared" si="674"/>
        <v>12.73289201245292</v>
      </c>
      <c r="BV79" s="592">
        <f t="shared" si="674"/>
        <v>2.3150712749914399</v>
      </c>
      <c r="BW79" s="592">
        <f>BW78/BW84</f>
        <v>0</v>
      </c>
      <c r="BX79" s="592">
        <f t="shared" ref="BX79:CH79" si="675">BX78/BX84</f>
        <v>0</v>
      </c>
      <c r="BY79" s="592">
        <f t="shared" si="675"/>
        <v>0.21046102499922179</v>
      </c>
      <c r="BZ79" s="592">
        <f t="shared" si="675"/>
        <v>9.3655156124653711</v>
      </c>
      <c r="CA79" s="592">
        <f t="shared" si="675"/>
        <v>37.672523474860704</v>
      </c>
      <c r="CB79" s="592">
        <f t="shared" si="675"/>
        <v>69.978290812241255</v>
      </c>
      <c r="CC79" s="592">
        <f t="shared" si="675"/>
        <v>89.656396649668494</v>
      </c>
      <c r="CD79" s="592">
        <f t="shared" si="675"/>
        <v>93.549925612154084</v>
      </c>
      <c r="CE79" s="592">
        <f t="shared" si="675"/>
        <v>63.874921087263822</v>
      </c>
      <c r="CF79" s="592">
        <f t="shared" si="675"/>
        <v>37.251601424862258</v>
      </c>
      <c r="CG79" s="592">
        <f t="shared" si="675"/>
        <v>12.73289201245292</v>
      </c>
      <c r="CH79" s="592">
        <f t="shared" si="675"/>
        <v>2.3150712749914399</v>
      </c>
    </row>
    <row r="80" spans="1:86" x14ac:dyDescent="0.2">
      <c r="A80" s="585">
        <v>68</v>
      </c>
      <c r="B80" s="211" t="s">
        <v>590</v>
      </c>
      <c r="C80" s="593">
        <f>SUM(C79:N79)/SUM(C$13:N$13)</f>
        <v>0.10523037193364505</v>
      </c>
      <c r="D80" s="593">
        <f>C80</f>
        <v>0.10523037193364505</v>
      </c>
      <c r="E80" s="593">
        <f t="shared" ref="E80" si="676">D80</f>
        <v>0.10523037193364505</v>
      </c>
      <c r="F80" s="593">
        <f t="shared" ref="F80" si="677">E80</f>
        <v>0.10523037193364505</v>
      </c>
      <c r="G80" s="593">
        <f t="shared" ref="G80" si="678">F80</f>
        <v>0.10523037193364505</v>
      </c>
      <c r="H80" s="593">
        <f t="shared" ref="H80" si="679">G80</f>
        <v>0.10523037193364505</v>
      </c>
      <c r="I80" s="593">
        <f t="shared" ref="I80" si="680">H80</f>
        <v>0.10523037193364505</v>
      </c>
      <c r="J80" s="593">
        <f t="shared" ref="J80" si="681">I80</f>
        <v>0.10523037193364505</v>
      </c>
      <c r="K80" s="593">
        <f t="shared" ref="K80" si="682">J80</f>
        <v>0.10523037193364505</v>
      </c>
      <c r="L80" s="593">
        <f t="shared" ref="L80" si="683">K80</f>
        <v>0.10523037193364505</v>
      </c>
      <c r="M80" s="593">
        <f t="shared" ref="M80" si="684">L80</f>
        <v>0.10523037193364505</v>
      </c>
      <c r="N80" s="593">
        <f t="shared" ref="N80" si="685">M80</f>
        <v>0.10523037193364505</v>
      </c>
      <c r="O80" s="594">
        <f>((SUM(C85:N85)/AVERAGE(C84:N84)+O75)*AVERAGE(O84:Z84)-SUM(O77:Z77))/(O84*O$14+P84*P$14+Q84*Q$14+R84*R$14+S84*S$14+T84*T$14+U84*U$14+V84*V$14+W84*W$14+X84*X$14+Y84*Y$14+Z84*Z$14)</f>
        <v>0.10523041120801675</v>
      </c>
      <c r="P80" s="595">
        <f>O80</f>
        <v>0.10523041120801675</v>
      </c>
      <c r="Q80" s="595">
        <f t="shared" ref="Q80" si="686">P80</f>
        <v>0.10523041120801675</v>
      </c>
      <c r="R80" s="595">
        <f t="shared" ref="R80" si="687">Q80</f>
        <v>0.10523041120801675</v>
      </c>
      <c r="S80" s="595">
        <f t="shared" ref="S80" si="688">R80</f>
        <v>0.10523041120801675</v>
      </c>
      <c r="T80" s="595">
        <f t="shared" ref="T80" si="689">S80</f>
        <v>0.10523041120801675</v>
      </c>
      <c r="U80" s="595">
        <f t="shared" ref="U80" si="690">T80</f>
        <v>0.10523041120801675</v>
      </c>
      <c r="V80" s="595">
        <f t="shared" ref="V80" si="691">U80</f>
        <v>0.10523041120801675</v>
      </c>
      <c r="W80" s="595">
        <f t="shared" ref="W80" si="692">V80</f>
        <v>0.10523041120801675</v>
      </c>
      <c r="X80" s="595">
        <f t="shared" ref="X80" si="693">W80</f>
        <v>0.10523041120801675</v>
      </c>
      <c r="Y80" s="595">
        <f t="shared" ref="Y80" si="694">X80</f>
        <v>0.10523041120801675</v>
      </c>
      <c r="Z80" s="595">
        <f t="shared" ref="Z80" si="695">Y80</f>
        <v>0.10523041120801675</v>
      </c>
      <c r="AA80" s="594">
        <f>((SUM(O85:Z85)/AVERAGE(O84:Z84)+AA75)*AVERAGE(AA84:AL84)-SUM(AA77:AL77))/(AA84*AA$14+AB84*AB$14+AC84*AC$14+AD84*AD$14+AE84*AE$14+AF84*AF$14+AG84*AG$14+AH84*AH$14+AI84*AI$14+AJ84*AJ$14+AK84*AK$14+AL84*AL$14)</f>
        <v>0.10523043673056487</v>
      </c>
      <c r="AB80" s="595">
        <f>AA80</f>
        <v>0.10523043673056487</v>
      </c>
      <c r="AC80" s="595">
        <f t="shared" ref="AC80" si="696">AB80</f>
        <v>0.10523043673056487</v>
      </c>
      <c r="AD80" s="595">
        <f t="shared" ref="AD80" si="697">AC80</f>
        <v>0.10523043673056487</v>
      </c>
      <c r="AE80" s="595">
        <f t="shared" ref="AE80" si="698">AD80</f>
        <v>0.10523043673056487</v>
      </c>
      <c r="AF80" s="595">
        <f t="shared" ref="AF80" si="699">AE80</f>
        <v>0.10523043673056487</v>
      </c>
      <c r="AG80" s="595">
        <f t="shared" ref="AG80" si="700">AF80</f>
        <v>0.10523043673056487</v>
      </c>
      <c r="AH80" s="595">
        <f t="shared" ref="AH80" si="701">AG80</f>
        <v>0.10523043673056487</v>
      </c>
      <c r="AI80" s="595">
        <f t="shared" ref="AI80" si="702">AH80</f>
        <v>0.10523043673056487</v>
      </c>
      <c r="AJ80" s="595">
        <f t="shared" ref="AJ80" si="703">AI80</f>
        <v>0.10523043673056487</v>
      </c>
      <c r="AK80" s="595">
        <f t="shared" ref="AK80" si="704">AJ80</f>
        <v>0.10523043673056487</v>
      </c>
      <c r="AL80" s="595">
        <f t="shared" ref="AL80" si="705">AK80</f>
        <v>0.10523043673056487</v>
      </c>
      <c r="AM80" s="594">
        <f>((SUM(AA85:AL85)/AVERAGE(AA84:AL84)+AM75)*AVERAGE(AM84:AX84)-SUM(AM77:AX77))/(AM84*AM$14+AN84*AN$14+AO84*AO$14+AP84*AP$14+AQ84*AQ$14+AR84*AR$14+AS84*AS$14+AT84*AT$14+AU84*AU$14+AV84*AV$14+AW84*AW$14+AX84*AX$14)</f>
        <v>0.10523046192715448</v>
      </c>
      <c r="AN80" s="595">
        <f>AM80</f>
        <v>0.10523046192715448</v>
      </c>
      <c r="AO80" s="595">
        <f t="shared" ref="AO80" si="706">AN80</f>
        <v>0.10523046192715448</v>
      </c>
      <c r="AP80" s="595">
        <f t="shared" ref="AP80" si="707">AO80</f>
        <v>0.10523046192715448</v>
      </c>
      <c r="AQ80" s="595">
        <f t="shared" ref="AQ80" si="708">AP80</f>
        <v>0.10523046192715448</v>
      </c>
      <c r="AR80" s="595">
        <f t="shared" ref="AR80" si="709">AQ80</f>
        <v>0.10523046192715448</v>
      </c>
      <c r="AS80" s="595">
        <f t="shared" ref="AS80" si="710">AR80</f>
        <v>0.10523046192715448</v>
      </c>
      <c r="AT80" s="595">
        <f t="shared" ref="AT80" si="711">AS80</f>
        <v>0.10523046192715448</v>
      </c>
      <c r="AU80" s="595">
        <f t="shared" ref="AU80" si="712">AT80</f>
        <v>0.10523046192715448</v>
      </c>
      <c r="AV80" s="595">
        <f t="shared" ref="AV80" si="713">AU80</f>
        <v>0.10523046192715448</v>
      </c>
      <c r="AW80" s="595">
        <f t="shared" ref="AW80" si="714">AV80</f>
        <v>0.10523046192715448</v>
      </c>
      <c r="AX80" s="595">
        <f t="shared" ref="AX80" si="715">AW80</f>
        <v>0.10523046192715448</v>
      </c>
      <c r="AY80" s="594">
        <f>((SUM(AM85:AX85)/AVERAGE(AM84:AX84)+AY75)*AVERAGE(AY84:BJ84)-SUM(AY77:BJ77))/(AY84*AY$14+AZ84*AZ$14+BA84*BA$14+BB84*BB$14+BC84*BC$14+BD84*BD$14+BE84*BE$14+BF84*BF$14+BG84*BG$14+BH84*BH$14+BI84*BI$14+BJ84*BJ$14)</f>
        <v>0.10523051249961091</v>
      </c>
      <c r="AZ80" s="595">
        <f>AY80</f>
        <v>0.10523051249961091</v>
      </c>
      <c r="BA80" s="595">
        <f t="shared" ref="BA80" si="716">AZ80</f>
        <v>0.10523051249961091</v>
      </c>
      <c r="BB80" s="595">
        <f t="shared" ref="BB80" si="717">BA80</f>
        <v>0.10523051249961091</v>
      </c>
      <c r="BC80" s="595">
        <f t="shared" ref="BC80" si="718">BB80</f>
        <v>0.10523051249961091</v>
      </c>
      <c r="BD80" s="595">
        <f t="shared" ref="BD80" si="719">BC80</f>
        <v>0.10523051249961091</v>
      </c>
      <c r="BE80" s="595">
        <f t="shared" ref="BE80" si="720">BD80</f>
        <v>0.10523051249961091</v>
      </c>
      <c r="BF80" s="595">
        <f t="shared" ref="BF80" si="721">BE80</f>
        <v>0.10523051249961091</v>
      </c>
      <c r="BG80" s="595">
        <f t="shared" ref="BG80" si="722">BF80</f>
        <v>0.10523051249961091</v>
      </c>
      <c r="BH80" s="595">
        <f t="shared" ref="BH80" si="723">BG80</f>
        <v>0.10523051249961091</v>
      </c>
      <c r="BI80" s="595">
        <f t="shared" ref="BI80" si="724">BH80</f>
        <v>0.10523051249961091</v>
      </c>
      <c r="BJ80" s="595">
        <f t="shared" ref="BJ80" si="725">BI80</f>
        <v>0.10523051249961091</v>
      </c>
      <c r="BK80" s="594">
        <f>((SUM(AY85:BJ85)/AVERAGE(AY84:BJ84)+BK75)*AVERAGE(BK84:BV84)-SUM(BK77:BV77))/(BK84*BK$14+BL84*BL$14+BM84*BM$14+BN84*BN$14+BO84*BO$14+BP84*BP$14+BQ84*BQ$14+BR84*BR$14+BS84*BS$14+BT84*BT$14+BU84*BU$14+BV84*BV$14)</f>
        <v>0.10523051249961091</v>
      </c>
      <c r="BL80" s="595">
        <f>BK80</f>
        <v>0.10523051249961091</v>
      </c>
      <c r="BM80" s="595">
        <f t="shared" ref="BM80" si="726">BL80</f>
        <v>0.10523051249961091</v>
      </c>
      <c r="BN80" s="595">
        <f t="shared" ref="BN80" si="727">BM80</f>
        <v>0.10523051249961091</v>
      </c>
      <c r="BO80" s="595">
        <f t="shared" ref="BO80" si="728">BN80</f>
        <v>0.10523051249961091</v>
      </c>
      <c r="BP80" s="595">
        <f t="shared" ref="BP80" si="729">BO80</f>
        <v>0.10523051249961091</v>
      </c>
      <c r="BQ80" s="595">
        <f t="shared" ref="BQ80" si="730">BP80</f>
        <v>0.10523051249961091</v>
      </c>
      <c r="BR80" s="595">
        <f t="shared" ref="BR80" si="731">BQ80</f>
        <v>0.10523051249961091</v>
      </c>
      <c r="BS80" s="595">
        <f t="shared" ref="BS80" si="732">BR80</f>
        <v>0.10523051249961091</v>
      </c>
      <c r="BT80" s="595">
        <f t="shared" ref="BT80" si="733">BS80</f>
        <v>0.10523051249961091</v>
      </c>
      <c r="BU80" s="595">
        <f t="shared" ref="BU80" si="734">BT80</f>
        <v>0.10523051249961091</v>
      </c>
      <c r="BV80" s="595">
        <f t="shared" ref="BV80" si="735">BU80</f>
        <v>0.10523051249961091</v>
      </c>
      <c r="BW80" s="594">
        <f>((SUM(BK85:BV85)/AVERAGE(BK84:BV84)+BW75)*AVERAGE(BW84:CH84)-SUM(BW77:CH77))/(BW84*BW$14+BX84*BX$14+BY84*BY$14+BZ84*BZ$14+CA84*CA$14+CB84*CB$14+CC84*CC$14+CD84*CD$14+CE84*CE$14+CF84*CF$14+CG84*CG$14+CH84*CH$14)</f>
        <v>0.10523051249961091</v>
      </c>
      <c r="BX80" s="595">
        <f>BW80</f>
        <v>0.10523051249961091</v>
      </c>
      <c r="BY80" s="595">
        <f t="shared" ref="BY80" si="736">BX80</f>
        <v>0.10523051249961091</v>
      </c>
      <c r="BZ80" s="595">
        <f t="shared" ref="BZ80" si="737">BY80</f>
        <v>0.10523051249961091</v>
      </c>
      <c r="CA80" s="595">
        <f t="shared" ref="CA80" si="738">BZ80</f>
        <v>0.10523051249961091</v>
      </c>
      <c r="CB80" s="595">
        <f t="shared" ref="CB80" si="739">CA80</f>
        <v>0.10523051249961091</v>
      </c>
      <c r="CC80" s="595">
        <f t="shared" ref="CC80" si="740">CB80</f>
        <v>0.10523051249961091</v>
      </c>
      <c r="CD80" s="595">
        <f t="shared" ref="CD80" si="741">CC80</f>
        <v>0.10523051249961091</v>
      </c>
      <c r="CE80" s="595">
        <f t="shared" ref="CE80" si="742">CD80</f>
        <v>0.10523051249961091</v>
      </c>
      <c r="CF80" s="595">
        <f t="shared" ref="CF80" si="743">CE80</f>
        <v>0.10523051249961091</v>
      </c>
      <c r="CG80" s="595">
        <f t="shared" ref="CG80" si="744">CF80</f>
        <v>0.10523051249961091</v>
      </c>
      <c r="CH80" s="595">
        <f t="shared" ref="CH80" si="745">CG80</f>
        <v>0.10523051249961091</v>
      </c>
    </row>
    <row r="81" spans="1:86" x14ac:dyDescent="0.2">
      <c r="A81" s="585">
        <v>69</v>
      </c>
      <c r="B81" s="211" t="s">
        <v>104</v>
      </c>
      <c r="C81" s="42">
        <f>ROUND(C80*C$14,4)</f>
        <v>0</v>
      </c>
      <c r="D81" s="42">
        <f t="shared" ref="D81:BO81" si="746">ROUND(D80*D$14,4)</f>
        <v>0</v>
      </c>
      <c r="E81" s="42">
        <f t="shared" si="746"/>
        <v>0.21049999999999999</v>
      </c>
      <c r="F81" s="42">
        <f t="shared" si="746"/>
        <v>9.3655000000000008</v>
      </c>
      <c r="G81" s="42">
        <f t="shared" si="746"/>
        <v>37.672499999999999</v>
      </c>
      <c r="H81" s="42">
        <f t="shared" si="746"/>
        <v>69.978200000000001</v>
      </c>
      <c r="I81" s="42">
        <f t="shared" si="746"/>
        <v>89.656300000000002</v>
      </c>
      <c r="J81" s="42">
        <f t="shared" si="746"/>
        <v>93.549800000000005</v>
      </c>
      <c r="K81" s="42">
        <f t="shared" si="746"/>
        <v>63.8748</v>
      </c>
      <c r="L81" s="42">
        <f t="shared" si="746"/>
        <v>37.251600000000003</v>
      </c>
      <c r="M81" s="42">
        <f t="shared" si="746"/>
        <v>12.732900000000001</v>
      </c>
      <c r="N81" s="42">
        <f t="shared" si="746"/>
        <v>2.3151000000000002</v>
      </c>
      <c r="O81" s="42">
        <f t="shared" si="746"/>
        <v>0</v>
      </c>
      <c r="P81" s="42">
        <f t="shared" si="746"/>
        <v>0</v>
      </c>
      <c r="Q81" s="42">
        <f t="shared" si="746"/>
        <v>0.21049999999999999</v>
      </c>
      <c r="R81" s="42">
        <f t="shared" si="746"/>
        <v>9.3655000000000008</v>
      </c>
      <c r="S81" s="42">
        <f t="shared" si="746"/>
        <v>37.672499999999999</v>
      </c>
      <c r="T81" s="42">
        <f t="shared" si="746"/>
        <v>69.978200000000001</v>
      </c>
      <c r="U81" s="42">
        <f t="shared" si="746"/>
        <v>89.656300000000002</v>
      </c>
      <c r="V81" s="42">
        <f t="shared" si="746"/>
        <v>93.549800000000005</v>
      </c>
      <c r="W81" s="42">
        <f t="shared" si="746"/>
        <v>63.874899999999997</v>
      </c>
      <c r="X81" s="42">
        <f t="shared" si="746"/>
        <v>37.251600000000003</v>
      </c>
      <c r="Y81" s="42">
        <f t="shared" si="746"/>
        <v>12.732900000000001</v>
      </c>
      <c r="Z81" s="42">
        <f t="shared" si="746"/>
        <v>2.3151000000000002</v>
      </c>
      <c r="AA81" s="42">
        <f t="shared" si="746"/>
        <v>0</v>
      </c>
      <c r="AB81" s="42">
        <f t="shared" si="746"/>
        <v>0</v>
      </c>
      <c r="AC81" s="42">
        <f t="shared" si="746"/>
        <v>0.21049999999999999</v>
      </c>
      <c r="AD81" s="42">
        <f t="shared" si="746"/>
        <v>9.3655000000000008</v>
      </c>
      <c r="AE81" s="42">
        <f t="shared" si="746"/>
        <v>37.672499999999999</v>
      </c>
      <c r="AF81" s="42">
        <f t="shared" si="746"/>
        <v>69.978200000000001</v>
      </c>
      <c r="AG81" s="42">
        <f t="shared" si="746"/>
        <v>89.656300000000002</v>
      </c>
      <c r="AH81" s="42">
        <f t="shared" si="746"/>
        <v>93.549899999999994</v>
      </c>
      <c r="AI81" s="42">
        <f t="shared" si="746"/>
        <v>63.874899999999997</v>
      </c>
      <c r="AJ81" s="42">
        <f t="shared" si="746"/>
        <v>37.251600000000003</v>
      </c>
      <c r="AK81" s="42">
        <f t="shared" si="746"/>
        <v>12.732900000000001</v>
      </c>
      <c r="AL81" s="42">
        <f t="shared" si="746"/>
        <v>2.3151000000000002</v>
      </c>
      <c r="AM81" s="42">
        <f t="shared" si="746"/>
        <v>0</v>
      </c>
      <c r="AN81" s="42">
        <f t="shared" si="746"/>
        <v>0</v>
      </c>
      <c r="AO81" s="42">
        <f t="shared" si="746"/>
        <v>0.21049999999999999</v>
      </c>
      <c r="AP81" s="42">
        <f t="shared" si="746"/>
        <v>9.3655000000000008</v>
      </c>
      <c r="AQ81" s="42">
        <f t="shared" si="746"/>
        <v>37.672499999999999</v>
      </c>
      <c r="AR81" s="42">
        <f t="shared" si="746"/>
        <v>69.978300000000004</v>
      </c>
      <c r="AS81" s="42">
        <f t="shared" si="746"/>
        <v>89.656400000000005</v>
      </c>
      <c r="AT81" s="42">
        <f t="shared" si="746"/>
        <v>93.549899999999994</v>
      </c>
      <c r="AU81" s="42">
        <f t="shared" si="746"/>
        <v>63.874899999999997</v>
      </c>
      <c r="AV81" s="42">
        <f t="shared" si="746"/>
        <v>37.251600000000003</v>
      </c>
      <c r="AW81" s="42">
        <f t="shared" si="746"/>
        <v>12.732900000000001</v>
      </c>
      <c r="AX81" s="42">
        <f t="shared" si="746"/>
        <v>2.3151000000000002</v>
      </c>
      <c r="AY81" s="42">
        <f t="shared" si="746"/>
        <v>0</v>
      </c>
      <c r="AZ81" s="42">
        <f t="shared" si="746"/>
        <v>0</v>
      </c>
      <c r="BA81" s="42">
        <f t="shared" si="746"/>
        <v>0.21049999999999999</v>
      </c>
      <c r="BB81" s="42">
        <f t="shared" si="746"/>
        <v>9.3655000000000008</v>
      </c>
      <c r="BC81" s="42">
        <f t="shared" si="746"/>
        <v>37.672499999999999</v>
      </c>
      <c r="BD81" s="42">
        <f t="shared" si="746"/>
        <v>69.978300000000004</v>
      </c>
      <c r="BE81" s="42">
        <f t="shared" si="746"/>
        <v>89.656400000000005</v>
      </c>
      <c r="BF81" s="42">
        <f t="shared" si="746"/>
        <v>93.549899999999994</v>
      </c>
      <c r="BG81" s="42">
        <f t="shared" si="746"/>
        <v>63.874899999999997</v>
      </c>
      <c r="BH81" s="42">
        <f t="shared" si="746"/>
        <v>37.251600000000003</v>
      </c>
      <c r="BI81" s="42">
        <f t="shared" si="746"/>
        <v>12.732900000000001</v>
      </c>
      <c r="BJ81" s="42">
        <f t="shared" si="746"/>
        <v>2.3151000000000002</v>
      </c>
      <c r="BK81" s="42">
        <f t="shared" si="746"/>
        <v>0</v>
      </c>
      <c r="BL81" s="42">
        <f t="shared" si="746"/>
        <v>0</v>
      </c>
      <c r="BM81" s="42">
        <f t="shared" si="746"/>
        <v>0.21049999999999999</v>
      </c>
      <c r="BN81" s="42">
        <f t="shared" si="746"/>
        <v>9.3655000000000008</v>
      </c>
      <c r="BO81" s="42">
        <f t="shared" si="746"/>
        <v>37.672499999999999</v>
      </c>
      <c r="BP81" s="42">
        <f t="shared" ref="BP81:CH81" si="747">ROUND(BP80*BP$14,4)</f>
        <v>69.978300000000004</v>
      </c>
      <c r="BQ81" s="42">
        <f t="shared" si="747"/>
        <v>89.656400000000005</v>
      </c>
      <c r="BR81" s="42">
        <f t="shared" si="747"/>
        <v>93.549899999999994</v>
      </c>
      <c r="BS81" s="42">
        <f t="shared" si="747"/>
        <v>63.874899999999997</v>
      </c>
      <c r="BT81" s="42">
        <f t="shared" si="747"/>
        <v>37.251600000000003</v>
      </c>
      <c r="BU81" s="42">
        <f t="shared" si="747"/>
        <v>12.732900000000001</v>
      </c>
      <c r="BV81" s="42">
        <f t="shared" si="747"/>
        <v>2.3151000000000002</v>
      </c>
      <c r="BW81" s="42">
        <f t="shared" si="747"/>
        <v>0</v>
      </c>
      <c r="BX81" s="42">
        <f t="shared" si="747"/>
        <v>0</v>
      </c>
      <c r="BY81" s="42">
        <f t="shared" si="747"/>
        <v>0.21049999999999999</v>
      </c>
      <c r="BZ81" s="42">
        <f t="shared" si="747"/>
        <v>9.3655000000000008</v>
      </c>
      <c r="CA81" s="42">
        <f t="shared" si="747"/>
        <v>37.672499999999999</v>
      </c>
      <c r="CB81" s="42">
        <f t="shared" si="747"/>
        <v>69.978300000000004</v>
      </c>
      <c r="CC81" s="42">
        <f t="shared" si="747"/>
        <v>89.656400000000005</v>
      </c>
      <c r="CD81" s="42">
        <f t="shared" si="747"/>
        <v>93.549899999999994</v>
      </c>
      <c r="CE81" s="42">
        <f t="shared" si="747"/>
        <v>63.874899999999997</v>
      </c>
      <c r="CF81" s="42">
        <f t="shared" si="747"/>
        <v>37.251600000000003</v>
      </c>
      <c r="CG81" s="42">
        <f t="shared" si="747"/>
        <v>12.732900000000001</v>
      </c>
      <c r="CH81" s="42">
        <f t="shared" si="747"/>
        <v>2.3151000000000002</v>
      </c>
    </row>
    <row r="82" spans="1:86" x14ac:dyDescent="0.2">
      <c r="A82" s="585">
        <v>70</v>
      </c>
      <c r="B82" s="211" t="s">
        <v>591</v>
      </c>
      <c r="C82" s="706">
        <f>(D86+E86)/(D84+E84)</f>
        <v>17.082252165543792</v>
      </c>
      <c r="D82" s="596">
        <f t="shared" ref="D82" si="748">C82</f>
        <v>17.082252165543792</v>
      </c>
      <c r="E82" s="596">
        <f t="shared" ref="E82" si="749">D82</f>
        <v>17.082252165543792</v>
      </c>
      <c r="F82" s="596">
        <f t="shared" ref="F82" si="750">E82</f>
        <v>17.082252165543792</v>
      </c>
      <c r="G82" s="596">
        <f t="shared" ref="G82" si="751">F82</f>
        <v>17.082252165543792</v>
      </c>
      <c r="H82" s="596">
        <f t="shared" ref="H82" si="752">G82</f>
        <v>17.082252165543792</v>
      </c>
      <c r="I82" s="596">
        <f t="shared" ref="I82" si="753">H82</f>
        <v>17.082252165543792</v>
      </c>
      <c r="J82" s="596">
        <f t="shared" ref="J82" si="754">I82</f>
        <v>17.082252165543792</v>
      </c>
      <c r="K82" s="596">
        <f t="shared" ref="K82" si="755">J82</f>
        <v>17.082252165543792</v>
      </c>
      <c r="L82" s="596">
        <f t="shared" ref="L82" si="756">K82</f>
        <v>17.082252165543792</v>
      </c>
      <c r="M82" s="596">
        <f t="shared" ref="M82" si="757">L82</f>
        <v>17.082252165543792</v>
      </c>
      <c r="N82" s="596">
        <f t="shared" ref="N82" si="758">M82</f>
        <v>17.082252165543792</v>
      </c>
      <c r="O82" s="597">
        <f>C82+O74</f>
        <v>17.082252165543792</v>
      </c>
      <c r="P82" s="597">
        <f t="shared" ref="P82" si="759">D82+P74</f>
        <v>17.082252165543792</v>
      </c>
      <c r="Q82" s="597">
        <f t="shared" ref="Q82" si="760">E82+Q74</f>
        <v>17.082252165543792</v>
      </c>
      <c r="R82" s="597">
        <f t="shared" ref="R82" si="761">F82+R74</f>
        <v>17.082252165543792</v>
      </c>
      <c r="S82" s="597">
        <f t="shared" ref="S82" si="762">G82+S74</f>
        <v>17.082252165543792</v>
      </c>
      <c r="T82" s="597">
        <f t="shared" ref="T82" si="763">H82+T74</f>
        <v>17.082252165543792</v>
      </c>
      <c r="U82" s="597">
        <f t="shared" ref="U82" si="764">I82+U74</f>
        <v>17.082252165543792</v>
      </c>
      <c r="V82" s="597">
        <f t="shared" ref="V82" si="765">J82+V74</f>
        <v>17.082252165543792</v>
      </c>
      <c r="W82" s="597">
        <f t="shared" ref="W82" si="766">K82+W74</f>
        <v>17.082252165543792</v>
      </c>
      <c r="X82" s="597">
        <f t="shared" ref="X82" si="767">L82+X74</f>
        <v>17.082252165543792</v>
      </c>
      <c r="Y82" s="597">
        <f t="shared" ref="Y82" si="768">M82+Y74</f>
        <v>17.082252165543792</v>
      </c>
      <c r="Z82" s="597">
        <f t="shared" ref="Z82" si="769">N82+Z74</f>
        <v>17.082252165543792</v>
      </c>
      <c r="AA82" s="597">
        <f>O82+AA74</f>
        <v>17.082252165543792</v>
      </c>
      <c r="AB82" s="597">
        <f t="shared" ref="AB82" si="770">P82+AB74</f>
        <v>17.082252165543792</v>
      </c>
      <c r="AC82" s="597">
        <f t="shared" ref="AC82" si="771">Q82+AC74</f>
        <v>17.082252165543792</v>
      </c>
      <c r="AD82" s="597">
        <f t="shared" ref="AD82" si="772">R82+AD74</f>
        <v>17.082252165543792</v>
      </c>
      <c r="AE82" s="597">
        <f t="shared" ref="AE82" si="773">S82+AE74</f>
        <v>17.082252165543792</v>
      </c>
      <c r="AF82" s="597">
        <f t="shared" ref="AF82" si="774">T82+AF74</f>
        <v>17.082252165543792</v>
      </c>
      <c r="AG82" s="597">
        <f t="shared" ref="AG82" si="775">U82+AG74</f>
        <v>17.082252165543792</v>
      </c>
      <c r="AH82" s="597">
        <f t="shared" ref="AH82" si="776">V82+AH74</f>
        <v>17.082252165543792</v>
      </c>
      <c r="AI82" s="597">
        <f t="shared" ref="AI82" si="777">W82+AI74</f>
        <v>17.082252165543792</v>
      </c>
      <c r="AJ82" s="597">
        <f t="shared" ref="AJ82" si="778">X82+AJ74</f>
        <v>17.082252165543792</v>
      </c>
      <c r="AK82" s="597">
        <f t="shared" ref="AK82" si="779">Y82+AK74</f>
        <v>17.082252165543792</v>
      </c>
      <c r="AL82" s="597">
        <f t="shared" ref="AL82" si="780">Z82+AL74</f>
        <v>17.082252165543792</v>
      </c>
      <c r="AM82" s="597">
        <f>AA82+AM74</f>
        <v>17.082252165543792</v>
      </c>
      <c r="AN82" s="597">
        <f t="shared" ref="AN82" si="781">AB82+AN74</f>
        <v>17.082252165543792</v>
      </c>
      <c r="AO82" s="597">
        <f t="shared" ref="AO82" si="782">AC82+AO74</f>
        <v>17.082252165543792</v>
      </c>
      <c r="AP82" s="597">
        <f t="shared" ref="AP82" si="783">AD82+AP74</f>
        <v>17.082252165543792</v>
      </c>
      <c r="AQ82" s="597">
        <f t="shared" ref="AQ82" si="784">AE82+AQ74</f>
        <v>17.082252165543792</v>
      </c>
      <c r="AR82" s="597">
        <f t="shared" ref="AR82" si="785">AF82+AR74</f>
        <v>17.082252165543792</v>
      </c>
      <c r="AS82" s="597">
        <f t="shared" ref="AS82" si="786">AG82+AS74</f>
        <v>17.082252165543792</v>
      </c>
      <c r="AT82" s="597">
        <f t="shared" ref="AT82" si="787">AH82+AT74</f>
        <v>17.082252165543792</v>
      </c>
      <c r="AU82" s="597">
        <f t="shared" ref="AU82" si="788">AI82+AU74</f>
        <v>17.082252165543792</v>
      </c>
      <c r="AV82" s="597">
        <f t="shared" ref="AV82" si="789">AJ82+AV74</f>
        <v>17.082252165543792</v>
      </c>
      <c r="AW82" s="597">
        <f t="shared" ref="AW82" si="790">AK82+AW74</f>
        <v>17.082252165543792</v>
      </c>
      <c r="AX82" s="597">
        <f t="shared" ref="AX82" si="791">AL82+AX74</f>
        <v>17.082252165543792</v>
      </c>
      <c r="AY82" s="597">
        <f>AM82+AY74</f>
        <v>17.082252165543792</v>
      </c>
      <c r="AZ82" s="597">
        <f t="shared" ref="AZ82" si="792">AN82+AZ74</f>
        <v>17.082252165543792</v>
      </c>
      <c r="BA82" s="597">
        <f t="shared" ref="BA82" si="793">AO82+BA74</f>
        <v>17.082252165543792</v>
      </c>
      <c r="BB82" s="597">
        <f t="shared" ref="BB82" si="794">AP82+BB74</f>
        <v>17.082252165543792</v>
      </c>
      <c r="BC82" s="597">
        <f t="shared" ref="BC82" si="795">AQ82+BC74</f>
        <v>17.082252165543792</v>
      </c>
      <c r="BD82" s="597">
        <f t="shared" ref="BD82" si="796">AR82+BD74</f>
        <v>17.082252165543792</v>
      </c>
      <c r="BE82" s="597">
        <f t="shared" ref="BE82" si="797">AS82+BE74</f>
        <v>17.082252165543792</v>
      </c>
      <c r="BF82" s="597">
        <f t="shared" ref="BF82" si="798">AT82+BF74</f>
        <v>17.082252165543792</v>
      </c>
      <c r="BG82" s="597">
        <f t="shared" ref="BG82" si="799">AU82+BG74</f>
        <v>17.082252165543792</v>
      </c>
      <c r="BH82" s="597">
        <f t="shared" ref="BH82" si="800">AV82+BH74</f>
        <v>17.082252165543792</v>
      </c>
      <c r="BI82" s="597">
        <f t="shared" ref="BI82" si="801">AW82+BI74</f>
        <v>17.082252165543792</v>
      </c>
      <c r="BJ82" s="597">
        <f t="shared" ref="BJ82" si="802">AX82+BJ74</f>
        <v>17.082252165543792</v>
      </c>
      <c r="BK82" s="597">
        <f>AY82+BK74</f>
        <v>17.082252165543792</v>
      </c>
      <c r="BL82" s="597">
        <f t="shared" ref="BL82" si="803">AZ82+BL74</f>
        <v>17.082252165543792</v>
      </c>
      <c r="BM82" s="597">
        <f t="shared" ref="BM82" si="804">BA82+BM74</f>
        <v>17.082252165543792</v>
      </c>
      <c r="BN82" s="597">
        <f t="shared" ref="BN82" si="805">BB82+BN74</f>
        <v>17.082252165543792</v>
      </c>
      <c r="BO82" s="597">
        <f t="shared" ref="BO82" si="806">BC82+BO74</f>
        <v>17.082252165543792</v>
      </c>
      <c r="BP82" s="597">
        <f t="shared" ref="BP82" si="807">BD82+BP74</f>
        <v>17.082252165543792</v>
      </c>
      <c r="BQ82" s="597">
        <f t="shared" ref="BQ82" si="808">BE82+BQ74</f>
        <v>17.082252165543792</v>
      </c>
      <c r="BR82" s="597">
        <f t="shared" ref="BR82" si="809">BF82+BR74</f>
        <v>17.082252165543792</v>
      </c>
      <c r="BS82" s="597">
        <f t="shared" ref="BS82" si="810">BG82+BS74</f>
        <v>17.082252165543792</v>
      </c>
      <c r="BT82" s="597">
        <f t="shared" ref="BT82" si="811">BH82+BT74</f>
        <v>17.082252165543792</v>
      </c>
      <c r="BU82" s="597">
        <f t="shared" ref="BU82" si="812">BI82+BU74</f>
        <v>17.082252165543792</v>
      </c>
      <c r="BV82" s="597">
        <f t="shared" ref="BV82" si="813">BJ82+BV74</f>
        <v>17.082252165543792</v>
      </c>
      <c r="BW82" s="597">
        <f>BK82+BW74</f>
        <v>17.082252165543792</v>
      </c>
      <c r="BX82" s="597">
        <f t="shared" ref="BX82" si="814">BL82+BX74</f>
        <v>17.082252165543792</v>
      </c>
      <c r="BY82" s="597">
        <f t="shared" ref="BY82" si="815">BM82+BY74</f>
        <v>17.082252165543792</v>
      </c>
      <c r="BZ82" s="597">
        <f t="shared" ref="BZ82" si="816">BN82+BZ74</f>
        <v>17.082252165543792</v>
      </c>
      <c r="CA82" s="597">
        <f t="shared" ref="CA82" si="817">BO82+CA74</f>
        <v>17.082252165543792</v>
      </c>
      <c r="CB82" s="597">
        <f t="shared" ref="CB82" si="818">BP82+CB74</f>
        <v>17.082252165543792</v>
      </c>
      <c r="CC82" s="597">
        <f t="shared" ref="CC82" si="819">BQ82+CC74</f>
        <v>17.082252165543792</v>
      </c>
      <c r="CD82" s="597">
        <f t="shared" ref="CD82" si="820">BR82+CD74</f>
        <v>17.082252165543792</v>
      </c>
      <c r="CE82" s="597">
        <f t="shared" ref="CE82" si="821">BS82+CE74</f>
        <v>17.082252165543792</v>
      </c>
      <c r="CF82" s="597">
        <f t="shared" ref="CF82" si="822">BT82+CF74</f>
        <v>17.082252165543792</v>
      </c>
      <c r="CG82" s="597">
        <f t="shared" ref="CG82" si="823">BU82+CG74</f>
        <v>17.082252165543792</v>
      </c>
      <c r="CH82" s="597">
        <f t="shared" ref="CH82" si="824">BV82+CH74</f>
        <v>17.082252165543792</v>
      </c>
    </row>
    <row r="83" spans="1:86" x14ac:dyDescent="0.2">
      <c r="A83" s="585">
        <v>71</v>
      </c>
      <c r="B83" s="211" t="s">
        <v>604</v>
      </c>
      <c r="C83" s="596">
        <f t="shared" ref="C83:BN83" si="825">C82+C81</f>
        <v>17.082252165543792</v>
      </c>
      <c r="D83" s="596">
        <f t="shared" si="825"/>
        <v>17.082252165543792</v>
      </c>
      <c r="E83" s="596">
        <f t="shared" si="825"/>
        <v>17.292752165543792</v>
      </c>
      <c r="F83" s="596">
        <f t="shared" si="825"/>
        <v>26.447752165543793</v>
      </c>
      <c r="G83" s="596">
        <f t="shared" si="825"/>
        <v>54.754752165543792</v>
      </c>
      <c r="H83" s="596">
        <f t="shared" si="825"/>
        <v>87.060452165543794</v>
      </c>
      <c r="I83" s="596">
        <f t="shared" si="825"/>
        <v>106.73855216554379</v>
      </c>
      <c r="J83" s="596">
        <f t="shared" si="825"/>
        <v>110.6320521655438</v>
      </c>
      <c r="K83" s="596">
        <f t="shared" si="825"/>
        <v>80.957052165543786</v>
      </c>
      <c r="L83" s="596">
        <f t="shared" si="825"/>
        <v>54.333852165543796</v>
      </c>
      <c r="M83" s="596">
        <f t="shared" si="825"/>
        <v>29.815152165543793</v>
      </c>
      <c r="N83" s="596">
        <f t="shared" si="825"/>
        <v>19.397352165543793</v>
      </c>
      <c r="O83" s="596">
        <f t="shared" si="825"/>
        <v>17.082252165543792</v>
      </c>
      <c r="P83" s="596">
        <f t="shared" si="825"/>
        <v>17.082252165543792</v>
      </c>
      <c r="Q83" s="596">
        <f t="shared" si="825"/>
        <v>17.292752165543792</v>
      </c>
      <c r="R83" s="596">
        <f t="shared" si="825"/>
        <v>26.447752165543793</v>
      </c>
      <c r="S83" s="596">
        <f t="shared" si="825"/>
        <v>54.754752165543792</v>
      </c>
      <c r="T83" s="596">
        <f t="shared" si="825"/>
        <v>87.060452165543794</v>
      </c>
      <c r="U83" s="596">
        <f t="shared" si="825"/>
        <v>106.73855216554379</v>
      </c>
      <c r="V83" s="596">
        <f t="shared" si="825"/>
        <v>110.6320521655438</v>
      </c>
      <c r="W83" s="596">
        <f t="shared" si="825"/>
        <v>80.957152165543789</v>
      </c>
      <c r="X83" s="596">
        <f t="shared" si="825"/>
        <v>54.333852165543796</v>
      </c>
      <c r="Y83" s="596">
        <f t="shared" si="825"/>
        <v>29.815152165543793</v>
      </c>
      <c r="Z83" s="596">
        <f t="shared" si="825"/>
        <v>19.397352165543793</v>
      </c>
      <c r="AA83" s="596">
        <f t="shared" si="825"/>
        <v>17.082252165543792</v>
      </c>
      <c r="AB83" s="596">
        <f t="shared" si="825"/>
        <v>17.082252165543792</v>
      </c>
      <c r="AC83" s="596">
        <f t="shared" si="825"/>
        <v>17.292752165543792</v>
      </c>
      <c r="AD83" s="596">
        <f t="shared" si="825"/>
        <v>26.447752165543793</v>
      </c>
      <c r="AE83" s="596">
        <f t="shared" si="825"/>
        <v>54.754752165543792</v>
      </c>
      <c r="AF83" s="596">
        <f t="shared" si="825"/>
        <v>87.060452165543794</v>
      </c>
      <c r="AG83" s="596">
        <f t="shared" si="825"/>
        <v>106.73855216554379</v>
      </c>
      <c r="AH83" s="596">
        <f t="shared" si="825"/>
        <v>110.63215216554379</v>
      </c>
      <c r="AI83" s="596">
        <f t="shared" si="825"/>
        <v>80.957152165543789</v>
      </c>
      <c r="AJ83" s="596">
        <f t="shared" si="825"/>
        <v>54.333852165543796</v>
      </c>
      <c r="AK83" s="596">
        <f t="shared" si="825"/>
        <v>29.815152165543793</v>
      </c>
      <c r="AL83" s="596">
        <f t="shared" si="825"/>
        <v>19.397352165543793</v>
      </c>
      <c r="AM83" s="596">
        <f t="shared" si="825"/>
        <v>17.082252165543792</v>
      </c>
      <c r="AN83" s="596">
        <f t="shared" si="825"/>
        <v>17.082252165543792</v>
      </c>
      <c r="AO83" s="596">
        <f t="shared" si="825"/>
        <v>17.292752165543792</v>
      </c>
      <c r="AP83" s="596">
        <f t="shared" si="825"/>
        <v>26.447752165543793</v>
      </c>
      <c r="AQ83" s="596">
        <f t="shared" si="825"/>
        <v>54.754752165543792</v>
      </c>
      <c r="AR83" s="596">
        <f t="shared" si="825"/>
        <v>87.060552165543797</v>
      </c>
      <c r="AS83" s="596">
        <f t="shared" si="825"/>
        <v>106.7386521655438</v>
      </c>
      <c r="AT83" s="596">
        <f t="shared" si="825"/>
        <v>110.63215216554379</v>
      </c>
      <c r="AU83" s="596">
        <f t="shared" si="825"/>
        <v>80.957152165543789</v>
      </c>
      <c r="AV83" s="596">
        <f t="shared" si="825"/>
        <v>54.333852165543796</v>
      </c>
      <c r="AW83" s="596">
        <f t="shared" si="825"/>
        <v>29.815152165543793</v>
      </c>
      <c r="AX83" s="596">
        <f t="shared" si="825"/>
        <v>19.397352165543793</v>
      </c>
      <c r="AY83" s="596">
        <f t="shared" si="825"/>
        <v>17.082252165543792</v>
      </c>
      <c r="AZ83" s="596">
        <f t="shared" si="825"/>
        <v>17.082252165543792</v>
      </c>
      <c r="BA83" s="596">
        <f t="shared" si="825"/>
        <v>17.292752165543792</v>
      </c>
      <c r="BB83" s="596">
        <f t="shared" si="825"/>
        <v>26.447752165543793</v>
      </c>
      <c r="BC83" s="596">
        <f t="shared" si="825"/>
        <v>54.754752165543792</v>
      </c>
      <c r="BD83" s="596">
        <f t="shared" si="825"/>
        <v>87.060552165543797</v>
      </c>
      <c r="BE83" s="596">
        <f t="shared" si="825"/>
        <v>106.7386521655438</v>
      </c>
      <c r="BF83" s="596">
        <f t="shared" si="825"/>
        <v>110.63215216554379</v>
      </c>
      <c r="BG83" s="596">
        <f t="shared" si="825"/>
        <v>80.957152165543789</v>
      </c>
      <c r="BH83" s="596">
        <f t="shared" si="825"/>
        <v>54.333852165543796</v>
      </c>
      <c r="BI83" s="596">
        <f t="shared" si="825"/>
        <v>29.815152165543793</v>
      </c>
      <c r="BJ83" s="596">
        <f t="shared" si="825"/>
        <v>19.397352165543793</v>
      </c>
      <c r="BK83" s="596">
        <f t="shared" si="825"/>
        <v>17.082252165543792</v>
      </c>
      <c r="BL83" s="596">
        <f t="shared" si="825"/>
        <v>17.082252165543792</v>
      </c>
      <c r="BM83" s="596">
        <f t="shared" si="825"/>
        <v>17.292752165543792</v>
      </c>
      <c r="BN83" s="596">
        <f t="shared" si="825"/>
        <v>26.447752165543793</v>
      </c>
      <c r="BO83" s="596">
        <f t="shared" ref="BO83:CH83" si="826">BO82+BO81</f>
        <v>54.754752165543792</v>
      </c>
      <c r="BP83" s="596">
        <f t="shared" si="826"/>
        <v>87.060552165543797</v>
      </c>
      <c r="BQ83" s="596">
        <f t="shared" si="826"/>
        <v>106.7386521655438</v>
      </c>
      <c r="BR83" s="596">
        <f t="shared" si="826"/>
        <v>110.63215216554379</v>
      </c>
      <c r="BS83" s="596">
        <f t="shared" si="826"/>
        <v>80.957152165543789</v>
      </c>
      <c r="BT83" s="596">
        <f t="shared" si="826"/>
        <v>54.333852165543796</v>
      </c>
      <c r="BU83" s="596">
        <f t="shared" si="826"/>
        <v>29.815152165543793</v>
      </c>
      <c r="BV83" s="596">
        <f t="shared" si="826"/>
        <v>19.397352165543793</v>
      </c>
      <c r="BW83" s="596">
        <f t="shared" si="826"/>
        <v>17.082252165543792</v>
      </c>
      <c r="BX83" s="596">
        <f t="shared" si="826"/>
        <v>17.082252165543792</v>
      </c>
      <c r="BY83" s="596">
        <f t="shared" si="826"/>
        <v>17.292752165543792</v>
      </c>
      <c r="BZ83" s="596">
        <f t="shared" si="826"/>
        <v>26.447752165543793</v>
      </c>
      <c r="CA83" s="596">
        <f t="shared" si="826"/>
        <v>54.754752165543792</v>
      </c>
      <c r="CB83" s="596">
        <f t="shared" si="826"/>
        <v>87.060552165543797</v>
      </c>
      <c r="CC83" s="596">
        <f t="shared" si="826"/>
        <v>106.7386521655438</v>
      </c>
      <c r="CD83" s="596">
        <f t="shared" si="826"/>
        <v>110.63215216554379</v>
      </c>
      <c r="CE83" s="596">
        <f t="shared" si="826"/>
        <v>80.957152165543789</v>
      </c>
      <c r="CF83" s="596">
        <f t="shared" si="826"/>
        <v>54.333852165543796</v>
      </c>
      <c r="CG83" s="596">
        <f t="shared" si="826"/>
        <v>29.815152165543793</v>
      </c>
      <c r="CH83" s="596">
        <f t="shared" si="826"/>
        <v>19.397352165543793</v>
      </c>
    </row>
    <row r="84" spans="1:86" x14ac:dyDescent="0.2">
      <c r="A84" s="585">
        <v>72</v>
      </c>
      <c r="B84" s="211" t="s">
        <v>586</v>
      </c>
      <c r="C84" s="598">
        <f>'Bill Frequency'!C$34</f>
        <v>1520</v>
      </c>
      <c r="D84" s="599">
        <f>'Bill Frequency'!D$34</f>
        <v>1593</v>
      </c>
      <c r="E84" s="599">
        <f>'Bill Frequency'!E$34</f>
        <v>1524</v>
      </c>
      <c r="F84" s="599">
        <f>'Bill Frequency'!F$34</f>
        <v>1554</v>
      </c>
      <c r="G84" s="599">
        <f>'Bill Frequency'!G$34</f>
        <v>1556</v>
      </c>
      <c r="H84" s="599">
        <f>'Bill Frequency'!H$34</f>
        <v>1551</v>
      </c>
      <c r="I84" s="599">
        <f>'Bill Frequency'!I$34</f>
        <v>1552</v>
      </c>
      <c r="J84" s="599">
        <f>'Bill Frequency'!J$34</f>
        <v>1546</v>
      </c>
      <c r="K84" s="599">
        <f>'Bill Frequency'!K$34</f>
        <v>1566</v>
      </c>
      <c r="L84" s="599">
        <f>'Bill Frequency'!L$34</f>
        <v>1509</v>
      </c>
      <c r="M84" s="599">
        <f>'Bill Frequency'!M$34</f>
        <v>1576</v>
      </c>
      <c r="N84" s="600">
        <f>'Bill Frequency'!N$34</f>
        <v>1536</v>
      </c>
      <c r="O84" s="601">
        <f>C84+O73</f>
        <v>1520</v>
      </c>
      <c r="P84" s="601">
        <f t="shared" ref="P84" si="827">D84+P73</f>
        <v>1593</v>
      </c>
      <c r="Q84" s="601">
        <f t="shared" ref="Q84" si="828">E84+Q73</f>
        <v>1524</v>
      </c>
      <c r="R84" s="601">
        <f t="shared" ref="R84" si="829">F84+R73</f>
        <v>1554</v>
      </c>
      <c r="S84" s="601">
        <f t="shared" ref="S84" si="830">G84+S73</f>
        <v>1556</v>
      </c>
      <c r="T84" s="601">
        <f t="shared" ref="T84" si="831">H84+T73</f>
        <v>1551</v>
      </c>
      <c r="U84" s="601">
        <f t="shared" ref="U84" si="832">I84+U73</f>
        <v>1552</v>
      </c>
      <c r="V84" s="601">
        <f t="shared" ref="V84" si="833">J84+V73</f>
        <v>1546</v>
      </c>
      <c r="W84" s="601">
        <f t="shared" ref="W84" si="834">K84+W73</f>
        <v>1566</v>
      </c>
      <c r="X84" s="601">
        <f t="shared" ref="X84" si="835">L84+X73</f>
        <v>1509</v>
      </c>
      <c r="Y84" s="601">
        <f t="shared" ref="Y84" si="836">M84+Y73</f>
        <v>1576</v>
      </c>
      <c r="Z84" s="601">
        <f t="shared" ref="Z84" si="837">N84+Z73</f>
        <v>1536</v>
      </c>
      <c r="AA84" s="601">
        <f>O84+AA73</f>
        <v>1520</v>
      </c>
      <c r="AB84" s="601">
        <f t="shared" ref="AB84" si="838">P84+AB73</f>
        <v>1593</v>
      </c>
      <c r="AC84" s="601">
        <f t="shared" ref="AC84" si="839">Q84+AC73</f>
        <v>1524</v>
      </c>
      <c r="AD84" s="601">
        <f t="shared" ref="AD84" si="840">R84+AD73</f>
        <v>1554</v>
      </c>
      <c r="AE84" s="601">
        <f t="shared" ref="AE84" si="841">S84+AE73</f>
        <v>1556</v>
      </c>
      <c r="AF84" s="601">
        <f t="shared" ref="AF84" si="842">T84+AF73</f>
        <v>1551</v>
      </c>
      <c r="AG84" s="601">
        <f t="shared" ref="AG84" si="843">U84+AG73</f>
        <v>1552</v>
      </c>
      <c r="AH84" s="601">
        <f t="shared" ref="AH84" si="844">V84+AH73</f>
        <v>1546</v>
      </c>
      <c r="AI84" s="601">
        <f t="shared" ref="AI84" si="845">W84+AI73</f>
        <v>1566</v>
      </c>
      <c r="AJ84" s="601">
        <f t="shared" ref="AJ84" si="846">X84+AJ73</f>
        <v>1509</v>
      </c>
      <c r="AK84" s="601">
        <f t="shared" ref="AK84" si="847">Y84+AK73</f>
        <v>1576</v>
      </c>
      <c r="AL84" s="601">
        <f t="shared" ref="AL84" si="848">Z84+AL73</f>
        <v>1536</v>
      </c>
      <c r="AM84" s="601">
        <f>AA84+AM73</f>
        <v>1520</v>
      </c>
      <c r="AN84" s="601">
        <f t="shared" ref="AN84" si="849">AB84+AN73</f>
        <v>1593</v>
      </c>
      <c r="AO84" s="601">
        <f t="shared" ref="AO84" si="850">AC84+AO73</f>
        <v>1524</v>
      </c>
      <c r="AP84" s="601">
        <f t="shared" ref="AP84" si="851">AD84+AP73</f>
        <v>1554</v>
      </c>
      <c r="AQ84" s="601">
        <f t="shared" ref="AQ84" si="852">AE84+AQ73</f>
        <v>1556</v>
      </c>
      <c r="AR84" s="601">
        <f t="shared" ref="AR84" si="853">AF84+AR73</f>
        <v>1551</v>
      </c>
      <c r="AS84" s="601">
        <f t="shared" ref="AS84" si="854">AG84+AS73</f>
        <v>1552</v>
      </c>
      <c r="AT84" s="601">
        <f t="shared" ref="AT84" si="855">AH84+AT73</f>
        <v>1546</v>
      </c>
      <c r="AU84" s="601">
        <f t="shared" ref="AU84" si="856">AI84+AU73</f>
        <v>1566</v>
      </c>
      <c r="AV84" s="601">
        <f t="shared" ref="AV84" si="857">AJ84+AV73</f>
        <v>1509</v>
      </c>
      <c r="AW84" s="601">
        <f t="shared" ref="AW84" si="858">AK84+AW73</f>
        <v>1576</v>
      </c>
      <c r="AX84" s="601">
        <f t="shared" ref="AX84" si="859">AL84+AX73</f>
        <v>1536</v>
      </c>
      <c r="AY84" s="601">
        <f>AM84+AY73</f>
        <v>1520</v>
      </c>
      <c r="AZ84" s="601">
        <f t="shared" ref="AZ84" si="860">AN84+AZ73</f>
        <v>1593</v>
      </c>
      <c r="BA84" s="601">
        <f t="shared" ref="BA84" si="861">AO84+BA73</f>
        <v>1524</v>
      </c>
      <c r="BB84" s="601">
        <f t="shared" ref="BB84" si="862">AP84+BB73</f>
        <v>1554</v>
      </c>
      <c r="BC84" s="601">
        <f t="shared" ref="BC84" si="863">AQ84+BC73</f>
        <v>1556</v>
      </c>
      <c r="BD84" s="601">
        <f t="shared" ref="BD84" si="864">AR84+BD73</f>
        <v>1551</v>
      </c>
      <c r="BE84" s="601">
        <f t="shared" ref="BE84" si="865">AS84+BE73</f>
        <v>1552</v>
      </c>
      <c r="BF84" s="601">
        <f t="shared" ref="BF84" si="866">AT84+BF73</f>
        <v>1546</v>
      </c>
      <c r="BG84" s="601">
        <f t="shared" ref="BG84" si="867">AU84+BG73</f>
        <v>1566</v>
      </c>
      <c r="BH84" s="601">
        <f t="shared" ref="BH84" si="868">AV84+BH73</f>
        <v>1509</v>
      </c>
      <c r="BI84" s="601">
        <f t="shared" ref="BI84" si="869">AW84+BI73</f>
        <v>1576</v>
      </c>
      <c r="BJ84" s="601">
        <f t="shared" ref="BJ84" si="870">AX84+BJ73</f>
        <v>1536</v>
      </c>
      <c r="BK84" s="601">
        <f>AY84+BK73</f>
        <v>1520</v>
      </c>
      <c r="BL84" s="601">
        <f t="shared" ref="BL84" si="871">AZ84+BL73</f>
        <v>1593</v>
      </c>
      <c r="BM84" s="601">
        <f t="shared" ref="BM84" si="872">BA84+BM73</f>
        <v>1524</v>
      </c>
      <c r="BN84" s="601">
        <f t="shared" ref="BN84" si="873">BB84+BN73</f>
        <v>1554</v>
      </c>
      <c r="BO84" s="601">
        <f t="shared" ref="BO84" si="874">BC84+BO73</f>
        <v>1556</v>
      </c>
      <c r="BP84" s="601">
        <f t="shared" ref="BP84" si="875">BD84+BP73</f>
        <v>1551</v>
      </c>
      <c r="BQ84" s="601">
        <f t="shared" ref="BQ84" si="876">BE84+BQ73</f>
        <v>1552</v>
      </c>
      <c r="BR84" s="601">
        <f t="shared" ref="BR84" si="877">BF84+BR73</f>
        <v>1546</v>
      </c>
      <c r="BS84" s="601">
        <f t="shared" ref="BS84" si="878">BG84+BS73</f>
        <v>1566</v>
      </c>
      <c r="BT84" s="601">
        <f t="shared" ref="BT84" si="879">BH84+BT73</f>
        <v>1509</v>
      </c>
      <c r="BU84" s="601">
        <f t="shared" ref="BU84" si="880">BI84+BU73</f>
        <v>1576</v>
      </c>
      <c r="BV84" s="601">
        <f t="shared" ref="BV84" si="881">BJ84+BV73</f>
        <v>1536</v>
      </c>
      <c r="BW84" s="601">
        <f>BK84+BW73</f>
        <v>1520</v>
      </c>
      <c r="BX84" s="601">
        <f t="shared" ref="BX84" si="882">BL84+BX73</f>
        <v>1593</v>
      </c>
      <c r="BY84" s="601">
        <f t="shared" ref="BY84" si="883">BM84+BY73</f>
        <v>1524</v>
      </c>
      <c r="BZ84" s="601">
        <f t="shared" ref="BZ84" si="884">BN84+BZ73</f>
        <v>1554</v>
      </c>
      <c r="CA84" s="601">
        <f t="shared" ref="CA84" si="885">BO84+CA73</f>
        <v>1556</v>
      </c>
      <c r="CB84" s="601">
        <f t="shared" ref="CB84" si="886">BP84+CB73</f>
        <v>1551</v>
      </c>
      <c r="CC84" s="601">
        <f t="shared" ref="CC84" si="887">BQ84+CC73</f>
        <v>1552</v>
      </c>
      <c r="CD84" s="601">
        <f t="shared" ref="CD84" si="888">BR84+CD73</f>
        <v>1546</v>
      </c>
      <c r="CE84" s="601">
        <f t="shared" ref="CE84" si="889">BS84+CE73</f>
        <v>1566</v>
      </c>
      <c r="CF84" s="601">
        <f t="shared" ref="CF84" si="890">BT84+CF73</f>
        <v>1509</v>
      </c>
      <c r="CG84" s="601">
        <f t="shared" ref="CG84" si="891">BU84+CG73</f>
        <v>1576</v>
      </c>
      <c r="CH84" s="601">
        <f t="shared" ref="CH84" si="892">BV84+CH73</f>
        <v>1536</v>
      </c>
    </row>
    <row r="85" spans="1:86" x14ac:dyDescent="0.2">
      <c r="A85" s="585">
        <v>73</v>
      </c>
      <c r="B85" s="211" t="s">
        <v>587</v>
      </c>
      <c r="C85" s="45">
        <f t="shared" ref="C85:N85" si="893">C84*C83</f>
        <v>25965.023291626563</v>
      </c>
      <c r="D85" s="45">
        <f t="shared" si="893"/>
        <v>27212.02769971126</v>
      </c>
      <c r="E85" s="45">
        <f t="shared" si="893"/>
        <v>26354.154300288737</v>
      </c>
      <c r="F85" s="45">
        <f t="shared" si="893"/>
        <v>41099.806865255057</v>
      </c>
      <c r="G85" s="45">
        <f t="shared" si="893"/>
        <v>85198.394369586138</v>
      </c>
      <c r="H85" s="45">
        <f t="shared" si="893"/>
        <v>135030.76130875843</v>
      </c>
      <c r="I85" s="45">
        <f t="shared" si="893"/>
        <v>165658.23296092398</v>
      </c>
      <c r="J85" s="45">
        <f t="shared" si="893"/>
        <v>171037.15264793072</v>
      </c>
      <c r="K85" s="45">
        <f t="shared" si="893"/>
        <v>126778.74369124157</v>
      </c>
      <c r="L85" s="45">
        <f t="shared" si="893"/>
        <v>81989.782917805584</v>
      </c>
      <c r="M85" s="45">
        <f t="shared" si="893"/>
        <v>46988.679812897019</v>
      </c>
      <c r="N85" s="45">
        <f t="shared" si="893"/>
        <v>29794.332926275267</v>
      </c>
      <c r="O85" s="466">
        <f>O84*O83</f>
        <v>25965.023291626563</v>
      </c>
      <c r="P85" s="466">
        <f t="shared" ref="P85:Z85" si="894">P84*P83</f>
        <v>27212.02769971126</v>
      </c>
      <c r="Q85" s="466">
        <f t="shared" si="894"/>
        <v>26354.154300288737</v>
      </c>
      <c r="R85" s="466">
        <f t="shared" si="894"/>
        <v>41099.806865255057</v>
      </c>
      <c r="S85" s="466">
        <f t="shared" si="894"/>
        <v>85198.394369586138</v>
      </c>
      <c r="T85" s="466">
        <f t="shared" si="894"/>
        <v>135030.76130875843</v>
      </c>
      <c r="U85" s="466">
        <f t="shared" si="894"/>
        <v>165658.23296092398</v>
      </c>
      <c r="V85" s="466">
        <f t="shared" si="894"/>
        <v>171037.15264793072</v>
      </c>
      <c r="W85" s="466">
        <f t="shared" si="894"/>
        <v>126778.90029124157</v>
      </c>
      <c r="X85" s="466">
        <f t="shared" si="894"/>
        <v>81989.782917805584</v>
      </c>
      <c r="Y85" s="466">
        <f t="shared" si="894"/>
        <v>46988.679812897019</v>
      </c>
      <c r="Z85" s="466">
        <f t="shared" si="894"/>
        <v>29794.332926275267</v>
      </c>
      <c r="AA85" s="466">
        <f>AA84*AA83</f>
        <v>25965.023291626563</v>
      </c>
      <c r="AB85" s="466">
        <f t="shared" ref="AB85:AL85" si="895">AB84*AB83</f>
        <v>27212.02769971126</v>
      </c>
      <c r="AC85" s="466">
        <f t="shared" si="895"/>
        <v>26354.154300288737</v>
      </c>
      <c r="AD85" s="466">
        <f t="shared" si="895"/>
        <v>41099.806865255057</v>
      </c>
      <c r="AE85" s="466">
        <f t="shared" si="895"/>
        <v>85198.394369586138</v>
      </c>
      <c r="AF85" s="466">
        <f t="shared" si="895"/>
        <v>135030.76130875843</v>
      </c>
      <c r="AG85" s="466">
        <f t="shared" si="895"/>
        <v>165658.23296092398</v>
      </c>
      <c r="AH85" s="466">
        <f t="shared" si="895"/>
        <v>171037.3072479307</v>
      </c>
      <c r="AI85" s="466">
        <f t="shared" si="895"/>
        <v>126778.90029124157</v>
      </c>
      <c r="AJ85" s="466">
        <f t="shared" si="895"/>
        <v>81989.782917805584</v>
      </c>
      <c r="AK85" s="466">
        <f t="shared" si="895"/>
        <v>46988.679812897019</v>
      </c>
      <c r="AL85" s="466">
        <f t="shared" si="895"/>
        <v>29794.332926275267</v>
      </c>
      <c r="AM85" s="466">
        <f>AM84*AM83</f>
        <v>25965.023291626563</v>
      </c>
      <c r="AN85" s="466">
        <f t="shared" ref="AN85:AX85" si="896">AN84*AN83</f>
        <v>27212.02769971126</v>
      </c>
      <c r="AO85" s="466">
        <f t="shared" si="896"/>
        <v>26354.154300288737</v>
      </c>
      <c r="AP85" s="466">
        <f t="shared" si="896"/>
        <v>41099.806865255057</v>
      </c>
      <c r="AQ85" s="466">
        <f t="shared" si="896"/>
        <v>85198.394369586138</v>
      </c>
      <c r="AR85" s="466">
        <f t="shared" si="896"/>
        <v>135030.91640875844</v>
      </c>
      <c r="AS85" s="466">
        <f t="shared" si="896"/>
        <v>165658.38816092396</v>
      </c>
      <c r="AT85" s="466">
        <f t="shared" si="896"/>
        <v>171037.3072479307</v>
      </c>
      <c r="AU85" s="466">
        <f t="shared" si="896"/>
        <v>126778.90029124157</v>
      </c>
      <c r="AV85" s="466">
        <f t="shared" si="896"/>
        <v>81989.782917805584</v>
      </c>
      <c r="AW85" s="466">
        <f t="shared" si="896"/>
        <v>46988.679812897019</v>
      </c>
      <c r="AX85" s="466">
        <f t="shared" si="896"/>
        <v>29794.332926275267</v>
      </c>
      <c r="AY85" s="466">
        <f>AY84*AY83</f>
        <v>25965.023291626563</v>
      </c>
      <c r="AZ85" s="466">
        <f t="shared" ref="AZ85:BJ85" si="897">AZ84*AZ83</f>
        <v>27212.02769971126</v>
      </c>
      <c r="BA85" s="466">
        <f t="shared" si="897"/>
        <v>26354.154300288737</v>
      </c>
      <c r="BB85" s="466">
        <f t="shared" si="897"/>
        <v>41099.806865255057</v>
      </c>
      <c r="BC85" s="466">
        <f t="shared" si="897"/>
        <v>85198.394369586138</v>
      </c>
      <c r="BD85" s="466">
        <f t="shared" si="897"/>
        <v>135030.91640875844</v>
      </c>
      <c r="BE85" s="466">
        <f t="shared" si="897"/>
        <v>165658.38816092396</v>
      </c>
      <c r="BF85" s="466">
        <f t="shared" si="897"/>
        <v>171037.3072479307</v>
      </c>
      <c r="BG85" s="466">
        <f t="shared" si="897"/>
        <v>126778.90029124157</v>
      </c>
      <c r="BH85" s="466">
        <f t="shared" si="897"/>
        <v>81989.782917805584</v>
      </c>
      <c r="BI85" s="466">
        <f t="shared" si="897"/>
        <v>46988.679812897019</v>
      </c>
      <c r="BJ85" s="466">
        <f t="shared" si="897"/>
        <v>29794.332926275267</v>
      </c>
      <c r="BK85" s="466">
        <f>BK84*BK83</f>
        <v>25965.023291626563</v>
      </c>
      <c r="BL85" s="466">
        <f t="shared" ref="BL85:BV85" si="898">BL84*BL83</f>
        <v>27212.02769971126</v>
      </c>
      <c r="BM85" s="466">
        <f t="shared" si="898"/>
        <v>26354.154300288737</v>
      </c>
      <c r="BN85" s="466">
        <f t="shared" si="898"/>
        <v>41099.806865255057</v>
      </c>
      <c r="BO85" s="466">
        <f t="shared" si="898"/>
        <v>85198.394369586138</v>
      </c>
      <c r="BP85" s="466">
        <f t="shared" si="898"/>
        <v>135030.91640875844</v>
      </c>
      <c r="BQ85" s="466">
        <f t="shared" si="898"/>
        <v>165658.38816092396</v>
      </c>
      <c r="BR85" s="466">
        <f t="shared" si="898"/>
        <v>171037.3072479307</v>
      </c>
      <c r="BS85" s="466">
        <f t="shared" si="898"/>
        <v>126778.90029124157</v>
      </c>
      <c r="BT85" s="466">
        <f t="shared" si="898"/>
        <v>81989.782917805584</v>
      </c>
      <c r="BU85" s="466">
        <f t="shared" si="898"/>
        <v>46988.679812897019</v>
      </c>
      <c r="BV85" s="466">
        <f t="shared" si="898"/>
        <v>29794.332926275267</v>
      </c>
      <c r="BW85" s="466">
        <f>BW84*BW83</f>
        <v>25965.023291626563</v>
      </c>
      <c r="BX85" s="466">
        <f t="shared" ref="BX85:CH85" si="899">BX84*BX83</f>
        <v>27212.02769971126</v>
      </c>
      <c r="BY85" s="466">
        <f t="shared" si="899"/>
        <v>26354.154300288737</v>
      </c>
      <c r="BZ85" s="466">
        <f t="shared" si="899"/>
        <v>41099.806865255057</v>
      </c>
      <c r="CA85" s="466">
        <f t="shared" si="899"/>
        <v>85198.394369586138</v>
      </c>
      <c r="CB85" s="466">
        <f t="shared" si="899"/>
        <v>135030.91640875844</v>
      </c>
      <c r="CC85" s="466">
        <f t="shared" si="899"/>
        <v>165658.38816092396</v>
      </c>
      <c r="CD85" s="466">
        <f t="shared" si="899"/>
        <v>171037.3072479307</v>
      </c>
      <c r="CE85" s="466">
        <f t="shared" si="899"/>
        <v>126778.90029124157</v>
      </c>
      <c r="CF85" s="466">
        <f t="shared" si="899"/>
        <v>81989.782917805584</v>
      </c>
      <c r="CG85" s="466">
        <f t="shared" si="899"/>
        <v>46988.679812897019</v>
      </c>
      <c r="CH85" s="466">
        <f t="shared" si="899"/>
        <v>29794.332926275267</v>
      </c>
    </row>
    <row r="86" spans="1:86" x14ac:dyDescent="0.2">
      <c r="A86" s="585">
        <v>74</v>
      </c>
      <c r="B86" s="211" t="s">
        <v>588</v>
      </c>
      <c r="C86" s="602">
        <f>'Bill Frequency'!C$38+'Contract &amp; Vol Adj'!C38</f>
        <v>22769.93</v>
      </c>
      <c r="D86" s="603">
        <f>'Bill Frequency'!D$38+'Contract &amp; Vol Adj'!D38</f>
        <v>22305.56</v>
      </c>
      <c r="E86" s="603">
        <f>'Bill Frequency'!E$38+'Contract &amp; Vol Adj'!E38</f>
        <v>30939.82</v>
      </c>
      <c r="F86" s="603">
        <f>'Bill Frequency'!F$38+'Contract &amp; Vol Adj'!F38</f>
        <v>30263.240000000005</v>
      </c>
      <c r="G86" s="603">
        <f>'Bill Frequency'!G$38+'Contract &amp; Vol Adj'!G38</f>
        <v>47268.18</v>
      </c>
      <c r="H86" s="603">
        <f>'Bill Frequency'!H$38+'Contract &amp; Vol Adj'!H38</f>
        <v>125481.37</v>
      </c>
      <c r="I86" s="603">
        <f>'Bill Frequency'!I$38+'Contract &amp; Vol Adj'!I38</f>
        <v>169583.61</v>
      </c>
      <c r="J86" s="603">
        <f>'Bill Frequency'!J$38+'Contract &amp; Vol Adj'!J38</f>
        <v>126273.04000000001</v>
      </c>
      <c r="K86" s="603">
        <f>'Bill Frequency'!K$38+'Contract &amp; Vol Adj'!K38</f>
        <v>99253.59</v>
      </c>
      <c r="L86" s="603">
        <f>'Bill Frequency'!L$38+'Contract &amp; Vol Adj'!L38</f>
        <v>75300.37</v>
      </c>
      <c r="M86" s="603">
        <f>'Bill Frequency'!M$38+'Contract &amp; Vol Adj'!M38</f>
        <v>39523.14</v>
      </c>
      <c r="N86" s="604">
        <f>'Bill Frequency'!N$38+'Contract &amp; Vol Adj'!N38</f>
        <v>27429.82</v>
      </c>
      <c r="O86" s="577" t="s">
        <v>598</v>
      </c>
      <c r="P86" s="577" t="s">
        <v>598</v>
      </c>
      <c r="Q86" s="577" t="s">
        <v>598</v>
      </c>
      <c r="R86" s="577" t="s">
        <v>598</v>
      </c>
      <c r="S86" s="577" t="s">
        <v>598</v>
      </c>
      <c r="T86" s="577" t="s">
        <v>598</v>
      </c>
      <c r="U86" s="577" t="s">
        <v>598</v>
      </c>
      <c r="V86" s="577" t="s">
        <v>598</v>
      </c>
      <c r="W86" s="577" t="s">
        <v>598</v>
      </c>
      <c r="X86" s="577" t="s">
        <v>598</v>
      </c>
      <c r="Y86" s="577" t="s">
        <v>598</v>
      </c>
      <c r="Z86" s="577" t="s">
        <v>598</v>
      </c>
      <c r="AA86" s="577" t="s">
        <v>598</v>
      </c>
      <c r="AB86" s="577" t="s">
        <v>598</v>
      </c>
      <c r="AC86" s="577" t="s">
        <v>598</v>
      </c>
      <c r="AD86" s="577" t="s">
        <v>598</v>
      </c>
      <c r="AE86" s="577" t="s">
        <v>598</v>
      </c>
      <c r="AF86" s="577" t="s">
        <v>598</v>
      </c>
      <c r="AG86" s="577" t="s">
        <v>598</v>
      </c>
      <c r="AH86" s="577" t="s">
        <v>598</v>
      </c>
      <c r="AI86" s="577" t="s">
        <v>598</v>
      </c>
      <c r="AJ86" s="577" t="s">
        <v>598</v>
      </c>
      <c r="AK86" s="577" t="s">
        <v>598</v>
      </c>
      <c r="AL86" s="577" t="s">
        <v>598</v>
      </c>
      <c r="AM86" s="577" t="s">
        <v>598</v>
      </c>
      <c r="AN86" s="577" t="s">
        <v>598</v>
      </c>
      <c r="AO86" s="577" t="s">
        <v>598</v>
      </c>
      <c r="AP86" s="577" t="s">
        <v>598</v>
      </c>
      <c r="AQ86" s="577" t="s">
        <v>598</v>
      </c>
      <c r="AR86" s="577" t="s">
        <v>598</v>
      </c>
      <c r="AS86" s="577" t="s">
        <v>598</v>
      </c>
      <c r="AT86" s="577" t="s">
        <v>598</v>
      </c>
      <c r="AU86" s="577" t="s">
        <v>598</v>
      </c>
      <c r="AV86" s="577" t="s">
        <v>598</v>
      </c>
      <c r="AW86" s="577" t="s">
        <v>598</v>
      </c>
      <c r="AX86" s="577" t="s">
        <v>598</v>
      </c>
      <c r="AY86" s="577" t="s">
        <v>598</v>
      </c>
      <c r="AZ86" s="577" t="s">
        <v>598</v>
      </c>
      <c r="BA86" s="577" t="s">
        <v>598</v>
      </c>
      <c r="BB86" s="577" t="s">
        <v>598</v>
      </c>
      <c r="BC86" s="577" t="s">
        <v>598</v>
      </c>
      <c r="BD86" s="577" t="s">
        <v>598</v>
      </c>
      <c r="BE86" s="577" t="s">
        <v>598</v>
      </c>
      <c r="BF86" s="577" t="s">
        <v>598</v>
      </c>
      <c r="BG86" s="577" t="s">
        <v>598</v>
      </c>
      <c r="BH86" s="577" t="s">
        <v>598</v>
      </c>
      <c r="BI86" s="577" t="s">
        <v>598</v>
      </c>
      <c r="BJ86" s="577" t="s">
        <v>598</v>
      </c>
      <c r="BK86" s="577" t="s">
        <v>598</v>
      </c>
      <c r="BL86" s="577" t="s">
        <v>598</v>
      </c>
      <c r="BM86" s="577" t="s">
        <v>598</v>
      </c>
      <c r="BN86" s="577" t="s">
        <v>598</v>
      </c>
      <c r="BO86" s="577" t="s">
        <v>598</v>
      </c>
      <c r="BP86" s="577" t="s">
        <v>598</v>
      </c>
      <c r="BQ86" s="577" t="s">
        <v>598</v>
      </c>
      <c r="BR86" s="577" t="s">
        <v>598</v>
      </c>
      <c r="BS86" s="577" t="s">
        <v>598</v>
      </c>
      <c r="BT86" s="577" t="s">
        <v>598</v>
      </c>
      <c r="BU86" s="577" t="s">
        <v>598</v>
      </c>
      <c r="BV86" s="577" t="s">
        <v>598</v>
      </c>
      <c r="BW86" s="577" t="s">
        <v>598</v>
      </c>
      <c r="BX86" s="577" t="s">
        <v>598</v>
      </c>
      <c r="BY86" s="577" t="s">
        <v>598</v>
      </c>
      <c r="BZ86" s="577" t="s">
        <v>598</v>
      </c>
      <c r="CA86" s="577" t="s">
        <v>598</v>
      </c>
      <c r="CB86" s="577" t="s">
        <v>598</v>
      </c>
      <c r="CC86" s="577" t="s">
        <v>598</v>
      </c>
      <c r="CD86" s="577" t="s">
        <v>598</v>
      </c>
      <c r="CE86" s="577" t="s">
        <v>598</v>
      </c>
      <c r="CF86" s="577" t="s">
        <v>598</v>
      </c>
      <c r="CG86" s="577" t="s">
        <v>598</v>
      </c>
      <c r="CH86" s="577" t="s">
        <v>598</v>
      </c>
    </row>
    <row r="87" spans="1:86" x14ac:dyDescent="0.2">
      <c r="A87" s="585">
        <v>75</v>
      </c>
      <c r="B87" s="211" t="s">
        <v>603</v>
      </c>
      <c r="C87" s="46">
        <f>C84*(C80*C$15+C82)</f>
        <v>25965.023291626563</v>
      </c>
      <c r="D87" s="46">
        <f t="shared" ref="D87:BO87" si="900">D84*(D80*D$15+D82)</f>
        <v>27212.02769971126</v>
      </c>
      <c r="E87" s="46">
        <f t="shared" si="900"/>
        <v>29882.258384133744</v>
      </c>
      <c r="F87" s="46">
        <f t="shared" si="900"/>
        <v>61377.283436035439</v>
      </c>
      <c r="G87" s="46">
        <f t="shared" si="900"/>
        <v>108449.21373396201</v>
      </c>
      <c r="H87" s="46">
        <f t="shared" si="900"/>
        <v>158370.11705897786</v>
      </c>
      <c r="I87" s="46">
        <f t="shared" si="900"/>
        <v>172517.53365439328</v>
      </c>
      <c r="J87" s="46">
        <f t="shared" si="900"/>
        <v>144844.68269478501</v>
      </c>
      <c r="K87" s="46">
        <f t="shared" si="900"/>
        <v>112277.21260179933</v>
      </c>
      <c r="L87" s="46">
        <f t="shared" si="900"/>
        <v>59441.156342354108</v>
      </c>
      <c r="M87" s="46">
        <f t="shared" si="900"/>
        <v>36706.370316775065</v>
      </c>
      <c r="N87" s="46">
        <f t="shared" si="900"/>
        <v>26561.607028855426</v>
      </c>
      <c r="O87" s="46">
        <f t="shared" si="900"/>
        <v>25965.023291626563</v>
      </c>
      <c r="P87" s="46">
        <f t="shared" si="900"/>
        <v>27212.02769971126</v>
      </c>
      <c r="Q87" s="46">
        <f t="shared" si="900"/>
        <v>29882.259820633157</v>
      </c>
      <c r="R87" s="46">
        <f t="shared" si="900"/>
        <v>61377.296435931014</v>
      </c>
      <c r="S87" s="46">
        <f t="shared" si="900"/>
        <v>108449.24428942316</v>
      </c>
      <c r="T87" s="46">
        <f t="shared" si="900"/>
        <v>158370.16627793468</v>
      </c>
      <c r="U87" s="46">
        <f t="shared" si="900"/>
        <v>172517.58814711272</v>
      </c>
      <c r="V87" s="46">
        <f t="shared" si="900"/>
        <v>144844.72689761905</v>
      </c>
      <c r="W87" s="46">
        <f t="shared" si="900"/>
        <v>112277.24452220203</v>
      </c>
      <c r="X87" s="46">
        <f t="shared" si="900"/>
        <v>59441.168906539802</v>
      </c>
      <c r="Y87" s="46">
        <f t="shared" si="900"/>
        <v>36706.373968663247</v>
      </c>
      <c r="Z87" s="46">
        <f t="shared" si="900"/>
        <v>26561.607149506293</v>
      </c>
      <c r="AA87" s="46">
        <f t="shared" si="900"/>
        <v>25965.023291626563</v>
      </c>
      <c r="AB87" s="46">
        <f t="shared" si="900"/>
        <v>27212.02769971126</v>
      </c>
      <c r="AC87" s="46">
        <f t="shared" si="900"/>
        <v>29882.260754145882</v>
      </c>
      <c r="AD87" s="46">
        <f t="shared" si="900"/>
        <v>61377.304883945486</v>
      </c>
      <c r="AE87" s="46">
        <f t="shared" si="900"/>
        <v>108449.2641459656</v>
      </c>
      <c r="AF87" s="46">
        <f t="shared" si="900"/>
        <v>158370.19826299616</v>
      </c>
      <c r="AG87" s="46">
        <f t="shared" si="900"/>
        <v>172517.62355934194</v>
      </c>
      <c r="AH87" s="46">
        <f t="shared" si="900"/>
        <v>144844.75562294069</v>
      </c>
      <c r="AI87" s="46">
        <f t="shared" si="900"/>
        <v>112277.26526575511</v>
      </c>
      <c r="AJ87" s="46">
        <f t="shared" si="900"/>
        <v>59441.177071407132</v>
      </c>
      <c r="AK87" s="46">
        <f t="shared" si="900"/>
        <v>36706.376341851857</v>
      </c>
      <c r="AL87" s="46">
        <f t="shared" si="900"/>
        <v>26561.607227911561</v>
      </c>
      <c r="AM87" s="46">
        <f t="shared" si="900"/>
        <v>25965.023291626563</v>
      </c>
      <c r="AN87" s="46">
        <f t="shared" si="900"/>
        <v>27212.02769971126</v>
      </c>
      <c r="AO87" s="46">
        <f t="shared" si="900"/>
        <v>29882.261675736343</v>
      </c>
      <c r="AP87" s="46">
        <f t="shared" si="900"/>
        <v>61377.313224067038</v>
      </c>
      <c r="AQ87" s="46">
        <f t="shared" si="900"/>
        <v>108449.28374891232</v>
      </c>
      <c r="AR87" s="46">
        <f t="shared" si="900"/>
        <v>158370.22983956384</v>
      </c>
      <c r="AS87" s="46">
        <f t="shared" si="900"/>
        <v>172517.65851930768</v>
      </c>
      <c r="AT87" s="46">
        <f t="shared" si="900"/>
        <v>144844.78398139993</v>
      </c>
      <c r="AU87" s="46">
        <f t="shared" si="900"/>
        <v>112277.28574438409</v>
      </c>
      <c r="AV87" s="46">
        <f t="shared" si="900"/>
        <v>59441.185131997714</v>
      </c>
      <c r="AW87" s="46">
        <f t="shared" si="900"/>
        <v>36706.37868473155</v>
      </c>
      <c r="AX87" s="46">
        <f t="shared" si="900"/>
        <v>26561.607305315483</v>
      </c>
      <c r="AY87" s="46">
        <f t="shared" si="900"/>
        <v>25965.023291626563</v>
      </c>
      <c r="AZ87" s="46">
        <f t="shared" si="900"/>
        <v>27212.02769971126</v>
      </c>
      <c r="BA87" s="46">
        <f t="shared" si="900"/>
        <v>29882.263525474507</v>
      </c>
      <c r="BB87" s="46">
        <f t="shared" si="900"/>
        <v>61377.32996365126</v>
      </c>
      <c r="BC87" s="46">
        <f t="shared" si="900"/>
        <v>108449.32309428343</v>
      </c>
      <c r="BD87" s="46">
        <f t="shared" si="900"/>
        <v>158370.29321737081</v>
      </c>
      <c r="BE87" s="46">
        <f t="shared" si="900"/>
        <v>172517.72868798411</v>
      </c>
      <c r="BF87" s="46">
        <f t="shared" si="900"/>
        <v>144844.84090009276</v>
      </c>
      <c r="BG87" s="46">
        <f t="shared" si="900"/>
        <v>112277.32684735034</v>
      </c>
      <c r="BH87" s="46">
        <f t="shared" si="900"/>
        <v>59441.201310531113</v>
      </c>
      <c r="BI87" s="46">
        <f t="shared" si="900"/>
        <v>36706.383387160837</v>
      </c>
      <c r="BJ87" s="46">
        <f t="shared" si="900"/>
        <v>26561.607460674073</v>
      </c>
      <c r="BK87" s="46">
        <f t="shared" si="900"/>
        <v>25965.023291626563</v>
      </c>
      <c r="BL87" s="46">
        <f t="shared" si="900"/>
        <v>27212.02769971126</v>
      </c>
      <c r="BM87" s="46">
        <f t="shared" si="900"/>
        <v>29882.263525474507</v>
      </c>
      <c r="BN87" s="46">
        <f t="shared" si="900"/>
        <v>61377.32996365126</v>
      </c>
      <c r="BO87" s="46">
        <f t="shared" si="900"/>
        <v>108449.32309428343</v>
      </c>
      <c r="BP87" s="46">
        <f t="shared" ref="BP87:CH87" si="901">BP84*(BP80*BP$15+BP82)</f>
        <v>158370.29321737081</v>
      </c>
      <c r="BQ87" s="46">
        <f t="shared" si="901"/>
        <v>172517.72868798411</v>
      </c>
      <c r="BR87" s="46">
        <f t="shared" si="901"/>
        <v>144844.84090009276</v>
      </c>
      <c r="BS87" s="46">
        <f t="shared" si="901"/>
        <v>112277.32684735034</v>
      </c>
      <c r="BT87" s="46">
        <f t="shared" si="901"/>
        <v>59441.201310531113</v>
      </c>
      <c r="BU87" s="46">
        <f t="shared" si="901"/>
        <v>36706.383387160837</v>
      </c>
      <c r="BV87" s="46">
        <f t="shared" si="901"/>
        <v>26561.607460674073</v>
      </c>
      <c r="BW87" s="46">
        <f t="shared" si="901"/>
        <v>25965.023291626563</v>
      </c>
      <c r="BX87" s="46">
        <f t="shared" si="901"/>
        <v>27212.02769971126</v>
      </c>
      <c r="BY87" s="46">
        <f t="shared" si="901"/>
        <v>29882.263525474507</v>
      </c>
      <c r="BZ87" s="46">
        <f t="shared" si="901"/>
        <v>61377.32996365126</v>
      </c>
      <c r="CA87" s="46">
        <f t="shared" si="901"/>
        <v>108449.32309428343</v>
      </c>
      <c r="CB87" s="46">
        <f t="shared" si="901"/>
        <v>158370.29321737081</v>
      </c>
      <c r="CC87" s="46">
        <f t="shared" si="901"/>
        <v>172517.72868798411</v>
      </c>
      <c r="CD87" s="46">
        <f t="shared" si="901"/>
        <v>144844.84090009276</v>
      </c>
      <c r="CE87" s="46">
        <f t="shared" si="901"/>
        <v>112277.32684735034</v>
      </c>
      <c r="CF87" s="46">
        <f t="shared" si="901"/>
        <v>59441.201310531113</v>
      </c>
      <c r="CG87" s="46">
        <f t="shared" si="901"/>
        <v>36706.383387160837</v>
      </c>
      <c r="CH87" s="46">
        <f t="shared" si="901"/>
        <v>26561.607460674073</v>
      </c>
    </row>
    <row r="88" spans="1:86" x14ac:dyDescent="0.2">
      <c r="A88" s="585">
        <v>76</v>
      </c>
      <c r="B88" s="211" t="s">
        <v>605</v>
      </c>
      <c r="C88" s="46">
        <f>C87/SUM(C87:N87)*SUM(C85:N85)</f>
        <v>25951.620663548842</v>
      </c>
      <c r="D88" s="46">
        <f>D87/SUM(C87:N87)*SUM(C85:N85)</f>
        <v>27197.98139278507</v>
      </c>
      <c r="E88" s="46">
        <f>E87/SUM(C87:N87)*SUM(C85:N85)</f>
        <v>29866.833757290675</v>
      </c>
      <c r="F88" s="46">
        <f>F87/SUM(C87:N87)*SUM(C85:N85)</f>
        <v>61345.601704304463</v>
      </c>
      <c r="G88" s="46">
        <f>G87/SUM(C87:N87)*SUM(C85:N85)</f>
        <v>108393.23440898038</v>
      </c>
      <c r="H88" s="46">
        <f>H87/SUM(C87:N87)*SUM(C85:N85)</f>
        <v>158288.36955759005</v>
      </c>
      <c r="I88" s="46">
        <f>I87/SUM(C87:N87)*SUM(C85:N85)</f>
        <v>172428.48353822407</v>
      </c>
      <c r="J88" s="46">
        <f>J87/SUM(C87:N87)*SUM(C85:N85)</f>
        <v>144769.91675333408</v>
      </c>
      <c r="K88" s="46">
        <f>K87/SUM(C87:N87)*SUM(C85:N85)</f>
        <v>112219.2573400149</v>
      </c>
      <c r="L88" s="46">
        <f>L87/SUM(C87:N87)*SUM(C85:N85)</f>
        <v>59410.47400088195</v>
      </c>
      <c r="M88" s="46">
        <f>M87/SUM(C87:N87)*SUM(C85:N85)</f>
        <v>36687.423219215656</v>
      </c>
      <c r="N88" s="46">
        <f>N87/SUM(C87:N87)*SUM(C85:N85)</f>
        <v>26547.896456130111</v>
      </c>
      <c r="O88" s="46">
        <f>O87/SUM(O87:Z87)*SUM(O85:Z85)</f>
        <v>25951.618388278908</v>
      </c>
      <c r="P88" s="46">
        <f>P87/SUM(O87:Z87)*SUM(O85:Z85)</f>
        <v>27197.979008242302</v>
      </c>
      <c r="Q88" s="46">
        <f>Q87/SUM(O87:Z87)*SUM(O85:Z85)</f>
        <v>29866.832574518023</v>
      </c>
      <c r="R88" s="46">
        <f>R87/SUM(O87:Z87)*SUM(O85:Z85)</f>
        <v>61345.609319103765</v>
      </c>
      <c r="S88" s="46">
        <f>S87/SUM(O87:Z87)*SUM(O85:Z85)</f>
        <v>108393.25544545033</v>
      </c>
      <c r="T88" s="46">
        <f>T87/SUM(O87:Z87)*SUM(O85:Z85)</f>
        <v>158288.40487343815</v>
      </c>
      <c r="U88" s="46">
        <f>U87/SUM(O87:Z87)*SUM(O85:Z85)</f>
        <v>172428.52288539856</v>
      </c>
      <c r="V88" s="46">
        <f>V87/SUM(O87:Z87)*SUM(O85:Z85)</f>
        <v>144769.94824085943</v>
      </c>
      <c r="W88" s="46">
        <f>W87/SUM(O87:Z87)*SUM(O85:Z85)</f>
        <v>112219.27940528082</v>
      </c>
      <c r="X88" s="46">
        <f>X87/SUM(O87:Z87)*SUM(O85:Z85)</f>
        <v>59410.481349855778</v>
      </c>
      <c r="Y88" s="46">
        <f>Y87/SUM(O87:Z87)*SUM(O85:Z85)</f>
        <v>36687.42365270295</v>
      </c>
      <c r="Z88" s="46">
        <f>Z87/SUM(O87:Z87)*SUM(O85:Z85)</f>
        <v>26547.894249171157</v>
      </c>
      <c r="AA88" s="46">
        <f>AA87/SUM(AA87:AL87)*SUM(AA85:AL85)</f>
        <v>25951.618333315408</v>
      </c>
      <c r="AB88" s="46">
        <f>AB87/SUM(AA87:AL87)*SUM(AA85:AL85)</f>
        <v>27197.978950639106</v>
      </c>
      <c r="AC88" s="46">
        <f>AC87/SUM(AA87:AL87)*SUM(AA85:AL85)</f>
        <v>29866.833444293181</v>
      </c>
      <c r="AD88" s="46">
        <f>AD87/SUM(AA87:AL87)*SUM(AA85:AL85)</f>
        <v>61345.617632831571</v>
      </c>
      <c r="AE88" s="46">
        <f>AE87/SUM(AA87:AL87)*SUM(AA85:AL85)</f>
        <v>108393.27506217298</v>
      </c>
      <c r="AF88" s="46">
        <f>AF87/SUM(AA87:AL87)*SUM(AA85:AL85)</f>
        <v>158288.43650674427</v>
      </c>
      <c r="AG88" s="46">
        <f>AG87/SUM(AA87:AL87)*SUM(AA85:AL85)</f>
        <v>172428.55791415536</v>
      </c>
      <c r="AH88" s="46">
        <f>AH87/SUM(AA87:AL87)*SUM(AA85:AL85)</f>
        <v>144769.9766447396</v>
      </c>
      <c r="AI88" s="46">
        <f>AI87/SUM(AA87:AL87)*SUM(AA85:AL85)</f>
        <v>112219.29990045294</v>
      </c>
      <c r="AJ88" s="46">
        <f>AJ87/SUM(AA87:AL87)*SUM(AA85:AL85)</f>
        <v>59410.489384681074</v>
      </c>
      <c r="AK88" s="46">
        <f>AK87/SUM(AA87:AL87)*SUM(AA85:AL85)</f>
        <v>36687.425946965253</v>
      </c>
      <c r="AL88" s="46">
        <f>AL87/SUM(AA87:AL87)*SUM(AA85:AL85)</f>
        <v>26547.894271309582</v>
      </c>
      <c r="AM88" s="46">
        <f>AM87/SUM(AM87:AX87)*SUM(AM85:AX85)</f>
        <v>25951.622527704312</v>
      </c>
      <c r="AN88" s="46">
        <f>AN87/SUM(AM87:AX87)*SUM(AM85:AX85)</f>
        <v>27197.983346469056</v>
      </c>
      <c r="AO88" s="46">
        <f>AO87/SUM(AM87:AX87)*SUM(AM85:AX85)</f>
        <v>29866.839192587304</v>
      </c>
      <c r="AP88" s="46">
        <f>AP87/SUM(AM87:AX87)*SUM(AM85:AX85)</f>
        <v>61345.635883536292</v>
      </c>
      <c r="AQ88" s="46">
        <f>AQ87/SUM(AM87:AX87)*SUM(AM85:AX85)</f>
        <v>108393.31217389258</v>
      </c>
      <c r="AR88" s="46">
        <f>AR87/SUM(AM87:AX87)*SUM(AM85:AX85)</f>
        <v>158288.49365013099</v>
      </c>
      <c r="AS88" s="46">
        <f>AS87/SUM(AM87:AX87)*SUM(AM85:AX85)</f>
        <v>172428.62072456852</v>
      </c>
      <c r="AT88" s="46">
        <f>AT87/SUM(AM87:AX87)*SUM(AM85:AX85)</f>
        <v>144770.02838677928</v>
      </c>
      <c r="AU88" s="46">
        <f>AU87/SUM(AM87:AX87)*SUM(AM85:AX85)</f>
        <v>112219.33850577804</v>
      </c>
      <c r="AV88" s="46">
        <f>AV87/SUM(AM87:AX87)*SUM(AM85:AX85)</f>
        <v>59410.50704323707</v>
      </c>
      <c r="AW88" s="46">
        <f>AW87/SUM(AM87:AX87)*SUM(AM85:AX85)</f>
        <v>36687.434218182447</v>
      </c>
      <c r="AX88" s="46">
        <f>AX87/SUM(AM87:AX87)*SUM(AM85:AX85)</f>
        <v>26547.898639434607</v>
      </c>
      <c r="AY88" s="46">
        <f>AY87/SUM(AY87:BJ87)*SUM(AY85:BJ85)</f>
        <v>25951.614164327126</v>
      </c>
      <c r="AZ88" s="46">
        <f>AZ87/SUM(AY87:BJ87)*SUM(AY85:BJ85)</f>
        <v>27197.97458142968</v>
      </c>
      <c r="BA88" s="46">
        <f>BA87/SUM(AY87:BJ87)*SUM(AY85:BJ85)</f>
        <v>29866.831416244026</v>
      </c>
      <c r="BB88" s="46">
        <f>BB87/SUM(AY87:BJ87)*SUM(AY85:BJ85)</f>
        <v>61345.632844741005</v>
      </c>
      <c r="BC88" s="46">
        <f>BC87/SUM(AY87:BJ87)*SUM(AY85:BJ85)</f>
        <v>108393.3165672499</v>
      </c>
      <c r="BD88" s="46">
        <f>BD87/SUM(AY87:BJ87)*SUM(AY85:BJ85)</f>
        <v>158288.50598389332</v>
      </c>
      <c r="BE88" s="46">
        <f>BE87/SUM(AY87:BJ87)*SUM(AY85:BJ85)</f>
        <v>172428.635288783</v>
      </c>
      <c r="BF88" s="46">
        <f>BF87/SUM(AY87:BJ87)*SUM(AY85:BJ85)</f>
        <v>144770.03862133177</v>
      </c>
      <c r="BG88" s="46">
        <f>BG87/SUM(AY87:BJ87)*SUM(AY85:BJ85)</f>
        <v>112219.34342281699</v>
      </c>
      <c r="BH88" s="46">
        <f>BH87/SUM(AY87:BJ87)*SUM(AY85:BJ85)</f>
        <v>59410.504067310794</v>
      </c>
      <c r="BI88" s="46">
        <f>BI87/SUM(AY87:BJ87)*SUM(AY85:BJ85)</f>
        <v>36687.427094997634</v>
      </c>
      <c r="BJ88" s="46">
        <f>BJ87/SUM(AY87:BJ87)*SUM(AY85:BJ85)</f>
        <v>26547.890239175074</v>
      </c>
      <c r="BK88" s="46">
        <f>BK87/SUM(BK87:BV87)*SUM(BK85:BV85)</f>
        <v>25951.614164327126</v>
      </c>
      <c r="BL88" s="46">
        <f>BL87/SUM(BK87:BV87)*SUM(BK85:BV85)</f>
        <v>27197.97458142968</v>
      </c>
      <c r="BM88" s="46">
        <f>BM87/SUM(BK87:BV87)*SUM(BK85:BV85)</f>
        <v>29866.831416244026</v>
      </c>
      <c r="BN88" s="46">
        <f>BN87/SUM(BK87:BV87)*SUM(BK85:BV85)</f>
        <v>61345.632844741005</v>
      </c>
      <c r="BO88" s="46">
        <f>BO87/SUM(BK87:BV87)*SUM(BK85:BV85)</f>
        <v>108393.3165672499</v>
      </c>
      <c r="BP88" s="46">
        <f>BP87/SUM(BK87:BV87)*SUM(BK85:BV85)</f>
        <v>158288.50598389332</v>
      </c>
      <c r="BQ88" s="46">
        <f>BQ87/SUM(BK87:BV87)*SUM(BK85:BV85)</f>
        <v>172428.635288783</v>
      </c>
      <c r="BR88" s="46">
        <f>BR87/SUM(BK87:BV87)*SUM(BK85:BV85)</f>
        <v>144770.03862133177</v>
      </c>
      <c r="BS88" s="46">
        <f>BS87/SUM(BK87:BV87)*SUM(BK85:BV85)</f>
        <v>112219.34342281699</v>
      </c>
      <c r="BT88" s="46">
        <f>BT87/SUM(BK87:BV87)*SUM(BK85:BV85)</f>
        <v>59410.504067310794</v>
      </c>
      <c r="BU88" s="46">
        <f>BU87/SUM(BK87:BV87)*SUM(BK85:BV85)</f>
        <v>36687.427094997634</v>
      </c>
      <c r="BV88" s="46">
        <f>BV87/SUM(BK87:BV87)*SUM(BK85:BV85)</f>
        <v>26547.890239175074</v>
      </c>
      <c r="BW88" s="46">
        <f>BW87/SUM(BW87:CH87)*SUM(BW85:CH85)</f>
        <v>25951.614164327126</v>
      </c>
      <c r="BX88" s="46">
        <f>BX87/SUM(BW87:CH87)*SUM(BW85:CH85)</f>
        <v>27197.97458142968</v>
      </c>
      <c r="BY88" s="46">
        <f>BY87/SUM(BW87:CH87)*SUM(BW85:CH85)</f>
        <v>29866.831416244026</v>
      </c>
      <c r="BZ88" s="46">
        <f>BZ87/SUM(BW87:CH87)*SUM(BW85:CH85)</f>
        <v>61345.632844741005</v>
      </c>
      <c r="CA88" s="46">
        <f>CA87/SUM(BW87:CH87)*SUM(BW85:CH85)</f>
        <v>108393.3165672499</v>
      </c>
      <c r="CB88" s="46">
        <f>CB87/SUM(BW87:CH87)*SUM(BW85:CH85)</f>
        <v>158288.50598389332</v>
      </c>
      <c r="CC88" s="46">
        <f>CC87/SUM(BW87:CH87)*SUM(BW85:CH85)</f>
        <v>172428.635288783</v>
      </c>
      <c r="CD88" s="46">
        <f>CD87/SUM(BW87:CH87)*SUM(BW85:CH85)</f>
        <v>144770.03862133177</v>
      </c>
      <c r="CE88" s="46">
        <f>CE87/SUM(BW87:CH87)*SUM(BW85:CH85)</f>
        <v>112219.34342281699</v>
      </c>
      <c r="CF88" s="46">
        <f>CF87/SUM(BW87:CH87)*SUM(BW85:CH85)</f>
        <v>59410.504067310794</v>
      </c>
      <c r="CG88" s="46">
        <f>CG87/SUM(BW87:CH87)*SUM(BW85:CH85)</f>
        <v>36687.427094997634</v>
      </c>
      <c r="CH88" s="46">
        <f>CH87/SUM(BW87:CH87)*SUM(BW85:CH85)</f>
        <v>26547.890239175074</v>
      </c>
    </row>
    <row r="89" spans="1:86" x14ac:dyDescent="0.2">
      <c r="A89" s="585">
        <v>77</v>
      </c>
      <c r="C89" s="605"/>
      <c r="D89" s="605"/>
      <c r="E89" s="605"/>
      <c r="F89" s="605"/>
      <c r="G89" s="605"/>
      <c r="H89" s="605"/>
      <c r="I89" s="605"/>
      <c r="J89" s="605"/>
      <c r="K89" s="605"/>
      <c r="L89" s="605"/>
      <c r="M89" s="605"/>
      <c r="N89" s="605"/>
    </row>
    <row r="90" spans="1:86" x14ac:dyDescent="0.2">
      <c r="A90" s="585">
        <v>78</v>
      </c>
      <c r="B90" s="42" t="s">
        <v>589</v>
      </c>
      <c r="C90" s="606">
        <f t="shared" ref="C90:N90" si="902">ROUND(C85-C86,0)</f>
        <v>3195</v>
      </c>
      <c r="D90" s="606">
        <f t="shared" si="902"/>
        <v>4906</v>
      </c>
      <c r="E90" s="606">
        <f t="shared" si="902"/>
        <v>-4586</v>
      </c>
      <c r="F90" s="606">
        <f t="shared" si="902"/>
        <v>10837</v>
      </c>
      <c r="G90" s="606">
        <f t="shared" si="902"/>
        <v>37930</v>
      </c>
      <c r="H90" s="606">
        <f t="shared" si="902"/>
        <v>9549</v>
      </c>
      <c r="I90" s="606">
        <f t="shared" si="902"/>
        <v>-3925</v>
      </c>
      <c r="J90" s="606">
        <f t="shared" si="902"/>
        <v>44764</v>
      </c>
      <c r="K90" s="606">
        <f t="shared" si="902"/>
        <v>27525</v>
      </c>
      <c r="L90" s="606">
        <f t="shared" si="902"/>
        <v>6689</v>
      </c>
      <c r="M90" s="606">
        <f t="shared" si="902"/>
        <v>7466</v>
      </c>
      <c r="N90" s="606">
        <f t="shared" si="902"/>
        <v>2365</v>
      </c>
      <c r="O90" s="580"/>
      <c r="P90" s="580"/>
      <c r="Q90" s="580"/>
      <c r="R90" s="580"/>
      <c r="S90" s="580"/>
      <c r="T90" s="580"/>
      <c r="U90" s="580"/>
      <c r="V90" s="580"/>
      <c r="W90" s="580"/>
      <c r="X90" s="580"/>
      <c r="Y90" s="580"/>
      <c r="Z90" s="580"/>
      <c r="AA90" s="580"/>
      <c r="AB90" s="580"/>
      <c r="AC90" s="580"/>
      <c r="AD90" s="580"/>
      <c r="AE90" s="580"/>
      <c r="AF90" s="580"/>
      <c r="AG90" s="580"/>
      <c r="AH90" s="580"/>
      <c r="AI90" s="580"/>
      <c r="AJ90" s="580"/>
      <c r="AK90" s="580"/>
      <c r="AL90" s="580"/>
      <c r="AM90" s="580"/>
      <c r="AN90" s="580"/>
      <c r="AO90" s="580"/>
      <c r="AP90" s="580"/>
      <c r="AQ90" s="580"/>
      <c r="AR90" s="580"/>
      <c r="AS90" s="580"/>
      <c r="AT90" s="580"/>
      <c r="AU90" s="580"/>
      <c r="AV90" s="580"/>
      <c r="AW90" s="580"/>
      <c r="AX90" s="580"/>
      <c r="AY90" s="580"/>
      <c r="AZ90" s="580"/>
      <c r="BA90" s="580"/>
      <c r="BB90" s="580"/>
      <c r="BC90" s="580"/>
      <c r="BD90" s="580"/>
      <c r="BE90" s="580"/>
      <c r="BF90" s="580"/>
      <c r="BG90" s="580"/>
      <c r="BH90" s="580"/>
      <c r="BI90" s="580"/>
      <c r="BJ90" s="580"/>
      <c r="BK90" s="580"/>
      <c r="BL90" s="580"/>
      <c r="BM90" s="580"/>
      <c r="BN90" s="580"/>
      <c r="BO90" s="580"/>
      <c r="BP90" s="580"/>
      <c r="BQ90" s="580"/>
      <c r="BR90" s="580"/>
      <c r="BS90" s="580"/>
      <c r="BT90" s="580"/>
      <c r="BU90" s="580"/>
      <c r="BV90" s="580"/>
      <c r="BW90" s="580"/>
      <c r="BX90" s="580"/>
      <c r="BY90" s="580"/>
      <c r="BZ90" s="580"/>
      <c r="CA90" s="580"/>
      <c r="CB90" s="580"/>
      <c r="CC90" s="580"/>
      <c r="CD90" s="580"/>
      <c r="CE90" s="580"/>
      <c r="CF90" s="580"/>
      <c r="CG90" s="580"/>
      <c r="CH90" s="580"/>
    </row>
    <row r="91" spans="1:86" x14ac:dyDescent="0.2">
      <c r="A91" s="585">
        <v>79</v>
      </c>
      <c r="B91" s="42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580"/>
      <c r="P91" s="580"/>
      <c r="Q91" s="580"/>
      <c r="R91" s="580"/>
      <c r="S91" s="580"/>
      <c r="T91" s="580"/>
      <c r="U91" s="580"/>
      <c r="V91" s="580"/>
      <c r="W91" s="580"/>
      <c r="X91" s="580"/>
      <c r="Y91" s="580"/>
      <c r="Z91" s="580"/>
      <c r="AA91" s="580"/>
      <c r="AB91" s="580"/>
      <c r="AC91" s="580"/>
      <c r="AD91" s="580"/>
      <c r="AE91" s="580"/>
      <c r="AF91" s="580"/>
      <c r="AG91" s="580"/>
      <c r="AH91" s="580"/>
      <c r="AI91" s="580"/>
      <c r="AJ91" s="580"/>
      <c r="AK91" s="580"/>
      <c r="AL91" s="580"/>
      <c r="AM91" s="580"/>
      <c r="AN91" s="580"/>
      <c r="AO91" s="580"/>
      <c r="AP91" s="580"/>
      <c r="AQ91" s="580"/>
      <c r="AR91" s="580"/>
      <c r="AS91" s="580"/>
      <c r="AT91" s="580"/>
      <c r="AU91" s="580"/>
      <c r="AV91" s="580"/>
      <c r="AW91" s="580"/>
      <c r="AX91" s="580"/>
      <c r="AY91" s="580"/>
      <c r="AZ91" s="580"/>
      <c r="BA91" s="580"/>
      <c r="BB91" s="580"/>
      <c r="BC91" s="580"/>
      <c r="BD91" s="580"/>
      <c r="BE91" s="580"/>
      <c r="BF91" s="580"/>
      <c r="BG91" s="580"/>
      <c r="BH91" s="580"/>
      <c r="BI91" s="580"/>
      <c r="BJ91" s="580"/>
      <c r="BK91" s="580"/>
      <c r="BL91" s="580"/>
      <c r="BM91" s="580"/>
      <c r="BN91" s="580"/>
      <c r="BO91" s="580"/>
      <c r="BP91" s="580"/>
      <c r="BQ91" s="580"/>
      <c r="BR91" s="580"/>
      <c r="BS91" s="580"/>
      <c r="BT91" s="580"/>
      <c r="BU91" s="580"/>
      <c r="BV91" s="580"/>
      <c r="BW91" s="580"/>
      <c r="BX91" s="580"/>
      <c r="BY91" s="580"/>
      <c r="BZ91" s="580"/>
      <c r="CA91" s="580"/>
      <c r="CB91" s="580"/>
      <c r="CC91" s="580"/>
      <c r="CD91" s="580"/>
      <c r="CE91" s="580"/>
      <c r="CF91" s="580"/>
      <c r="CG91" s="580"/>
      <c r="CH91" s="580"/>
    </row>
    <row r="92" spans="1:86" x14ac:dyDescent="0.2">
      <c r="A92" s="585">
        <v>80</v>
      </c>
      <c r="B92" s="42" t="s">
        <v>592</v>
      </c>
      <c r="C92" s="158">
        <f>C$90*'Bill Frequency'!C35/'Bill Frequency'!C$38</f>
        <v>3020.7197211409962</v>
      </c>
      <c r="D92" s="158">
        <f>D$90*'Bill Frequency'!D35/'Bill Frequency'!D$38</f>
        <v>4593.0862179653868</v>
      </c>
      <c r="E92" s="158">
        <f>E$90*'Bill Frequency'!E35/'Bill Frequency'!E$38</f>
        <v>-4139.071393434092</v>
      </c>
      <c r="F92" s="158">
        <f>F$90*'Bill Frequency'!F35/'Bill Frequency'!F$38</f>
        <v>9690.5423682328783</v>
      </c>
      <c r="G92" s="158">
        <f>G$90*'Bill Frequency'!G35/'Bill Frequency'!G$38</f>
        <v>34013.069164076129</v>
      </c>
      <c r="H92" s="158">
        <f>H$90*'Bill Frequency'!H35/'Bill Frequency'!H$38</f>
        <v>7895.3189170631467</v>
      </c>
      <c r="I92" s="158">
        <f>I$90*'Bill Frequency'!I35/'Bill Frequency'!I$38</f>
        <v>-3027.0032802698324</v>
      </c>
      <c r="J92" s="158">
        <f>J$90*'Bill Frequency'!J35/'Bill Frequency'!J$38</f>
        <v>37225.901903050719</v>
      </c>
      <c r="K92" s="158">
        <f>K$90*'Bill Frequency'!K35/'Bill Frequency'!K$38</f>
        <v>23444.389553063018</v>
      </c>
      <c r="L92" s="158">
        <f>L$90*'Bill Frequency'!L35/'Bill Frequency'!L$38</f>
        <v>5657.6101251560922</v>
      </c>
      <c r="M92" s="158">
        <f>M$90*'Bill Frequency'!M35/'Bill Frequency'!M$38</f>
        <v>6973.3190394285484</v>
      </c>
      <c r="N92" s="158">
        <f>N$90*'Bill Frequency'!N35/'Bill Frequency'!N$38</f>
        <v>2065.5742053721096</v>
      </c>
      <c r="O92" s="580"/>
      <c r="P92" s="580"/>
      <c r="Q92" s="580"/>
      <c r="R92" s="580"/>
      <c r="S92" s="580"/>
      <c r="T92" s="580"/>
      <c r="U92" s="580"/>
      <c r="V92" s="580"/>
      <c r="W92" s="580"/>
      <c r="X92" s="580"/>
      <c r="Y92" s="580"/>
      <c r="Z92" s="580"/>
      <c r="AA92" s="580"/>
      <c r="AB92" s="580"/>
      <c r="AC92" s="580"/>
      <c r="AD92" s="580"/>
      <c r="AE92" s="580"/>
      <c r="AF92" s="580"/>
      <c r="AG92" s="580"/>
      <c r="AH92" s="580"/>
      <c r="AI92" s="580"/>
      <c r="AJ92" s="580"/>
      <c r="AK92" s="580"/>
      <c r="AL92" s="580"/>
      <c r="AM92" s="580"/>
      <c r="AN92" s="580"/>
      <c r="AO92" s="580"/>
      <c r="AP92" s="580"/>
      <c r="AQ92" s="580"/>
      <c r="AR92" s="580"/>
      <c r="AS92" s="580"/>
      <c r="AT92" s="580"/>
      <c r="AU92" s="580"/>
      <c r="AV92" s="580"/>
      <c r="AW92" s="580"/>
      <c r="AX92" s="580"/>
      <c r="AY92" s="580"/>
      <c r="AZ92" s="580"/>
      <c r="BA92" s="580"/>
      <c r="BB92" s="580"/>
      <c r="BC92" s="580"/>
      <c r="BD92" s="580"/>
      <c r="BE92" s="580"/>
      <c r="BF92" s="580"/>
      <c r="BG92" s="580"/>
      <c r="BH92" s="580"/>
      <c r="BI92" s="580"/>
      <c r="BJ92" s="580"/>
      <c r="BK92" s="580"/>
      <c r="BL92" s="580"/>
      <c r="BM92" s="580"/>
      <c r="BN92" s="580"/>
      <c r="BO92" s="580"/>
      <c r="BP92" s="580"/>
      <c r="BQ92" s="580"/>
      <c r="BR92" s="580"/>
      <c r="BS92" s="580"/>
      <c r="BT92" s="580"/>
      <c r="BU92" s="580"/>
      <c r="BV92" s="580"/>
      <c r="BW92" s="580"/>
      <c r="BX92" s="580"/>
      <c r="BY92" s="580"/>
      <c r="BZ92" s="580"/>
      <c r="CA92" s="580"/>
      <c r="CB92" s="580"/>
      <c r="CC92" s="580"/>
      <c r="CD92" s="580"/>
      <c r="CE92" s="580"/>
      <c r="CF92" s="580"/>
      <c r="CG92" s="580"/>
      <c r="CH92" s="580"/>
    </row>
    <row r="93" spans="1:86" x14ac:dyDescent="0.2">
      <c r="A93" s="585">
        <v>81</v>
      </c>
      <c r="B93" s="42" t="s">
        <v>593</v>
      </c>
      <c r="C93" s="158">
        <f>C$90*'Bill Frequency'!C36/'Bill Frequency'!C$38</f>
        <v>174.28027885900394</v>
      </c>
      <c r="D93" s="158">
        <f>D$90*'Bill Frequency'!D36/'Bill Frequency'!D$38</f>
        <v>312.9137820346138</v>
      </c>
      <c r="E93" s="158">
        <f>E$90*'Bill Frequency'!E36/'Bill Frequency'!E$38</f>
        <v>-446.92860656590767</v>
      </c>
      <c r="F93" s="158">
        <f>F$90*'Bill Frequency'!F36/'Bill Frequency'!F$38</f>
        <v>1146.4576317671206</v>
      </c>
      <c r="G93" s="158">
        <f>G$90*'Bill Frequency'!G36/'Bill Frequency'!G$38</f>
        <v>3916.9308359238712</v>
      </c>
      <c r="H93" s="158">
        <f>H$90*'Bill Frequency'!H36/'Bill Frequency'!H$38</f>
        <v>1653.6810829368535</v>
      </c>
      <c r="I93" s="158">
        <f>I$90*'Bill Frequency'!I36/'Bill Frequency'!I$38</f>
        <v>-897.99671973016734</v>
      </c>
      <c r="J93" s="158">
        <f>J$90*'Bill Frequency'!J36/'Bill Frequency'!J$38</f>
        <v>7538.0980969492766</v>
      </c>
      <c r="K93" s="158">
        <f>K$90*'Bill Frequency'!K36/'Bill Frequency'!K$38</f>
        <v>4080.6104469369825</v>
      </c>
      <c r="L93" s="158">
        <f>L$90*'Bill Frequency'!L36/'Bill Frequency'!L$38</f>
        <v>1031.3898748439085</v>
      </c>
      <c r="M93" s="158">
        <f>M$90*'Bill Frequency'!M36/'Bill Frequency'!M$38</f>
        <v>492.6809605714526</v>
      </c>
      <c r="N93" s="158">
        <f>N$90*'Bill Frequency'!N36/'Bill Frequency'!N$38</f>
        <v>299.42579462789035</v>
      </c>
      <c r="O93" s="580"/>
      <c r="P93" s="580"/>
      <c r="Q93" s="580"/>
      <c r="R93" s="580"/>
      <c r="S93" s="580"/>
      <c r="T93" s="580"/>
      <c r="U93" s="580"/>
      <c r="V93" s="580"/>
      <c r="W93" s="580"/>
      <c r="X93" s="580"/>
      <c r="Y93" s="580"/>
      <c r="Z93" s="580"/>
      <c r="AA93" s="580"/>
      <c r="AB93" s="580"/>
      <c r="AC93" s="580"/>
      <c r="AD93" s="580"/>
      <c r="AE93" s="580"/>
      <c r="AF93" s="580"/>
      <c r="AG93" s="580"/>
      <c r="AH93" s="580"/>
      <c r="AI93" s="580"/>
      <c r="AJ93" s="580"/>
      <c r="AK93" s="580"/>
      <c r="AL93" s="580"/>
      <c r="AM93" s="580"/>
      <c r="AN93" s="580"/>
      <c r="AO93" s="580"/>
      <c r="AP93" s="580"/>
      <c r="AQ93" s="580"/>
      <c r="AR93" s="580"/>
      <c r="AS93" s="580"/>
      <c r="AT93" s="580"/>
      <c r="AU93" s="580"/>
      <c r="AV93" s="580"/>
      <c r="AW93" s="580"/>
      <c r="AX93" s="580"/>
      <c r="AY93" s="580"/>
      <c r="AZ93" s="580"/>
      <c r="BA93" s="580"/>
      <c r="BB93" s="580"/>
      <c r="BC93" s="580"/>
      <c r="BD93" s="580"/>
      <c r="BE93" s="580"/>
      <c r="BF93" s="580"/>
      <c r="BG93" s="580"/>
      <c r="BH93" s="580"/>
      <c r="BI93" s="580"/>
      <c r="BJ93" s="580"/>
      <c r="BK93" s="580"/>
      <c r="BL93" s="580"/>
      <c r="BM93" s="580"/>
      <c r="BN93" s="580"/>
      <c r="BO93" s="580"/>
      <c r="BP93" s="580"/>
      <c r="BQ93" s="580"/>
      <c r="BR93" s="580"/>
      <c r="BS93" s="580"/>
      <c r="BT93" s="580"/>
      <c r="BU93" s="580"/>
      <c r="BV93" s="580"/>
      <c r="BW93" s="580"/>
      <c r="BX93" s="580"/>
      <c r="BY93" s="580"/>
      <c r="BZ93" s="580"/>
      <c r="CA93" s="580"/>
      <c r="CB93" s="580"/>
      <c r="CC93" s="580"/>
      <c r="CD93" s="580"/>
      <c r="CE93" s="580"/>
      <c r="CF93" s="580"/>
      <c r="CG93" s="580"/>
      <c r="CH93" s="580"/>
    </row>
    <row r="94" spans="1:86" x14ac:dyDescent="0.2">
      <c r="A94" s="585">
        <v>82</v>
      </c>
      <c r="B94" s="42" t="s">
        <v>594</v>
      </c>
      <c r="C94" s="158">
        <f>C$90*'Bill Frequency'!C37/'Bill Frequency'!C$38</f>
        <v>0</v>
      </c>
      <c r="D94" s="158">
        <f>D$90*'Bill Frequency'!D37/'Bill Frequency'!D$38</f>
        <v>0</v>
      </c>
      <c r="E94" s="158">
        <f>E$90*'Bill Frequency'!E37/'Bill Frequency'!E$38</f>
        <v>0</v>
      </c>
      <c r="F94" s="158">
        <f>F$90*'Bill Frequency'!F37/'Bill Frequency'!F$38</f>
        <v>0</v>
      </c>
      <c r="G94" s="158">
        <f>G$90*'Bill Frequency'!G37/'Bill Frequency'!G$38</f>
        <v>0</v>
      </c>
      <c r="H94" s="158">
        <f>H$90*'Bill Frequency'!H37/'Bill Frequency'!H$38</f>
        <v>0</v>
      </c>
      <c r="I94" s="158">
        <f>I$90*'Bill Frequency'!I37/'Bill Frequency'!I$38</f>
        <v>0</v>
      </c>
      <c r="J94" s="158">
        <f>J$90*'Bill Frequency'!J37/'Bill Frequency'!J$38</f>
        <v>0</v>
      </c>
      <c r="K94" s="158">
        <f>K$90*'Bill Frequency'!K37/'Bill Frequency'!K$38</f>
        <v>0</v>
      </c>
      <c r="L94" s="158">
        <f>L$90*'Bill Frequency'!L37/'Bill Frequency'!L$38</f>
        <v>0</v>
      </c>
      <c r="M94" s="158">
        <f>M$90*'Bill Frequency'!M37/'Bill Frequency'!M$38</f>
        <v>0</v>
      </c>
      <c r="N94" s="158">
        <f>N$90*'Bill Frequency'!N37/'Bill Frequency'!N$38</f>
        <v>0</v>
      </c>
      <c r="O94" s="580"/>
      <c r="P94" s="580"/>
      <c r="Q94" s="580"/>
      <c r="R94" s="580"/>
      <c r="S94" s="580"/>
      <c r="T94" s="580"/>
      <c r="U94" s="580"/>
      <c r="V94" s="580"/>
      <c r="W94" s="580"/>
      <c r="X94" s="580"/>
      <c r="Y94" s="580"/>
      <c r="Z94" s="580"/>
      <c r="AA94" s="580"/>
      <c r="AB94" s="580"/>
      <c r="AC94" s="580"/>
      <c r="AD94" s="580"/>
      <c r="AE94" s="580"/>
      <c r="AF94" s="580"/>
      <c r="AG94" s="580"/>
      <c r="AH94" s="580"/>
      <c r="AI94" s="580"/>
      <c r="AJ94" s="580"/>
      <c r="AK94" s="580"/>
      <c r="AL94" s="580"/>
      <c r="AM94" s="580"/>
      <c r="AN94" s="580"/>
      <c r="AO94" s="580"/>
      <c r="AP94" s="580"/>
      <c r="AQ94" s="580"/>
      <c r="AR94" s="580"/>
      <c r="AS94" s="580"/>
      <c r="AT94" s="580"/>
      <c r="AU94" s="580"/>
      <c r="AV94" s="580"/>
      <c r="AW94" s="580"/>
      <c r="AX94" s="580"/>
      <c r="AY94" s="580"/>
      <c r="AZ94" s="580"/>
      <c r="BA94" s="580"/>
      <c r="BB94" s="580"/>
      <c r="BC94" s="580"/>
      <c r="BD94" s="580"/>
      <c r="BE94" s="580"/>
      <c r="BF94" s="580"/>
      <c r="BG94" s="580"/>
      <c r="BH94" s="580"/>
      <c r="BI94" s="580"/>
      <c r="BJ94" s="580"/>
      <c r="BK94" s="580"/>
      <c r="BL94" s="580"/>
      <c r="BM94" s="580"/>
      <c r="BN94" s="580"/>
      <c r="BO94" s="580"/>
      <c r="BP94" s="580"/>
      <c r="BQ94" s="580"/>
      <c r="BR94" s="580"/>
      <c r="BS94" s="580"/>
      <c r="BT94" s="580"/>
      <c r="BU94" s="580"/>
      <c r="BV94" s="580"/>
      <c r="BW94" s="580"/>
      <c r="BX94" s="580"/>
      <c r="BY94" s="580"/>
      <c r="BZ94" s="580"/>
      <c r="CA94" s="580"/>
      <c r="CB94" s="580"/>
      <c r="CC94" s="580"/>
      <c r="CD94" s="580"/>
      <c r="CE94" s="580"/>
      <c r="CF94" s="580"/>
      <c r="CG94" s="580"/>
      <c r="CH94" s="580"/>
    </row>
    <row r="95" spans="1:86" ht="13.5" thickBot="1" x14ac:dyDescent="0.25">
      <c r="A95" s="585">
        <v>83</v>
      </c>
      <c r="B95" s="42" t="s">
        <v>19</v>
      </c>
      <c r="C95" s="607">
        <f>SUM(C92:C94)</f>
        <v>3195</v>
      </c>
      <c r="D95" s="607">
        <f t="shared" ref="D95:N95" si="903">SUM(D92:D94)</f>
        <v>4906.0000000000009</v>
      </c>
      <c r="E95" s="607">
        <f t="shared" si="903"/>
        <v>-4586</v>
      </c>
      <c r="F95" s="607">
        <f t="shared" si="903"/>
        <v>10836.999999999998</v>
      </c>
      <c r="G95" s="607">
        <f t="shared" si="903"/>
        <v>37930</v>
      </c>
      <c r="H95" s="607">
        <f t="shared" si="903"/>
        <v>9549</v>
      </c>
      <c r="I95" s="607">
        <f t="shared" si="903"/>
        <v>-3925</v>
      </c>
      <c r="J95" s="607">
        <f t="shared" si="903"/>
        <v>44763.999999999993</v>
      </c>
      <c r="K95" s="607">
        <f t="shared" si="903"/>
        <v>27525</v>
      </c>
      <c r="L95" s="607">
        <f t="shared" si="903"/>
        <v>6689.0000000000009</v>
      </c>
      <c r="M95" s="607">
        <f t="shared" si="903"/>
        <v>7466.0000000000009</v>
      </c>
      <c r="N95" s="607">
        <f t="shared" si="903"/>
        <v>2365</v>
      </c>
      <c r="O95" s="580"/>
      <c r="P95" s="580"/>
      <c r="Q95" s="580"/>
      <c r="R95" s="580"/>
      <c r="S95" s="580"/>
      <c r="T95" s="580"/>
      <c r="U95" s="580"/>
      <c r="V95" s="580"/>
      <c r="W95" s="580"/>
      <c r="X95" s="580"/>
      <c r="Y95" s="580"/>
      <c r="Z95" s="580"/>
      <c r="AA95" s="580"/>
      <c r="AB95" s="580"/>
      <c r="AC95" s="580"/>
      <c r="AD95" s="580"/>
      <c r="AE95" s="580"/>
      <c r="AF95" s="580"/>
      <c r="AG95" s="580"/>
      <c r="AH95" s="580"/>
      <c r="AI95" s="580"/>
      <c r="AJ95" s="580"/>
      <c r="AK95" s="580"/>
      <c r="AL95" s="580"/>
      <c r="AM95" s="580"/>
      <c r="AN95" s="580"/>
      <c r="AO95" s="580"/>
      <c r="AP95" s="580"/>
      <c r="AQ95" s="580"/>
      <c r="AR95" s="580"/>
      <c r="AS95" s="580"/>
      <c r="AT95" s="580"/>
      <c r="AU95" s="580"/>
      <c r="AV95" s="580"/>
      <c r="AW95" s="580"/>
      <c r="AX95" s="580"/>
      <c r="AY95" s="580"/>
      <c r="AZ95" s="580"/>
      <c r="BA95" s="580"/>
      <c r="BB95" s="580"/>
      <c r="BC95" s="580"/>
      <c r="BD95" s="580"/>
      <c r="BE95" s="580"/>
      <c r="BF95" s="580"/>
      <c r="BG95" s="580"/>
      <c r="BH95" s="580"/>
      <c r="BI95" s="580"/>
      <c r="BJ95" s="580"/>
      <c r="BK95" s="580"/>
      <c r="BL95" s="580"/>
      <c r="BM95" s="580"/>
      <c r="BN95" s="580"/>
      <c r="BO95" s="580"/>
      <c r="BP95" s="580"/>
      <c r="BQ95" s="580"/>
      <c r="BR95" s="580"/>
      <c r="BS95" s="580"/>
      <c r="BT95" s="580"/>
      <c r="BU95" s="580"/>
      <c r="BV95" s="580"/>
      <c r="BW95" s="580"/>
      <c r="BX95" s="580"/>
      <c r="BY95" s="580"/>
      <c r="BZ95" s="580"/>
      <c r="CA95" s="580"/>
      <c r="CB95" s="580"/>
      <c r="CC95" s="580"/>
      <c r="CD95" s="580"/>
      <c r="CE95" s="580"/>
      <c r="CF95" s="580"/>
      <c r="CG95" s="580"/>
      <c r="CH95" s="580"/>
    </row>
    <row r="96" spans="1:86" ht="13.5" thickTop="1" x14ac:dyDescent="0.2"/>
  </sheetData>
  <pageMargins left="0.7" right="0.7" top="0.75" bottom="0.75" header="0.3" footer="0.3"/>
  <pageSetup scale="65" fitToWidth="8" fitToHeight="3" orientation="landscape" r:id="rId1"/>
  <headerFooter>
    <oddFooter>&amp;CPage &amp;P of &amp;N</oddFooter>
  </headerFooter>
  <rowBreaks count="2" manualBreakCount="2">
    <brk id="43" max="13" man="1"/>
    <brk id="70" max="13" man="1"/>
  </rowBreaks>
  <colBreaks count="6" manualBreakCount="6">
    <brk id="14" min="12" max="91" man="1"/>
    <brk id="26" min="12" max="91" man="1"/>
    <brk id="38" min="12" max="91" man="1"/>
    <brk id="50" min="12" max="91" man="1"/>
    <brk id="62" min="12" max="91" man="1"/>
    <brk id="74" min="12" max="9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16</vt:i4>
      </vt:variant>
    </vt:vector>
  </HeadingPairs>
  <TitlesOfParts>
    <vt:vector size="36" baseType="lpstr">
      <vt:lpstr>Dashboard</vt:lpstr>
      <vt:lpstr>Summary of Rates</vt:lpstr>
      <vt:lpstr>Summary of Revenue</vt:lpstr>
      <vt:lpstr>Summary of Stats</vt:lpstr>
      <vt:lpstr>Bill Frequency</vt:lpstr>
      <vt:lpstr>Test Year Revenue Present</vt:lpstr>
      <vt:lpstr>Contract &amp; Vol Adj</vt:lpstr>
      <vt:lpstr>WNA Summary</vt:lpstr>
      <vt:lpstr>WNA</vt:lpstr>
      <vt:lpstr>Test Year Monthly - (Pres)</vt:lpstr>
      <vt:lpstr>Test Year Revenue Proposed</vt:lpstr>
      <vt:lpstr>Test Year Monthly - (Prop)</vt:lpstr>
      <vt:lpstr>Rate Design</vt:lpstr>
      <vt:lpstr>Monthly Forecast</vt:lpstr>
      <vt:lpstr>TBS Adjustments</vt:lpstr>
      <vt:lpstr>Peak Day Estimate</vt:lpstr>
      <vt:lpstr>Other Revenue</vt:lpstr>
      <vt:lpstr>HDDs</vt:lpstr>
      <vt:lpstr>Gas Cost Worksheet</vt:lpstr>
      <vt:lpstr>CCS Extract</vt:lpstr>
      <vt:lpstr>'Bill Frequency'!Print_Area</vt:lpstr>
      <vt:lpstr>'Contract &amp; Vol Adj'!Print_Area</vt:lpstr>
      <vt:lpstr>HDDs!Print_Area</vt:lpstr>
      <vt:lpstr>'Monthly Forecast'!Print_Area</vt:lpstr>
      <vt:lpstr>'Summary of Rates'!Print_Area</vt:lpstr>
      <vt:lpstr>'TBS Adjustments'!Print_Area</vt:lpstr>
      <vt:lpstr>'Test Year Monthly - (Pres)'!Print_Area</vt:lpstr>
      <vt:lpstr>'Test Year Monthly - (Prop)'!Print_Area</vt:lpstr>
      <vt:lpstr>'Test Year Revenue Present'!Print_Area</vt:lpstr>
      <vt:lpstr>'Test Year Revenue Proposed'!Print_Area</vt:lpstr>
      <vt:lpstr>WNA!Print_Area</vt:lpstr>
      <vt:lpstr>'WNA Summary'!Print_Area</vt:lpstr>
      <vt:lpstr>'Contract &amp; Vol Adj'!Print_Titles</vt:lpstr>
      <vt:lpstr>'Test Year Monthly - (Pres)'!Print_Titles</vt:lpstr>
      <vt:lpstr>'Test Year Monthly - (Prop)'!Print_Titles</vt:lpstr>
      <vt:lpstr>WNA!Print_Titles</vt:lpstr>
    </vt:vector>
  </TitlesOfParts>
  <Company>Atmos Energy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ldcotten</dc:creator>
  <cp:lastModifiedBy>Brannon C Taylor</cp:lastModifiedBy>
  <cp:lastPrinted>2017-10-11T15:08:03Z</cp:lastPrinted>
  <dcterms:created xsi:type="dcterms:W3CDTF">2006-10-05T20:11:37Z</dcterms:created>
  <dcterms:modified xsi:type="dcterms:W3CDTF">2017-10-11T15:08:21Z</dcterms:modified>
</cp:coreProperties>
</file>